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ables/table4.xml" ContentType="application/vnd.openxmlformats-officedocument.spreadsheetml.tab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epo\PORTFOLIO-OF-PROJECTS\PROJECTS\WaterDashBoard\"/>
    </mc:Choice>
  </mc:AlternateContent>
  <xr:revisionPtr revIDLastSave="0" documentId="13_ncr:1_{18B57ACC-738D-4ED5-A523-8165FE44758C}" xr6:coauthVersionLast="45" xr6:coauthVersionMax="45" xr10:uidLastSave="{00000000-0000-0000-0000-000000000000}"/>
  <bookViews>
    <workbookView xWindow="-120" yWindow="-120" windowWidth="29040" windowHeight="15840" tabRatio="893" firstSheet="8" activeTab="18" xr2:uid="{00000000-000D-0000-FFFF-FFFF00000000}"/>
  </bookViews>
  <sheets>
    <sheet name="DASHBOARD" sheetId="32" r:id="rId1"/>
    <sheet name="About" sheetId="37" r:id="rId2"/>
    <sheet name="Snapshot" sheetId="36" r:id="rId3"/>
    <sheet name="TOTALS" sheetId="38" r:id="rId4"/>
    <sheet name="Order of the Week" sheetId="35" r:id="rId5"/>
    <sheet name="Safety" sheetId="34" r:id="rId6"/>
    <sheet name="Schedule (2)" sheetId="44" r:id="rId7"/>
    <sheet name="Schedule" sheetId="3" r:id="rId8"/>
    <sheet name="Orders_Purchases" sheetId="30" r:id="rId9"/>
    <sheet name="Completed_Projects" sheetId="39" r:id="rId10"/>
    <sheet name="Construction_Projects" sheetId="24" r:id="rId11"/>
    <sheet name="Design_Projects" sheetId="26" r:id="rId12"/>
    <sheet name="Porta Cooler RWP" sheetId="28" r:id="rId13"/>
    <sheet name="Work Task_Compl" sheetId="4" r:id="rId14"/>
    <sheet name="Work Task_Log" sheetId="17" r:id="rId15"/>
    <sheet name="Water Tm_Log" sheetId="16" r:id="rId16"/>
    <sheet name="Water Tm_Avg Gals" sheetId="7" r:id="rId17"/>
    <sheet name="Chlorine_Readings" sheetId="8" r:id="rId18"/>
    <sheet name="Chlorine_Graph" sheetId="29" r:id="rId19"/>
    <sheet name="Water Leaks_Log" sheetId="14" r:id="rId20"/>
    <sheet name="Ice_Log" sheetId="9" r:id="rId21"/>
    <sheet name="Inventory_Missing" sheetId="42" r:id="rId22"/>
    <sheet name="Inventory_WRM" sheetId="41" r:id="rId23"/>
    <sheet name="Inventory_Chemicals" sheetId="43" r:id="rId24"/>
    <sheet name="Inventory_CONEX" sheetId="12" r:id="rId25"/>
    <sheet name="Inventory_Hompage" sheetId="40" r:id="rId26"/>
    <sheet name="PM - RWP" sheetId="15" r:id="rId27"/>
    <sheet name="Water - RWP" sheetId="13" r:id="rId28"/>
    <sheet name="Camp Fixture Count" sheetId="18" r:id="rId29"/>
    <sheet name="Vehicles" sheetId="31" r:id="rId30"/>
    <sheet name="Training Plan" sheetId="5" r:id="rId31"/>
    <sheet name="Shop Events" sheetId="6" r:id="rId32"/>
  </sheets>
  <definedNames>
    <definedName name="_xlnm._FilterDatabase" localSheetId="23" hidden="1">Inventory_Chemicals!$A$2:$D$2</definedName>
    <definedName name="_xlnm._FilterDatabase" localSheetId="24" hidden="1">Inventory_CONEX!$A$2:$D$501</definedName>
    <definedName name="_xlnm._FilterDatabase" localSheetId="21" hidden="1">Inventory_Missing!$A$2:$C$2</definedName>
    <definedName name="_xlnm._FilterDatabase" localSheetId="22" hidden="1">Inventory_WRM!$A$6:$D$6</definedName>
    <definedName name="_xlnm._FilterDatabase" localSheetId="14" hidden="1">'Work Task_Log'!$A$2:$L$43</definedName>
    <definedName name="_xlnm.Print_Area" localSheetId="28">'Camp Fixture Count'!$A$2:$L$15</definedName>
    <definedName name="_xlnm.Print_Area" localSheetId="18">Chlorine_Graph!$A$1:$N$22</definedName>
    <definedName name="_xlnm.Print_Area" localSheetId="9">Completed_Projects!$A$2:$L$4</definedName>
    <definedName name="_xlnm.Print_Area" localSheetId="10">Construction_Projects!$A$2:$L$4</definedName>
    <definedName name="_xlnm.Print_Area" localSheetId="0">DASHBOARD!$A$1:$I$17</definedName>
    <definedName name="_xlnm.Print_Area" localSheetId="11">Design_Projects!$A$2:$K$10</definedName>
    <definedName name="_xlnm.Print_Area" localSheetId="20">Ice_Log!$A$2:$M$97</definedName>
    <definedName name="_xlnm.Print_Area" localSheetId="23">Inventory_Chemicals!$A$2:$D$325</definedName>
    <definedName name="_xlnm.Print_Area" localSheetId="24">Inventory_CONEX!$A$2:$D$501</definedName>
    <definedName name="_xlnm.Print_Area" localSheetId="21">Inventory_Missing!$A$2:$C$325</definedName>
    <definedName name="_xlnm.Print_Area" localSheetId="22">Inventory_WRM!$A$6:$D$329</definedName>
    <definedName name="_xlnm.Print_Area" localSheetId="12">'Porta Cooler RWP'!#REF!</definedName>
    <definedName name="_xlnm.Print_Area" localSheetId="7">Schedule!#REF!</definedName>
    <definedName name="_xlnm.Print_Area" localSheetId="6">'Schedule (2)'!#REF!</definedName>
    <definedName name="_xlnm.Print_Area" localSheetId="2">Snapshot!$A$1:$W$23</definedName>
    <definedName name="_xlnm.Print_Area" localSheetId="3">TOTALS!$A$1:$X$171</definedName>
    <definedName name="_xlnm.Print_Area" localSheetId="16">'Water Tm_Avg Gals'!$A$2:$R$165</definedName>
    <definedName name="_xlnm.Print_Area" localSheetId="13">'Work Task_Compl'!$A$2:$U$100</definedName>
    <definedName name="_xlnm.Print_Area" localSheetId="14">'Work Task_Log'!$A$2:$L$38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81" i="38" l="1"/>
  <c r="Q182" i="38"/>
  <c r="R182" i="38"/>
  <c r="Q183" i="38"/>
  <c r="R183" i="38"/>
  <c r="Q184" i="38"/>
  <c r="R184" i="38"/>
  <c r="Q185" i="38"/>
  <c r="R185" i="38"/>
  <c r="Q186" i="38"/>
  <c r="R186" i="38"/>
  <c r="R190" i="38" s="1"/>
  <c r="Q187" i="38"/>
  <c r="Q190" i="38" s="1"/>
  <c r="R187" i="38"/>
  <c r="Q188" i="38"/>
  <c r="R188" i="38"/>
  <c r="Q189" i="38"/>
  <c r="R189" i="38"/>
  <c r="O181" i="38"/>
  <c r="P181" i="38"/>
  <c r="O182" i="38"/>
  <c r="P182" i="38"/>
  <c r="O183" i="38"/>
  <c r="P183" i="38"/>
  <c r="O184" i="38"/>
  <c r="P184" i="38"/>
  <c r="O185" i="38"/>
  <c r="P185" i="38"/>
  <c r="O186" i="38"/>
  <c r="P186" i="38"/>
  <c r="O187" i="38"/>
  <c r="P187" i="38"/>
  <c r="O188" i="38"/>
  <c r="P188" i="38"/>
  <c r="O189" i="38"/>
  <c r="P189" i="38"/>
  <c r="O190" i="38"/>
  <c r="P190" i="38"/>
  <c r="M181" i="38"/>
  <c r="N181" i="38"/>
  <c r="M182" i="38"/>
  <c r="N182" i="38"/>
  <c r="M183" i="38"/>
  <c r="N183" i="38"/>
  <c r="M184" i="38"/>
  <c r="N184" i="38"/>
  <c r="M185" i="38"/>
  <c r="N185" i="38"/>
  <c r="M186" i="38"/>
  <c r="N186" i="38"/>
  <c r="M187" i="38"/>
  <c r="N187" i="38"/>
  <c r="M188" i="38"/>
  <c r="N188" i="38"/>
  <c r="M189" i="38"/>
  <c r="N189" i="38"/>
  <c r="M190" i="38"/>
  <c r="N190" i="38"/>
  <c r="K181" i="38"/>
  <c r="L181" i="38"/>
  <c r="K182" i="38"/>
  <c r="L182" i="38"/>
  <c r="K183" i="38"/>
  <c r="L183" i="38"/>
  <c r="K184" i="38"/>
  <c r="L184" i="38"/>
  <c r="K185" i="38"/>
  <c r="L185" i="38"/>
  <c r="K186" i="38"/>
  <c r="L186" i="38"/>
  <c r="K187" i="38"/>
  <c r="L187" i="38"/>
  <c r="K188" i="38"/>
  <c r="L188" i="38"/>
  <c r="K189" i="38"/>
  <c r="L189" i="38"/>
  <c r="K190" i="38"/>
  <c r="L190" i="38"/>
  <c r="I181" i="38"/>
  <c r="J181" i="38"/>
  <c r="I182" i="38"/>
  <c r="J182" i="38"/>
  <c r="I183" i="38"/>
  <c r="J183" i="38"/>
  <c r="I184" i="38"/>
  <c r="J184" i="38"/>
  <c r="I185" i="38"/>
  <c r="J185" i="38"/>
  <c r="I186" i="38"/>
  <c r="J186" i="38"/>
  <c r="I187" i="38"/>
  <c r="J187" i="38"/>
  <c r="I188" i="38"/>
  <c r="J188" i="38"/>
  <c r="I189" i="38"/>
  <c r="J189" i="38"/>
  <c r="I190" i="38"/>
  <c r="J190" i="38"/>
  <c r="G181" i="38"/>
  <c r="H181" i="38"/>
  <c r="G182" i="38"/>
  <c r="H182" i="38"/>
  <c r="G183" i="38"/>
  <c r="H183" i="38"/>
  <c r="G184" i="38"/>
  <c r="H184" i="38"/>
  <c r="G185" i="38"/>
  <c r="H185" i="38"/>
  <c r="G186" i="38"/>
  <c r="H186" i="38"/>
  <c r="G187" i="38"/>
  <c r="H187" i="38"/>
  <c r="G188" i="38"/>
  <c r="H188" i="38"/>
  <c r="G189" i="38"/>
  <c r="H189" i="38"/>
  <c r="G190" i="38"/>
  <c r="H190" i="38"/>
  <c r="E181" i="38"/>
  <c r="F181" i="38"/>
  <c r="E182" i="38"/>
  <c r="F182" i="38"/>
  <c r="E183" i="38"/>
  <c r="F183" i="38"/>
  <c r="E184" i="38"/>
  <c r="F184" i="38"/>
  <c r="E185" i="38"/>
  <c r="F185" i="38"/>
  <c r="E186" i="38"/>
  <c r="F186" i="38"/>
  <c r="E187" i="38"/>
  <c r="F187" i="38"/>
  <c r="E188" i="38"/>
  <c r="F188" i="38"/>
  <c r="E189" i="38"/>
  <c r="F189" i="38"/>
  <c r="E190" i="38"/>
  <c r="F190" i="38"/>
  <c r="C181" i="38"/>
  <c r="C182" i="38"/>
  <c r="D182" i="38"/>
  <c r="C183" i="38"/>
  <c r="D183" i="38"/>
  <c r="C184" i="38"/>
  <c r="D184" i="38"/>
  <c r="C185" i="38"/>
  <c r="D185" i="38"/>
  <c r="C186" i="38"/>
  <c r="C190" i="38" s="1"/>
  <c r="D186" i="38"/>
  <c r="C187" i="38"/>
  <c r="D187" i="38"/>
  <c r="C188" i="38"/>
  <c r="D188" i="38"/>
  <c r="C189" i="38"/>
  <c r="D189" i="38"/>
  <c r="D190" i="38" s="1"/>
  <c r="H103" i="38"/>
  <c r="N109" i="38"/>
  <c r="N108" i="38"/>
  <c r="N107" i="38"/>
  <c r="N106" i="38"/>
  <c r="N105" i="38"/>
  <c r="N104" i="38"/>
  <c r="N103" i="38"/>
  <c r="H109" i="38"/>
  <c r="H108" i="38"/>
  <c r="H107" i="38"/>
  <c r="H106" i="38"/>
  <c r="H105" i="38"/>
  <c r="H104" i="38"/>
  <c r="I85" i="38"/>
  <c r="I84" i="38"/>
  <c r="H85" i="38"/>
  <c r="H84" i="38"/>
  <c r="G85" i="38"/>
  <c r="G84" i="38"/>
  <c r="F85" i="38"/>
  <c r="F84" i="38"/>
  <c r="J65" i="38"/>
  <c r="J71" i="38"/>
  <c r="J70" i="38"/>
  <c r="J69" i="38"/>
  <c r="J68" i="38"/>
  <c r="J67" i="38"/>
  <c r="J66" i="38"/>
  <c r="F65" i="38"/>
  <c r="F71" i="38"/>
  <c r="F70" i="38"/>
  <c r="F69" i="38"/>
  <c r="F68" i="38"/>
  <c r="F67" i="38"/>
  <c r="F66" i="38"/>
  <c r="D35" i="38"/>
  <c r="D33" i="38"/>
  <c r="D32" i="38"/>
  <c r="D31" i="38"/>
  <c r="D30" i="38"/>
  <c r="D29" i="38"/>
  <c r="AA62" i="28" l="1"/>
  <c r="X62" i="28"/>
  <c r="U62" i="28"/>
  <c r="R62" i="28"/>
  <c r="O62" i="28"/>
  <c r="L62" i="28"/>
  <c r="I62" i="28"/>
  <c r="F62" i="28"/>
  <c r="B62" i="28"/>
  <c r="C62" i="28"/>
  <c r="O63" i="28" l="1"/>
  <c r="C63" i="28"/>
  <c r="X63" i="28"/>
  <c r="L63" i="28"/>
  <c r="AA63" i="28"/>
  <c r="R63" i="28"/>
  <c r="U63" i="28"/>
  <c r="F63" i="28"/>
  <c r="I63" i="28"/>
  <c r="Z62" i="28"/>
  <c r="Y62" i="28"/>
  <c r="W62" i="28"/>
  <c r="V62" i="28"/>
  <c r="T62" i="28"/>
  <c r="S62" i="28"/>
  <c r="Q62" i="28"/>
  <c r="P62" i="28"/>
  <c r="N62" i="28"/>
  <c r="M62" i="28"/>
  <c r="K62" i="28"/>
  <c r="J62" i="28"/>
  <c r="H62" i="28"/>
  <c r="G62" i="28"/>
  <c r="D62" i="28"/>
  <c r="E62" i="28"/>
  <c r="E67" i="28" l="1"/>
  <c r="Z63" i="28"/>
  <c r="Z64" i="28" s="1"/>
  <c r="W63" i="28"/>
  <c r="W64" i="28" s="1"/>
  <c r="Q63" i="28"/>
  <c r="Q64" i="28" s="1"/>
  <c r="H63" i="28"/>
  <c r="H64" i="28" s="1"/>
  <c r="T63" i="28"/>
  <c r="T64" i="28" s="1"/>
  <c r="K63" i="28"/>
  <c r="K64" i="28" s="1"/>
  <c r="N63" i="28"/>
  <c r="N64" i="28" s="1"/>
  <c r="E63" i="28"/>
  <c r="E64" i="28" s="1"/>
  <c r="E66" i="28" l="1"/>
  <c r="P202" i="38"/>
  <c r="N202" i="38"/>
  <c r="R202" i="38" l="1"/>
  <c r="Q202" i="38"/>
  <c r="Q203" i="38" s="1"/>
  <c r="O202" i="38"/>
  <c r="O203" i="38" s="1"/>
  <c r="K202" i="38"/>
  <c r="K203" i="38" s="1"/>
  <c r="L202" i="38"/>
  <c r="I202" i="38"/>
  <c r="I203" i="38" s="1"/>
  <c r="J202" i="38"/>
  <c r="G202" i="38"/>
  <c r="G203" i="38" s="1"/>
  <c r="H202" i="38"/>
  <c r="M202" i="38"/>
  <c r="M203" i="38" s="1"/>
  <c r="F202" i="38"/>
  <c r="E202" i="38"/>
  <c r="E203" i="38" s="1"/>
  <c r="C202" i="38"/>
  <c r="C203" i="38" s="1"/>
  <c r="D202" i="38"/>
  <c r="C194" i="38" l="1"/>
  <c r="C193" i="38"/>
  <c r="C197" i="38"/>
  <c r="C198" i="38"/>
  <c r="H7" i="7"/>
  <c r="K7" i="7" s="1"/>
  <c r="I7" i="7"/>
  <c r="H8" i="7"/>
  <c r="K8" i="7" s="1"/>
  <c r="I8" i="7"/>
  <c r="H9" i="7"/>
  <c r="I9" i="7"/>
  <c r="H10" i="7"/>
  <c r="K10" i="7" s="1"/>
  <c r="I10" i="7"/>
  <c r="H11" i="7"/>
  <c r="K11" i="7" s="1"/>
  <c r="I11" i="7"/>
  <c r="H12" i="7"/>
  <c r="I12" i="7"/>
  <c r="H13" i="7"/>
  <c r="K13" i="7" s="1"/>
  <c r="I13" i="7"/>
  <c r="H14" i="7"/>
  <c r="K14" i="7" s="1"/>
  <c r="I14" i="7"/>
  <c r="H15" i="7"/>
  <c r="K15" i="7" s="1"/>
  <c r="I15" i="7"/>
  <c r="H16" i="7"/>
  <c r="I16" i="7"/>
  <c r="H17" i="7"/>
  <c r="K17" i="7" s="1"/>
  <c r="I17" i="7"/>
  <c r="H18" i="7"/>
  <c r="I18" i="7"/>
  <c r="H19" i="7"/>
  <c r="K19" i="7" s="1"/>
  <c r="I19" i="7"/>
  <c r="H20" i="7"/>
  <c r="I20" i="7"/>
  <c r="H21" i="7"/>
  <c r="K21" i="7" s="1"/>
  <c r="I21" i="7"/>
  <c r="H22" i="7"/>
  <c r="K22" i="7" s="1"/>
  <c r="I22" i="7"/>
  <c r="H23" i="7"/>
  <c r="K23" i="7" s="1"/>
  <c r="I23" i="7"/>
  <c r="H24" i="7"/>
  <c r="K24" i="7" s="1"/>
  <c r="I24" i="7"/>
  <c r="H25" i="7"/>
  <c r="I25" i="7"/>
  <c r="H26" i="7"/>
  <c r="K26" i="7" s="1"/>
  <c r="I26" i="7"/>
  <c r="H27" i="7"/>
  <c r="K27" i="7" s="1"/>
  <c r="I27" i="7"/>
  <c r="H28" i="7"/>
  <c r="K28" i="7" s="1"/>
  <c r="I28" i="7"/>
  <c r="H29" i="7"/>
  <c r="K29" i="7" s="1"/>
  <c r="I29" i="7"/>
  <c r="H30" i="7"/>
  <c r="K30" i="7" s="1"/>
  <c r="I30" i="7"/>
  <c r="H31" i="7"/>
  <c r="K31" i="7" s="1"/>
  <c r="I31" i="7"/>
  <c r="H32" i="7"/>
  <c r="I32" i="7"/>
  <c r="H33" i="7"/>
  <c r="K33" i="7" s="1"/>
  <c r="I33" i="7"/>
  <c r="H34" i="7"/>
  <c r="K34" i="7" s="1"/>
  <c r="I34" i="7"/>
  <c r="H35" i="7"/>
  <c r="I35" i="7"/>
  <c r="H36" i="7"/>
  <c r="K36" i="7" s="1"/>
  <c r="I36" i="7"/>
  <c r="H37" i="7"/>
  <c r="K37" i="7" s="1"/>
  <c r="I37" i="7"/>
  <c r="H38" i="7"/>
  <c r="K38" i="7" s="1"/>
  <c r="I38" i="7"/>
  <c r="H39" i="7"/>
  <c r="I39" i="7"/>
  <c r="C7" i="7"/>
  <c r="D7" i="7"/>
  <c r="E7" i="7"/>
  <c r="F7" i="7"/>
  <c r="C8" i="7"/>
  <c r="D8" i="7"/>
  <c r="E8" i="7"/>
  <c r="F8" i="7"/>
  <c r="C9" i="7"/>
  <c r="D9" i="7"/>
  <c r="E9" i="7"/>
  <c r="F9" i="7"/>
  <c r="C10" i="7"/>
  <c r="D10" i="7"/>
  <c r="E10" i="7"/>
  <c r="F10" i="7"/>
  <c r="C11" i="7"/>
  <c r="D11" i="7"/>
  <c r="E11" i="7"/>
  <c r="F11" i="7"/>
  <c r="C12" i="7"/>
  <c r="D12" i="7"/>
  <c r="E12" i="7"/>
  <c r="F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C39" i="7"/>
  <c r="D39" i="7"/>
  <c r="E39" i="7"/>
  <c r="F39" i="7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29" i="9"/>
  <c r="H3" i="9" s="1"/>
  <c r="C129" i="9"/>
  <c r="L3" i="9" s="1"/>
  <c r="T18" i="36" s="1"/>
  <c r="J32" i="7" l="1"/>
  <c r="J20" i="7"/>
  <c r="J18" i="7"/>
  <c r="J36" i="7"/>
  <c r="J29" i="7"/>
  <c r="J13" i="7"/>
  <c r="J39" i="7"/>
  <c r="J27" i="7"/>
  <c r="J19" i="7"/>
  <c r="J35" i="7"/>
  <c r="J34" i="7"/>
  <c r="J22" i="7"/>
  <c r="K39" i="7"/>
  <c r="J25" i="7"/>
  <c r="J9" i="7"/>
  <c r="J16" i="7"/>
  <c r="J12" i="7"/>
  <c r="J11" i="7"/>
  <c r="K20" i="7"/>
  <c r="K12" i="7"/>
  <c r="K35" i="7"/>
  <c r="J14" i="7"/>
  <c r="K18" i="7"/>
  <c r="J28" i="7"/>
  <c r="K25" i="7"/>
  <c r="K9" i="7"/>
  <c r="J31" i="7"/>
  <c r="K32" i="7"/>
  <c r="K16" i="7"/>
  <c r="J24" i="7"/>
  <c r="J17" i="7"/>
  <c r="J10" i="7"/>
  <c r="J37" i="7"/>
  <c r="J30" i="7"/>
  <c r="J23" i="7"/>
  <c r="J33" i="7"/>
  <c r="J26" i="7"/>
  <c r="J15" i="7"/>
  <c r="J8" i="7"/>
  <c r="J21" i="7"/>
  <c r="J38" i="7"/>
  <c r="J7" i="7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91" i="4"/>
  <c r="P136" i="38" l="1"/>
  <c r="O136" i="38"/>
  <c r="N136" i="38"/>
  <c r="M136" i="38"/>
  <c r="L136" i="38"/>
  <c r="K136" i="38"/>
  <c r="J136" i="38"/>
  <c r="I136" i="38"/>
  <c r="H136" i="38"/>
  <c r="G136" i="38"/>
  <c r="F136" i="38"/>
  <c r="E136" i="38"/>
  <c r="D136" i="38"/>
  <c r="C136" i="38"/>
  <c r="P137" i="38"/>
  <c r="O137" i="38"/>
  <c r="N137" i="38"/>
  <c r="M137" i="38"/>
  <c r="L137" i="38"/>
  <c r="K137" i="38"/>
  <c r="J137" i="38"/>
  <c r="I137" i="38"/>
  <c r="H137" i="38"/>
  <c r="G137" i="38"/>
  <c r="F137" i="38"/>
  <c r="E137" i="38"/>
  <c r="D137" i="38"/>
  <c r="C137" i="38"/>
  <c r="M14" i="18" l="1"/>
  <c r="M13" i="18"/>
  <c r="M12" i="18"/>
  <c r="M11" i="18"/>
  <c r="M10" i="18"/>
  <c r="M9" i="18"/>
  <c r="M8" i="18"/>
  <c r="M7" i="18"/>
  <c r="M6" i="18"/>
  <c r="M5" i="18"/>
  <c r="L14" i="18"/>
  <c r="L13" i="18"/>
  <c r="L12" i="18"/>
  <c r="L11" i="18"/>
  <c r="L10" i="18"/>
  <c r="L9" i="18"/>
  <c r="L8" i="18"/>
  <c r="L7" i="18"/>
  <c r="L6" i="18"/>
  <c r="L5" i="18"/>
  <c r="M15" i="18" l="1"/>
  <c r="J147" i="38"/>
  <c r="J148" i="38"/>
  <c r="J149" i="38"/>
  <c r="J150" i="38" l="1"/>
  <c r="A5" i="39" l="1"/>
  <c r="H122" i="38"/>
  <c r="H123" i="38" s="1"/>
  <c r="L54" i="38" l="1"/>
  <c r="D49" i="38"/>
  <c r="E98" i="7"/>
  <c r="E97" i="7"/>
  <c r="E96" i="7"/>
  <c r="E95" i="7"/>
  <c r="E94" i="7"/>
  <c r="E93" i="7"/>
  <c r="F98" i="7"/>
  <c r="F97" i="7"/>
  <c r="F96" i="7"/>
  <c r="F94" i="7"/>
  <c r="F95" i="7"/>
  <c r="F93" i="7"/>
  <c r="J54" i="38" l="1"/>
  <c r="J55" i="38" s="1"/>
  <c r="D34" i="38"/>
  <c r="D37" i="38" l="1"/>
  <c r="J19" i="36" l="1"/>
  <c r="T16" i="36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I47" i="15" l="1"/>
  <c r="H111" i="38" l="1"/>
  <c r="B325" i="42"/>
  <c r="C329" i="41"/>
  <c r="D90" i="4" l="1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91" i="4"/>
  <c r="D49" i="39" l="1"/>
  <c r="J72" i="38" l="1"/>
  <c r="E30" i="13"/>
  <c r="H10" i="38" l="1"/>
  <c r="H49" i="15"/>
  <c r="H9" i="38" s="1"/>
  <c r="B16" i="36" l="1"/>
  <c r="H11" i="38"/>
  <c r="N19" i="36" s="1"/>
  <c r="D16" i="36" l="1"/>
  <c r="I3" i="30"/>
  <c r="R3" i="4" l="1"/>
  <c r="J14" i="30"/>
  <c r="J7" i="36" l="1"/>
  <c r="C96" i="7" l="1"/>
  <c r="D96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D30" i="26" l="1"/>
  <c r="V13" i="36" s="1"/>
  <c r="D12" i="24" l="1"/>
  <c r="V10" i="36" s="1"/>
  <c r="D15" i="18" l="1"/>
  <c r="F15" i="18"/>
  <c r="H15" i="18"/>
  <c r="J15" i="18"/>
  <c r="B15" i="18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H40" i="7"/>
  <c r="K40" i="7" s="1"/>
  <c r="H41" i="7"/>
  <c r="K41" i="7" s="1"/>
  <c r="H42" i="7"/>
  <c r="K42" i="7" s="1"/>
  <c r="H43" i="7"/>
  <c r="K43" i="7" s="1"/>
  <c r="H44" i="7"/>
  <c r="K44" i="7" s="1"/>
  <c r="H45" i="7"/>
  <c r="K45" i="7" s="1"/>
  <c r="H46" i="7"/>
  <c r="K46" i="7" s="1"/>
  <c r="H47" i="7"/>
  <c r="K47" i="7" s="1"/>
  <c r="H48" i="7"/>
  <c r="K48" i="7" s="1"/>
  <c r="H49" i="7"/>
  <c r="K49" i="7" s="1"/>
  <c r="H50" i="7"/>
  <c r="K50" i="7" s="1"/>
  <c r="H51" i="7"/>
  <c r="K51" i="7" s="1"/>
  <c r="H52" i="7"/>
  <c r="K52" i="7" s="1"/>
  <c r="H53" i="7"/>
  <c r="K53" i="7" s="1"/>
  <c r="H54" i="7"/>
  <c r="K54" i="7" s="1"/>
  <c r="H55" i="7"/>
  <c r="K55" i="7" s="1"/>
  <c r="H56" i="7"/>
  <c r="K56" i="7" s="1"/>
  <c r="H57" i="7"/>
  <c r="K57" i="7" s="1"/>
  <c r="H58" i="7"/>
  <c r="K58" i="7" s="1"/>
  <c r="H59" i="7"/>
  <c r="K59" i="7" s="1"/>
  <c r="H60" i="7"/>
  <c r="K60" i="7" s="1"/>
  <c r="H61" i="7"/>
  <c r="K61" i="7" s="1"/>
  <c r="H62" i="7"/>
  <c r="K62" i="7" s="1"/>
  <c r="H63" i="7"/>
  <c r="K63" i="7" s="1"/>
  <c r="H64" i="7"/>
  <c r="K64" i="7" s="1"/>
  <c r="H65" i="7"/>
  <c r="K65" i="7" s="1"/>
  <c r="H66" i="7"/>
  <c r="K66" i="7" s="1"/>
  <c r="H67" i="7"/>
  <c r="K67" i="7" s="1"/>
  <c r="H68" i="7"/>
  <c r="K68" i="7" s="1"/>
  <c r="H69" i="7"/>
  <c r="K69" i="7" s="1"/>
  <c r="H70" i="7"/>
  <c r="K70" i="7" s="1"/>
  <c r="H71" i="7"/>
  <c r="K71" i="7" s="1"/>
  <c r="H72" i="7"/>
  <c r="K72" i="7" s="1"/>
  <c r="H73" i="7"/>
  <c r="K73" i="7" s="1"/>
  <c r="H74" i="7"/>
  <c r="K74" i="7" s="1"/>
  <c r="H75" i="7"/>
  <c r="K75" i="7" s="1"/>
  <c r="H76" i="7"/>
  <c r="K76" i="7" s="1"/>
  <c r="H77" i="7"/>
  <c r="K77" i="7" s="1"/>
  <c r="H78" i="7"/>
  <c r="K78" i="7" s="1"/>
  <c r="H79" i="7"/>
  <c r="K79" i="7" s="1"/>
  <c r="H80" i="7"/>
  <c r="K80" i="7" s="1"/>
  <c r="H81" i="7"/>
  <c r="K81" i="7" s="1"/>
  <c r="H82" i="7"/>
  <c r="K82" i="7" s="1"/>
  <c r="H83" i="7"/>
  <c r="K83" i="7" s="1"/>
  <c r="H84" i="7"/>
  <c r="K84" i="7" s="1"/>
  <c r="H85" i="7"/>
  <c r="K85" i="7" s="1"/>
  <c r="H86" i="7"/>
  <c r="K86" i="7" s="1"/>
  <c r="H87" i="7"/>
  <c r="K87" i="7" s="1"/>
  <c r="H88" i="7"/>
  <c r="K88" i="7" s="1"/>
  <c r="H89" i="7"/>
  <c r="K89" i="7" s="1"/>
  <c r="H90" i="7"/>
  <c r="K90" i="7" s="1"/>
  <c r="H91" i="7"/>
  <c r="K91" i="7" s="1"/>
  <c r="H92" i="7"/>
  <c r="K92" i="7" s="1"/>
  <c r="H93" i="7"/>
  <c r="K93" i="7" s="1"/>
  <c r="H94" i="7"/>
  <c r="K94" i="7" s="1"/>
  <c r="H95" i="7"/>
  <c r="K95" i="7" s="1"/>
  <c r="H96" i="7"/>
  <c r="K96" i="7" s="1"/>
  <c r="H97" i="7"/>
  <c r="K97" i="7" s="1"/>
  <c r="H98" i="7"/>
  <c r="K98" i="7" s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J84" i="7" l="1"/>
  <c r="J76" i="7"/>
  <c r="J68" i="7"/>
  <c r="J60" i="7"/>
  <c r="J52" i="7"/>
  <c r="J44" i="7"/>
  <c r="J90" i="7"/>
  <c r="J74" i="7"/>
  <c r="J50" i="7"/>
  <c r="J98" i="7"/>
  <c r="J82" i="7"/>
  <c r="J66" i="7"/>
  <c r="J58" i="7"/>
  <c r="J42" i="7"/>
  <c r="J97" i="7"/>
  <c r="J89" i="7"/>
  <c r="J81" i="7"/>
  <c r="J73" i="7"/>
  <c r="J65" i="7"/>
  <c r="J57" i="7"/>
  <c r="J49" i="7"/>
  <c r="J41" i="7"/>
  <c r="J96" i="7"/>
  <c r="J88" i="7"/>
  <c r="J80" i="7"/>
  <c r="J72" i="7"/>
  <c r="J64" i="7"/>
  <c r="J56" i="7"/>
  <c r="J48" i="7"/>
  <c r="J40" i="7"/>
  <c r="J85" i="7"/>
  <c r="J77" i="7"/>
  <c r="J69" i="7"/>
  <c r="J61" i="7"/>
  <c r="J53" i="7"/>
  <c r="J45" i="7"/>
  <c r="J62" i="7"/>
  <c r="J54" i="7"/>
  <c r="J46" i="7"/>
  <c r="J94" i="7"/>
  <c r="J78" i="7"/>
  <c r="J86" i="7"/>
  <c r="J70" i="7"/>
  <c r="J95" i="7"/>
  <c r="J87" i="7"/>
  <c r="J79" i="7"/>
  <c r="J71" i="7"/>
  <c r="J63" i="7"/>
  <c r="J55" i="7"/>
  <c r="J47" i="7"/>
  <c r="J93" i="7"/>
  <c r="J92" i="7"/>
  <c r="J91" i="7"/>
  <c r="J83" i="7"/>
  <c r="J75" i="7"/>
  <c r="J67" i="7"/>
  <c r="J59" i="7"/>
  <c r="J51" i="7"/>
  <c r="J43" i="7"/>
  <c r="D3" i="7"/>
  <c r="L15" i="18"/>
  <c r="T7" i="36" s="1"/>
  <c r="F29" i="13"/>
  <c r="H165" i="38" s="1"/>
  <c r="E29" i="13"/>
  <c r="D3" i="15"/>
  <c r="H166" i="38" s="1"/>
  <c r="H47" i="15"/>
  <c r="D165" i="7"/>
  <c r="E165" i="7"/>
  <c r="F165" i="7"/>
  <c r="G165" i="7"/>
  <c r="H165" i="7"/>
  <c r="I165" i="7"/>
  <c r="C165" i="7"/>
  <c r="F88" i="38" l="1"/>
  <c r="F87" i="38"/>
  <c r="H87" i="38"/>
  <c r="H88" i="38"/>
  <c r="A7" i="36"/>
  <c r="J165" i="7"/>
  <c r="J3" i="7"/>
  <c r="N111" i="38" l="1"/>
  <c r="V20" i="36"/>
  <c r="E189" i="4"/>
  <c r="M3" i="4" s="1"/>
  <c r="D189" i="4"/>
  <c r="H3" i="4" s="1"/>
  <c r="O3" i="7" l="1"/>
  <c r="A12" i="36" s="1"/>
  <c r="C85" i="4"/>
  <c r="C51" i="4"/>
  <c r="C23" i="4"/>
  <c r="C48" i="4"/>
  <c r="C64" i="4"/>
  <c r="C74" i="4"/>
  <c r="C9" i="4"/>
  <c r="C69" i="4"/>
  <c r="C49" i="4"/>
  <c r="C33" i="4"/>
  <c r="C55" i="4"/>
  <c r="C16" i="4"/>
  <c r="C38" i="4"/>
  <c r="C93" i="4"/>
  <c r="C19" i="4"/>
  <c r="C24" i="4"/>
  <c r="C75" i="4"/>
  <c r="C72" i="4"/>
  <c r="C28" i="4"/>
  <c r="C12" i="4"/>
  <c r="C70" i="4"/>
  <c r="C22" i="4"/>
  <c r="C66" i="4"/>
  <c r="C18" i="4"/>
  <c r="C20" i="4"/>
  <c r="C30" i="4"/>
  <c r="C14" i="4"/>
  <c r="C81" i="4"/>
  <c r="C92" i="4"/>
  <c r="C83" i="4"/>
  <c r="C90" i="4"/>
  <c r="C42" i="4"/>
  <c r="C82" i="4"/>
  <c r="C73" i="4"/>
  <c r="C35" i="4"/>
  <c r="C47" i="4"/>
  <c r="C32" i="4"/>
  <c r="C43" i="4"/>
  <c r="C34" i="4"/>
  <c r="C71" i="4"/>
  <c r="C7" i="4"/>
  <c r="C17" i="4"/>
  <c r="C86" i="4"/>
  <c r="C29" i="4"/>
  <c r="C87" i="4"/>
  <c r="C8" i="4"/>
  <c r="C40" i="4"/>
  <c r="C46" i="4"/>
  <c r="C15" i="4"/>
  <c r="C45" i="4"/>
  <c r="C67" i="4"/>
  <c r="C36" i="4"/>
  <c r="C11" i="4"/>
  <c r="C63" i="4"/>
  <c r="C89" i="4"/>
  <c r="C41" i="4"/>
  <c r="C27" i="4"/>
  <c r="C21" i="4"/>
  <c r="C80" i="4"/>
  <c r="C50" i="4"/>
  <c r="C52" i="4"/>
  <c r="C65" i="4"/>
  <c r="C88" i="4"/>
  <c r="C37" i="4"/>
  <c r="C26" i="4"/>
  <c r="C10" i="4"/>
  <c r="C76" i="4"/>
  <c r="C77" i="4"/>
  <c r="C39" i="4"/>
  <c r="C53" i="4"/>
  <c r="C78" i="4"/>
  <c r="C54" i="4"/>
  <c r="C25" i="4"/>
  <c r="C13" i="4"/>
  <c r="C44" i="4"/>
  <c r="C84" i="4"/>
  <c r="C91" i="4"/>
  <c r="C31" i="4"/>
  <c r="C79" i="4"/>
  <c r="C68" i="4"/>
  <c r="C59" i="4"/>
  <c r="C6" i="4"/>
  <c r="C57" i="4"/>
  <c r="C61" i="4"/>
  <c r="C60" i="4"/>
  <c r="C56" i="4"/>
  <c r="C58" i="4"/>
  <c r="C62" i="4"/>
  <c r="C189" i="4" l="1"/>
  <c r="C3" i="4" s="1"/>
  <c r="F72" i="38" l="1"/>
  <c r="G16" i="36" s="1"/>
</calcChain>
</file>

<file path=xl/sharedStrings.xml><?xml version="1.0" encoding="utf-8"?>
<sst xmlns="http://schemas.openxmlformats.org/spreadsheetml/2006/main" count="5965" uniqueCount="2151">
  <si>
    <t>Date</t>
  </si>
  <si>
    <t>TBD</t>
  </si>
  <si>
    <t xml:space="preserve"> </t>
  </si>
  <si>
    <t>0700 to 1500</t>
  </si>
  <si>
    <t>1500 to 2300</t>
  </si>
  <si>
    <t>2300 to 0700</t>
  </si>
  <si>
    <t>Teams</t>
  </si>
  <si>
    <t>Rank</t>
  </si>
  <si>
    <t>Name</t>
  </si>
  <si>
    <t>Day Off</t>
  </si>
  <si>
    <t>Projects</t>
  </si>
  <si>
    <t>TSgt</t>
  </si>
  <si>
    <t>Morris</t>
  </si>
  <si>
    <t>SAT</t>
  </si>
  <si>
    <t>Montalvo</t>
  </si>
  <si>
    <t>FRI</t>
  </si>
  <si>
    <t xml:space="preserve">SrA </t>
  </si>
  <si>
    <t>Ulbrich</t>
  </si>
  <si>
    <t>SUN</t>
  </si>
  <si>
    <t>SSgt</t>
  </si>
  <si>
    <t>Duncan</t>
  </si>
  <si>
    <t>A1C</t>
  </si>
  <si>
    <t>Beyers</t>
  </si>
  <si>
    <t>SrA</t>
  </si>
  <si>
    <t>Chambers</t>
  </si>
  <si>
    <t>Amn</t>
  </si>
  <si>
    <t>Mallanao</t>
  </si>
  <si>
    <t>Liley</t>
  </si>
  <si>
    <t>Crocker</t>
  </si>
  <si>
    <t>Water &amp; Wastewater</t>
  </si>
  <si>
    <t>Alandzak</t>
  </si>
  <si>
    <t>Kelley</t>
  </si>
  <si>
    <t>Thompson</t>
  </si>
  <si>
    <t>Nelson</t>
  </si>
  <si>
    <t>Cook</t>
  </si>
  <si>
    <t>Robinson</t>
  </si>
  <si>
    <t>Lynch</t>
  </si>
  <si>
    <t>Brennan</t>
  </si>
  <si>
    <t>Schatz</t>
  </si>
  <si>
    <t>Price</t>
  </si>
  <si>
    <t>Bernard</t>
  </si>
  <si>
    <t>Nemrow</t>
  </si>
  <si>
    <t>PM</t>
  </si>
  <si>
    <t>Burger</t>
  </si>
  <si>
    <t>Walker</t>
  </si>
  <si>
    <t>Dickerson</t>
  </si>
  <si>
    <t>Gonzalez</t>
  </si>
  <si>
    <t>Fields</t>
  </si>
  <si>
    <t>King</t>
  </si>
  <si>
    <t>Marshall</t>
  </si>
  <si>
    <t>Murphy</t>
  </si>
  <si>
    <t>Ross</t>
  </si>
  <si>
    <t>Landell</t>
  </si>
  <si>
    <t>Mckee</t>
  </si>
  <si>
    <t>Amount of prsnl</t>
  </si>
  <si>
    <t xml:space="preserve">Work Tasks Completed </t>
  </si>
  <si>
    <t>TOTAL</t>
  </si>
  <si>
    <t>No record</t>
  </si>
  <si>
    <t>Hours</t>
  </si>
  <si>
    <t>Manning #'s</t>
  </si>
  <si>
    <t>Training Class</t>
  </si>
  <si>
    <t>Length (Hours)</t>
  </si>
  <si>
    <t>Forklift</t>
  </si>
  <si>
    <t># Attendees</t>
  </si>
  <si>
    <t>Electrical (Multimeter)</t>
  </si>
  <si>
    <t>1300 to 1700</t>
  </si>
  <si>
    <t>Event</t>
  </si>
  <si>
    <t>1800 to 2000</t>
  </si>
  <si>
    <t>CSU vs WFSM</t>
  </si>
  <si>
    <t>Location</t>
  </si>
  <si>
    <t>WFSM Shop</t>
  </si>
  <si>
    <t>4 of 4</t>
  </si>
  <si>
    <t>Total Amount of Ice Picked Up (lbs)</t>
  </si>
  <si>
    <t>Total Number of Customers</t>
  </si>
  <si>
    <t>Number of Customers</t>
  </si>
  <si>
    <r>
      <t>Current Number of Working Machines
(</t>
    </r>
    <r>
      <rPr>
        <b/>
        <sz val="9"/>
        <color theme="1"/>
        <rFont val="Calibri"/>
        <family val="2"/>
        <scheme val="minor"/>
      </rPr>
      <t>Max Capacity 1,875 lbs)</t>
    </r>
  </si>
  <si>
    <r>
      <t xml:space="preserve">Pounds of Ice 
</t>
    </r>
    <r>
      <rPr>
        <b/>
        <sz val="8"/>
        <color theme="0"/>
        <rFont val="Calibri"/>
        <family val="2"/>
        <scheme val="minor"/>
      </rPr>
      <t>(1 cooler = 20 lbs)</t>
    </r>
  </si>
  <si>
    <t>WATER</t>
  </si>
  <si>
    <t>WASTEWATER</t>
  </si>
  <si>
    <t xml:space="preserve">LSA # of Trucks </t>
  </si>
  <si>
    <t xml:space="preserve">OPs Town # of Trucks </t>
  </si>
  <si>
    <t>LSA</t>
  </si>
  <si>
    <t>Grab n Go</t>
  </si>
  <si>
    <t>Main Gate</t>
  </si>
  <si>
    <t>C/D Portapotty</t>
  </si>
  <si>
    <t>G/H ECP</t>
  </si>
  <si>
    <t>Ops Town</t>
  </si>
  <si>
    <t>A Block</t>
  </si>
  <si>
    <t>B Block</t>
  </si>
  <si>
    <t>G Block</t>
  </si>
  <si>
    <t>DFAC</t>
  </si>
  <si>
    <t>I Block</t>
  </si>
  <si>
    <t>Saudi North Gate</t>
  </si>
  <si>
    <t>Portapotty</t>
  </si>
  <si>
    <t>ECP</t>
  </si>
  <si>
    <t>Shift</t>
  </si>
  <si>
    <t>Day</t>
  </si>
  <si>
    <t>Mid</t>
  </si>
  <si>
    <t>Night</t>
  </si>
  <si>
    <t>n/a</t>
  </si>
  <si>
    <t>TOTALS</t>
  </si>
  <si>
    <t>Total Number of Water &amp; Sewer Trucks
(since 28 Jan)</t>
  </si>
  <si>
    <t>TOTAL WORK TASKS 
(since 13 Jan)</t>
  </si>
  <si>
    <t>TOTAL HOURS 
(since 13 Jan)</t>
  </si>
  <si>
    <t>TOTAL MANNING #'s 
(since 13 Jan)</t>
  </si>
  <si>
    <t>Box #</t>
  </si>
  <si>
    <t>Contents</t>
  </si>
  <si>
    <t>Quantity</t>
  </si>
  <si>
    <t>Front</t>
  </si>
  <si>
    <t>0700</t>
  </si>
  <si>
    <t>0900</t>
  </si>
  <si>
    <t xml:space="preserve">Ice Machine Hours </t>
  </si>
  <si>
    <t>Start</t>
  </si>
  <si>
    <t>End</t>
  </si>
  <si>
    <t>Task</t>
  </si>
  <si>
    <t>2300</t>
  </si>
  <si>
    <t>Check Water Farm Levels</t>
  </si>
  <si>
    <t>1500</t>
  </si>
  <si>
    <t>Receiving Water Trucks</t>
  </si>
  <si>
    <t>Escort Sewer Trucks (LSA &amp; Ops Town)</t>
  </si>
  <si>
    <t>1800</t>
  </si>
  <si>
    <t>1530</t>
  </si>
  <si>
    <r>
      <t xml:space="preserve">Check Water LSA Buffalos </t>
    </r>
    <r>
      <rPr>
        <sz val="11"/>
        <color rgb="FFFF0000"/>
        <rFont val="Calibri"/>
        <family val="2"/>
        <scheme val="minor"/>
      </rPr>
      <t>(NOT CHLORINE LEVELS)</t>
    </r>
  </si>
  <si>
    <t>2030</t>
  </si>
  <si>
    <t>2100</t>
  </si>
  <si>
    <t>2230</t>
  </si>
  <si>
    <r>
      <t xml:space="preserve">Check Ops Town Water Tanks and Buffalos </t>
    </r>
    <r>
      <rPr>
        <sz val="11"/>
        <color rgb="FFFF0000"/>
        <rFont val="Calibri"/>
        <family val="2"/>
        <scheme val="minor"/>
      </rPr>
      <t>(NOT CHLORINE LEVELS)</t>
    </r>
  </si>
  <si>
    <t>0730</t>
  </si>
  <si>
    <r>
      <t xml:space="preserve">Check Saudi North Gate Buffalo Water Levels </t>
    </r>
    <r>
      <rPr>
        <sz val="11"/>
        <color rgb="FFFF0000"/>
        <rFont val="Calibri"/>
        <family val="2"/>
        <scheme val="minor"/>
      </rPr>
      <t>(NOT CHLORINE LEVELS)</t>
    </r>
  </si>
  <si>
    <t xml:space="preserve">Swapped Grab n go </t>
  </si>
  <si>
    <t>Update Spreadsheet Logs</t>
  </si>
  <si>
    <t>0430</t>
  </si>
  <si>
    <t>0200</t>
  </si>
  <si>
    <t>0500</t>
  </si>
  <si>
    <t>0630</t>
  </si>
  <si>
    <r>
      <t xml:space="preserve">Check Saudi North Gate Buffalo Water Levels </t>
    </r>
    <r>
      <rPr>
        <sz val="11"/>
        <color rgb="FFFF0000"/>
        <rFont val="Calibri"/>
        <family val="2"/>
        <scheme val="minor"/>
      </rPr>
      <t>(TAKE CHLORINE LEVELS)</t>
    </r>
  </si>
  <si>
    <t>Time (hrs)</t>
  </si>
  <si>
    <t># Prsnl</t>
  </si>
  <si>
    <r>
      <t xml:space="preserve">Inspect LSA Camp Water Distro Lines and Storage Tanks </t>
    </r>
    <r>
      <rPr>
        <sz val="11"/>
        <color rgb="FFFF0000"/>
        <rFont val="Calibri"/>
        <family val="2"/>
        <scheme val="minor"/>
      </rPr>
      <t>(ID LEAKS AND RECORD ON SPREADSHEET)</t>
    </r>
  </si>
  <si>
    <t>Monday</t>
  </si>
  <si>
    <t>Tuesday</t>
  </si>
  <si>
    <t>Wednesday</t>
  </si>
  <si>
    <t>Thursday</t>
  </si>
  <si>
    <t>Friday</t>
  </si>
  <si>
    <t>Saturday</t>
  </si>
  <si>
    <t>Sunday</t>
  </si>
  <si>
    <t>OPS Check</t>
  </si>
  <si>
    <t>Drain Field Deployable Tanks</t>
  </si>
  <si>
    <t>Wash Down Field Deployable Tanks</t>
  </si>
  <si>
    <t>Issue</t>
  </si>
  <si>
    <t>Sched Repair Date</t>
  </si>
  <si>
    <t>Date Completed</t>
  </si>
  <si>
    <t>Is there a Work Order
Y or N</t>
  </si>
  <si>
    <t>Is it an Emergency
Y or N</t>
  </si>
  <si>
    <t># of Prsnl</t>
  </si>
  <si>
    <t>Time for Repair (hrs)</t>
  </si>
  <si>
    <t>Roadway - near gym</t>
  </si>
  <si>
    <t>Water Main loop leaked after connecting &amp; pressurizing</t>
  </si>
  <si>
    <t>N</t>
  </si>
  <si>
    <t>2000</t>
  </si>
  <si>
    <t>1000</t>
  </si>
  <si>
    <t>1100</t>
  </si>
  <si>
    <t>Function Checks for Liftstations using floats</t>
  </si>
  <si>
    <t>1300</t>
  </si>
  <si>
    <t>1400</t>
  </si>
  <si>
    <t>1900</t>
  </si>
  <si>
    <t>0300</t>
  </si>
  <si>
    <t xml:space="preserve">Tiger Team </t>
  </si>
  <si>
    <t>Ensure all pressure tanks are at 28 psi</t>
  </si>
  <si>
    <t>Clean all contactors on pressure switches for pumps</t>
  </si>
  <si>
    <t>Clean strainers on water connections to washers</t>
  </si>
  <si>
    <t>Clean check valve on drains for washers</t>
  </si>
  <si>
    <t>0330</t>
  </si>
  <si>
    <t>Weekly PM Hours</t>
  </si>
  <si>
    <t>NOTES</t>
  </si>
  <si>
    <t>DATE</t>
  </si>
  <si>
    <t>TOTAL WATER</t>
  </si>
  <si>
    <t>WATER FARM</t>
  </si>
  <si>
    <t>WATER CAMP</t>
  </si>
  <si>
    <t>DISTRO METER</t>
  </si>
  <si>
    <t>TRUCKS PICKUP</t>
  </si>
  <si>
    <t>TANK 1 W</t>
  </si>
  <si>
    <t>TANK 2 W</t>
  </si>
  <si>
    <t>TANK 3 W</t>
  </si>
  <si>
    <t>TANK 4 W</t>
  </si>
  <si>
    <t>BICONS</t>
  </si>
  <si>
    <t>FIRE DEPT</t>
  </si>
  <si>
    <t>CMD POST</t>
  </si>
  <si>
    <t>DFAC/ BICON</t>
  </si>
  <si>
    <t>CMD POST #1</t>
  </si>
  <si>
    <t>CMD POST #2</t>
  </si>
  <si>
    <t>BDOC</t>
  </si>
  <si>
    <t xml:space="preserve">Send Report on Whatsapp &amp; Update Spreadsheet Logs -  Snapshot, Log, Chlorine, Water Leaks </t>
  </si>
  <si>
    <t>VAC-CON</t>
  </si>
  <si>
    <t>water buffalo in back of the shop has a flat tire, vco informed. TSgt Kelley</t>
  </si>
  <si>
    <t>Facility</t>
  </si>
  <si>
    <t>Work Description</t>
  </si>
  <si>
    <t>Was it an Emergency
Y or N</t>
  </si>
  <si>
    <t>Date Found</t>
  </si>
  <si>
    <t>Work Task #</t>
  </si>
  <si>
    <t>TANK 5 W</t>
  </si>
  <si>
    <t>TANK 6 W</t>
  </si>
  <si>
    <r>
      <rPr>
        <b/>
        <sz val="16"/>
        <rFont val="Calibri"/>
        <family val="2"/>
        <scheme val="minor"/>
      </rPr>
      <t xml:space="preserve"> </t>
    </r>
    <r>
      <rPr>
        <b/>
        <u/>
        <sz val="16"/>
        <rFont val="Calibri"/>
        <family val="2"/>
        <scheme val="minor"/>
      </rPr>
      <t>OPS TOWN</t>
    </r>
  </si>
  <si>
    <t>TANK 1 E</t>
  </si>
  <si>
    <t>TANK 2 E</t>
  </si>
  <si>
    <t>Faucets</t>
  </si>
  <si>
    <t>Flushometer</t>
  </si>
  <si>
    <t>Shower Heads</t>
  </si>
  <si>
    <t>Mixing Valves</t>
  </si>
  <si>
    <t>Washers</t>
  </si>
  <si>
    <t>Dryers</t>
  </si>
  <si>
    <t>FD Tanks</t>
  </si>
  <si>
    <t>Single Liftstations</t>
  </si>
  <si>
    <t>Dual Liftstations</t>
  </si>
  <si>
    <t>Pressure Tanks</t>
  </si>
  <si>
    <t>A/B</t>
  </si>
  <si>
    <t>C/D</t>
  </si>
  <si>
    <t>E/F</t>
  </si>
  <si>
    <t xml:space="preserve">G/H </t>
  </si>
  <si>
    <t>I/J</t>
  </si>
  <si>
    <t>Blocks</t>
  </si>
  <si>
    <t>Total Camp Fixtures</t>
  </si>
  <si>
    <t>Total Number of Active Projects</t>
  </si>
  <si>
    <t>Work Task Number</t>
  </si>
  <si>
    <t>Washer #1 H2O Supply leak.</t>
  </si>
  <si>
    <t>Y</t>
  </si>
  <si>
    <t>Dickerson/King</t>
  </si>
  <si>
    <t>Washer #10 drain line leak.</t>
  </si>
  <si>
    <t>Replaced Check Valve</t>
  </si>
  <si>
    <t>Washer #8 Supply line leak</t>
  </si>
  <si>
    <t>Clean all washer strainers &amp; CV</t>
  </si>
  <si>
    <t>NA</t>
  </si>
  <si>
    <t>Shop</t>
  </si>
  <si>
    <t>Rebuild One Laundry Pump</t>
  </si>
  <si>
    <t>I laundry</t>
  </si>
  <si>
    <t>Pump constantly running</t>
  </si>
  <si>
    <t>Adjusted Pressure Switch</t>
  </si>
  <si>
    <t>D203</t>
  </si>
  <si>
    <t>No Water/Pump CB Tripped</t>
  </si>
  <si>
    <t>Was it found on PM checks
Y or N</t>
  </si>
  <si>
    <t>Tighten supply line fitting</t>
  </si>
  <si>
    <t>Tester wasn't working correctly</t>
  </si>
  <si>
    <t>Last Name of Worker(s)</t>
  </si>
  <si>
    <t>Priority</t>
  </si>
  <si>
    <t>Start Date</t>
  </si>
  <si>
    <t>Replaced leaking water buffalo handles with ball valve spickets. If more found, please replace the leaking handles.</t>
  </si>
  <si>
    <t>Leaking H2O Supply Pump</t>
  </si>
  <si>
    <t>Leaking Laundry Discharge Pump</t>
  </si>
  <si>
    <t>Install Brace/Secure Clamps</t>
  </si>
  <si>
    <t>J Laundry</t>
  </si>
  <si>
    <t>Diaphragm Leak On Discharge Pump</t>
  </si>
  <si>
    <t>Install New Pump</t>
  </si>
  <si>
    <t>Install Supply Manifold/Press. Tank</t>
  </si>
  <si>
    <t>Lube/Grease All Pumps LSA</t>
  </si>
  <si>
    <t>Tightened Cross Above CV</t>
  </si>
  <si>
    <t>D202</t>
  </si>
  <si>
    <t>B204</t>
  </si>
  <si>
    <t>D 202</t>
  </si>
  <si>
    <t>C 201</t>
  </si>
  <si>
    <t>Project Title/Scope</t>
  </si>
  <si>
    <t>Agent</t>
  </si>
  <si>
    <t>Original Compl</t>
  </si>
  <si>
    <t>Est
 Compl</t>
  </si>
  <si>
    <t>% 
Compl Sched</t>
  </si>
  <si>
    <t>% 
Compl Actual</t>
  </si>
  <si>
    <t>Remarks</t>
  </si>
  <si>
    <t>N/A</t>
  </si>
  <si>
    <t>Current 
Cost
$K</t>
  </si>
  <si>
    <t>378ECES</t>
  </si>
  <si>
    <t>Project or WT Number</t>
  </si>
  <si>
    <r>
      <t xml:space="preserve">Remove WRM assets - Mini Expansion Area
</t>
    </r>
    <r>
      <rPr>
        <sz val="16"/>
        <color theme="1"/>
        <rFont val="Times New Roman"/>
        <family val="1"/>
      </rPr>
      <t>Remove 4 tent, 2 latrines and 2 showers</t>
    </r>
  </si>
  <si>
    <r>
      <t xml:space="preserve">Septic Tanks - West Side 
</t>
    </r>
    <r>
      <rPr>
        <sz val="16"/>
        <color theme="1"/>
        <rFont val="Times New Roman"/>
        <family val="1"/>
      </rPr>
      <t>Install 6 underground septic tanks (52K gal each)</t>
    </r>
  </si>
  <si>
    <r>
      <t xml:space="preserve">Auto Fill Valves - E&amp;F Block
</t>
    </r>
    <r>
      <rPr>
        <sz val="16"/>
        <color theme="1"/>
        <rFont val="Times New Roman"/>
        <family val="1"/>
      </rPr>
      <t>Install automatic fill valves to 4 water storage tanks (5.2K gal each)</t>
    </r>
  </si>
  <si>
    <t xml:space="preserve">*Planning Phase - Awaiting: Coordination with customer; need drawings/map, material list &amp; final SOW
*Completed - dig permit 2 Apr
</t>
  </si>
  <si>
    <t>DESIGN PROJECTS</t>
  </si>
  <si>
    <t>CONSTRUCTION PROJECTS</t>
  </si>
  <si>
    <r>
      <t xml:space="preserve">Reroute Piping for UV System - LSA DFAC
</t>
    </r>
    <r>
      <rPr>
        <sz val="16"/>
        <color theme="1"/>
        <rFont val="Times New Roman"/>
        <family val="1"/>
      </rPr>
      <t>Remove 40 feet and install 80 feet of pipe underground away from DFAC workers</t>
    </r>
  </si>
  <si>
    <t>*Awaiting: Need approval</t>
  </si>
  <si>
    <r>
      <t xml:space="preserve">Install Lateral Line, Ice Machine, Sinks, Storage Tank &amp; UV System - Medical Tent
</t>
    </r>
    <r>
      <rPr>
        <sz val="16"/>
        <color theme="1"/>
        <rFont val="Times New Roman"/>
        <family val="1"/>
      </rPr>
      <t>Trench, install water &amp; sewer lines, water storage tank, UV system, ice machine, and 2 knee operated sinks</t>
    </r>
  </si>
  <si>
    <t>378MDG</t>
  </si>
  <si>
    <t>OPS
Town</t>
  </si>
  <si>
    <r>
      <t xml:space="preserve">Abandon and Fill Septic Tanks - East Side
</t>
    </r>
    <r>
      <rPr>
        <sz val="16"/>
        <color theme="1"/>
        <rFont val="Times New Roman"/>
        <family val="1"/>
      </rPr>
      <t xml:space="preserve">Fill in tanks with dirt or concrete or remove the tanks completely </t>
    </r>
  </si>
  <si>
    <r>
      <t xml:space="preserve">Install UV System - OPS Town DFAC
</t>
    </r>
    <r>
      <rPr>
        <sz val="16"/>
        <color theme="1"/>
        <rFont val="Times New Roman"/>
        <family val="1"/>
      </rPr>
      <t>Install UV system for the DFAC at OPS Town</t>
    </r>
  </si>
  <si>
    <t>Est Const
Length
(days)</t>
  </si>
  <si>
    <t>Est Const
Start
Date</t>
  </si>
  <si>
    <t>Est Const
 Compl
Date</t>
  </si>
  <si>
    <t>Planning
% 
Compl</t>
  </si>
  <si>
    <t>Site</t>
  </si>
  <si>
    <r>
      <t xml:space="preserve">Cadillac Upgrade - C&amp;D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</si>
  <si>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Install 3 Lift Station - Middle of Camp Sewer Main
</t>
    </r>
    <r>
      <rPr>
        <sz val="16"/>
        <color theme="1"/>
        <rFont val="Times New Roman"/>
        <family val="1"/>
      </rPr>
      <t>Install 3 lift stations every 500 feet, trench, backfill</t>
    </r>
  </si>
  <si>
    <r>
      <t xml:space="preserve">Upgrade all LSA  Pump Lift stations
</t>
    </r>
    <r>
      <rPr>
        <sz val="16"/>
        <color theme="1"/>
        <rFont val="Times New Roman"/>
        <family val="1"/>
      </rPr>
      <t>Replace 10 dual pump lift stations on the LSA force main with quad lift stations</t>
    </r>
  </si>
  <si>
    <t>*Material ordered - 3 Apr, estimated delivery 80 day lead time late-May or early-June</t>
  </si>
  <si>
    <r>
      <t xml:space="preserve">Install Underground Pipeline for Old Mini Expansion Area
</t>
    </r>
    <r>
      <rPr>
        <sz val="16"/>
        <rFont val="Times New Roman"/>
        <family val="1"/>
      </rPr>
      <t>Trench, remove soft wall hose and install 500 feet water and sewer pipeline to connect the mains, and backfill</t>
    </r>
  </si>
  <si>
    <t>*332 Approved 
*Awaiting on customer to order material
*Planning</t>
  </si>
  <si>
    <r>
      <rPr>
        <b/>
        <sz val="16"/>
        <color theme="1"/>
        <rFont val="Times New Roman"/>
        <family val="1"/>
      </rPr>
      <t xml:space="preserve">Install Additional Water and Septic Tanks - OPS Town DFAC
</t>
    </r>
    <r>
      <rPr>
        <sz val="16"/>
        <color theme="1"/>
        <rFont val="Times New Roman"/>
        <family val="1"/>
      </rPr>
      <t>Install water storage tank (5.2K gal) and septic tank (10K gal), trench, bury pipeline, and connect to DFAC</t>
    </r>
  </si>
  <si>
    <r>
      <rPr>
        <b/>
        <sz val="16"/>
        <color theme="1"/>
        <rFont val="Times New Roman"/>
        <family val="1"/>
      </rPr>
      <t xml:space="preserve">Reroute Wastewater Flow - A&amp;B Block &amp; Water Farm
</t>
    </r>
    <r>
      <rPr>
        <sz val="16"/>
        <color theme="1"/>
        <rFont val="Times New Roman"/>
        <family val="1"/>
      </rPr>
      <t>Rotate lift stations to reroute sewage to flow into the west side septic tanks</t>
    </r>
  </si>
  <si>
    <r>
      <t xml:space="preserve">Cadillac Upgrade - A&amp;B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</si>
  <si>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E&amp;F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</si>
  <si>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G&amp;H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</si>
  <si>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I&amp;J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</si>
  <si>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Connect Lateral Water &amp; Sewer Lines, Storage Tanks, and Lift stations - DFAC
</t>
    </r>
    <r>
      <rPr>
        <sz val="16"/>
        <color theme="1"/>
        <rFont val="Times New Roman"/>
        <family val="1"/>
      </rPr>
      <t>Install 2 water storage tanks (5.2K gal each), remove old tank, install a single pump lift station, trench and connect  piping system for water/sewer mains</t>
    </r>
  </si>
  <si>
    <r>
      <t xml:space="preserve">Connect Lateral Water &amp; Sewer Lines, Storage Tanks, and Lift stations - Barber Shop
</t>
    </r>
    <r>
      <rPr>
        <sz val="16"/>
        <color theme="1"/>
        <rFont val="Times New Roman"/>
        <family val="1"/>
      </rPr>
      <t>Install 2 water storage tanks (5.2K gal each), remove old tank, install a single pump lift station, trench and connect  piping system for water/sewer mains</t>
    </r>
  </si>
  <si>
    <r>
      <t xml:space="preserve">Inspect DFAC UV System; Ensure System is Working and Not Over-heating </t>
    </r>
    <r>
      <rPr>
        <sz val="11"/>
        <color rgb="FFFF0000"/>
        <rFont val="Calibri"/>
        <family val="2"/>
        <scheme val="minor"/>
      </rPr>
      <t>(CHECK EVERY TWO HOURS)</t>
    </r>
  </si>
  <si>
    <t>*Don't input numbers on this page, this is automatically generated</t>
  </si>
  <si>
    <t>Side of 
Box</t>
  </si>
  <si>
    <t>RCV METER</t>
  </si>
  <si>
    <t>TRUCK
RCV'D</t>
  </si>
  <si>
    <t>FIRE
DEPT</t>
  </si>
  <si>
    <r>
      <t xml:space="preserve">OPS Check: </t>
    </r>
    <r>
      <rPr>
        <sz val="5.5"/>
        <rFont val="Adobe Heiti Std R"/>
        <family val="2"/>
        <charset val="128"/>
      </rPr>
      <t xml:space="preserve">Operate and function check 312 faucets, 168 flush valves, 224 shower valves, 99 washers, 192 dryers
</t>
    </r>
    <r>
      <rPr>
        <b/>
        <sz val="5.5"/>
        <rFont val="Adobe Heiti Std R"/>
        <family val="2"/>
        <charset val="128"/>
      </rPr>
      <t>Drain Field Deployable Tanks:</t>
    </r>
    <r>
      <rPr>
        <sz val="5.5"/>
        <rFont val="Adobe Heiti Std R"/>
        <family val="2"/>
        <charset val="128"/>
      </rPr>
      <t xml:space="preserve"> Drain 16 field deployable latrine holding tanks (360 gal each)
</t>
    </r>
    <r>
      <rPr>
        <b/>
        <sz val="5.5"/>
        <rFont val="Adobe Heiti Std R"/>
        <family val="2"/>
        <charset val="128"/>
      </rPr>
      <t>Function Checks for Liftstation using floats:</t>
    </r>
    <r>
      <rPr>
        <sz val="5.5"/>
        <rFont val="Adobe Heiti Std R"/>
        <family val="2"/>
        <charset val="128"/>
      </rPr>
      <t xml:space="preserve"> Operate floats for 18 single pump liftstations &amp; 16 dual pump liftstations
</t>
    </r>
    <r>
      <rPr>
        <b/>
        <sz val="5.5"/>
        <rFont val="Adobe Heiti Std R"/>
        <family val="2"/>
        <charset val="128"/>
      </rPr>
      <t xml:space="preserve">Ensure all pressure tanks are at 28 psi: </t>
    </r>
    <r>
      <rPr>
        <sz val="5.5"/>
        <rFont val="Adobe Heiti Std R"/>
        <family val="2"/>
        <charset val="128"/>
      </rPr>
      <t xml:space="preserve">Use a tire guage to check the air pressure to 23 pressure tanks on the water pumps
</t>
    </r>
    <r>
      <rPr>
        <b/>
        <sz val="5.5"/>
        <rFont val="Adobe Heiti Std R"/>
        <family val="2"/>
        <charset val="128"/>
      </rPr>
      <t>Clean all contactors on pressure switches for pumps:</t>
    </r>
    <r>
      <rPr>
        <sz val="5.5"/>
        <rFont val="Adobe Heiti Std R"/>
        <family val="2"/>
        <charset val="128"/>
      </rPr>
      <t xml:space="preserve"> Remove debris and clean contactors on pressure switches for pumps
</t>
    </r>
    <r>
      <rPr>
        <b/>
        <sz val="5.5"/>
        <rFont val="Adobe Heiti Std R"/>
        <family val="2"/>
        <charset val="128"/>
      </rPr>
      <t>MX in VAC-CON/Water Truck/Sewer Truck:</t>
    </r>
    <r>
      <rPr>
        <sz val="5.5"/>
        <rFont val="Adobe Heiti Std R"/>
        <family val="2"/>
        <charset val="128"/>
      </rPr>
      <t xml:space="preserve"> Lubricate grease points on VAC-CON and inspections, indicate issues to VCO
</t>
    </r>
    <r>
      <rPr>
        <b/>
        <sz val="5.5"/>
        <rFont val="Adobe Heiti Std R"/>
        <family val="2"/>
        <charset val="128"/>
      </rPr>
      <t>Clean strainers on water connections to washer:</t>
    </r>
    <r>
      <rPr>
        <sz val="5.5"/>
        <rFont val="Adobe Heiti Std R"/>
        <family val="2"/>
        <charset val="128"/>
      </rPr>
      <t xml:space="preserve"> Remove debris and clean strainer to the washers water supply
</t>
    </r>
    <r>
      <rPr>
        <b/>
        <sz val="5.5"/>
        <rFont val="Adobe Heiti Std R"/>
        <family val="2"/>
        <charset val="128"/>
      </rPr>
      <t>Clean check valve on drains for washers:</t>
    </r>
    <r>
      <rPr>
        <sz val="5.5"/>
        <rFont val="Adobe Heiti Std R"/>
        <family val="2"/>
        <charset val="128"/>
      </rPr>
      <t xml:space="preserve"> Remove debris and clean check valves to the washer drains</t>
    </r>
  </si>
  <si>
    <t>Water &amp; Wastewater Average Usage</t>
  </si>
  <si>
    <r>
      <t xml:space="preserve">Fill C&amp;D Block Tanks </t>
    </r>
    <r>
      <rPr>
        <sz val="11"/>
        <color rgb="FFFF0000"/>
        <rFont val="Calibri"/>
        <family val="2"/>
        <scheme val="minor"/>
      </rPr>
      <t>TEMPORARY UNTIL LEAK REPAIRED</t>
    </r>
  </si>
  <si>
    <t>Last 7 Day Sewage Pickup Average 
(gals)</t>
  </si>
  <si>
    <t>Last 7 Day Water Burn Rate Average
(gals)</t>
  </si>
  <si>
    <t>Back to Dashboard</t>
  </si>
  <si>
    <t>SHOP TRAINING</t>
  </si>
  <si>
    <t>Construction Projects</t>
  </si>
  <si>
    <t>Design Projects</t>
  </si>
  <si>
    <t>4 Apr - Volleyball Tournament</t>
  </si>
  <si>
    <t>TOTAL COUNT</t>
  </si>
  <si>
    <t>Buffalo</t>
  </si>
  <si>
    <t>Bladder</t>
  </si>
  <si>
    <t>Tank</t>
  </si>
  <si>
    <t>Main</t>
  </si>
  <si>
    <t>A107</t>
  </si>
  <si>
    <t>Clogged tolet</t>
  </si>
  <si>
    <t>Gonzalez/Ross</t>
  </si>
  <si>
    <t>B laundry</t>
  </si>
  <si>
    <t>2 washer strainers clogged</t>
  </si>
  <si>
    <t>Washer strainer clogged</t>
  </si>
  <si>
    <t>Marshall/Mckee</t>
  </si>
  <si>
    <t>E 101</t>
  </si>
  <si>
    <t>Toilet clogged</t>
  </si>
  <si>
    <t>E120</t>
  </si>
  <si>
    <t>Loose spud</t>
  </si>
  <si>
    <t>E115</t>
  </si>
  <si>
    <t>Latrine sink p trap came loose</t>
  </si>
  <si>
    <t>I116</t>
  </si>
  <si>
    <t>Clogged toilet</t>
  </si>
  <si>
    <t>A101</t>
  </si>
  <si>
    <t>B101</t>
  </si>
  <si>
    <t>Clogged Diaphragm</t>
  </si>
  <si>
    <t>F Block</t>
  </si>
  <si>
    <t>Water Leak</t>
  </si>
  <si>
    <t>B203</t>
  </si>
  <si>
    <t>4" pipe/couplings-2/elbow-1</t>
  </si>
  <si>
    <t>Murphy/Landell</t>
  </si>
  <si>
    <t>Unclogged Liftstation</t>
  </si>
  <si>
    <t>Replaced with grinder pump</t>
  </si>
  <si>
    <t>Chambers/Murphy/King</t>
  </si>
  <si>
    <t>4" Pipe pushed out of elbow</t>
  </si>
  <si>
    <t>Days Ago</t>
  </si>
  <si>
    <t>Amounts</t>
  </si>
  <si>
    <t>Average</t>
  </si>
  <si>
    <t>Water Average Gal Burn</t>
  </si>
  <si>
    <t>Wastewater Average Gal Pickup</t>
  </si>
  <si>
    <t>Work Tasks Compl</t>
  </si>
  <si>
    <t>SUM</t>
  </si>
  <si>
    <t>Yesterday</t>
  </si>
  <si>
    <t>LSA ECP</t>
  </si>
  <si>
    <t>Saudi ECP</t>
  </si>
  <si>
    <t>Today</t>
  </si>
  <si>
    <t>Chlorine Graph</t>
  </si>
  <si>
    <t>Unknown</t>
  </si>
  <si>
    <t>Ops Portapotty</t>
  </si>
  <si>
    <t xml:space="preserve">LSA DFAC </t>
  </si>
  <si>
    <t xml:space="preserve">Ops DFAC </t>
  </si>
  <si>
    <t>MON</t>
  </si>
  <si>
    <t>Orders and Purchases</t>
  </si>
  <si>
    <t>Order Date</t>
  </si>
  <si>
    <t>Item</t>
  </si>
  <si>
    <t>Item Description</t>
  </si>
  <si>
    <t>Est Delivery Date</t>
  </si>
  <si>
    <t>Actual Date RCV'd</t>
  </si>
  <si>
    <t>Work Order</t>
  </si>
  <si>
    <t>Job Description</t>
  </si>
  <si>
    <t>Schedule</t>
  </si>
  <si>
    <t>Work Tasks Completed</t>
  </si>
  <si>
    <t>Chlorine Readings Log</t>
  </si>
  <si>
    <t>Water Leaks Log</t>
  </si>
  <si>
    <t>Ice Machine Log</t>
  </si>
  <si>
    <t>Shop Events</t>
  </si>
  <si>
    <t>Weekly PM - RWP</t>
  </si>
  <si>
    <t>Weekly Water Team - RWP</t>
  </si>
  <si>
    <t>Number of Days
(since 13 Jan)</t>
  </si>
  <si>
    <t xml:space="preserve">Water Farm </t>
  </si>
  <si>
    <t>Tiny leak near tank 9 on coupling: Tsgt Kelley</t>
  </si>
  <si>
    <t>Tiny leak near tanks 1-4 on coupling: Tsgt Kelley</t>
  </si>
  <si>
    <t>Tiny leak on tank 15 outlet valve: Tsgt Kelley</t>
  </si>
  <si>
    <t>Washer 2 Inop</t>
  </si>
  <si>
    <t>Washer 8 Inop</t>
  </si>
  <si>
    <t>Replaced Solenoid Valve</t>
  </si>
  <si>
    <t>Washer 2 Fills To Top</t>
  </si>
  <si>
    <t>B1410</t>
  </si>
  <si>
    <t>Function Checked/No Issues</t>
  </si>
  <si>
    <t>Replaced Pump</t>
  </si>
  <si>
    <t>Laundry Pump Cycling On/Off rapidly</t>
  </si>
  <si>
    <t>Replaced Pressure Tank</t>
  </si>
  <si>
    <t>Dickerson/Robinson</t>
  </si>
  <si>
    <t>Rebuild Laundry Pump from B204</t>
  </si>
  <si>
    <t>COMPLETE</t>
  </si>
  <si>
    <t>WFSM</t>
  </si>
  <si>
    <t>License Plate</t>
  </si>
  <si>
    <t>Vehicle Type</t>
  </si>
  <si>
    <t>VIN</t>
  </si>
  <si>
    <t>LEGEND</t>
  </si>
  <si>
    <t>08D00413</t>
  </si>
  <si>
    <t>Water Truck</t>
  </si>
  <si>
    <t>3HAMSAARX8L691806</t>
  </si>
  <si>
    <t>Lease</t>
  </si>
  <si>
    <t>18D00073</t>
  </si>
  <si>
    <t>Vac Con</t>
  </si>
  <si>
    <t>1FV8CYCS0KHKA9345</t>
  </si>
  <si>
    <t>4596.6 MI</t>
  </si>
  <si>
    <t>Honey Pot</t>
  </si>
  <si>
    <t>RS1P7S130LW00267</t>
  </si>
  <si>
    <t>790 KM</t>
  </si>
  <si>
    <t>18L00181</t>
  </si>
  <si>
    <t>1G9PU1515JB336314</t>
  </si>
  <si>
    <t>18L00209</t>
  </si>
  <si>
    <t>1G9PU1519JB336316</t>
  </si>
  <si>
    <t>23D08648</t>
  </si>
  <si>
    <t>Compact Tracked Loader</t>
  </si>
  <si>
    <t>Customer Serv.</t>
  </si>
  <si>
    <t>PASSENGER VEHICLES</t>
  </si>
  <si>
    <t>1687 NRB</t>
  </si>
  <si>
    <t>HILUX</t>
  </si>
  <si>
    <t>MRODX9CD2K2636914</t>
  </si>
  <si>
    <t>10464 KM</t>
  </si>
  <si>
    <t>F150</t>
  </si>
  <si>
    <t>1FTEW1E4XKKD02005</t>
  </si>
  <si>
    <t>16958.6 KM</t>
  </si>
  <si>
    <t>1379 GRB</t>
  </si>
  <si>
    <t>MR0JX8CD0L3641134</t>
  </si>
  <si>
    <t>4560 KM</t>
  </si>
  <si>
    <t>PLATE #</t>
  </si>
  <si>
    <t>UTV TYPE</t>
  </si>
  <si>
    <t>Color</t>
  </si>
  <si>
    <t>S/N</t>
  </si>
  <si>
    <t xml:space="preserve">Maintenance Logged </t>
  </si>
  <si>
    <t>VIKING</t>
  </si>
  <si>
    <t>CAMO #7</t>
  </si>
  <si>
    <t>00X-0062080</t>
  </si>
  <si>
    <t>RED</t>
  </si>
  <si>
    <t>00X-0057614</t>
  </si>
  <si>
    <t>WOLVERINE X2</t>
  </si>
  <si>
    <t>BLACK &amp; YELLOW</t>
  </si>
  <si>
    <t>05B-0012636</t>
  </si>
  <si>
    <t>CAMO # 11</t>
  </si>
  <si>
    <t>Vehicles</t>
  </si>
  <si>
    <t>Requested to RA Date</t>
  </si>
  <si>
    <t>PVC Union</t>
  </si>
  <si>
    <t>4 inch</t>
  </si>
  <si>
    <t>Base Expansion 332</t>
  </si>
  <si>
    <t>Actual Cost</t>
  </si>
  <si>
    <t>Est Cost</t>
  </si>
  <si>
    <t>QTY</t>
  </si>
  <si>
    <t>Est Cost
(each)</t>
  </si>
  <si>
    <t>Water &amp; Wastewater Log</t>
  </si>
  <si>
    <t>Order of the Week</t>
  </si>
  <si>
    <t>Water &amp; Wastewater Average Gal</t>
  </si>
  <si>
    <r>
      <rPr>
        <sz val="11"/>
        <color theme="9" tint="0.39997558519241921"/>
        <rFont val="MV Boli"/>
      </rPr>
      <t>XXXX</t>
    </r>
    <r>
      <rPr>
        <sz val="11"/>
        <rFont val="MV Boli"/>
      </rPr>
      <t>Work Tasks Completed</t>
    </r>
    <r>
      <rPr>
        <sz val="11"/>
        <color theme="9" tint="0.39997558519241921"/>
        <rFont val="MV Boli"/>
      </rPr>
      <t>XXXX</t>
    </r>
  </si>
  <si>
    <r>
      <rPr>
        <sz val="11"/>
        <color rgb="FF66FF66"/>
        <rFont val="MV Boli"/>
      </rPr>
      <t>XXXXXX</t>
    </r>
    <r>
      <rPr>
        <sz val="11"/>
        <rFont val="MV Boli"/>
      </rPr>
      <t>Work Task Log</t>
    </r>
    <r>
      <rPr>
        <sz val="11"/>
        <color rgb="FF66FF66"/>
        <rFont val="MV Boli"/>
      </rPr>
      <t>XXXXXXX</t>
    </r>
  </si>
  <si>
    <r>
      <rPr>
        <sz val="11"/>
        <color theme="4" tint="0.59999389629810485"/>
        <rFont val="MV Boli"/>
      </rPr>
      <t>XXX</t>
    </r>
    <r>
      <rPr>
        <sz val="11"/>
        <rFont val="MV Boli"/>
      </rPr>
      <t>Water &amp; Wastewater RWP</t>
    </r>
    <r>
      <rPr>
        <sz val="11"/>
        <color theme="4" tint="0.59999389629810485"/>
        <rFont val="MV Boli"/>
      </rPr>
      <t>XX</t>
    </r>
  </si>
  <si>
    <r>
      <rPr>
        <sz val="11"/>
        <color theme="4" tint="-0.249977111117893"/>
        <rFont val="MV Boli"/>
      </rPr>
      <t>XXX</t>
    </r>
    <r>
      <rPr>
        <sz val="11"/>
        <color theme="0"/>
        <rFont val="MV Boli"/>
      </rPr>
      <t>Water &amp; Wastewater Log</t>
    </r>
    <r>
      <rPr>
        <sz val="11"/>
        <color theme="4" tint="-0.249977111117893"/>
        <rFont val="MV Boli"/>
      </rPr>
      <t>XXX</t>
    </r>
  </si>
  <si>
    <r>
      <rPr>
        <sz val="11"/>
        <color theme="7" tint="0.79998168889431442"/>
        <rFont val="MV Boli"/>
      </rPr>
      <t>XXXXX</t>
    </r>
    <r>
      <rPr>
        <sz val="11"/>
        <rFont val="MV Boli"/>
      </rPr>
      <t>Chlorine Readings Log</t>
    </r>
    <r>
      <rPr>
        <sz val="11"/>
        <color theme="7" tint="0.79998168889431442"/>
        <rFont val="MV Boli"/>
      </rPr>
      <t>XXXX</t>
    </r>
  </si>
  <si>
    <r>
      <rPr>
        <sz val="11"/>
        <color theme="5" tint="-0.249977111117893"/>
        <rFont val="MV Boli"/>
      </rPr>
      <t>XXXXXXX</t>
    </r>
    <r>
      <rPr>
        <sz val="11"/>
        <color theme="0"/>
        <rFont val="MV Boli"/>
      </rPr>
      <t>Ice Machine Log</t>
    </r>
    <r>
      <rPr>
        <sz val="11"/>
        <color theme="5" tint="-0.249977111117893"/>
        <rFont val="MV Boli"/>
      </rPr>
      <t>XXXXXX</t>
    </r>
  </si>
  <si>
    <r>
      <t xml:space="preserve">Date
</t>
    </r>
    <r>
      <rPr>
        <b/>
        <sz val="14"/>
        <rFont val="Calibri"/>
        <family val="2"/>
        <scheme val="minor"/>
      </rPr>
      <t>(Every Mon)</t>
    </r>
  </si>
  <si>
    <r>
      <rPr>
        <sz val="11"/>
        <color theme="3" tint="-0.499984740745262"/>
        <rFont val="MV Boli"/>
      </rPr>
      <t>XXXXXX</t>
    </r>
    <r>
      <rPr>
        <sz val="11"/>
        <color theme="0"/>
        <rFont val="MV Boli"/>
      </rPr>
      <t>Order of the Week</t>
    </r>
    <r>
      <rPr>
        <sz val="11"/>
        <color theme="3" tint="-0.499984740745262"/>
        <rFont val="MV Boli"/>
      </rPr>
      <t>XXXXX</t>
    </r>
  </si>
  <si>
    <r>
      <t xml:space="preserve">ABOUT </t>
    </r>
    <r>
      <rPr>
        <sz val="18"/>
        <color rgb="FFFF0000"/>
        <rFont val="Bauhaus 93"/>
        <family val="5"/>
      </rPr>
      <t>US!</t>
    </r>
  </si>
  <si>
    <t>Snapshot Info Sheet</t>
  </si>
  <si>
    <t>378 ECES/CEOIU</t>
  </si>
  <si>
    <t>Work Hours Compl</t>
  </si>
  <si>
    <t>Total Water on LSA %</t>
  </si>
  <si>
    <t>Total Water on OPS Town %</t>
  </si>
  <si>
    <t>Total</t>
  </si>
  <si>
    <t>tank</t>
  </si>
  <si>
    <t>work
tasks</t>
  </si>
  <si>
    <t>RWP TOTALS</t>
  </si>
  <si>
    <t>Water RWP</t>
  </si>
  <si>
    <t>Weekly</t>
  </si>
  <si>
    <t>PM RWP</t>
  </si>
  <si>
    <t>HRS IN A WK</t>
  </si>
  <si>
    <t>Number of tasks</t>
  </si>
  <si>
    <t>WATER RWP</t>
  </si>
  <si>
    <t>Total Active Projects</t>
  </si>
  <si>
    <t>Projects In Design</t>
  </si>
  <si>
    <t>Location:</t>
  </si>
  <si>
    <t>Phone:</t>
  </si>
  <si>
    <t>318-460-6106</t>
  </si>
  <si>
    <t>ABOUT US!</t>
  </si>
  <si>
    <t>Email</t>
  </si>
  <si>
    <t>james.silcott@psab.afcent.af.mil</t>
  </si>
  <si>
    <t># of Active Ice Machines</t>
  </si>
  <si>
    <t># of Ice Customers</t>
  </si>
  <si>
    <t>SAFETY</t>
  </si>
  <si>
    <t>Weekly Number of tasks</t>
  </si>
  <si>
    <t>Water Farm near LRS Parking lot</t>
  </si>
  <si>
    <t>Water And Fuel Systems Maintenance Shop</t>
  </si>
  <si>
    <t>PSAB2020!!</t>
  </si>
  <si>
    <t>Tasks</t>
  </si>
  <si>
    <t>C&amp;D Caddy Upgrade-Thurs the caddy drops; need to reserve forklift for 11 apr to 14 apr at 1600-1800 everyday; still working bypass line</t>
  </si>
  <si>
    <t>ID</t>
  </si>
  <si>
    <t>Septic Tank - install inlet pipe lines</t>
  </si>
  <si>
    <t>Flush B103, B104, B105, B106 - pump and lines</t>
  </si>
  <si>
    <t>Create work task for disto cl2 injector</t>
  </si>
  <si>
    <t>VAC-CON MX</t>
  </si>
  <si>
    <t xml:space="preserve">WRM Assets - Re-locate and awaiting date to start the inventory </t>
  </si>
  <si>
    <t>Order of the Week - Brief weekly to shop leads of the weeks expectations</t>
  </si>
  <si>
    <t>Fix leaks at G block storage tanks</t>
  </si>
  <si>
    <t>THUR</t>
  </si>
  <si>
    <t>Mini Expansion -wait on tearing down until approved; sanitatize now</t>
  </si>
  <si>
    <t>Ladder Safety</t>
  </si>
  <si>
    <t>Mental Health</t>
  </si>
  <si>
    <t>Water truck pump stop working this evening, Informed the VCO of the situation. TSgt Kelley</t>
  </si>
  <si>
    <t>Mids</t>
  </si>
  <si>
    <t>Replaced Solenoid</t>
  </si>
  <si>
    <t>Washer leaking</t>
  </si>
  <si>
    <t>D laundry</t>
  </si>
  <si>
    <t>Washer not running</t>
  </si>
  <si>
    <t>Replaced Washer</t>
  </si>
  <si>
    <t>Fields/Murphy</t>
  </si>
  <si>
    <t>C206</t>
  </si>
  <si>
    <t>B1422</t>
  </si>
  <si>
    <t>Washer 6 not draining</t>
  </si>
  <si>
    <t>Fields/Murphy/Landell</t>
  </si>
  <si>
    <t>Cleaned check valve</t>
  </si>
  <si>
    <t>C204</t>
  </si>
  <si>
    <t>B1425</t>
  </si>
  <si>
    <t>Shower head clogged</t>
  </si>
  <si>
    <t>Cleaned debris from shower head</t>
  </si>
  <si>
    <t>F115</t>
  </si>
  <si>
    <t>B1424</t>
  </si>
  <si>
    <t>Urinal handle damaged</t>
  </si>
  <si>
    <t>Repaired handle</t>
  </si>
  <si>
    <t>J101</t>
  </si>
  <si>
    <t>B1423</t>
  </si>
  <si>
    <t>Plunged toilet</t>
  </si>
  <si>
    <t>3E4X1 - Water and Fuel Systems Maintenance
Personnel: 33 United States Air Force Military Warriors
Shifts/hrs: 3 Shifts/8 Hours Each</t>
  </si>
  <si>
    <t>DON’T DELETE - AUTOFILL DATA USED</t>
  </si>
  <si>
    <t>Completed Projects</t>
  </si>
  <si>
    <t>Clogged Lift Station</t>
  </si>
  <si>
    <t>Removed Baby Wipes</t>
  </si>
  <si>
    <t>Rebuild 3 Laundry Pumps</t>
  </si>
  <si>
    <t>Pocket Colorimeter II was showing +1.0ppm difference to DR900 tester readings.  Stop using pocket colorimeter II tester from now on.</t>
  </si>
  <si>
    <t>How many personnel completed the work</t>
  </si>
  <si>
    <t>RWP Number of tasks</t>
  </si>
  <si>
    <t>WEEKLY WORK TASK HOURS</t>
  </si>
  <si>
    <r>
      <rPr>
        <sz val="48"/>
        <color theme="0"/>
        <rFont val="Bauhaus 93"/>
        <family val="5"/>
      </rPr>
      <t xml:space="preserve">Inventory </t>
    </r>
    <r>
      <rPr>
        <sz val="48"/>
        <color rgb="FFFF0000"/>
        <rFont val="Bauhaus 93"/>
        <family val="5"/>
      </rPr>
      <t>PAGE</t>
    </r>
  </si>
  <si>
    <t>WRM Inventory</t>
  </si>
  <si>
    <t>What's missing</t>
  </si>
  <si>
    <t>CONEX Inventory</t>
  </si>
  <si>
    <r>
      <rPr>
        <sz val="11"/>
        <color theme="0"/>
        <rFont val="Bauhaus 93"/>
        <family val="5"/>
      </rPr>
      <t xml:space="preserve">Inventory </t>
    </r>
    <r>
      <rPr>
        <sz val="11"/>
        <color rgb="FFFF0000"/>
        <rFont val="Bauhaus 93"/>
        <family val="5"/>
      </rPr>
      <t>PAGE</t>
    </r>
  </si>
  <si>
    <t>Inventory of CONEX Items</t>
  </si>
  <si>
    <t>What's Missing Inventory</t>
  </si>
  <si>
    <t>0024455</t>
  </si>
  <si>
    <t>What's missing Contents</t>
  </si>
  <si>
    <t>needs ejector pumps</t>
  </si>
  <si>
    <t>013564</t>
  </si>
  <si>
    <t>0026334</t>
  </si>
  <si>
    <t>161416</t>
  </si>
  <si>
    <t>Laundry tent - supply pump</t>
  </si>
  <si>
    <t>Laundry tent - hose, 3/4 inch</t>
  </si>
  <si>
    <t>Laundry tent - hose, 1 inch</t>
  </si>
  <si>
    <t>Laundry tent - hose, 1.5 inch</t>
  </si>
  <si>
    <t>163487</t>
  </si>
  <si>
    <t>0028640</t>
  </si>
  <si>
    <t>DPS - Chlorine injector system needs rebuild</t>
  </si>
  <si>
    <t>024413</t>
  </si>
  <si>
    <t>Fittings crate/misc autofill valves</t>
  </si>
  <si>
    <t>CONEX# or ISU-90#</t>
  </si>
  <si>
    <t>I-033-3</t>
  </si>
  <si>
    <t xml:space="preserve">Raw water kit - hose, 4 inch </t>
  </si>
  <si>
    <t xml:space="preserve">Raw water kit - hose, 6 inch </t>
  </si>
  <si>
    <t>Initial Kit</t>
  </si>
  <si>
    <t>Fitting Hoses - misc</t>
  </si>
  <si>
    <t>Number of Aircraft Pallets:</t>
  </si>
  <si>
    <t>5 empty &amp; 11 full</t>
  </si>
  <si>
    <t>Number of CONEXs:</t>
  </si>
  <si>
    <t>Number of ISU-90s:</t>
  </si>
  <si>
    <t>Container Number</t>
  </si>
  <si>
    <t>Size/Type</t>
  </si>
  <si>
    <t>Status</t>
  </si>
  <si>
    <t>Last Reported By LRS</t>
  </si>
  <si>
    <t>USFU0188551</t>
  </si>
  <si>
    <t>TRICON - 0609</t>
  </si>
  <si>
    <t>GREEN - STRUCTURES</t>
  </si>
  <si>
    <t>CE FIELD/LSA</t>
  </si>
  <si>
    <t>USFU0188356</t>
  </si>
  <si>
    <t>CE OG COMPOUND</t>
  </si>
  <si>
    <t>USFU0192335</t>
  </si>
  <si>
    <t>USFU0202053</t>
  </si>
  <si>
    <t>USFU0202475</t>
  </si>
  <si>
    <t>USFU0026442</t>
  </si>
  <si>
    <t>BICON - 10G1</t>
  </si>
  <si>
    <t>G - WFMS</t>
  </si>
  <si>
    <t>CE PLUMBING FIELD COLUMN #4/ LSA</t>
  </si>
  <si>
    <t>USFU0026740</t>
  </si>
  <si>
    <t>USFU0187283</t>
  </si>
  <si>
    <t>CE PLUMBING FIELD ROW #4/ LSA</t>
  </si>
  <si>
    <t>USFU0159804</t>
  </si>
  <si>
    <t>CE PLUMBING FIELD ROW #6/ LSA</t>
  </si>
  <si>
    <t>USFU0186986</t>
  </si>
  <si>
    <t>USFU0188206</t>
  </si>
  <si>
    <t>G -WFMS</t>
  </si>
  <si>
    <t>USFU0186203</t>
  </si>
  <si>
    <t>CE PLUMBING FIELD ROW #7/ LSA</t>
  </si>
  <si>
    <t>USFU0160847</t>
  </si>
  <si>
    <t>USFU0024795</t>
  </si>
  <si>
    <t>B - WFMS</t>
  </si>
  <si>
    <t>CE PLUMBING SHOP WALL/ LSA</t>
  </si>
  <si>
    <t>USFU0189584</t>
  </si>
  <si>
    <t>YELLOW - STRUCTURES</t>
  </si>
  <si>
    <t>CE  OG COMPOUND</t>
  </si>
  <si>
    <t>USFU0158367</t>
  </si>
  <si>
    <t>USFU0158578</t>
  </si>
  <si>
    <t>USFU0162808</t>
  </si>
  <si>
    <t>USFU0162963</t>
  </si>
  <si>
    <t>USFU0181156</t>
  </si>
  <si>
    <t>USFU0032342</t>
  </si>
  <si>
    <t>Y - WFMS</t>
  </si>
  <si>
    <t>USFU0161355</t>
  </si>
  <si>
    <t>YELLOW - WFMS</t>
  </si>
  <si>
    <t>CE PLUMBING FIELD ROW #1/ LSA</t>
  </si>
  <si>
    <t>USFU0181367</t>
  </si>
  <si>
    <t>USFU0185336</t>
  </si>
  <si>
    <t>USFU0158829</t>
  </si>
  <si>
    <t>CE PLUMBING FIELD ROW #2/ LSA</t>
  </si>
  <si>
    <t>USFU0184073</t>
  </si>
  <si>
    <t>USFU0185341</t>
  </si>
  <si>
    <t>USFU0200791</t>
  </si>
  <si>
    <t>USFU0158752</t>
  </si>
  <si>
    <t>CE PLUMBING FIELD ROW #3/ LSA</t>
  </si>
  <si>
    <t>USFU0184181</t>
  </si>
  <si>
    <t>USFU0187869</t>
  </si>
  <si>
    <t>USFU0187982</t>
  </si>
  <si>
    <t>USFU0189120</t>
  </si>
  <si>
    <t>USFU0192192</t>
  </si>
  <si>
    <t>USFU0158813</t>
  </si>
  <si>
    <t>USFU0159424</t>
  </si>
  <si>
    <t>USFU0183713</t>
  </si>
  <si>
    <t>USFU0192802</t>
  </si>
  <si>
    <t>USFU0158768</t>
  </si>
  <si>
    <t>CE PLUMBING FIELD ROW #5/ LSA</t>
  </si>
  <si>
    <t>USFU0159173</t>
  </si>
  <si>
    <t>USFU0189096</t>
  </si>
  <si>
    <t>USFU0189115</t>
  </si>
  <si>
    <t>USFU0184155</t>
  </si>
  <si>
    <t>Y -WFMS</t>
  </si>
  <si>
    <t>USFU0192675</t>
  </si>
  <si>
    <t>USFU0160662</t>
  </si>
  <si>
    <t>YELLOW - WATER SHOP MAIN YARD. BOX.</t>
  </si>
  <si>
    <t>USFU0185531</t>
  </si>
  <si>
    <t>USFU0185953</t>
  </si>
  <si>
    <t>USFU0187909</t>
  </si>
  <si>
    <t>IN FRONT OF A BLOCK</t>
  </si>
  <si>
    <t>HCZU5502213</t>
  </si>
  <si>
    <t>20FT-DRY - 22G1</t>
  </si>
  <si>
    <t>RED - STRUCTURES</t>
  </si>
  <si>
    <t/>
  </si>
  <si>
    <t>USFU0023438</t>
  </si>
  <si>
    <t>RED - BETWEEN CE COMMAND BUILDING AND READY LINE</t>
  </si>
  <si>
    <t>USFU0187684</t>
  </si>
  <si>
    <t>BACK LSA</t>
  </si>
  <si>
    <t>USFU0025699</t>
  </si>
  <si>
    <t>R - WFMS</t>
  </si>
  <si>
    <t>BEHIND POSTAL OFFICE/ LSA</t>
  </si>
  <si>
    <t>USFU0028701</t>
  </si>
  <si>
    <t>USFU0030062</t>
  </si>
  <si>
    <t>RED - WFMS</t>
  </si>
  <si>
    <t>USFU0031602</t>
  </si>
  <si>
    <t>USFU0032300</t>
  </si>
  <si>
    <t>USFU0152414</t>
  </si>
  <si>
    <t>USFU0158834</t>
  </si>
  <si>
    <t>USFU0160549</t>
  </si>
  <si>
    <t>USFU0161268</t>
  </si>
  <si>
    <t>USFU0186008</t>
  </si>
  <si>
    <t>USFU0022998</t>
  </si>
  <si>
    <t>BLOCK #1 BEHIND POSTAL OFFICE/ LSA</t>
  </si>
  <si>
    <t>USFU0025723</t>
  </si>
  <si>
    <t>USFU0025913</t>
  </si>
  <si>
    <t>USFU0036435</t>
  </si>
  <si>
    <t>USFU0036970</t>
  </si>
  <si>
    <t>USFU0037283</t>
  </si>
  <si>
    <t>USFU0038269</t>
  </si>
  <si>
    <t>USFU0188248</t>
  </si>
  <si>
    <t>USFU0188253</t>
  </si>
  <si>
    <t>USFU0188335</t>
  </si>
  <si>
    <t>USFU0158583</t>
  </si>
  <si>
    <t>USFU0159255</t>
  </si>
  <si>
    <t>USFU0161247</t>
  </si>
  <si>
    <t>RED  - STRUCTURES</t>
  </si>
  <si>
    <t>USFU0161376</t>
  </si>
  <si>
    <t>USFU0161930</t>
  </si>
  <si>
    <t>USFU0161946</t>
  </si>
  <si>
    <t>USFU0180416</t>
  </si>
  <si>
    <t>USFU0180761</t>
  </si>
  <si>
    <t>USFU0181773</t>
  </si>
  <si>
    <t>USFU0181789</t>
  </si>
  <si>
    <t>USFU0184617</t>
  </si>
  <si>
    <t>USFU0186055</t>
  </si>
  <si>
    <t>USFU0187426</t>
  </si>
  <si>
    <t>USFU0202562</t>
  </si>
  <si>
    <t>USFU0026904</t>
  </si>
  <si>
    <t>R - Power Plant</t>
  </si>
  <si>
    <t>CE ELECTRICAL FIELD</t>
  </si>
  <si>
    <t>USFU0028466</t>
  </si>
  <si>
    <t>USFU0030669</t>
  </si>
  <si>
    <t>USFU0031259</t>
  </si>
  <si>
    <t>USFU0031916</t>
  </si>
  <si>
    <t>USFU0034026</t>
  </si>
  <si>
    <t>USFU0036590</t>
  </si>
  <si>
    <t>USFU0038886</t>
  </si>
  <si>
    <t>USFU0038968</t>
  </si>
  <si>
    <t>USFU0187581</t>
  </si>
  <si>
    <t>USFU0192443</t>
  </si>
  <si>
    <t>USFU0020953</t>
  </si>
  <si>
    <t>CE ELECTRICAL FIELD/ LSA</t>
  </si>
  <si>
    <t>USFU0021287</t>
  </si>
  <si>
    <t>USFU0022262</t>
  </si>
  <si>
    <t>USFU0022766</t>
  </si>
  <si>
    <t>USFU0022771</t>
  </si>
  <si>
    <t>USFU0022853</t>
  </si>
  <si>
    <t>USFU0023248</t>
  </si>
  <si>
    <t>USFU0023654</t>
  </si>
  <si>
    <t>USFU0024115</t>
  </si>
  <si>
    <t>USFU0024183</t>
  </si>
  <si>
    <t>USFU0026041</t>
  </si>
  <si>
    <t xml:space="preserve">RED - WATER SHOP YARD EAST. BOX. </t>
  </si>
  <si>
    <t>USFU0026334</t>
  </si>
  <si>
    <t>USFU0026930</t>
  </si>
  <si>
    <t>USFU0027752</t>
  </si>
  <si>
    <t>USFU0029523</t>
  </si>
  <si>
    <t>USFU0030545</t>
  </si>
  <si>
    <t>USFU0031182</t>
  </si>
  <si>
    <t>USFU0031222</t>
  </si>
  <si>
    <t>USFU0032039</t>
  </si>
  <si>
    <t>USFU0032419</t>
  </si>
  <si>
    <t>USFU0032450</t>
  </si>
  <si>
    <t>USFU0035130</t>
  </si>
  <si>
    <t>USFU0035146</t>
  </si>
  <si>
    <t>USFU0036287</t>
  </si>
  <si>
    <t>USFU0036517</t>
  </si>
  <si>
    <t>USFU0038464</t>
  </si>
  <si>
    <t>USFU0039481</t>
  </si>
  <si>
    <t>USFU0152353</t>
  </si>
  <si>
    <t>USFU0152456</t>
  </si>
  <si>
    <t>USFU0154910</t>
  </si>
  <si>
    <t>USFU0193394</t>
  </si>
  <si>
    <t>USFU0239875</t>
  </si>
  <si>
    <t>USFU0024687</t>
  </si>
  <si>
    <t>USFU0032208</t>
  </si>
  <si>
    <t>USFU0181140</t>
  </si>
  <si>
    <t>USFU0185608</t>
  </si>
  <si>
    <t>USFU0187637</t>
  </si>
  <si>
    <t>USFU0187787</t>
  </si>
  <si>
    <t>USFU0188211</t>
  </si>
  <si>
    <t>USFU0190184</t>
  </si>
  <si>
    <t>USFU0190266</t>
  </si>
  <si>
    <t>USFU0202069</t>
  </si>
  <si>
    <t>USFU0025092</t>
  </si>
  <si>
    <t>CE FUELS &amp; PLUMBING OFFICE/ LSA</t>
  </si>
  <si>
    <t>USFU0033734</t>
  </si>
  <si>
    <t>USFU0033858</t>
  </si>
  <si>
    <t>USFU0155033</t>
  </si>
  <si>
    <t>USFU0243453</t>
  </si>
  <si>
    <t>RED - WATER SHOP MAIN YARD. BOX</t>
  </si>
  <si>
    <t>USFU0243849</t>
  </si>
  <si>
    <t>USFU0026376</t>
  </si>
  <si>
    <t>USFU0158304</t>
  </si>
  <si>
    <t>USFU0159785</t>
  </si>
  <si>
    <t>USFU0161761</t>
  </si>
  <si>
    <t>USFU0161885</t>
  </si>
  <si>
    <t>USFU0161925</t>
  </si>
  <si>
    <t>USFU0164035</t>
  </si>
  <si>
    <t>USFU0180782</t>
  </si>
  <si>
    <t>USFU0181330</t>
  </si>
  <si>
    <t>USFU0181372</t>
  </si>
  <si>
    <t>USFU0181881</t>
  </si>
  <si>
    <t>USFU0187067</t>
  </si>
  <si>
    <t>USFU0187299</t>
  </si>
  <si>
    <t>USFU0187750</t>
  </si>
  <si>
    <t>USFU0189516</t>
  </si>
  <si>
    <t>USFU0189579</t>
  </si>
  <si>
    <t>USFU0189769</t>
  </si>
  <si>
    <t>USFU0190250</t>
  </si>
  <si>
    <t>USFU0190271</t>
  </si>
  <si>
    <t>USFU0190287</t>
  </si>
  <si>
    <t>USFU0194277</t>
  </si>
  <si>
    <t>USFU0202578</t>
  </si>
  <si>
    <t>USFU0202686</t>
  </si>
  <si>
    <t>USFU0202731</t>
  </si>
  <si>
    <t>CE PLUMBING FIELD / LSA</t>
  </si>
  <si>
    <t>USFU0024671</t>
  </si>
  <si>
    <t>R -WFMS</t>
  </si>
  <si>
    <t>CE PLUMBING FIELD COLUMN #1/ LSA</t>
  </si>
  <si>
    <t>USFU0021008</t>
  </si>
  <si>
    <t>CE PLUMBING FIELD COLUMN #2/ LSA</t>
  </si>
  <si>
    <t>USFU0024408</t>
  </si>
  <si>
    <t>USFU0151676</t>
  </si>
  <si>
    <t>USFU0151779</t>
  </si>
  <si>
    <t>USFU0188192</t>
  </si>
  <si>
    <t>RED -WFMS</t>
  </si>
  <si>
    <t>USFU0025620</t>
  </si>
  <si>
    <t>CE PLUMBING FIELD COLUMN #3/ LSA</t>
  </si>
  <si>
    <t>USFU0030756</t>
  </si>
  <si>
    <t>USFU0189671</t>
  </si>
  <si>
    <t>USFU0025277</t>
  </si>
  <si>
    <t>USFU0030437</t>
  </si>
  <si>
    <t>USFU0152137</t>
  </si>
  <si>
    <t>USFU0021630</t>
  </si>
  <si>
    <t>CE PLUMBING FIELD MIDDLE ROW #1/ LSA</t>
  </si>
  <si>
    <t>USFU0022494</t>
  </si>
  <si>
    <t>USFU0023799</t>
  </si>
  <si>
    <t>USFU0024199</t>
  </si>
  <si>
    <t>USFU0024429</t>
  </si>
  <si>
    <t>USFU0025003</t>
  </si>
  <si>
    <t>USFU0028640</t>
  </si>
  <si>
    <t>USFU0029499</t>
  </si>
  <si>
    <t>USFU0160430</t>
  </si>
  <si>
    <t>RED  - WFMS</t>
  </si>
  <si>
    <t>CE PLUMBING FIELD MIDDLE ROW #2/ LSA</t>
  </si>
  <si>
    <t>USFU0160554</t>
  </si>
  <si>
    <t>USFU0180592</t>
  </si>
  <si>
    <t>USFU0187853</t>
  </si>
  <si>
    <t>USFU0192762</t>
  </si>
  <si>
    <t>USFU0187766</t>
  </si>
  <si>
    <t>USFU0159574</t>
  </si>
  <si>
    <t>USFU0180885</t>
  </si>
  <si>
    <t>USFU0181161</t>
  </si>
  <si>
    <t>USFU0181407</t>
  </si>
  <si>
    <t>USFU0187642</t>
  </si>
  <si>
    <t>USFU0189687</t>
  </si>
  <si>
    <t>USFU0183610</t>
  </si>
  <si>
    <t>USFU0032018</t>
  </si>
  <si>
    <t>CE PLUMBING FIELD/ LSA</t>
  </si>
  <si>
    <t>USFU0034242</t>
  </si>
  <si>
    <t>USFU0022299</t>
  </si>
  <si>
    <t>USFU0022787</t>
  </si>
  <si>
    <t>RED - WATER SHOP MAIN YARD. BOX.</t>
  </si>
  <si>
    <t>USFU0022935</t>
  </si>
  <si>
    <t>USFU0024331</t>
  </si>
  <si>
    <t>USFU0024413</t>
  </si>
  <si>
    <t>USFU0024455</t>
  </si>
  <si>
    <t>USFU0024516</t>
  </si>
  <si>
    <t>USFU0026191</t>
  </si>
  <si>
    <t>USFU0026210</t>
  </si>
  <si>
    <t>USFU0026247</t>
  </si>
  <si>
    <t>USFU0026252</t>
  </si>
  <si>
    <t>USFU0026313</t>
  </si>
  <si>
    <t>USFU0027109</t>
  </si>
  <si>
    <t>USFU0027808</t>
  </si>
  <si>
    <t>USFU0028527</t>
  </si>
  <si>
    <t xml:space="preserve">RED - WFMS </t>
  </si>
  <si>
    <t>USFU0028553</t>
  </si>
  <si>
    <t>USFU0028595</t>
  </si>
  <si>
    <t>USFU0030273</t>
  </si>
  <si>
    <t>USFU0031109</t>
  </si>
  <si>
    <t>USFU0032255</t>
  </si>
  <si>
    <t>USFU0032321</t>
  </si>
  <si>
    <t>USFU0034392</t>
  </si>
  <si>
    <t>USFU0035022</t>
  </si>
  <si>
    <t>USFU0036245</t>
  </si>
  <si>
    <t>USFU0036250</t>
  </si>
  <si>
    <t>USFU0038588</t>
  </si>
  <si>
    <t>USFU0038654</t>
  </si>
  <si>
    <t>USFU0041025</t>
  </si>
  <si>
    <t>USFU0135633</t>
  </si>
  <si>
    <t>USFU0135649</t>
  </si>
  <si>
    <t>USFU0135736</t>
  </si>
  <si>
    <t>USFU0157988</t>
  </si>
  <si>
    <t>USFU0159023</t>
  </si>
  <si>
    <t>USFU0159635</t>
  </si>
  <si>
    <t>USFU0161416</t>
  </si>
  <si>
    <t>USFU0162602</t>
  </si>
  <si>
    <t>USFU0163321</t>
  </si>
  <si>
    <t>USFU0163487</t>
  </si>
  <si>
    <t>USFU0182867</t>
  </si>
  <si>
    <t>USFU0183159</t>
  </si>
  <si>
    <t>USFU0190733</t>
  </si>
  <si>
    <t>USFU0191278</t>
  </si>
  <si>
    <t>USFU0191560</t>
  </si>
  <si>
    <t>USFU0193120</t>
  </si>
  <si>
    <t>USFU0193389</t>
  </si>
  <si>
    <t>USFU0193521</t>
  </si>
  <si>
    <t>USFU0239812</t>
  </si>
  <si>
    <t>USFU0239936</t>
  </si>
  <si>
    <t>USFU0240032</t>
  </si>
  <si>
    <t>USFU0241126</t>
  </si>
  <si>
    <t>USFU0243350</t>
  </si>
  <si>
    <t>USFU0243514</t>
  </si>
  <si>
    <t>USFU0243577</t>
  </si>
  <si>
    <t>USFU0243915</t>
  </si>
  <si>
    <t>USFU0272894</t>
  </si>
  <si>
    <t>USFU0273015</t>
  </si>
  <si>
    <t>USFU0273062</t>
  </si>
  <si>
    <t>USFU0240855</t>
  </si>
  <si>
    <t>LATRINE ROW #1 BEHIND POSTAL OFFICE/ LSA</t>
  </si>
  <si>
    <t>USFU0274264</t>
  </si>
  <si>
    <t>USFU0240691</t>
  </si>
  <si>
    <t>LATRINE ROW #2 BEHIND POSTAL OFFICE/ LSA</t>
  </si>
  <si>
    <t>USFU0240900</t>
  </si>
  <si>
    <t>USFU0240958</t>
  </si>
  <si>
    <t>USFU0241018</t>
  </si>
  <si>
    <t>USFU0004058</t>
  </si>
  <si>
    <t>20FT-DRY - 2205</t>
  </si>
  <si>
    <t>RED - RADR SITE OPS TOWN</t>
  </si>
  <si>
    <t>OPS Town/ CE Bulk Yard</t>
  </si>
  <si>
    <t>USFU0005250</t>
  </si>
  <si>
    <t>USFU0006615</t>
  </si>
  <si>
    <t>USFU0012979</t>
  </si>
  <si>
    <t>USFU0245672</t>
  </si>
  <si>
    <t>RED - PART OF KIT - RADR SITE OPS TOWN</t>
  </si>
  <si>
    <t>USFU0245688</t>
  </si>
  <si>
    <t>USFU0245693</t>
  </si>
  <si>
    <t>USFU0245707</t>
  </si>
  <si>
    <t>20FT-DRY - 22G2</t>
  </si>
  <si>
    <t>USFU0245712</t>
  </si>
  <si>
    <t>USFU0038398</t>
  </si>
  <si>
    <t>THUMRAIT AB DYNCORP</t>
  </si>
  <si>
    <t>USFU0027177</t>
  </si>
  <si>
    <t>USFU0039521</t>
  </si>
  <si>
    <t>Not Found By CE, but might still need</t>
  </si>
  <si>
    <t>CE AREA/OPS TOWN</t>
  </si>
  <si>
    <t>USFU0041046</t>
  </si>
  <si>
    <t>USFU0031135</t>
  </si>
  <si>
    <t>USFU0243495</t>
  </si>
  <si>
    <t>USFU0192530</t>
  </si>
  <si>
    <t>USFU0031161</t>
  </si>
  <si>
    <t>USFU0022278</t>
  </si>
  <si>
    <t>USFU0022750</t>
  </si>
  <si>
    <t>USFU0026777</t>
  </si>
  <si>
    <t>USFU0028825</t>
  </si>
  <si>
    <t>USFU0218609</t>
  </si>
  <si>
    <t>USFU0192187</t>
  </si>
  <si>
    <t>USFU0243371</t>
  </si>
  <si>
    <r>
      <t>•</t>
    </r>
    <r>
      <rPr>
        <sz val="11"/>
        <color rgb="FF000000"/>
        <rFont val="Calibri"/>
        <family val="2"/>
        <scheme val="minor"/>
      </rPr>
      <t>Red – This Container is in use by 378 ECES for storage of assets and will not be recalled</t>
    </r>
  </si>
  <si>
    <r>
      <t>•</t>
    </r>
    <r>
      <rPr>
        <sz val="11"/>
        <color rgb="FF000000"/>
        <rFont val="Calibri"/>
        <family val="2"/>
        <scheme val="minor"/>
      </rPr>
      <t>Yellow – This Container is not available to be recalled, but may eligible for future consolidation</t>
    </r>
  </si>
  <si>
    <r>
      <t>•</t>
    </r>
    <r>
      <rPr>
        <sz val="11"/>
        <color rgb="FF000000"/>
        <rFont val="Calibri"/>
        <family val="2"/>
        <scheme val="minor"/>
      </rPr>
      <t>Green – This container may be recalled to the Container Storage Yard.</t>
    </r>
  </si>
  <si>
    <r>
      <t>•</t>
    </r>
    <r>
      <rPr>
        <sz val="11"/>
        <color theme="0"/>
        <rFont val="Calibri"/>
        <family val="2"/>
        <scheme val="minor"/>
      </rPr>
      <t>Black - This container has been modified and is unsevicable</t>
    </r>
  </si>
  <si>
    <t>Work Task Assignment Comparison</t>
  </si>
  <si>
    <t>(Data automatically updates daily - after mid &amp; night shift changes)</t>
  </si>
  <si>
    <r>
      <rPr>
        <sz val="11"/>
        <color rgb="FFC00000"/>
        <rFont val="MV Boli"/>
      </rPr>
      <t>XXXXXXXXXX</t>
    </r>
    <r>
      <rPr>
        <sz val="11"/>
        <color theme="0"/>
        <rFont val="MV Boli"/>
      </rPr>
      <t>Safety</t>
    </r>
    <r>
      <rPr>
        <sz val="11"/>
        <color rgb="FFC00000"/>
        <rFont val="MV Boli"/>
      </rPr>
      <t>XXXXXXXXX</t>
    </r>
  </si>
  <si>
    <r>
      <t xml:space="preserve">Lube Pumps - </t>
    </r>
    <r>
      <rPr>
        <sz val="11"/>
        <color rgb="FFFF0000"/>
        <rFont val="Calibri"/>
        <family val="2"/>
        <scheme val="minor"/>
      </rPr>
      <t>AS NEEDED</t>
    </r>
  </si>
  <si>
    <t>0400</t>
  </si>
  <si>
    <t>Work Tasks Log</t>
  </si>
  <si>
    <t>F 101</t>
  </si>
  <si>
    <t>Toilet stop flushing</t>
  </si>
  <si>
    <t>LSA DFAC</t>
  </si>
  <si>
    <t>Hooked up water pump/bypass</t>
  </si>
  <si>
    <t>Davey pump</t>
  </si>
  <si>
    <t>Fields/Chambers</t>
  </si>
  <si>
    <t>E101</t>
  </si>
  <si>
    <t>Spud leaking on toilet</t>
  </si>
  <si>
    <t>Repair Cl2 injector on DPS</t>
  </si>
  <si>
    <t>B 1431</t>
  </si>
  <si>
    <t>Walker/Kelly/Montalvo</t>
  </si>
  <si>
    <t>Nights</t>
  </si>
  <si>
    <t>Build Laundry Pump Manifold</t>
  </si>
  <si>
    <t xml:space="preserve">March Mileage </t>
  </si>
  <si>
    <t xml:space="preserve">April Mileage </t>
  </si>
  <si>
    <t xml:space="preserve">May Mileage </t>
  </si>
  <si>
    <t xml:space="preserve">June Mileage </t>
  </si>
  <si>
    <t xml:space="preserve">July Mileage </t>
  </si>
  <si>
    <t>March Odometer</t>
  </si>
  <si>
    <t>April Odometer</t>
  </si>
  <si>
    <t>May Odometer</t>
  </si>
  <si>
    <t>June Odometer</t>
  </si>
  <si>
    <t>July Odometer</t>
  </si>
  <si>
    <t>As Needed - Clean Storage Tank
Daily - Routine 1800 Inspections &amp; Check Hydrac Fluid &amp; Oil levels
Every two weeks - Lubricated at grease points
Monthly - Drain and refill water tank</t>
  </si>
  <si>
    <t>As Needed - Clean Storage Tank
Daily - Routine 1800 Inspections &amp; Check Oil levels
Monthly - Drain and refill water tank</t>
  </si>
  <si>
    <t>As Needed - Clean Storage Tank
Daily - Routine 1800 Inspections &amp; Check Oil levels</t>
  </si>
  <si>
    <t>FSS Water Buffalo</t>
  </si>
  <si>
    <t>WFSM Water Buffalo</t>
  </si>
  <si>
    <t>LOAN - ARMY Water Buffalo</t>
  </si>
  <si>
    <t>Preformed by Water Team RWP</t>
  </si>
  <si>
    <t>Daily - Routine 1800 Inspections &amp; Check Oil levels</t>
  </si>
  <si>
    <r>
      <t xml:space="preserve">Water &amp; Preventative 
Maintenance Teams
(RWP) Reoccurring Work Program
</t>
    </r>
    <r>
      <rPr>
        <b/>
        <sz val="10.5"/>
        <color theme="0"/>
        <rFont val="Malgun Gothic"/>
        <family val="2"/>
      </rPr>
      <t>WEEKLY HOURS</t>
    </r>
  </si>
  <si>
    <t xml:space="preserve">Water Storage Capacity </t>
  </si>
  <si>
    <t>Wastewater Storage Capacity</t>
  </si>
  <si>
    <t xml:space="preserve">Water Trucks </t>
  </si>
  <si>
    <t>Wastewater Trucks</t>
  </si>
  <si>
    <t>OPS</t>
  </si>
  <si>
    <t>Yesterday Total</t>
  </si>
  <si>
    <t>Number of RWP Tasks</t>
  </si>
  <si>
    <t>Yesterday VS. Day-Before - No. of Contractor Trucks</t>
  </si>
  <si>
    <t>Day-before</t>
  </si>
  <si>
    <t>Date of Brief</t>
  </si>
  <si>
    <t>Topic</t>
  </si>
  <si>
    <t>NCOIC</t>
  </si>
  <si>
    <t>MSgt</t>
  </si>
  <si>
    <t>Silcott</t>
  </si>
  <si>
    <t>Added new CL2 test points for receiving water and distro water from our pump stations. 
Need night shift to add HTH, bring levels close to 5.0 ppm in buffalos</t>
  </si>
  <si>
    <t>Receiving Water</t>
  </si>
  <si>
    <t>Distro Pump Water</t>
  </si>
  <si>
    <t>Water Farm</t>
  </si>
  <si>
    <t xml:space="preserve">Water Farm Distro </t>
  </si>
  <si>
    <t xml:space="preserve">YESTERDAY vs TODAY </t>
  </si>
  <si>
    <t>CL2 Graph - Yesterday vs Today</t>
  </si>
  <si>
    <t>Inventory of Chemicals</t>
  </si>
  <si>
    <t>Chemicals</t>
  </si>
  <si>
    <t>Plans &amp; Execution</t>
  </si>
  <si>
    <t xml:space="preserve">Coordinate and Order Contracting Trucks </t>
  </si>
  <si>
    <t>Inspect Ice machines - (Daily): Check Supply Lines for Leaks; (M, W, F): Clean Coils; (M, F): Flush Supply Lines</t>
  </si>
  <si>
    <t>0800</t>
  </si>
  <si>
    <t>Number of Emergency calls in the last 7 days</t>
  </si>
  <si>
    <t>AVG. WEEKLY COMPLETED</t>
  </si>
  <si>
    <t>No. of Emergency Calls in the last Seven Days</t>
  </si>
  <si>
    <t>Pounds of Ice Produced</t>
  </si>
  <si>
    <t>TODAY</t>
  </si>
  <si>
    <t>Update Red Areas on Spreadsheet Water Log</t>
  </si>
  <si>
    <t>1430</t>
  </si>
  <si>
    <t>Days</t>
  </si>
  <si>
    <t>E116</t>
  </si>
  <si>
    <t>clogged toilet</t>
  </si>
  <si>
    <t>Mckee/Ross</t>
  </si>
  <si>
    <t>D Laundry</t>
  </si>
  <si>
    <t>Lid hinge not hitting sensor for drain</t>
  </si>
  <si>
    <t>Gonzalez/Marshall</t>
  </si>
  <si>
    <t>5,00</t>
  </si>
  <si>
    <t>D101</t>
  </si>
  <si>
    <t>Lift station clogged with baby wipes</t>
  </si>
  <si>
    <t>DFAC Sink not draining</t>
  </si>
  <si>
    <t>All buffalos that were low had HTH added</t>
  </si>
  <si>
    <t>Total 
(gals)</t>
  </si>
  <si>
    <t xml:space="preserve">Meter Distro
(gals) </t>
  </si>
  <si>
    <t xml:space="preserve">Meter RCV'd
(gals) </t>
  </si>
  <si>
    <r>
      <t xml:space="preserve">Hours it took to Complete
</t>
    </r>
    <r>
      <rPr>
        <sz val="9"/>
        <color theme="0"/>
        <rFont val="Calibri"/>
        <family val="2"/>
        <scheme val="minor"/>
      </rPr>
      <t>(0.00 format)</t>
    </r>
  </si>
  <si>
    <t>Water vs PM RWP Comparsion</t>
  </si>
  <si>
    <t>Total Storage Capes</t>
  </si>
  <si>
    <t>Current Total Storage Capes</t>
  </si>
  <si>
    <t>Percent of Total Storage Capes</t>
  </si>
  <si>
    <t>MaxCapes</t>
  </si>
  <si>
    <t>Answer</t>
  </si>
  <si>
    <t>%</t>
  </si>
  <si>
    <t>Total number of emergencies in the last 7 days</t>
  </si>
  <si>
    <t xml:space="preserve"> Used from 'Work Task Log' Sheet (Column G)</t>
  </si>
  <si>
    <t>Used from 'Water Tm Log' Sheet</t>
  </si>
  <si>
    <t>Count the No. of "Y"'s</t>
  </si>
  <si>
    <t>answer</t>
  </si>
  <si>
    <t xml:space="preserve"> Used from 'PM- RWP' &amp; 'Water - RWP' Sheets</t>
  </si>
  <si>
    <t>TOTAL Work Task # of Emergencies</t>
  </si>
  <si>
    <t>CurrentCapes</t>
  </si>
  <si>
    <t>TOTAL Work Tasks</t>
  </si>
  <si>
    <t>Weekly Compl Tasks</t>
  </si>
  <si>
    <t>Weekly Compl Hours</t>
  </si>
  <si>
    <t>Used from 'Work Task_Compl' Sheet</t>
  </si>
  <si>
    <t>Date Tracking Started</t>
  </si>
  <si>
    <t>Todays Date</t>
  </si>
  <si>
    <t>Total Days</t>
  </si>
  <si>
    <t>Used ON 'Work Task_Compl' Sheet</t>
  </si>
  <si>
    <t>Used from 'Water Tm_Avg Gals' Sheet</t>
  </si>
  <si>
    <t>Day Before Total</t>
  </si>
  <si>
    <t>Yesterday vs Day-Before Chart Info</t>
  </si>
  <si>
    <t>Last 7 Day AVG Use</t>
  </si>
  <si>
    <t>Not Used - Used from 'PM- RWP' &amp; 'Water - RWP' Sheets</t>
  </si>
  <si>
    <r>
      <rPr>
        <sz val="11"/>
        <color theme="9" tint="-0.499984740745262"/>
        <rFont val="MV Boli"/>
      </rPr>
      <t>XXXXXX</t>
    </r>
    <r>
      <rPr>
        <sz val="11"/>
        <color theme="0"/>
        <rFont val="MV Boli"/>
      </rPr>
      <t>Inventory Page</t>
    </r>
    <r>
      <rPr>
        <sz val="11"/>
        <color theme="9" tint="-0.499984740745262"/>
        <rFont val="MV Boli"/>
      </rPr>
      <t>XXXXXX</t>
    </r>
  </si>
  <si>
    <t>Autofill Formulas Used on 'Snapshot Info Sheet' and Various Areas</t>
  </si>
  <si>
    <t>COMPLETED PROJECTS</t>
  </si>
  <si>
    <r>
      <t xml:space="preserve">Install Sink - Grab N Go
</t>
    </r>
    <r>
      <rPr>
        <sz val="16"/>
        <color theme="1"/>
        <rFont val="Times New Roman"/>
        <family val="1"/>
      </rPr>
      <t>Install a sink at the DFAC Grab N Go</t>
    </r>
  </si>
  <si>
    <t>*Planning: Determining best case &amp; immediate solution
COA1 - Fill sinks with water by jugs and waste removed by buckets; 
COA2 - Connect a pump to the sink; use a water buffalo or install a storage tank that is filled by the water truck and waste is gravity fed to a soakage pit/frecnh drain; 
COA 3 - Tie the system in to the main water and sewer lines, install a storage tank, pump, and liftstation.
*Awaiting: Need approval</t>
  </si>
  <si>
    <t>*Planning: Lt Loss
*Awaiting: Need approval</t>
  </si>
  <si>
    <r>
      <t xml:space="preserve">Cadillac Upgrade - Central Latrines
</t>
    </r>
    <r>
      <rPr>
        <sz val="16"/>
        <color theme="1"/>
        <rFont val="Times New Roman"/>
        <family val="1"/>
      </rPr>
      <t>Install 2 or more Cadillacs in the center of the LSA Camp</t>
    </r>
  </si>
  <si>
    <r>
      <t xml:space="preserve">Cadillac Upgrade - OPS Town
</t>
    </r>
    <r>
      <rPr>
        <sz val="16"/>
        <color theme="1"/>
        <rFont val="Times New Roman"/>
        <family val="1"/>
      </rPr>
      <t>Install 8 or more cadillacs in OPS Town; Install storage tanks for water and septic</t>
    </r>
  </si>
  <si>
    <t>Used for the chlorine chart</t>
  </si>
  <si>
    <r>
      <rPr>
        <sz val="11"/>
        <color rgb="FF66FFFF"/>
        <rFont val="MV Boli"/>
      </rPr>
      <t>XXXX</t>
    </r>
    <r>
      <rPr>
        <sz val="11"/>
        <rFont val="MV Boli"/>
      </rPr>
      <t>Ordering &amp; Purchases</t>
    </r>
    <r>
      <rPr>
        <sz val="11"/>
        <color rgb="FF66FFFF"/>
        <rFont val="MV Boli"/>
      </rPr>
      <t>XXXX</t>
    </r>
  </si>
  <si>
    <r>
      <rPr>
        <sz val="11"/>
        <color theme="2" tint="-0.499984740745262"/>
        <rFont val="MV Boli"/>
      </rPr>
      <t>XXXX</t>
    </r>
    <r>
      <rPr>
        <sz val="11"/>
        <color theme="0"/>
        <rFont val="MV Boli"/>
      </rPr>
      <t>Camp Total Fixtures</t>
    </r>
    <r>
      <rPr>
        <sz val="11"/>
        <color theme="2" tint="-0.499984740745262"/>
        <rFont val="MV Boli"/>
      </rPr>
      <t>XXXX</t>
    </r>
  </si>
  <si>
    <r>
      <rPr>
        <sz val="11"/>
        <color rgb="FFFFFF00"/>
        <rFont val="MV Boli"/>
      </rPr>
      <t>XXXXXXXXX</t>
    </r>
    <r>
      <rPr>
        <sz val="11"/>
        <rFont val="MV Boli"/>
      </rPr>
      <t>Vehicles</t>
    </r>
    <r>
      <rPr>
        <sz val="11"/>
        <color rgb="FFFFFF00"/>
        <rFont val="MV Boli"/>
      </rPr>
      <t>XXXXXXXX</t>
    </r>
  </si>
  <si>
    <r>
      <rPr>
        <sz val="11"/>
        <color theme="3" tint="0.59999389629810485"/>
        <rFont val="MV Boli"/>
      </rPr>
      <t>XXXXXXXXX</t>
    </r>
    <r>
      <rPr>
        <sz val="11"/>
        <rFont val="MV Boli"/>
      </rPr>
      <t>Training</t>
    </r>
    <r>
      <rPr>
        <sz val="11"/>
        <color theme="3" tint="0.59999389629810485"/>
        <rFont val="MV Boli"/>
      </rPr>
      <t>XXXXXXXX</t>
    </r>
  </si>
  <si>
    <r>
      <rPr>
        <sz val="11"/>
        <color rgb="FFFFC000"/>
        <rFont val="MV Boli"/>
      </rPr>
      <t>XXXXXX</t>
    </r>
    <r>
      <rPr>
        <sz val="11"/>
        <rFont val="MV Boli"/>
      </rPr>
      <t>Water Leak Log</t>
    </r>
    <r>
      <rPr>
        <sz val="11"/>
        <color rgb="FFFFC000"/>
        <rFont val="MV Boli"/>
      </rPr>
      <t>XXXXX</t>
    </r>
  </si>
  <si>
    <r>
      <rPr>
        <sz val="11"/>
        <color theme="0" tint="-0.14999847407452621"/>
        <rFont val="MV Boli"/>
      </rPr>
      <t>XXXXXXXX</t>
    </r>
    <r>
      <rPr>
        <sz val="11"/>
        <rFont val="MV Boli"/>
      </rPr>
      <t>Schedule</t>
    </r>
    <r>
      <rPr>
        <sz val="11"/>
        <color theme="0" tint="-0.14999847407452621"/>
        <rFont val="MV Boli"/>
      </rPr>
      <t>XXXXXXXX</t>
    </r>
  </si>
  <si>
    <r>
      <rPr>
        <sz val="11"/>
        <color theme="9" tint="0.59999389629810485"/>
        <rFont val="MV Boli"/>
      </rPr>
      <t>XXXX</t>
    </r>
    <r>
      <rPr>
        <sz val="11"/>
        <rFont val="MV Boli"/>
      </rPr>
      <t>Construction Projects</t>
    </r>
    <r>
      <rPr>
        <sz val="11"/>
        <color theme="9" tint="0.59999389629810485"/>
        <rFont val="MV Boli"/>
      </rPr>
      <t>XXXX</t>
    </r>
  </si>
  <si>
    <r>
      <rPr>
        <sz val="11"/>
        <color theme="7" tint="0.39997558519241921"/>
        <rFont val="MV Boli"/>
      </rPr>
      <t>XXXXXX</t>
    </r>
    <r>
      <rPr>
        <sz val="11"/>
        <rFont val="MV Boli"/>
      </rPr>
      <t>Design Projects</t>
    </r>
    <r>
      <rPr>
        <sz val="11"/>
        <color theme="7" tint="0.39997558519241921"/>
        <rFont val="MV Boli"/>
      </rPr>
      <t>XXXXXX</t>
    </r>
  </si>
  <si>
    <t>Preventative Maintenance RWP</t>
  </si>
  <si>
    <r>
      <t xml:space="preserve">Snapshot
Info
Sheet
</t>
    </r>
    <r>
      <rPr>
        <sz val="9"/>
        <color theme="0"/>
        <rFont val="MV Boli"/>
      </rPr>
      <t>(For Leadership)</t>
    </r>
  </si>
  <si>
    <t>Rebuild Laundry Pump</t>
  </si>
  <si>
    <t>Gonzales/Marshall</t>
  </si>
  <si>
    <t>C laundry</t>
  </si>
  <si>
    <t>Washer 8 water leaking by</t>
  </si>
  <si>
    <t>Washer 2 not draining</t>
  </si>
  <si>
    <t>B1515</t>
  </si>
  <si>
    <t>F102</t>
  </si>
  <si>
    <t>Left toilet tailpiece came unseated</t>
  </si>
  <si>
    <t>Aquafit (HTH)</t>
  </si>
  <si>
    <t>Granular (HTH)</t>
  </si>
  <si>
    <t>I Laundry</t>
  </si>
  <si>
    <t>No power to supply/discharge pumps</t>
  </si>
  <si>
    <t>E102</t>
  </si>
  <si>
    <t>Toliet Leak</t>
  </si>
  <si>
    <t>Tightened Spud/Vacuum Breaker</t>
  </si>
  <si>
    <t>Inspect B104 supply pump</t>
  </si>
  <si>
    <t>Cleaned strainers</t>
  </si>
  <si>
    <t>Identified on RWP</t>
  </si>
  <si>
    <t>Calls by Customer</t>
  </si>
  <si>
    <t>Pie Chart - Used from 'Work Task Log'</t>
  </si>
  <si>
    <t>Inactive</t>
  </si>
  <si>
    <t>INACTIVE</t>
  </si>
  <si>
    <r>
      <rPr>
        <b/>
        <sz val="11"/>
        <color rgb="FFFF0000"/>
        <rFont val="Calibri"/>
        <family val="2"/>
        <scheme val="minor"/>
      </rPr>
      <t xml:space="preserve">WHAT WAS DONE? </t>
    </r>
    <r>
      <rPr>
        <sz val="11"/>
        <color theme="0"/>
        <rFont val="Calibri"/>
        <family val="2"/>
        <scheme val="minor"/>
      </rPr>
      <t xml:space="preserve">
What parts were used to repair/replace/correct</t>
    </r>
  </si>
  <si>
    <t>C/D Portapotty buffalo was out of range and would not return a reading. Too much chlorine residual currently in the water. Filled LSA ECP buffalo.</t>
  </si>
  <si>
    <t>B201</t>
  </si>
  <si>
    <t>Clogged urinal trough</t>
  </si>
  <si>
    <t>Snaked the drain line</t>
  </si>
  <si>
    <t>Fields/Landell</t>
  </si>
  <si>
    <t>Washer not draining</t>
  </si>
  <si>
    <t>Pump clogged with baby wipes</t>
  </si>
  <si>
    <t>Kelley/Fields/Landell</t>
  </si>
  <si>
    <t>Open D-Bicon</t>
  </si>
  <si>
    <t>Removed rope/sign/turn H2O on</t>
  </si>
  <si>
    <t>Update Inventory List</t>
  </si>
  <si>
    <t>Count each inactive fixture on LSA</t>
  </si>
  <si>
    <t xml:space="preserve">LSA </t>
  </si>
  <si>
    <t>Removed baby wipes from pump</t>
  </si>
  <si>
    <t>Ross/Mckee</t>
  </si>
  <si>
    <t>Item # 30735</t>
  </si>
  <si>
    <t>SN: 743961</t>
  </si>
  <si>
    <t>SN: 743967</t>
  </si>
  <si>
    <t>SN: 743965</t>
  </si>
  <si>
    <t>SN: 743959</t>
  </si>
  <si>
    <t>SN: 743966</t>
  </si>
  <si>
    <t>RA FOLDER</t>
  </si>
  <si>
    <t>Logistics</t>
  </si>
  <si>
    <t>By COB 14 Apr - Shots - Bernard, Brennan, Chambers, Schatz, Ross, Price, Marshall, Crocker</t>
  </si>
  <si>
    <t>Number of BICONs:</t>
  </si>
  <si>
    <t>Number of Field Deployables:</t>
  </si>
  <si>
    <t>Number of BICON Support Kits:</t>
  </si>
  <si>
    <t>Number of M-80 Boilers:</t>
  </si>
  <si>
    <t>Number of Laundry:</t>
  </si>
  <si>
    <t>What's left in our yard?</t>
  </si>
  <si>
    <t>Ops Town DFAC Cl2 level needs to be brought up - Days added hth to tank.
G Block Tank - there isn't any usage at this site; isolated tank fill valves and water levels are at 25%; when G block is going to be used, will open the fill valves</t>
  </si>
  <si>
    <t>A Laundry</t>
  </si>
  <si>
    <t>Washer 5 not draining</t>
  </si>
  <si>
    <t>Washer 5 slow fill</t>
  </si>
  <si>
    <t>Cleaned strainer</t>
  </si>
  <si>
    <t>Washer 6 overflowed/constantly running</t>
  </si>
  <si>
    <t>switched leads on solenoid</t>
  </si>
  <si>
    <t>CL2 Readings - Need readings to be above the 0.5 and below 5.0</t>
  </si>
  <si>
    <t xml:space="preserve">Need a list of locations and sizes of all the water storage tanks, setptic tanks, LSA, and OPS town.  </t>
  </si>
  <si>
    <t>Need two large maps; one satellite image with utilities and one without the satellite</t>
  </si>
  <si>
    <t>C&amp;D Caddy Upgrade-Tues the caddy drops; have people ready</t>
  </si>
  <si>
    <t>Need A&amp;B gnatt chart</t>
  </si>
  <si>
    <t xml:space="preserve">Monday Forklift Training - WRM Assets - Re-locate and awaiting date to start the inventory </t>
  </si>
  <si>
    <t>0700 to 1800</t>
  </si>
  <si>
    <t>Aircraft deoderant</t>
  </si>
  <si>
    <t>8 boxes</t>
  </si>
  <si>
    <t>Grit bar soap</t>
  </si>
  <si>
    <t>17 boxes</t>
  </si>
  <si>
    <t>General puporse detergent</t>
  </si>
  <si>
    <t>Scouring power</t>
  </si>
  <si>
    <t>12 boxes</t>
  </si>
  <si>
    <t>Disinfectant liquid cleaner</t>
  </si>
  <si>
    <t>22 boxes</t>
  </si>
  <si>
    <t>Germicidal detergent</t>
  </si>
  <si>
    <t>13 boxes</t>
  </si>
  <si>
    <t>Grab n Go, Saudi Gate and Ops town buffalos need to be filled,  they are 10% and 15% respectively.</t>
  </si>
  <si>
    <t>35 boxes</t>
  </si>
  <si>
    <t>Safety Brief - Be ready for Mondays</t>
  </si>
  <si>
    <t>Water Leak Log - need work orders created to start planning the fixes on these</t>
  </si>
  <si>
    <t>Meet with leads before and after each shift if I am here</t>
  </si>
  <si>
    <t>Above Normal Levels - 2.0 to 5.0</t>
  </si>
  <si>
    <t>Normal Levels - 0.5 to 2.0</t>
  </si>
  <si>
    <t>Low Levels - 0.0 to 0.49</t>
  </si>
  <si>
    <t>Alarming Levels - Over 5.0</t>
  </si>
  <si>
    <t>4" coupling leaking on outlet side of tanks</t>
  </si>
  <si>
    <t>Valve leaking leading from main line to F Block</t>
  </si>
  <si>
    <t>Thermal Injury Prevention</t>
  </si>
  <si>
    <t>C201</t>
  </si>
  <si>
    <t>Supply pump constatnly running</t>
  </si>
  <si>
    <t>Washer 5-10 not draining</t>
  </si>
  <si>
    <t>Replaced discharge pump</t>
  </si>
  <si>
    <t>Spigot at the Saudi North Gate buffalo constantly leaks.</t>
  </si>
  <si>
    <t>Reasons for inactive</t>
  </si>
  <si>
    <t>Fixtures</t>
  </si>
  <si>
    <t>2 Dryers</t>
  </si>
  <si>
    <t>Report to HVAC for MX</t>
  </si>
  <si>
    <t>Last Name</t>
  </si>
  <si>
    <t>8 Shower Heads</t>
  </si>
  <si>
    <t>Need to order shower heads</t>
  </si>
  <si>
    <t>Washer 2 solenoids inop</t>
  </si>
  <si>
    <t>Replaced washer</t>
  </si>
  <si>
    <t>Marshall/Gonzalez</t>
  </si>
  <si>
    <t>J block</t>
  </si>
  <si>
    <t xml:space="preserve">Lift station bump clogged w wipes </t>
  </si>
  <si>
    <t>Marshall/gonzalez</t>
  </si>
  <si>
    <t>Sink Clogged</t>
  </si>
  <si>
    <t>Flushed out drain lines</t>
  </si>
  <si>
    <t>G/H</t>
  </si>
  <si>
    <t>Set Up Shower Bicon</t>
  </si>
  <si>
    <t>Build Manifold for Davey Pump</t>
  </si>
  <si>
    <t>Build Manifold/various PVC parts</t>
  </si>
  <si>
    <t>Still no reading in H block.  Still reads a zero.</t>
  </si>
  <si>
    <t>C Laundry</t>
  </si>
  <si>
    <t>Urinal handle cap missing</t>
  </si>
  <si>
    <t>replaced with cap from female bicon</t>
  </si>
  <si>
    <t>Washer 3 slow fill</t>
  </si>
  <si>
    <t>Washer 4 overflowed</t>
  </si>
  <si>
    <t>Switched leads on solenoid</t>
  </si>
  <si>
    <t>Fields/Murpy/Landell</t>
  </si>
  <si>
    <t>B1611</t>
  </si>
  <si>
    <t>D110</t>
  </si>
  <si>
    <t>Water leak from ejector pump</t>
  </si>
  <si>
    <t>Unkinked outlet drain line</t>
  </si>
  <si>
    <t>Washer 7 doesn't rinse</t>
  </si>
  <si>
    <t>A102</t>
  </si>
  <si>
    <t>Urinal constantly running</t>
  </si>
  <si>
    <t>Loosened set screw</t>
  </si>
  <si>
    <t>E Laundry</t>
  </si>
  <si>
    <t>Washer 6 low flow</t>
  </si>
  <si>
    <t>D105</t>
  </si>
  <si>
    <t>Tailpiece unseated</t>
  </si>
  <si>
    <t>Seated tailpiece</t>
  </si>
  <si>
    <t>Washer 9 overflowed</t>
  </si>
  <si>
    <t>Reset fuse on circuit breaker and switched solenoid leads</t>
  </si>
  <si>
    <t>Washer 4 leaking from drain</t>
  </si>
  <si>
    <t>Replaced hose clamp</t>
  </si>
  <si>
    <t>Washer 6&amp;7 strainer clogged</t>
  </si>
  <si>
    <t xml:space="preserve">Cleaned strainers </t>
  </si>
  <si>
    <t>D bi con</t>
  </si>
  <si>
    <t>Shower ejector station backing up</t>
  </si>
  <si>
    <t>Cleaned pump of blockages</t>
  </si>
  <si>
    <t>Ops Town DFAC CL2 level needs to be brought up.</t>
  </si>
  <si>
    <t>B1617</t>
  </si>
  <si>
    <t>Washer 9 no water</t>
  </si>
  <si>
    <t>Washer 4 does not drain</t>
  </si>
  <si>
    <t>Repalce solenoid valve</t>
  </si>
  <si>
    <t>n</t>
  </si>
  <si>
    <t>G/H ECP CL2 levels needs to be brought up</t>
  </si>
  <si>
    <t>Cleaned all washer strainer/CV</t>
  </si>
  <si>
    <r>
      <rPr>
        <b/>
        <sz val="16"/>
        <color theme="1"/>
        <rFont val="Times New Roman"/>
        <family val="1"/>
      </rPr>
      <t>Install BICONs for G/H Block</t>
    </r>
    <r>
      <rPr>
        <sz val="16"/>
        <color theme="1"/>
        <rFont val="Times New Roman"/>
        <family val="1"/>
      </rPr>
      <t xml:space="preserve">
Install 4 Shower Units (24 shower heads) and 4 Latrines (24 toilets); used for quarantine areas for COVID-19</t>
    </r>
  </si>
  <si>
    <t>*Pre-construction Phase - Completed: Emptied bladders, closed facilities 
*Construction Phase - Working: Awaiting approval, remove wrm assets
*Sanitized FD Latrine Tanks - 13 Apr</t>
  </si>
  <si>
    <r>
      <t xml:space="preserve">Install lateral water and sewer main to K9 Area (North Camp)
</t>
    </r>
    <r>
      <rPr>
        <sz val="16"/>
        <rFont val="Times New Roman"/>
        <family val="1"/>
      </rPr>
      <t>Install a water and sewer line from E/F blocks up north to K9 area for a trailer</t>
    </r>
  </si>
  <si>
    <r>
      <t xml:space="preserve">Install and connect the Dual Pump Station
</t>
    </r>
    <r>
      <rPr>
        <sz val="16"/>
        <rFont val="Times New Roman"/>
        <family val="1"/>
      </rPr>
      <t>Install and connect the DPS system to the main water line to act as a booster station</t>
    </r>
  </si>
  <si>
    <t>Washer 10 not draining</t>
  </si>
  <si>
    <t>open drain valve to pump/Function Check</t>
  </si>
  <si>
    <t>Tested DFAC at 1400 and got a 2.6</t>
  </si>
  <si>
    <t xml:space="preserve">Chlorine </t>
  </si>
  <si>
    <t>Inventory - Ensure we get with the lock combo personnel to update spreadsheets</t>
  </si>
  <si>
    <t>I&amp;J Block - buildout BICONs</t>
  </si>
  <si>
    <t>Shop cleaning - complete daily or no on leaves for the day until it is done</t>
  </si>
  <si>
    <t xml:space="preserve">c laundry </t>
  </si>
  <si>
    <t xml:space="preserve">unclogged strainer </t>
  </si>
  <si>
    <t>marshall/mckee</t>
  </si>
  <si>
    <t>Tightened tailpiece</t>
  </si>
  <si>
    <t>ross/marshall</t>
  </si>
  <si>
    <t xml:space="preserve">Washer 8 no spin cycle </t>
  </si>
  <si>
    <t>B1665</t>
  </si>
  <si>
    <t>Saudi Gate buffalo needs to be filled.  Ops town DEFAC CL2 level needs to be brought up.</t>
  </si>
  <si>
    <t>Notice dropping of CL2 in block probably due to no usage.</t>
  </si>
  <si>
    <t>F116</t>
  </si>
  <si>
    <t>B1742</t>
  </si>
  <si>
    <t>toilet broken/leaking water</t>
  </si>
  <si>
    <t>Replaced spud gasket</t>
  </si>
  <si>
    <t>Flushed debris out of faucet</t>
  </si>
  <si>
    <t>Faucet constantly running</t>
  </si>
  <si>
    <t>B1746</t>
  </si>
  <si>
    <t>D205</t>
  </si>
  <si>
    <t>Per public affairs email, the blocks in the quaratine areas are off limits.</t>
  </si>
  <si>
    <t>1" 45</t>
  </si>
  <si>
    <t>1" Union</t>
  </si>
  <si>
    <t>1" T</t>
  </si>
  <si>
    <t>1" Coupling</t>
  </si>
  <si>
    <t>1" Ball Valve</t>
  </si>
  <si>
    <t>1 1/4" T</t>
  </si>
  <si>
    <t>1 1/4" Plug</t>
  </si>
  <si>
    <t>1 1/2" 45</t>
  </si>
  <si>
    <t>1 1/2" Male Adapter</t>
  </si>
  <si>
    <t>1 1/2" Female Adapter</t>
  </si>
  <si>
    <t xml:space="preserve">1 1/2" Union </t>
  </si>
  <si>
    <t>1 1/2" T</t>
  </si>
  <si>
    <t>1 1/2" Coupling</t>
  </si>
  <si>
    <t>1/2" Union</t>
  </si>
  <si>
    <t>3/4" Female adapter</t>
  </si>
  <si>
    <t>1 1/2" Ball Valve</t>
  </si>
  <si>
    <t>1 1/2" Union Ball Valve</t>
  </si>
  <si>
    <t>1 1/2" No Hub Coupling</t>
  </si>
  <si>
    <t>1 1/2" Plug</t>
  </si>
  <si>
    <t>2" x 1 1/4" Reducer</t>
  </si>
  <si>
    <t>2" 45</t>
  </si>
  <si>
    <t>2" x 1 3/4" Reducer</t>
  </si>
  <si>
    <t>2" Male Adapter</t>
  </si>
  <si>
    <t>2" Female Adapter</t>
  </si>
  <si>
    <t>2" Brass Female Adapter</t>
  </si>
  <si>
    <t>2" T</t>
  </si>
  <si>
    <t>2" Coupling</t>
  </si>
  <si>
    <t>2" Union</t>
  </si>
  <si>
    <t>2" Ball Valve</t>
  </si>
  <si>
    <t>1/2" Female Adapter PVC</t>
  </si>
  <si>
    <t>1/2" 90 degree Elbow PVC</t>
  </si>
  <si>
    <t>3/4" Union PVC</t>
  </si>
  <si>
    <t>1/2" Tee PVC</t>
  </si>
  <si>
    <t xml:space="preserve">1/2" 45 degree Elbow PVC </t>
  </si>
  <si>
    <t>1 1/4" Coupling PVC</t>
  </si>
  <si>
    <t>1/2" Male Adapter PVC</t>
  </si>
  <si>
    <t>1/2" Coupling PVC</t>
  </si>
  <si>
    <t>1" 90 degree Elbow PVC</t>
  </si>
  <si>
    <t>1" x 1/2" Reducer PVC</t>
  </si>
  <si>
    <t>3/4" Male Adapter</t>
  </si>
  <si>
    <t>3/4" Extension PVC w/ Brass</t>
  </si>
  <si>
    <t>3/4" Tee PVC</t>
  </si>
  <si>
    <t>3/4" Coupling PVC</t>
  </si>
  <si>
    <t>1 1/4" Extension PVC w/ Brass</t>
  </si>
  <si>
    <t>1 1/2 x 3/4 Bushing PVC</t>
  </si>
  <si>
    <t>1 1/4 Tee PVC</t>
  </si>
  <si>
    <t>1" Male Adapter PVC</t>
  </si>
  <si>
    <t>2" Extension PVC w/ Brass</t>
  </si>
  <si>
    <t>1 1/4" x 1 1/4" Socket PVC w/ Brass</t>
  </si>
  <si>
    <t>2" x 1" Reducer PVC</t>
  </si>
  <si>
    <t>1 1/2" Elbow 90 degree PVC</t>
  </si>
  <si>
    <t>1 1/2" Male Adapter PVC</t>
  </si>
  <si>
    <t>1" Threaded Plug PVC</t>
  </si>
  <si>
    <t>2" x 1 1/2" Reducer PVC</t>
  </si>
  <si>
    <t>1" x 1 1/2" Union PVC</t>
  </si>
  <si>
    <t>2" Threaded Cap PVC</t>
  </si>
  <si>
    <t>1" x 1/4" Male Adapter PVC</t>
  </si>
  <si>
    <t>1 1/2" Plug PVC</t>
  </si>
  <si>
    <t>3/4" x 3/4" Female Adapter PVC w/ Brass</t>
  </si>
  <si>
    <t>2" Elbow PVC</t>
  </si>
  <si>
    <t>1/2" Plug PVC</t>
  </si>
  <si>
    <t>1 1/2" x 3/4" Bushing PVC</t>
  </si>
  <si>
    <t>1 1/2" 45 degree Elbow PVC</t>
  </si>
  <si>
    <t>2" x 1" Adapter PVC</t>
  </si>
  <si>
    <t>4" Coupling</t>
  </si>
  <si>
    <t>4 x 2" Reducer</t>
  </si>
  <si>
    <t>4" Wye</t>
  </si>
  <si>
    <t>4" 45</t>
  </si>
  <si>
    <t>4" cap Sch. 40</t>
  </si>
  <si>
    <t>4" Male Adapter Sch. 40</t>
  </si>
  <si>
    <t>4" Coupling Sch. 40</t>
  </si>
  <si>
    <t>4 x 2" Reducer Sch. 40</t>
  </si>
  <si>
    <t>4" Clean out 90 Sch. 40</t>
  </si>
  <si>
    <t>4" Wye Sch. 40</t>
  </si>
  <si>
    <t>4" Plug Sch. 40</t>
  </si>
  <si>
    <t>4" 45 Sch. 40</t>
  </si>
  <si>
    <t>4" 90 Sch. 40</t>
  </si>
  <si>
    <t>3" 90</t>
  </si>
  <si>
    <t>3" 45</t>
  </si>
  <si>
    <t>3" Female Adapter</t>
  </si>
  <si>
    <t>3" Union</t>
  </si>
  <si>
    <t xml:space="preserve">3 x 2" Reducer </t>
  </si>
  <si>
    <t>3" Plug</t>
  </si>
  <si>
    <t>3" Coupling</t>
  </si>
  <si>
    <t>3" Ball Valve</t>
  </si>
  <si>
    <t>4" T</t>
  </si>
  <si>
    <t>4" Ball Valve</t>
  </si>
  <si>
    <t>4" Union Valve</t>
  </si>
  <si>
    <t>4" 90</t>
  </si>
  <si>
    <t xml:space="preserve">4" Union  </t>
  </si>
  <si>
    <t xml:space="preserve">4" Plug </t>
  </si>
  <si>
    <t xml:space="preserve">Front </t>
  </si>
  <si>
    <t xml:space="preserve">    Front </t>
  </si>
  <si>
    <t xml:space="preserve">4X4 male Adapters </t>
  </si>
  <si>
    <t xml:space="preserve">HighMax </t>
  </si>
  <si>
    <t xml:space="preserve">4" Female Coupling </t>
  </si>
  <si>
    <t xml:space="preserve">4X2 Reducing  Bushing </t>
  </si>
  <si>
    <t xml:space="preserve">1 inch/1 1/2 inch- reducer </t>
  </si>
  <si>
    <t>Bladder vents</t>
  </si>
  <si>
    <r>
      <rPr>
        <b/>
        <sz val="11"/>
        <color theme="1"/>
        <rFont val="Calibri"/>
        <family val="2"/>
        <scheme val="minor"/>
      </rPr>
      <t>4X4 inch-</t>
    </r>
    <r>
      <rPr>
        <sz val="11"/>
        <color theme="1"/>
        <rFont val="Calibri"/>
        <family val="2"/>
        <scheme val="minor"/>
      </rPr>
      <t xml:space="preserve"> male Adapters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</si>
  <si>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HighMax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</si>
  <si>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Female Coupling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</si>
  <si>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90</t>
    </r>
  </si>
  <si>
    <r>
      <rPr>
        <b/>
        <sz val="11"/>
        <color theme="1"/>
        <rFont val="Calibri"/>
        <family val="2"/>
        <scheme val="minor"/>
      </rPr>
      <t>4X2 inch-</t>
    </r>
    <r>
      <rPr>
        <sz val="11"/>
        <color theme="1"/>
        <rFont val="Calibri"/>
        <family val="2"/>
        <scheme val="minor"/>
      </rPr>
      <t xml:space="preserve"> Reducing  Bushing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</si>
  <si>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Ball Valve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</si>
  <si>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Check Valve </t>
    </r>
  </si>
  <si>
    <r>
      <t xml:space="preserve"> </t>
    </r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Ball valve </t>
    </r>
  </si>
  <si>
    <r>
      <rPr>
        <b/>
        <sz val="11"/>
        <color theme="1"/>
        <rFont val="Calibri"/>
        <family val="2"/>
        <scheme val="minor"/>
      </rPr>
      <t>1 inch-</t>
    </r>
    <r>
      <rPr>
        <sz val="11"/>
        <color theme="1"/>
        <rFont val="Calibri"/>
        <family val="2"/>
        <scheme val="minor"/>
      </rPr>
      <t xml:space="preserve"> male to male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</si>
  <si>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female to female kamlock adapter </t>
    </r>
  </si>
  <si>
    <r>
      <rPr>
        <b/>
        <sz val="11"/>
        <color theme="1"/>
        <rFont val="Calibri"/>
        <family val="2"/>
        <scheme val="minor"/>
      </rPr>
      <t xml:space="preserve">3/4 inch- </t>
    </r>
    <r>
      <rPr>
        <sz val="11"/>
        <color theme="1"/>
        <rFont val="Calibri"/>
        <family val="2"/>
        <scheme val="minor"/>
      </rPr>
      <t xml:space="preserve">male to male 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</si>
  <si>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</si>
  <si>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male adapter </t>
    </r>
  </si>
  <si>
    <r>
      <rPr>
        <b/>
        <sz val="11"/>
        <color theme="1"/>
        <rFont val="Calibri"/>
        <family val="2"/>
        <scheme val="minor"/>
      </rPr>
      <t xml:space="preserve">1 1/2 inch- </t>
    </r>
    <r>
      <rPr>
        <sz val="11"/>
        <color theme="1"/>
        <rFont val="Calibri"/>
        <family val="2"/>
        <scheme val="minor"/>
      </rPr>
      <t xml:space="preserve">male kamlock adapter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</si>
  <si>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</si>
  <si>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>1 1/4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</si>
  <si>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female coupler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</si>
  <si>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spud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</si>
  <si>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brass check valves </t>
    </r>
  </si>
  <si>
    <r>
      <rPr>
        <b/>
        <sz val="11"/>
        <color theme="1"/>
        <rFont val="Calibri"/>
        <family val="2"/>
        <scheme val="minor"/>
      </rPr>
      <t>1 1/4 inch-</t>
    </r>
    <r>
      <rPr>
        <sz val="11"/>
        <color theme="1"/>
        <rFont val="Calibri"/>
        <family val="2"/>
        <scheme val="minor"/>
      </rPr>
      <t xml:space="preserve"> Check valve </t>
    </r>
  </si>
  <si>
    <r>
      <rPr>
        <b/>
        <sz val="11"/>
        <color theme="1"/>
        <rFont val="Calibri"/>
        <family val="2"/>
        <scheme val="minor"/>
      </rPr>
      <t>1/2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</si>
  <si>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Gate Valves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</si>
  <si>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</si>
  <si>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female/male end kamlock adapter </t>
    </r>
  </si>
  <si>
    <r>
      <rPr>
        <b/>
        <sz val="11"/>
        <color theme="1"/>
        <rFont val="Calibri"/>
        <family val="2"/>
        <scheme val="minor"/>
      </rPr>
      <t>2 inch/3 inch-</t>
    </r>
    <r>
      <rPr>
        <sz val="11"/>
        <color theme="1"/>
        <rFont val="Calibri"/>
        <family val="2"/>
        <scheme val="minor"/>
      </rPr>
      <t xml:space="preserve"> male reducer </t>
    </r>
  </si>
  <si>
    <r>
      <rPr>
        <b/>
        <sz val="11"/>
        <color theme="1"/>
        <rFont val="Calibri"/>
        <family val="2"/>
        <scheme val="minor"/>
      </rPr>
      <t xml:space="preserve">2 inch/3/4 inch- </t>
    </r>
    <r>
      <rPr>
        <sz val="11"/>
        <color theme="1"/>
        <rFont val="Calibri"/>
        <family val="2"/>
        <scheme val="minor"/>
      </rPr>
      <t xml:space="preserve">male reducer </t>
    </r>
  </si>
  <si>
    <r>
      <rPr>
        <b/>
        <sz val="11"/>
        <color theme="1"/>
        <rFont val="Calibri"/>
        <family val="2"/>
        <scheme val="minor"/>
      </rPr>
      <t xml:space="preserve">2 inch female/1 inch- </t>
    </r>
    <r>
      <rPr>
        <sz val="11"/>
        <color theme="1"/>
        <rFont val="Calibri"/>
        <family val="2"/>
        <scheme val="minor"/>
      </rPr>
      <t xml:space="preserve">male reducer </t>
    </r>
  </si>
  <si>
    <r>
      <rPr>
        <b/>
        <sz val="11"/>
        <color theme="1"/>
        <rFont val="Calibri"/>
        <family val="2"/>
        <scheme val="minor"/>
      </rPr>
      <t>1 1/2 inch/1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</si>
  <si>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>2 inch female/1/2 inch-</t>
    </r>
    <r>
      <rPr>
        <sz val="11"/>
        <color theme="1"/>
        <rFont val="Calibri"/>
        <family val="2"/>
        <scheme val="minor"/>
      </rPr>
      <t xml:space="preserve"> male reducer 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</si>
  <si>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bib faucet </t>
    </r>
  </si>
  <si>
    <r>
      <rPr>
        <b/>
        <sz val="11"/>
        <color theme="1"/>
        <rFont val="Calibri"/>
        <family val="2"/>
        <scheme val="minor"/>
      </rPr>
      <t>2 inch/1 1/2 inch-</t>
    </r>
    <r>
      <rPr>
        <sz val="11"/>
        <color theme="1"/>
        <rFont val="Calibri"/>
        <family val="2"/>
        <scheme val="minor"/>
      </rPr>
      <t xml:space="preserve"> reducer </t>
    </r>
  </si>
  <si>
    <r>
      <rPr>
        <b/>
        <sz val="11"/>
        <color theme="1"/>
        <rFont val="Calibri"/>
        <family val="2"/>
        <scheme val="minor"/>
      </rPr>
      <t xml:space="preserve">1 1/2 inch/2 inch- </t>
    </r>
    <r>
      <rPr>
        <sz val="11"/>
        <color theme="1"/>
        <rFont val="Calibri"/>
        <family val="2"/>
        <scheme val="minor"/>
      </rPr>
      <t xml:space="preserve">swivel female reducer </t>
    </r>
  </si>
  <si>
    <r>
      <rPr>
        <b/>
        <sz val="11"/>
        <color theme="1"/>
        <rFont val="Calibri"/>
        <family val="2"/>
        <scheme val="minor"/>
      </rPr>
      <t>2 inch/1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</si>
  <si>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 xml:space="preserve">4 inch/2 inch- </t>
    </r>
    <r>
      <rPr>
        <sz val="11"/>
        <color theme="1"/>
        <rFont val="Calibri"/>
        <family val="2"/>
        <scheme val="minor"/>
      </rPr>
      <t xml:space="preserve">female reducer </t>
    </r>
  </si>
  <si>
    <r>
      <rPr>
        <b/>
        <sz val="11"/>
        <color theme="1"/>
        <rFont val="Calibri"/>
        <family val="2"/>
        <scheme val="minor"/>
      </rPr>
      <t>4 inch/3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</si>
  <si>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ball valve with part B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</si>
  <si>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ball valve with assy </t>
    </r>
  </si>
  <si>
    <r>
      <rPr>
        <b/>
        <sz val="11"/>
        <color theme="1"/>
        <rFont val="Calibri"/>
        <family val="2"/>
        <scheme val="minor"/>
      </rPr>
      <t>4 inch female/1 1/2 inch-</t>
    </r>
    <r>
      <rPr>
        <sz val="11"/>
        <color theme="1"/>
        <rFont val="Calibri"/>
        <family val="2"/>
        <scheme val="minor"/>
      </rPr>
      <t xml:space="preserve"> male reducer</t>
    </r>
  </si>
  <si>
    <r>
      <rPr>
        <b/>
        <sz val="11"/>
        <color theme="1"/>
        <rFont val="Calibri"/>
        <family val="2"/>
        <scheme val="minor"/>
      </rPr>
      <t xml:space="preserve">4 inch female/2 inch- </t>
    </r>
    <r>
      <rPr>
        <sz val="11"/>
        <color theme="1"/>
        <rFont val="Calibri"/>
        <family val="2"/>
        <scheme val="minor"/>
      </rPr>
      <t>male reducer</t>
    </r>
  </si>
  <si>
    <r>
      <rPr>
        <b/>
        <sz val="11"/>
        <color theme="1"/>
        <rFont val="Calibri"/>
        <family val="2"/>
        <scheme val="minor"/>
      </rPr>
      <t>4 inch female/3 inch-</t>
    </r>
    <r>
      <rPr>
        <sz val="11"/>
        <color theme="1"/>
        <rFont val="Calibri"/>
        <family val="2"/>
        <scheme val="minor"/>
      </rPr>
      <t xml:space="preserve"> reducer male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</si>
  <si>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male kamlock fitting with threads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</si>
  <si>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male kamlock fitting with female threads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</si>
  <si>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female kamlock fitting with female threads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</si>
  <si>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ball valves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</si>
  <si>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</si>
  <si>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caps (in pink bag)</t>
    </r>
  </si>
  <si>
    <r>
      <rPr>
        <b/>
        <sz val="11"/>
        <color theme="1"/>
        <rFont val="Calibri"/>
        <family val="2"/>
        <scheme val="minor"/>
      </rPr>
      <t xml:space="preserve">1 inch- </t>
    </r>
    <r>
      <rPr>
        <sz val="11"/>
        <color theme="1"/>
        <rFont val="Calibri"/>
        <family val="2"/>
        <scheme val="minor"/>
      </rPr>
      <t>caps (in pink bag)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</si>
  <si>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female/ male thread kamlock adapter </t>
    </r>
  </si>
  <si>
    <r>
      <rPr>
        <b/>
        <sz val="11"/>
        <color theme="1"/>
        <rFont val="Calibri"/>
        <family val="2"/>
        <scheme val="minor"/>
      </rPr>
      <t>4 inch/4inch-</t>
    </r>
    <r>
      <rPr>
        <sz val="11"/>
        <color theme="1"/>
        <rFont val="Calibri"/>
        <family val="2"/>
        <scheme val="minor"/>
      </rPr>
      <t xml:space="preserve"> male adapter </t>
    </r>
  </si>
  <si>
    <r>
      <rPr>
        <b/>
        <sz val="11"/>
        <color theme="1"/>
        <rFont val="Calibri"/>
        <family val="2"/>
        <scheme val="minor"/>
      </rPr>
      <t>3/3/2 inch-</t>
    </r>
    <r>
      <rPr>
        <sz val="11"/>
        <color theme="1"/>
        <rFont val="Calibri"/>
        <family val="2"/>
        <scheme val="minor"/>
      </rPr>
      <t xml:space="preserve"> T</t>
    </r>
  </si>
  <si>
    <r>
      <rPr>
        <b/>
        <sz val="11"/>
        <color theme="1"/>
        <rFont val="Calibri"/>
        <family val="2"/>
        <scheme val="minor"/>
      </rPr>
      <t>4/4/4 inch-</t>
    </r>
    <r>
      <rPr>
        <sz val="11"/>
        <color theme="1"/>
        <rFont val="Calibri"/>
        <family val="2"/>
        <scheme val="minor"/>
      </rPr>
      <t xml:space="preserve"> T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</si>
  <si>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90 (metal)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</si>
  <si>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</si>
  <si>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4 inch male/4 inch- f</t>
    </r>
    <r>
      <rPr>
        <sz val="11"/>
        <color theme="1"/>
        <rFont val="Calibri"/>
        <family val="2"/>
        <scheme val="minor"/>
      </rPr>
      <t xml:space="preserve">emale 90 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</si>
  <si>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plugs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</si>
  <si>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caps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</si>
  <si>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</si>
  <si>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</si>
  <si>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>2/2/2 inch-</t>
    </r>
    <r>
      <rPr>
        <sz val="11"/>
        <color theme="1"/>
        <rFont val="Calibri"/>
        <family val="2"/>
        <scheme val="minor"/>
      </rPr>
      <t xml:space="preserve"> male T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</si>
  <si>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male adapter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</si>
  <si>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coupler</t>
    </r>
  </si>
  <si>
    <r>
      <rPr>
        <b/>
        <sz val="11"/>
        <color theme="1"/>
        <rFont val="Calibri"/>
        <family val="2"/>
        <scheme val="minor"/>
      </rPr>
      <t>3 inch/4 inch-</t>
    </r>
    <r>
      <rPr>
        <sz val="11"/>
        <color theme="1"/>
        <rFont val="Calibri"/>
        <family val="2"/>
        <scheme val="minor"/>
      </rPr>
      <t xml:space="preserve"> female coupler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</si>
  <si>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thread coupler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</si>
  <si>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cap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</si>
  <si>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kamlock ball valve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</si>
  <si>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male kamlock/4 inch female threads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</si>
  <si>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female kamlock/4 inch female threads 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</si>
  <si>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male kamlock/4 inch male threads 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</si>
  <si>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male kamlock/hose clamp connection </t>
    </r>
  </si>
  <si>
    <t>F laundry</t>
  </si>
  <si>
    <t>Ops DFAC</t>
  </si>
  <si>
    <t>Washer 9 slow fill</t>
  </si>
  <si>
    <t>Cleaned filter</t>
  </si>
  <si>
    <t>replaced 2'' waste line</t>
  </si>
  <si>
    <t>Broken drain hose</t>
  </si>
  <si>
    <t>B1760</t>
  </si>
  <si>
    <t>B1757</t>
  </si>
  <si>
    <t>Washer 2 and 10 not draining</t>
  </si>
  <si>
    <t>replaced washer 2, 10 had no issue</t>
  </si>
  <si>
    <t>F110</t>
  </si>
  <si>
    <t>B1764</t>
  </si>
  <si>
    <t>Clogged urinals</t>
  </si>
  <si>
    <t>Cleaned P-Traps</t>
  </si>
  <si>
    <t>Dickerson/King/Schatz</t>
  </si>
  <si>
    <t>F111</t>
  </si>
  <si>
    <t>B1763</t>
  </si>
  <si>
    <t>leak between sink/shower</t>
  </si>
  <si>
    <t>Function Checked/No Issues, water leaking past shower curtain onto floor</t>
  </si>
  <si>
    <t>ISU 90 Box Dividers</t>
  </si>
  <si>
    <t>Laundry Pump</t>
  </si>
  <si>
    <t>Latrine Pump</t>
  </si>
  <si>
    <t>Collapisble Fabric Tank Repair Kit</t>
  </si>
  <si>
    <t>115lbs Filing Cabinet (Safes)</t>
  </si>
  <si>
    <t xml:space="preserve">1.5" Semi Hardwall Potable Water Hose (Inop) </t>
  </si>
  <si>
    <t>10" Ball Floats</t>
  </si>
  <si>
    <t>2" Brass Float Valves</t>
  </si>
  <si>
    <t>2" Semi Hardwall Waste Hose (Male Adapter MIA)</t>
  </si>
  <si>
    <t>Discharge Diaphragm</t>
  </si>
  <si>
    <t>Mixing Valve/Shower Pump Assy</t>
  </si>
  <si>
    <t>Motor Starter</t>
  </si>
  <si>
    <t>Electromag Relay</t>
  </si>
  <si>
    <t>3K Gal Bladder</t>
  </si>
  <si>
    <t>Spare Fuel Igniter (M80 Boiler)</t>
  </si>
  <si>
    <t>Circuit Card Assy</t>
  </si>
  <si>
    <t>Temperature Controlers (M80 Boiler)</t>
  </si>
  <si>
    <t>1/4" Pressure Gauge</t>
  </si>
  <si>
    <t xml:space="preserve">5/8" Thermometer, Bimetallic </t>
  </si>
  <si>
    <t>1.5" Semi Hard Potable H2O Hose  (Male Adapter MIA)</t>
  </si>
  <si>
    <t>Terminal Box</t>
  </si>
  <si>
    <t>3/8" Fluid Filter</t>
  </si>
  <si>
    <t>Electrode Holder</t>
  </si>
  <si>
    <t>1/2" Relief Valve (M80 Boiler)</t>
  </si>
  <si>
    <t>Angle Valve, Chicago Push Faucet</t>
  </si>
  <si>
    <t>B1767</t>
  </si>
  <si>
    <t>Washer 10 overflow</t>
  </si>
  <si>
    <t>Replace solenoid</t>
  </si>
  <si>
    <t>Washer 5 overflow</t>
  </si>
  <si>
    <t xml:space="preserve">     Front</t>
  </si>
  <si>
    <t xml:space="preserve">     Front </t>
  </si>
  <si>
    <t>100ft Cables</t>
  </si>
  <si>
    <t>PDP's</t>
  </si>
  <si>
    <t>SSS Tents</t>
  </si>
  <si>
    <t>Trash cans</t>
  </si>
  <si>
    <t xml:space="preserve">     Back</t>
  </si>
  <si>
    <t>3K Bladder</t>
  </si>
  <si>
    <t>Bladder stand alone kit</t>
  </si>
  <si>
    <t>1" hot water hose</t>
  </si>
  <si>
    <t>1"x1.5" latrine supply hose</t>
  </si>
  <si>
    <t>1" shower supply hose</t>
  </si>
  <si>
    <t>2" waste hose</t>
  </si>
  <si>
    <t>1" PRV</t>
  </si>
  <si>
    <t>shower pan sets</t>
  </si>
  <si>
    <t>Shower head sets</t>
  </si>
  <si>
    <t>shower pans</t>
  </si>
  <si>
    <t>sinks</t>
  </si>
  <si>
    <t>Mirrors</t>
  </si>
  <si>
    <t>fuel berral</t>
  </si>
  <si>
    <t>Ext cord</t>
  </si>
  <si>
    <t>ext cord 20 Amp</t>
  </si>
  <si>
    <t>Shower pans</t>
  </si>
  <si>
    <t>Sinks</t>
  </si>
  <si>
    <t>1.5" waste hose</t>
  </si>
  <si>
    <t>100' Cables</t>
  </si>
  <si>
    <t>3K Bladder stand alone kit</t>
  </si>
  <si>
    <t>1.5" hot hose</t>
  </si>
  <si>
    <t>1" supply hose</t>
  </si>
  <si>
    <t>3/4" Garden hose with wand</t>
  </si>
  <si>
    <t>Fuel hoses</t>
  </si>
  <si>
    <t>3K bladder</t>
  </si>
  <si>
    <t>Waste Pump</t>
  </si>
  <si>
    <t>Toilet</t>
  </si>
  <si>
    <t>Shower pan sets</t>
  </si>
  <si>
    <t>Sink Sets</t>
  </si>
  <si>
    <t>2" 50 ft hose</t>
  </si>
  <si>
    <t xml:space="preserve">2" 8 ft hose </t>
  </si>
  <si>
    <t>2" 25 ft hose</t>
  </si>
  <si>
    <t>4" 15 ft hose</t>
  </si>
  <si>
    <t>1/2" hose worm clamp</t>
  </si>
  <si>
    <t>2" female quick disconnect</t>
  </si>
  <si>
    <t>3/4" 100 ft bandit stanless steel</t>
  </si>
  <si>
    <t xml:space="preserve">3/4" bandit stanless steel buckles </t>
  </si>
  <si>
    <t>hose bridge ramps</t>
  </si>
  <si>
    <t xml:space="preserve">2" 100 ft softwall hose </t>
  </si>
  <si>
    <t xml:space="preserve">3/4" 50 ft garden hose </t>
  </si>
  <si>
    <t>125 GPM diesel pump</t>
  </si>
  <si>
    <t>bandit tool</t>
  </si>
  <si>
    <t>4" ball valve</t>
  </si>
  <si>
    <t>Back</t>
  </si>
  <si>
    <t>Table</t>
  </si>
  <si>
    <t>Washing Machine</t>
  </si>
  <si>
    <t>Drain pump</t>
  </si>
  <si>
    <t>Dryer set</t>
  </si>
  <si>
    <t>Water Heater</t>
  </si>
  <si>
    <t>1 1/2" Gate Valve</t>
  </si>
  <si>
    <t>2" Check Valve</t>
  </si>
  <si>
    <t>2" x 1" Reducer</t>
  </si>
  <si>
    <t>2" Gate Valve</t>
  </si>
  <si>
    <t>Tent Windows</t>
  </si>
  <si>
    <t>Liner</t>
  </si>
  <si>
    <t>Hvac Duct</t>
  </si>
  <si>
    <t>Wast Water Mixing System</t>
  </si>
  <si>
    <t>4" Male Camlock</t>
  </si>
  <si>
    <t>4" Female Camlock</t>
  </si>
  <si>
    <t>4" Camlock Ball Valve</t>
  </si>
  <si>
    <t>4" Camlock Elbow</t>
  </si>
  <si>
    <t>20K Bladder</t>
  </si>
  <si>
    <t>Pump Control Panel</t>
  </si>
  <si>
    <t>3" 5 ft waste hose</t>
  </si>
  <si>
    <t>25k Waste Tank Liner</t>
  </si>
  <si>
    <t>Lagoon Steak</t>
  </si>
  <si>
    <t>25k Waste Tank Cloth Liner</t>
  </si>
  <si>
    <t xml:space="preserve">3" 30 ft waste hose </t>
  </si>
  <si>
    <t>1.5" 15ft Waste Hose</t>
  </si>
  <si>
    <t>4" Male adapter</t>
  </si>
  <si>
    <t>4" Purple Stripe Ball Valve</t>
  </si>
  <si>
    <t>Double stack dryers</t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</si>
  <si>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Gate valve assy.</t>
    </r>
  </si>
  <si>
    <r>
      <rPr>
        <b/>
        <sz val="11"/>
        <color theme="1"/>
        <rFont val="Calibri"/>
        <family val="2"/>
        <scheme val="minor"/>
      </rPr>
      <t xml:space="preserve">1 1/2 inch- </t>
    </r>
    <r>
      <rPr>
        <sz val="11"/>
        <color theme="1"/>
        <rFont val="Calibri"/>
        <family val="2"/>
        <scheme val="minor"/>
      </rPr>
      <t xml:space="preserve">check valve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</si>
  <si>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check valve assy</t>
    </r>
  </si>
  <si>
    <r>
      <rPr>
        <b/>
        <sz val="11"/>
        <color theme="1"/>
        <rFont val="Calibri"/>
        <family val="2"/>
        <scheme val="minor"/>
      </rPr>
      <t xml:space="preserve">2 inch to 1 1/2 inch- </t>
    </r>
    <r>
      <rPr>
        <sz val="11"/>
        <color theme="1"/>
        <rFont val="Calibri"/>
        <family val="2"/>
        <scheme val="minor"/>
      </rPr>
      <t>reducer coupling</t>
    </r>
  </si>
  <si>
    <r>
      <rPr>
        <b/>
        <sz val="11"/>
        <color theme="1"/>
        <rFont val="Calibri"/>
        <family val="2"/>
        <scheme val="minor"/>
      </rPr>
      <t>2 inch</t>
    </r>
    <r>
      <rPr>
        <sz val="11"/>
        <color theme="1"/>
        <rFont val="Calibri"/>
        <family val="2"/>
        <scheme val="minor"/>
      </rPr>
      <t xml:space="preserve"> female kamlock to </t>
    </r>
    <r>
      <rPr>
        <b/>
        <sz val="11"/>
        <color theme="1"/>
        <rFont val="Calibri"/>
        <family val="2"/>
        <scheme val="minor"/>
      </rPr>
      <t xml:space="preserve">1 1/2 </t>
    </r>
    <r>
      <rPr>
        <sz val="11"/>
        <color theme="1"/>
        <rFont val="Calibri"/>
        <family val="2"/>
        <scheme val="minor"/>
      </rPr>
      <t>male reducer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</si>
  <si>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pvc ball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</si>
  <si>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90 elbows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</si>
  <si>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male adapters </t>
    </r>
  </si>
  <si>
    <r>
      <rPr>
        <b/>
        <sz val="11"/>
        <color theme="1"/>
        <rFont val="Calibri"/>
        <family val="2"/>
        <scheme val="minor"/>
      </rPr>
      <t xml:space="preserve">1 inch- </t>
    </r>
    <r>
      <rPr>
        <sz val="11"/>
        <color theme="1"/>
        <rFont val="Calibri"/>
        <family val="2"/>
        <scheme val="minor"/>
      </rPr>
      <t xml:space="preserve">male adapters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</si>
  <si>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45 elbows</t>
    </r>
  </si>
  <si>
    <r>
      <rPr>
        <b/>
        <sz val="11"/>
        <color theme="1"/>
        <rFont val="Calibri"/>
        <family val="2"/>
        <scheme val="minor"/>
      </rPr>
      <t>2 inch to 1 inch-</t>
    </r>
    <r>
      <rPr>
        <sz val="11"/>
        <color theme="1"/>
        <rFont val="Calibri"/>
        <family val="2"/>
        <scheme val="minor"/>
      </rPr>
      <t xml:space="preserve"> pvc reducers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</si>
  <si>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unions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</si>
  <si>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couplings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</si>
  <si>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T</t>
    </r>
  </si>
  <si>
    <t>pvc glue</t>
  </si>
  <si>
    <t xml:space="preserve">pvc cleaner </t>
  </si>
  <si>
    <t xml:space="preserve"> laundry kit</t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</si>
  <si>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water hose (Hard wall)</t>
    </r>
  </si>
  <si>
    <t>3/4 inch- water hose (Semi hardwall)</t>
  </si>
  <si>
    <t>2 inch- water hose (Semi-hardwall)</t>
  </si>
  <si>
    <t>1 1/2 inch- water hose (Semi- hardwall)</t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</si>
  <si>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water hose (Semi-hardwall)</t>
    </r>
  </si>
  <si>
    <t>1 inch-water hose (Semi hardwall)</t>
  </si>
  <si>
    <t>1 1/2 inch- water hose (Semi Hardwall)</t>
  </si>
  <si>
    <t>2 inch- water hose (Soft wall)</t>
  </si>
  <si>
    <t>laundry kit</t>
  </si>
  <si>
    <t>pvc manifolds</t>
  </si>
  <si>
    <t>Tent kit (half)</t>
  </si>
  <si>
    <t>laundry tent</t>
  </si>
  <si>
    <t>3K bladders</t>
  </si>
  <si>
    <t>Diaphragm</t>
  </si>
  <si>
    <t xml:space="preserve">Dollies </t>
  </si>
  <si>
    <t>B1787</t>
  </si>
  <si>
    <t>B1789</t>
  </si>
  <si>
    <t>Toilet leaking</t>
  </si>
  <si>
    <t>Reseated tailpiece</t>
  </si>
  <si>
    <t>Sinks clogged</t>
  </si>
  <si>
    <t>Cleared line and adjusted sump pump</t>
  </si>
  <si>
    <t>B1793</t>
  </si>
  <si>
    <t>No Water to washers</t>
  </si>
  <si>
    <t>Double Stack Dryers</t>
  </si>
  <si>
    <t>Fire Extinguisher</t>
  </si>
  <si>
    <t>Laundry Supply Pump (Good)</t>
  </si>
  <si>
    <t>Laundry Discharge Pump (Bad Diaphragm)</t>
  </si>
  <si>
    <t>Green Tables</t>
  </si>
  <si>
    <t>Washing Machine (Inop)</t>
  </si>
  <si>
    <t>4" Tunnel Connector</t>
  </si>
  <si>
    <t>4" Tunnel</t>
  </si>
  <si>
    <t>4" Hose Bridge System</t>
  </si>
  <si>
    <t xml:space="preserve">3K Bladder </t>
  </si>
  <si>
    <t>3K Bladder Repair Kit</t>
  </si>
  <si>
    <t>3" 100ft Hose</t>
  </si>
  <si>
    <t>3" 50ft Hose</t>
  </si>
  <si>
    <t>2" Pump Assembly Camlock</t>
  </si>
  <si>
    <t>2" 25ft Hose</t>
  </si>
  <si>
    <t>3/4" Male x Male Camlock</t>
  </si>
  <si>
    <t>3/4" Female x Female Camlock</t>
  </si>
  <si>
    <t>1" 25ft Hose</t>
  </si>
  <si>
    <t>3"x3"x2" T</t>
  </si>
  <si>
    <t>3" Check Valve</t>
  </si>
  <si>
    <t>3"x2" Reducer</t>
  </si>
  <si>
    <t>2"x1" Reducer</t>
  </si>
  <si>
    <t>1"x3/4" Reducer</t>
  </si>
  <si>
    <t>3" Male x Male Camlock</t>
  </si>
  <si>
    <t>3" Female x Female Camlock</t>
  </si>
  <si>
    <t>1" Male x 1" Male</t>
  </si>
  <si>
    <t>1" Female x 1" Female</t>
  </si>
  <si>
    <t>60 Amp Cords</t>
  </si>
  <si>
    <t>1 1/2" 50ft Hose</t>
  </si>
  <si>
    <t>3/4" 50ft Hose</t>
  </si>
  <si>
    <t>4" 25ft Hard Wall Hose</t>
  </si>
  <si>
    <t>Stay one day ahead on these - Silcott</t>
  </si>
  <si>
    <t>5 Showers &amp; 2 Latrines (can only supt 2 showers and 2 latrines due to supt kits)</t>
  </si>
  <si>
    <t xml:space="preserve">2 Showers &amp; 5 Latrines </t>
  </si>
  <si>
    <t>2 Kits (Supports 2 BICONs each)</t>
  </si>
  <si>
    <t>Caddy drop at C &amp; D</t>
  </si>
  <si>
    <t>Trench (one day worths) from A to C when dig permit is approved</t>
  </si>
  <si>
    <t>Workshop</t>
  </si>
  <si>
    <t>Shop Event</t>
  </si>
  <si>
    <t>Total 
(gals) 
minus Ops</t>
  </si>
  <si>
    <t>LSA Water Burn - AVG Gallons in the Last Seven Days</t>
  </si>
  <si>
    <t>LSA Wastewater - AVG Gallons in the Last Seven Days</t>
  </si>
  <si>
    <t>Inventory (Mids and Nights) need a list of chemicals quanities (not jug, but true values) and lime</t>
  </si>
  <si>
    <t xml:space="preserve">bladder </t>
  </si>
  <si>
    <t xml:space="preserve">yellow UTV ramps </t>
  </si>
  <si>
    <t xml:space="preserve">empty- moving spare part materials </t>
  </si>
  <si>
    <t xml:space="preserve">ener layer panels </t>
  </si>
  <si>
    <t>1 inch- blue pex tubing</t>
  </si>
  <si>
    <t xml:space="preserve">1/2 inch- red pex tubing </t>
  </si>
  <si>
    <t xml:space="preserve">120/208 Electrical cable </t>
  </si>
  <si>
    <t>Jump pumps</t>
  </si>
  <si>
    <t>2 inch- waste water (Semi-Hardwall</t>
  </si>
  <si>
    <t>2 inch- potable water hose (Semi-Hardwall)</t>
  </si>
  <si>
    <t>shower Privacy tent bag</t>
  </si>
  <si>
    <t xml:space="preserve">stake pullers </t>
  </si>
  <si>
    <t>tent liner</t>
  </si>
  <si>
    <t>shower privacy tent bag</t>
  </si>
  <si>
    <t>Expansion male FDL</t>
  </si>
  <si>
    <t>Water leaking from PVC tee</t>
  </si>
  <si>
    <t>Glued tee together</t>
  </si>
  <si>
    <t>Washer 9 slow drain</t>
  </si>
  <si>
    <t>Toilet Paper</t>
  </si>
  <si>
    <t>Single Fold Towels</t>
  </si>
  <si>
    <t>1.5" Semi Hard Wall Hose</t>
  </si>
  <si>
    <t>Bathroom Tissue</t>
  </si>
  <si>
    <t>Ladders</t>
  </si>
  <si>
    <t xml:space="preserve">Ener Layer Panels </t>
  </si>
  <si>
    <t>Privacy Tent Frame</t>
  </si>
  <si>
    <t>Gray Spare Bags (Parts)</t>
  </si>
  <si>
    <t>Privacy Tents</t>
  </si>
  <si>
    <t>End Panels</t>
  </si>
  <si>
    <t>Sun Flys</t>
  </si>
  <si>
    <t>Loose Tailpiece</t>
  </si>
  <si>
    <t>Tightend Tailpiece</t>
  </si>
  <si>
    <t>Low water pressure</t>
  </si>
  <si>
    <t>cleaned laundry strainer</t>
  </si>
  <si>
    <t>leaking Sink</t>
  </si>
  <si>
    <t>Tightned Seal</t>
  </si>
  <si>
    <t>Clogged Urinal</t>
  </si>
  <si>
    <t>Cleaned debris from P-Trap</t>
  </si>
  <si>
    <t>Marshall/Ross</t>
  </si>
  <si>
    <t>Repair Laundry Pump</t>
  </si>
  <si>
    <t>Install manifold onto pump</t>
  </si>
  <si>
    <t>Training  - Multimeter</t>
  </si>
  <si>
    <r>
      <rPr>
        <b/>
        <sz val="16"/>
        <color theme="1"/>
        <rFont val="Times New Roman"/>
        <family val="1"/>
      </rPr>
      <t>Install BICONs for I/J Block</t>
    </r>
    <r>
      <rPr>
        <sz val="16"/>
        <color theme="1"/>
        <rFont val="Times New Roman"/>
        <family val="1"/>
      </rPr>
      <t xml:space="preserve">
Install 4 Shower Units (24 shower heads) and 4 Latrines (24 toilets); used for quarantine areas for COVID-19</t>
    </r>
  </si>
  <si>
    <r>
      <rPr>
        <b/>
        <sz val="16"/>
        <color theme="1"/>
        <rFont val="Times New Roman"/>
        <family val="1"/>
      </rPr>
      <t xml:space="preserve">Remove Tank Farm #2
</t>
    </r>
    <r>
      <rPr>
        <sz val="16"/>
        <color theme="1"/>
        <rFont val="Times New Roman"/>
        <family val="1"/>
      </rPr>
      <t>Remove piping and water storage tanks from tank farm # 2 near Power Pro to make ready for the trecnh from A&amp;B and the caddy upgrade at C&amp;D</t>
    </r>
  </si>
  <si>
    <t xml:space="preserve">COMPLETE   </t>
  </si>
  <si>
    <r>
      <t xml:space="preserve">Install Final Connections to Water Storage Tanks - G&amp;H Block
</t>
    </r>
    <r>
      <rPr>
        <sz val="11"/>
        <color theme="1"/>
        <rFont val="Calibri"/>
        <family val="2"/>
        <scheme val="minor"/>
      </rPr>
      <t>Install valves, finalize pipe connections, and fix leaks to 4 water storage tanks (5.2K gal each)</t>
    </r>
  </si>
  <si>
    <t>Work Tasks - Input tasks at the end of every shift</t>
  </si>
  <si>
    <t>Clean up at the end of every shift</t>
  </si>
  <si>
    <t>Need WRM assets on sharepoint inventoried</t>
  </si>
  <si>
    <t>Tank Farm 2 - tear down and use the reserved forklift for moving the tanks back to the farm</t>
  </si>
  <si>
    <t>J Block</t>
  </si>
  <si>
    <t>Valve leaking at Tank</t>
  </si>
  <si>
    <t>Inlet to farm at PVC/Hose connection</t>
  </si>
  <si>
    <t>C Block</t>
  </si>
  <si>
    <t>Tank leaking at Valve (Farm offline)</t>
  </si>
  <si>
    <t>Single Lift Station</t>
  </si>
  <si>
    <t>Ejector Pumps</t>
  </si>
  <si>
    <t>Transfur pump</t>
  </si>
  <si>
    <t>Vent</t>
  </si>
  <si>
    <t>4" hard wall hose</t>
  </si>
  <si>
    <t>Broken DPS</t>
  </si>
  <si>
    <t xml:space="preserve">Washers </t>
  </si>
  <si>
    <t>Dual Pump Lift Station</t>
  </si>
  <si>
    <t>Skeeta Tents</t>
  </si>
  <si>
    <t>Bladder Controls</t>
  </si>
  <si>
    <t>Junk</t>
  </si>
  <si>
    <t>Laundry Electrical boxes</t>
  </si>
  <si>
    <t>Electrical Laundry cords</t>
  </si>
  <si>
    <t xml:space="preserve">full tent kit </t>
  </si>
  <si>
    <t xml:space="preserve">disassembled pumps </t>
  </si>
  <si>
    <t>diaphragm pump</t>
  </si>
  <si>
    <t>double stack dryers</t>
  </si>
  <si>
    <t>water heater</t>
  </si>
  <si>
    <t>disassembled laundry pump</t>
  </si>
  <si>
    <t>elec. Cables 120/208V</t>
  </si>
  <si>
    <t>double stack dryer</t>
  </si>
  <si>
    <t>supply pump</t>
  </si>
  <si>
    <t>disassembled pump</t>
  </si>
  <si>
    <t>vent</t>
  </si>
  <si>
    <t>4.5" Hose Rollover Ramp Kit</t>
  </si>
  <si>
    <t>d101</t>
  </si>
  <si>
    <t>loose tailpiece</t>
  </si>
  <si>
    <t xml:space="preserve">tightened tail piece </t>
  </si>
  <si>
    <t>4/27/</t>
  </si>
  <si>
    <t>dAYS</t>
  </si>
  <si>
    <t>B107</t>
  </si>
  <si>
    <t xml:space="preserve">loose tailpiece </t>
  </si>
  <si>
    <t xml:space="preserve">tightened tailpiece </t>
  </si>
  <si>
    <t>c208</t>
  </si>
  <si>
    <t xml:space="preserve">no water to showers </t>
  </si>
  <si>
    <t xml:space="preserve">pump was turned back on </t>
  </si>
  <si>
    <t xml:space="preserve">marshall </t>
  </si>
  <si>
    <t>H bicon</t>
  </si>
  <si>
    <t>B1873</t>
  </si>
  <si>
    <t>Toilet flushing nonstop</t>
  </si>
  <si>
    <t>Replaced diaphragm</t>
  </si>
  <si>
    <t>No water</t>
  </si>
  <si>
    <t>Reset pump</t>
  </si>
  <si>
    <t>Slow fill washer 3</t>
  </si>
  <si>
    <t>Lifting</t>
  </si>
  <si>
    <t>Calcuim Hydroxide (Lime)</t>
  </si>
  <si>
    <t>45 KGs, 99 Lbs</t>
  </si>
  <si>
    <t>45 KGs, 20Lbs</t>
  </si>
  <si>
    <t>50 Bags, 20Kgs=2.2K lbs</t>
  </si>
  <si>
    <t>48 Bags, 20kgs=2.1K lbs</t>
  </si>
  <si>
    <t>CL2 Level at grab and go needs to be raised.</t>
  </si>
  <si>
    <t>2" X 1.5" Reducer</t>
  </si>
  <si>
    <t>1 1/4" Male Adapter</t>
  </si>
  <si>
    <t>3/4" X 1/4" Bushing</t>
  </si>
  <si>
    <t>1" X 3/4" Bushing</t>
  </si>
  <si>
    <t>Glue</t>
  </si>
  <si>
    <t>Primer</t>
  </si>
  <si>
    <t>A108</t>
  </si>
  <si>
    <t>toliet clogged</t>
  </si>
  <si>
    <t>plunged toilet</t>
  </si>
  <si>
    <t>E106</t>
  </si>
  <si>
    <t>toilet clogged</t>
  </si>
  <si>
    <t>B1881</t>
  </si>
  <si>
    <t>toilet leaking</t>
  </si>
  <si>
    <t>replaced diaphragm</t>
  </si>
  <si>
    <t>B1886</t>
  </si>
  <si>
    <t>C101 LS</t>
  </si>
  <si>
    <t>sewage leak/lift station</t>
  </si>
  <si>
    <t>restored power back to pump</t>
  </si>
  <si>
    <t>Marshall/Mckee/Ross</t>
  </si>
  <si>
    <t>Distro Pumps in fault mode</t>
  </si>
  <si>
    <t>Open tank outlet valves/un-airlock pumps</t>
  </si>
  <si>
    <t>Complete</t>
  </si>
  <si>
    <r>
      <t xml:space="preserve">Install Water &amp; Wastewater Lines - A Block to C Block
</t>
    </r>
    <r>
      <rPr>
        <sz val="16"/>
        <color theme="1"/>
        <rFont val="Times New Roman"/>
        <family val="1"/>
      </rPr>
      <t>Trench and Install 4" pipe underground; backfill</t>
    </r>
  </si>
  <si>
    <t>Grab n go buffalo was removed</t>
  </si>
  <si>
    <t>*Used "K" before (1,000); from now on we use the actual number</t>
  </si>
  <si>
    <t>*Awaiting: Need approval
*Sent Gnatt Chart to Lt. Loss - 16 Apr
*BOM - 100% we have everything</t>
  </si>
  <si>
    <t>C107</t>
  </si>
  <si>
    <t>Washers 9&amp;10 slow fill</t>
  </si>
  <si>
    <t>cleaned strainers</t>
  </si>
  <si>
    <t>cleaned strainer</t>
  </si>
  <si>
    <t>Washer 2 slow fill</t>
  </si>
  <si>
    <t>Laundry pump missing manifold</t>
  </si>
  <si>
    <t xml:space="preserve">4" Tee </t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</si>
  <si>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 Tee</t>
    </r>
  </si>
  <si>
    <t>D115</t>
  </si>
  <si>
    <t>D102</t>
  </si>
  <si>
    <t>Dblock</t>
  </si>
  <si>
    <t>waste hose leaking on lift station</t>
  </si>
  <si>
    <t>replaced hose</t>
  </si>
  <si>
    <t>F101</t>
  </si>
  <si>
    <t>toilet spraying when flushed</t>
  </si>
  <si>
    <t>B1919</t>
  </si>
  <si>
    <t>Re-seated tail piece</t>
  </si>
  <si>
    <t>B1930</t>
  </si>
  <si>
    <t>Clean All Washer &amp; CV</t>
  </si>
  <si>
    <t>Lanudry Pump Missinig Manifold</t>
  </si>
  <si>
    <t>Washer 5 low flow</t>
  </si>
  <si>
    <t>Clean supply line strainer</t>
  </si>
  <si>
    <t>I Bl pod9</t>
  </si>
  <si>
    <t>clogged strainer on washer</t>
  </si>
  <si>
    <t>cleaned supply line strainer</t>
  </si>
  <si>
    <t>Jbl D208</t>
  </si>
  <si>
    <t>Gblock</t>
  </si>
  <si>
    <t>urinal check valve leaking</t>
  </si>
  <si>
    <t>tightened the check valve</t>
  </si>
  <si>
    <t>5 washers with clogged strainers</t>
  </si>
  <si>
    <t>A201</t>
  </si>
  <si>
    <t>B1936</t>
  </si>
  <si>
    <t>washer overflowed in laundry room</t>
  </si>
  <si>
    <t>drained water out of washer</t>
  </si>
  <si>
    <t>Jbl Pod05</t>
  </si>
  <si>
    <t>B1937</t>
  </si>
  <si>
    <t>Female FDL expansion site</t>
  </si>
  <si>
    <t>Sewage leak in tent</t>
  </si>
  <si>
    <t>Turned pump on/cleaned sewage water</t>
  </si>
  <si>
    <t>I101</t>
  </si>
  <si>
    <t>B1950</t>
  </si>
  <si>
    <t>Pipe leaking</t>
  </si>
  <si>
    <t>No issue upon arrival, water was residual from prior work</t>
  </si>
  <si>
    <t>B1946</t>
  </si>
  <si>
    <t>Toilet spraying when flushed</t>
  </si>
  <si>
    <t xml:space="preserve">No issue upon arrival  </t>
  </si>
  <si>
    <t>J116</t>
  </si>
  <si>
    <t>Toilets leaking water from the back</t>
  </si>
  <si>
    <t xml:space="preserve">Investigate/ Troubleshoot </t>
  </si>
  <si>
    <t>Ablock</t>
  </si>
  <si>
    <t>washer #7 clogged strainer</t>
  </si>
  <si>
    <t xml:space="preserve">cleaned strainer </t>
  </si>
  <si>
    <t>Ross/McKee</t>
  </si>
  <si>
    <t>Cblock</t>
  </si>
  <si>
    <t>2 washers clogged strainer</t>
  </si>
  <si>
    <t>Jblock</t>
  </si>
  <si>
    <t>Washer #5 not draining</t>
  </si>
  <si>
    <t>E Block</t>
  </si>
  <si>
    <t>Tank 2 Union leaking on fill line</t>
  </si>
  <si>
    <t>Added HTH; low water use, will flush for 15 mins on MIDS and NIGHTS</t>
  </si>
  <si>
    <t>DMZ Checkpoint was closed</t>
  </si>
  <si>
    <t>C/D Block</t>
  </si>
  <si>
    <t>Leak at 45 Elbow where it goes underground</t>
  </si>
  <si>
    <t>Tank Leaking at union on fill line</t>
  </si>
  <si>
    <t>A203</t>
  </si>
  <si>
    <t>B1974</t>
  </si>
  <si>
    <t>sewage leaking from lift station</t>
  </si>
  <si>
    <t>replaced fuse in breaker panel</t>
  </si>
  <si>
    <t>E123</t>
  </si>
  <si>
    <t>B1982</t>
  </si>
  <si>
    <t>water leak</t>
  </si>
  <si>
    <t>water leak from tailpiece</t>
  </si>
  <si>
    <t>B1983</t>
  </si>
  <si>
    <t>B1984</t>
  </si>
  <si>
    <t>no leaks found</t>
  </si>
  <si>
    <t>E124</t>
  </si>
  <si>
    <t>B1985</t>
  </si>
  <si>
    <t>standing water in urinal</t>
  </si>
  <si>
    <t>flushed out drain lines</t>
  </si>
  <si>
    <t>B1986</t>
  </si>
  <si>
    <t>Install High Alarm Floats on middle camp liftstations</t>
  </si>
  <si>
    <t>Ops town - need culvert cleared</t>
  </si>
  <si>
    <t>Ops town - hook up and fill porta coolers</t>
  </si>
  <si>
    <t>Hook up Fire Dept pumps at C and D and G and H</t>
  </si>
  <si>
    <t>Install tee to connect the loop system back</t>
  </si>
  <si>
    <t>Need SURFs from July deployers (everyone not on the April list)</t>
  </si>
  <si>
    <t>b106</t>
  </si>
  <si>
    <t>B2020</t>
  </si>
  <si>
    <t>Shower leaking outside</t>
  </si>
  <si>
    <t>Removed hair from shower drain pump</t>
  </si>
  <si>
    <t>B103</t>
  </si>
  <si>
    <t>B2021</t>
  </si>
  <si>
    <t>Middle Stall Not Draining</t>
  </si>
  <si>
    <t>B2022</t>
  </si>
  <si>
    <t>sink won't shut off completely/leaky</t>
  </si>
  <si>
    <t>replaced the entire faucet for sink</t>
  </si>
  <si>
    <t>B2023</t>
  </si>
  <si>
    <t>back pipe busted in female bicon</t>
  </si>
  <si>
    <t>B2026</t>
  </si>
  <si>
    <t>2 holes in waste water hose</t>
  </si>
  <si>
    <t>put new hose in place</t>
  </si>
  <si>
    <t>B2029</t>
  </si>
  <si>
    <t>water spewing out from toilet</t>
  </si>
  <si>
    <t>E110</t>
  </si>
  <si>
    <t>B2030</t>
  </si>
  <si>
    <t>I108</t>
  </si>
  <si>
    <t>B2046</t>
  </si>
  <si>
    <t>No running water</t>
  </si>
  <si>
    <t>Walked Line from C/D-E/F for closed valves or leaks</t>
  </si>
  <si>
    <t>Water 
Wastewater 
&amp; 
PM</t>
  </si>
  <si>
    <t>Bbl FLD male lat</t>
  </si>
  <si>
    <t xml:space="preserve">urinal trough not draining </t>
  </si>
  <si>
    <t>removed tide pods from urinal and plunged drain</t>
  </si>
  <si>
    <t>E block laundry</t>
  </si>
  <si>
    <t>washers 5-10 were not working</t>
  </si>
  <si>
    <t xml:space="preserve">fixed breaker that was tripped </t>
  </si>
  <si>
    <t>B2058</t>
  </si>
  <si>
    <t>B2056</t>
  </si>
  <si>
    <t>washers are overflowing</t>
  </si>
  <si>
    <t>tightend manifold that was leaking behind washer</t>
  </si>
  <si>
    <t>B2053</t>
  </si>
  <si>
    <t>toilet leaks when flushed</t>
  </si>
  <si>
    <t>B2050</t>
  </si>
  <si>
    <t>lift station overflowing</t>
  </si>
  <si>
    <t xml:space="preserve">laundry lift station was good to go when we arrived </t>
  </si>
  <si>
    <t>I&amp;J block back half</t>
  </si>
  <si>
    <t>no running water in showers or latrines</t>
  </si>
  <si>
    <t>primed davey pumps and got the airlocks out of them</t>
  </si>
  <si>
    <t>supply pump turning off and on/bad motor</t>
  </si>
  <si>
    <t xml:space="preserve">Replace pump </t>
  </si>
  <si>
    <t xml:space="preserve">Fields/Landell </t>
  </si>
  <si>
    <t>25645 Units</t>
  </si>
  <si>
    <t>Murphy/Robinson</t>
  </si>
  <si>
    <t>B2077</t>
  </si>
  <si>
    <t>B2064</t>
  </si>
  <si>
    <t>B2065</t>
  </si>
  <si>
    <t>B2078</t>
  </si>
  <si>
    <t>Washer 4 not draining</t>
  </si>
  <si>
    <t>Washers not filling with water</t>
  </si>
  <si>
    <t>No issue upon arrival</t>
  </si>
  <si>
    <t>C202</t>
  </si>
  <si>
    <t>Latrine Tanks Overflow</t>
  </si>
  <si>
    <t>Drain Tanks/ Clean up mess</t>
  </si>
  <si>
    <t>Lift station not draining</t>
  </si>
  <si>
    <t xml:space="preserve">re-aligned Discharge hose/it was kinked </t>
  </si>
  <si>
    <t>Tightened supply hose adapter</t>
  </si>
  <si>
    <t>E204</t>
  </si>
  <si>
    <t>Washer 6 supply hose leak</t>
  </si>
  <si>
    <r>
      <rPr>
        <b/>
        <sz val="16"/>
        <color theme="1"/>
        <rFont val="Times New Roman"/>
        <family val="1"/>
      </rPr>
      <t>Install Fire Pumps</t>
    </r>
    <r>
      <rPr>
        <sz val="16"/>
        <color theme="1"/>
        <rFont val="Times New Roman"/>
        <family val="1"/>
      </rPr>
      <t xml:space="preserve">
Install three fire pumps; one at each block C, G, J </t>
    </r>
  </si>
  <si>
    <r>
      <rPr>
        <b/>
        <sz val="16"/>
        <rFont val="Times New Roman"/>
        <family val="1"/>
      </rPr>
      <t xml:space="preserve">*Pre-Construction Phase </t>
    </r>
    <r>
      <rPr>
        <sz val="16"/>
        <rFont val="Times New Roman"/>
        <family val="1"/>
      </rPr>
      <t xml:space="preserve">
ON HOLD
Completed: 13 Apr - Installed connections at D block tank farm 4 of 4 connections complete; Conducted a QA check on six caddys, found 206 findings that need to be addressed before accepting them
</t>
    </r>
    <r>
      <rPr>
        <b/>
        <sz val="16"/>
        <rFont val="Times New Roman"/>
        <family val="1"/>
      </rPr>
      <t/>
    </r>
  </si>
  <si>
    <t xml:space="preserve">Inspect and refill water with water truck to 8 Porta Coolers at Ops Town </t>
  </si>
  <si>
    <t>Porta Cooler RWP</t>
  </si>
  <si>
    <t>Porta Cooler RWP - OPS Town</t>
  </si>
  <si>
    <t>Left the Shop</t>
  </si>
  <si>
    <t>Retuned to Shop</t>
  </si>
  <si>
    <t xml:space="preserve">Time  </t>
  </si>
  <si>
    <t>Time Arrived</t>
  </si>
  <si>
    <t>Found Water Level at</t>
  </si>
  <si>
    <t>Left Water Level at</t>
  </si>
  <si>
    <t>#1</t>
  </si>
  <si>
    <r>
      <rPr>
        <i/>
        <sz val="24"/>
        <color theme="1"/>
        <rFont val="Times New Roman"/>
        <family val="1"/>
      </rPr>
      <t>#</t>
    </r>
    <r>
      <rPr>
        <sz val="24"/>
        <color theme="1"/>
        <rFont val="Times New Roman"/>
        <family val="1"/>
      </rPr>
      <t>2</t>
    </r>
  </si>
  <si>
    <t>#3</t>
  </si>
  <si>
    <t>#4</t>
  </si>
  <si>
    <t>#5</t>
  </si>
  <si>
    <t>#6</t>
  </si>
  <si>
    <t>#7</t>
  </si>
  <si>
    <t>#8</t>
  </si>
  <si>
    <t>Layout Slide</t>
  </si>
  <si>
    <t>Porta Cooler Numbers</t>
  </si>
  <si>
    <t>2446 MI</t>
  </si>
  <si>
    <t>4752.4 MI</t>
  </si>
  <si>
    <t>869 KM</t>
  </si>
  <si>
    <t>11543 KM</t>
  </si>
  <si>
    <t>MX</t>
  </si>
  <si>
    <t>6251.3 KM</t>
  </si>
  <si>
    <t>B2067</t>
  </si>
  <si>
    <t>Area outside is flooding</t>
  </si>
  <si>
    <t>took kinks out of the waste hose</t>
  </si>
  <si>
    <t>F109</t>
  </si>
  <si>
    <t>urinal is constantly running</t>
  </si>
  <si>
    <t>replaced flushometer on urinal</t>
  </si>
  <si>
    <t xml:space="preserve">primed davey pumps </t>
  </si>
  <si>
    <t>B2090</t>
  </si>
  <si>
    <t xml:space="preserve">Leak in stall when flushed </t>
  </si>
  <si>
    <t>J/I block</t>
  </si>
  <si>
    <t>B2087</t>
  </si>
  <si>
    <t>nights</t>
  </si>
  <si>
    <t>LS/MWR</t>
  </si>
  <si>
    <t>High level alarm flasing</t>
  </si>
  <si>
    <t>Inspected LS/reset control panel</t>
  </si>
  <si>
    <t>Dickerson/Schatz</t>
  </si>
  <si>
    <t>LS/DFAC</t>
  </si>
  <si>
    <t>10+</t>
  </si>
  <si>
    <t>B2098</t>
  </si>
  <si>
    <t>Removed baby wipes/ replaced waste line</t>
  </si>
  <si>
    <t>Clogged lift station</t>
  </si>
  <si>
    <t>Reset pumps</t>
  </si>
  <si>
    <t>OPS Town DFAC level needs to brought up and North Gate buffalo needs HTH added.</t>
  </si>
  <si>
    <t>B2119</t>
  </si>
  <si>
    <t>Laundry room overflowed</t>
  </si>
  <si>
    <t>Isolated washing machine</t>
  </si>
  <si>
    <t>y</t>
  </si>
  <si>
    <r>
      <rPr>
        <b/>
        <sz val="16"/>
        <color theme="1"/>
        <rFont val="Times New Roman"/>
        <family val="1"/>
      </rPr>
      <t xml:space="preserve">Install Filter and PVC pipeline at Ice Tent
</t>
    </r>
    <r>
      <rPr>
        <sz val="16"/>
        <color theme="1"/>
        <rFont val="Times New Roman"/>
        <family val="1"/>
      </rPr>
      <t>Install 1 inch filter for sediment and remove metal piping, replace with PVC to lower pipe temps</t>
    </r>
  </si>
  <si>
    <t>Fields/Landell/Robinson/Murphy</t>
  </si>
  <si>
    <t>Cleaned all strainers</t>
  </si>
  <si>
    <t>Re-seated level sensor tube</t>
  </si>
  <si>
    <t>B2144</t>
  </si>
  <si>
    <t>B2146</t>
  </si>
  <si>
    <t>E showers without water</t>
  </si>
  <si>
    <t>F block without water</t>
  </si>
  <si>
    <t>washer 2 overflowed</t>
  </si>
  <si>
    <t>4 washers slow fill (7,8,9,10)</t>
  </si>
  <si>
    <t>Troubleshot DPS at shop, restored flow to tanks</t>
  </si>
  <si>
    <t>E118</t>
  </si>
  <si>
    <t>F208</t>
  </si>
  <si>
    <t>B2147</t>
  </si>
  <si>
    <t>Tightned union</t>
  </si>
  <si>
    <t>F-block water farm- Tank 1 union leak</t>
  </si>
  <si>
    <t>Plan DPS (Booster Station)</t>
  </si>
  <si>
    <t>Map and ID Liftstations</t>
  </si>
  <si>
    <t>Fire Pump at C block</t>
  </si>
  <si>
    <t>Connect 2 DPS for Distro line</t>
  </si>
  <si>
    <t>Add Shelving to Workshop</t>
  </si>
  <si>
    <t>Inventory Tools</t>
  </si>
  <si>
    <t>Install Chemical Filter at DFAC</t>
  </si>
  <si>
    <t>Install filter and repipe water line at ice tent</t>
  </si>
  <si>
    <t>Round up all barriers/cones</t>
  </si>
  <si>
    <t>Plan WT Porta Cooler #2 crack in tank</t>
  </si>
  <si>
    <t>Yard - Map and designate areas</t>
  </si>
  <si>
    <t>B2150</t>
  </si>
  <si>
    <t xml:space="preserve"> water is not coming out of the faucets</t>
  </si>
  <si>
    <t xml:space="preserve">filled up water tank </t>
  </si>
  <si>
    <t xml:space="preserve">J bl pod6 </t>
  </si>
  <si>
    <t>B2151</t>
  </si>
  <si>
    <t>female latrine clogged</t>
  </si>
  <si>
    <t>no issue found</t>
  </si>
  <si>
    <t>B2152</t>
  </si>
  <si>
    <t>washer not draining</t>
  </si>
  <si>
    <t>tightend hose</t>
  </si>
  <si>
    <t>B2157</t>
  </si>
  <si>
    <t>Lift station flooding</t>
  </si>
  <si>
    <t>replaced pump</t>
  </si>
  <si>
    <t>supply hose to toilet was loose</t>
  </si>
  <si>
    <t>B2160</t>
  </si>
  <si>
    <t>tailpiece unseated</t>
  </si>
  <si>
    <t xml:space="preserve">put tailpiece back in and tightend </t>
  </si>
  <si>
    <t>A203/SSS</t>
  </si>
  <si>
    <t>G laundry</t>
  </si>
  <si>
    <t>Drain pump spraying water out of side</t>
  </si>
  <si>
    <t>Replaced pump</t>
  </si>
  <si>
    <t>Water all over tent floor</t>
  </si>
  <si>
    <t>Vacuumed water up</t>
  </si>
  <si>
    <t>B2165</t>
  </si>
  <si>
    <t>Hand washing sinks clogged</t>
  </si>
  <si>
    <t xml:space="preserve"> Washer (inop)</t>
  </si>
  <si>
    <t>Lift station overflowing</t>
  </si>
  <si>
    <t>Install 2" semihardwall hose</t>
  </si>
  <si>
    <t>B2167</t>
  </si>
  <si>
    <t>Washer 9 not spinning</t>
  </si>
  <si>
    <t>Replace washer</t>
  </si>
  <si>
    <t>Washer 7 constantly running</t>
  </si>
  <si>
    <t>B2168</t>
  </si>
  <si>
    <t>C209</t>
  </si>
  <si>
    <t>laundry tent overflow</t>
  </si>
  <si>
    <t>Replace solenoid in washer 3</t>
  </si>
  <si>
    <t>Ops Town DFAC level needs to brought up.</t>
  </si>
  <si>
    <r>
      <t xml:space="preserve">Patch Holes in Water Storage Tanks at J Block
</t>
    </r>
    <r>
      <rPr>
        <sz val="16"/>
        <color theme="1"/>
        <rFont val="Times New Roman"/>
        <family val="1"/>
      </rPr>
      <t>Fill/patch 2 inch diatmeter holes that were incorrectly drilled for autofill valve</t>
    </r>
  </si>
  <si>
    <t>Turned
Away #</t>
  </si>
  <si>
    <r>
      <t xml:space="preserve">Check Water LSA Buffalos </t>
    </r>
    <r>
      <rPr>
        <sz val="11"/>
        <color rgb="FFFF0000"/>
        <rFont val="Calibri"/>
        <family val="2"/>
        <scheme val="minor"/>
      </rPr>
      <t>(TAKE CHLORINE LEVELS)</t>
    </r>
  </si>
  <si>
    <r>
      <t xml:space="preserve">Check Ops Town Water Tanks and Buffalos </t>
    </r>
    <r>
      <rPr>
        <sz val="11"/>
        <color rgb="FFFF0000"/>
        <rFont val="Calibri"/>
        <family val="2"/>
        <scheme val="minor"/>
      </rPr>
      <t>(TAKE CHLORINE LEVELS)</t>
    </r>
  </si>
  <si>
    <t>Fill Water Truck</t>
  </si>
  <si>
    <t>0100</t>
  </si>
  <si>
    <t>Fatigue</t>
  </si>
  <si>
    <t>Pests</t>
  </si>
  <si>
    <t>↓↓↓↓  Scroll Down for Map of the Yard  ↓↓↓↓</t>
  </si>
  <si>
    <r>
      <t xml:space="preserve">Install Chemical Filter on DFAC UV System
</t>
    </r>
    <r>
      <rPr>
        <sz val="16"/>
        <color theme="1"/>
        <rFont val="Times New Roman"/>
        <family val="1"/>
      </rPr>
      <t>Install a 0.5 micron chemical filter to the potable UV system</t>
    </r>
  </si>
  <si>
    <t>Fields/Robinson/Murphy</t>
  </si>
  <si>
    <t>A laundry</t>
  </si>
  <si>
    <t>C108</t>
  </si>
  <si>
    <t>Washer 7 slow fill</t>
  </si>
  <si>
    <t>Washer 7 no rinse</t>
  </si>
  <si>
    <t>Toilet continuously running</t>
  </si>
  <si>
    <t>H Bicon</t>
  </si>
  <si>
    <t>Replaced gasket/reseated tailpiece</t>
  </si>
  <si>
    <t>EA Lift station</t>
  </si>
  <si>
    <t>B2183</t>
  </si>
  <si>
    <t>Lift station light flashing</t>
  </si>
  <si>
    <t>Troubleshot/reset power</t>
  </si>
  <si>
    <t>B2181</t>
  </si>
  <si>
    <t>I 105</t>
  </si>
  <si>
    <t>B2185</t>
  </si>
  <si>
    <t>water pours out of handle</t>
  </si>
  <si>
    <t>Schatz/King</t>
  </si>
  <si>
    <t>install solenoid valves</t>
  </si>
  <si>
    <t>Install solenoid valves</t>
  </si>
  <si>
    <t>Dickerson/Schatz/King</t>
  </si>
  <si>
    <t>E109</t>
  </si>
  <si>
    <t>B2192</t>
  </si>
  <si>
    <t xml:space="preserve">Leaking toilet </t>
  </si>
  <si>
    <t>B2193</t>
  </si>
  <si>
    <t xml:space="preserve">2 Leaking toilets </t>
  </si>
  <si>
    <t>B Laundry</t>
  </si>
  <si>
    <t>Washer 4 slow fill</t>
  </si>
  <si>
    <t>Installed new vent</t>
  </si>
  <si>
    <t>Slow drain on handwashing sinks</t>
  </si>
  <si>
    <t>Filters needed replaced</t>
  </si>
  <si>
    <t>Replaced filters</t>
  </si>
  <si>
    <t>D114</t>
  </si>
  <si>
    <t>B2202</t>
  </si>
  <si>
    <t>Opened valve</t>
  </si>
  <si>
    <t>Day -3</t>
  </si>
  <si>
    <t>Day -4</t>
  </si>
  <si>
    <t>Day -5</t>
  </si>
  <si>
    <t>Day -6</t>
  </si>
  <si>
    <t>Day -7</t>
  </si>
  <si>
    <t>Porta Cooler Number</t>
  </si>
  <si>
    <t>Time it Took (mins)</t>
  </si>
  <si>
    <t>Gallons Refilled</t>
  </si>
  <si>
    <t>Total Time (hr:min)</t>
  </si>
  <si>
    <t>Total Gallons</t>
  </si>
  <si>
    <t>Left Shop</t>
  </si>
  <si>
    <t xml:space="preserve"> #1</t>
  </si>
  <si>
    <t>#2</t>
  </si>
  <si>
    <t>#8 &amp; Return to Shop</t>
  </si>
  <si>
    <t>Totals</t>
  </si>
  <si>
    <t>Time</t>
  </si>
  <si>
    <t>Gallons</t>
  </si>
  <si>
    <t>7 Day Totals</t>
  </si>
  <si>
    <t>Average Daily - In 7 Days</t>
  </si>
  <si>
    <r>
      <t xml:space="preserve">332 - Build walkway for DFAC
</t>
    </r>
    <r>
      <rPr>
        <sz val="16"/>
        <color theme="1"/>
        <rFont val="Times New Roman"/>
        <family val="1"/>
      </rPr>
      <t>Build a wooden walkway for the DFAC</t>
    </r>
  </si>
  <si>
    <t>I111 #12</t>
  </si>
  <si>
    <t>B2205</t>
  </si>
  <si>
    <t>J fem bicon</t>
  </si>
  <si>
    <t>D116</t>
  </si>
  <si>
    <t>Showers not draining</t>
  </si>
  <si>
    <t>Plunged showers</t>
  </si>
  <si>
    <t>No flow</t>
  </si>
  <si>
    <t>Replaced solenoid</t>
  </si>
  <si>
    <t>Discharge/diaphragm pump leak</t>
  </si>
  <si>
    <t>Washer 6 no water</t>
  </si>
  <si>
    <r>
      <t xml:space="preserve">Install auto fill valve at LSA DFAC water tank
</t>
    </r>
    <r>
      <rPr>
        <sz val="16"/>
        <color theme="1"/>
        <rFont val="Times New Roman"/>
        <family val="1"/>
      </rPr>
      <t>Install autofill valave and repipe system</t>
    </r>
  </si>
  <si>
    <r>
      <t xml:space="preserve">COMPLETE 
Note: </t>
    </r>
    <r>
      <rPr>
        <sz val="16"/>
        <rFont val="Times New Roman"/>
        <family val="1"/>
      </rPr>
      <t>Fire Dept doesn't want the other two pumps installed at I and G blocks.  Only one pump was requested.  Future DPS site may have filling station.</t>
    </r>
  </si>
  <si>
    <t>COMPLETE
We installed a wooden walkway over our pipes from the back entrance.  Customer wants more, we are turning over to Structures</t>
  </si>
  <si>
    <r>
      <rPr>
        <b/>
        <sz val="16"/>
        <color theme="1"/>
        <rFont val="Times New Roman"/>
        <family val="1"/>
      </rPr>
      <t>15 May -</t>
    </r>
    <r>
      <rPr>
        <sz val="16"/>
        <color theme="1"/>
        <rFont val="Times New Roman"/>
        <family val="1"/>
      </rPr>
      <t xml:space="preserve"> Night Shift will work this</t>
    </r>
  </si>
  <si>
    <r>
      <rPr>
        <b/>
        <sz val="16"/>
        <rFont val="Times New Roman"/>
        <family val="1"/>
      </rPr>
      <t xml:space="preserve">15 May - </t>
    </r>
    <r>
      <rPr>
        <sz val="16"/>
        <rFont val="Times New Roman"/>
        <family val="1"/>
      </rPr>
      <t>Need 4 more sticks to finish a to c connection and then need to trench from shop to middle camp connection</t>
    </r>
  </si>
  <si>
    <r>
      <rPr>
        <b/>
        <sz val="16"/>
        <color theme="1"/>
        <rFont val="Times New Roman"/>
        <family val="1"/>
      </rPr>
      <t xml:space="preserve">15 May - </t>
    </r>
    <r>
      <rPr>
        <sz val="16"/>
        <color theme="1"/>
        <rFont val="Times New Roman"/>
        <family val="1"/>
      </rPr>
      <t>Working and staging tanks, DPS, tent</t>
    </r>
  </si>
  <si>
    <t>A</t>
  </si>
  <si>
    <t>B</t>
  </si>
  <si>
    <t>C</t>
  </si>
  <si>
    <t>Gauge Chart Numbers</t>
  </si>
  <si>
    <t>Pie Chart</t>
  </si>
  <si>
    <t xml:space="preserve">no issues found </t>
  </si>
  <si>
    <t>G/H Quar</t>
  </si>
  <si>
    <t>no water pressure in FLD Lat/Showers</t>
  </si>
  <si>
    <t>Cleaned drain lines</t>
  </si>
  <si>
    <t>TOTAL GALLONS</t>
  </si>
  <si>
    <t>TOTAL GALLONS ENTIRE TIME</t>
  </si>
  <si>
    <t xml:space="preserve">C Block </t>
  </si>
  <si>
    <t>Washers no water</t>
  </si>
  <si>
    <t>Adjusted pressure switch</t>
  </si>
  <si>
    <t xml:space="preserve"> quick disconnect ball valves</t>
  </si>
  <si>
    <t xml:space="preserve">2''-3/4'' cam lock adapter </t>
  </si>
  <si>
    <t>2'' tee</t>
  </si>
  <si>
    <t>2'' check valve</t>
  </si>
  <si>
    <t>4'' quick disconnect tees</t>
  </si>
  <si>
    <t>3''-4'' camlock adapter</t>
  </si>
  <si>
    <t>4'' tees</t>
  </si>
  <si>
    <t>4'' M-F check valve</t>
  </si>
  <si>
    <t>DAYS</t>
  </si>
  <si>
    <t>H Block</t>
  </si>
  <si>
    <t>Tiolet is leaking</t>
  </si>
  <si>
    <t>Shower clogged</t>
  </si>
  <si>
    <t>Plunged shower drain</t>
  </si>
  <si>
    <t>D Block</t>
  </si>
  <si>
    <t>Tiolet spraying water when flushed</t>
  </si>
  <si>
    <t>Tightened down spud</t>
  </si>
  <si>
    <t>E block</t>
  </si>
  <si>
    <t>Leaking tiolet on right side</t>
  </si>
  <si>
    <t>Troubleshoot/Investigate</t>
  </si>
  <si>
    <t>Lift station stopped up</t>
  </si>
  <si>
    <t>Robinson/Murphy/Landell</t>
  </si>
  <si>
    <t>Building Z106</t>
  </si>
  <si>
    <t>VM Shop</t>
  </si>
  <si>
    <t>LRS Supply</t>
  </si>
  <si>
    <t>LRS TMO</t>
  </si>
  <si>
    <t>TOTAL TIME</t>
  </si>
  <si>
    <r>
      <rPr>
        <b/>
        <sz val="36"/>
        <color rgb="FFFF0000"/>
        <rFont val="MV Boli"/>
      </rPr>
      <t>WFSM</t>
    </r>
    <r>
      <rPr>
        <b/>
        <sz val="36"/>
        <color theme="1"/>
        <rFont val="MV Boli"/>
      </rPr>
      <t xml:space="preserve"> </t>
    </r>
    <r>
      <rPr>
        <b/>
        <sz val="36"/>
        <color theme="0"/>
        <rFont val="MV Boli"/>
      </rPr>
      <t>DASHBOARD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</si>
</sst>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\-yy;@"/>
    <numFmt numFmtId="165" formatCode="&quot;$&quot;#,##0.00&quot;K&quot;"/>
    <numFmt numFmtId="166" formatCode="0.0"/>
    <numFmt numFmtId="167" formatCode="&quot;$&quot;#,##0.00"/>
    <numFmt numFmtId="168" formatCode="&quot;$&quot;#,##0.0&quot;K&quot;"/>
    <numFmt numFmtId="169" formatCode="#,##0.00&quot;K&quot;"/>
    <numFmt numFmtId="170" formatCode="h:mm;@"/>
  </numFmts>
  <fonts count="19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Century Gothic"/>
      <family val="2"/>
    </font>
    <font>
      <b/>
      <sz val="18"/>
      <color theme="0"/>
      <name val="Calibri"/>
      <family val="2"/>
      <scheme val="minor"/>
    </font>
    <font>
      <b/>
      <sz val="36"/>
      <color theme="0"/>
      <name val="Adobe Thai"/>
      <family val="1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48"/>
      <color theme="0"/>
      <name val="Adobe Thai"/>
      <family val="1"/>
    </font>
    <font>
      <b/>
      <sz val="12"/>
      <color theme="0"/>
      <name val="Calibri"/>
      <family val="2"/>
      <scheme val="minor"/>
    </font>
    <font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b/>
      <sz val="2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5.5"/>
      <name val="Adobe Heiti Std R"/>
      <family val="2"/>
      <charset val="128"/>
    </font>
    <font>
      <sz val="5.5"/>
      <name val="Adobe Heiti Std R"/>
      <family val="2"/>
      <charset val="128"/>
    </font>
    <font>
      <u/>
      <sz val="11"/>
      <color theme="1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A3A3A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theme="1"/>
      <name val="MV Boli"/>
    </font>
    <font>
      <b/>
      <sz val="17"/>
      <color theme="0"/>
      <name val="MV Boli"/>
    </font>
    <font>
      <sz val="11"/>
      <name val="MV Boli"/>
    </font>
    <font>
      <sz val="11"/>
      <color theme="0" tint="-0.14999847407452621"/>
      <name val="MV Boli"/>
    </font>
    <font>
      <sz val="11"/>
      <color theme="9" tint="0.39997558519241921"/>
      <name val="MV Boli"/>
    </font>
    <font>
      <sz val="11"/>
      <color theme="9" tint="0.59999389629810485"/>
      <name val="MV Boli"/>
    </font>
    <font>
      <sz val="20"/>
      <color rgb="FFFF0000"/>
      <name val="MV Boli"/>
    </font>
    <font>
      <sz val="18"/>
      <color rgb="FFFF0000"/>
      <name val="MV Boli"/>
    </font>
    <font>
      <sz val="22"/>
      <color theme="1"/>
      <name val="Times New Roman"/>
      <family val="1"/>
    </font>
    <font>
      <sz val="36"/>
      <color rgb="FFFF0000"/>
      <name val="MV Boli"/>
    </font>
    <font>
      <sz val="48"/>
      <color theme="1"/>
      <name val="Times New Roman"/>
      <family val="1"/>
    </font>
    <font>
      <sz val="11"/>
      <color theme="7" tint="0.39997558519241921"/>
      <name val="MV Boli"/>
    </font>
    <font>
      <sz val="20"/>
      <name val="Times New Roman"/>
      <family val="1"/>
    </font>
    <font>
      <sz val="36"/>
      <name val="Times New Roman"/>
      <family val="1"/>
    </font>
    <font>
      <sz val="28"/>
      <color rgb="FFFF0000"/>
      <name val="MV Boli"/>
    </font>
    <font>
      <sz val="11"/>
      <color rgb="FF66FF66"/>
      <name val="MV Boli"/>
    </font>
    <font>
      <sz val="26"/>
      <color rgb="FFFF0000"/>
      <name val="MV Boli"/>
    </font>
    <font>
      <sz val="22"/>
      <name val="Times New Roman"/>
      <family val="1"/>
    </font>
    <font>
      <sz val="16"/>
      <color rgb="FFFF0000"/>
      <name val="MV Boli"/>
    </font>
    <font>
      <sz val="11"/>
      <color theme="4" tint="0.59999389629810485"/>
      <name val="MV Boli"/>
    </font>
    <font>
      <sz val="36"/>
      <color theme="0"/>
      <name val="Times New Roman"/>
      <family val="1"/>
    </font>
    <font>
      <sz val="11"/>
      <color theme="0"/>
      <name val="MV Boli"/>
    </font>
    <font>
      <sz val="11"/>
      <color theme="3" tint="0.59999389629810485"/>
      <name val="MV Boli"/>
    </font>
    <font>
      <sz val="11"/>
      <color theme="4" tint="-0.249977111117893"/>
      <name val="MV Boli"/>
    </font>
    <font>
      <sz val="20"/>
      <color theme="0"/>
      <name val="Times New Roman"/>
      <family val="1"/>
    </font>
    <font>
      <sz val="22"/>
      <color theme="0"/>
      <name val="Times New Roman"/>
      <family val="1"/>
    </font>
    <font>
      <sz val="11"/>
      <color theme="7" tint="0.79998168889431442"/>
      <name val="MV Boli"/>
    </font>
    <font>
      <sz val="22"/>
      <color rgb="FFFF0000"/>
      <name val="MV Boli"/>
    </font>
    <font>
      <sz val="26"/>
      <color theme="0"/>
      <name val="Times New Roman"/>
      <family val="1"/>
    </font>
    <font>
      <sz val="11"/>
      <color theme="3" tint="-0.499984740745262"/>
      <name val="MV Boli"/>
    </font>
    <font>
      <sz val="11"/>
      <color rgb="FFFFFF00"/>
      <name val="MV Boli"/>
    </font>
    <font>
      <sz val="11"/>
      <color rgb="FFFFC000"/>
      <name val="MV Boli"/>
    </font>
    <font>
      <sz val="28"/>
      <color theme="0"/>
      <name val="Times New Roman"/>
      <family val="1"/>
    </font>
    <font>
      <sz val="11"/>
      <color theme="5" tint="-0.249977111117893"/>
      <name val="MV Boli"/>
    </font>
    <font>
      <sz val="11"/>
      <color theme="9" tint="-0.499984740745262"/>
      <name val="MV Boli"/>
    </font>
    <font>
      <sz val="12"/>
      <color rgb="FFFF0000"/>
      <name val="MV Boli"/>
    </font>
    <font>
      <sz val="11"/>
      <color rgb="FF66FFFF"/>
      <name val="MV Boli"/>
    </font>
    <font>
      <sz val="11"/>
      <color theme="2" tint="-0.499984740745262"/>
      <name val="MV Boli"/>
    </font>
    <font>
      <sz val="26"/>
      <color theme="1"/>
      <name val="Times New Roman"/>
      <family val="1"/>
    </font>
    <font>
      <b/>
      <sz val="18"/>
      <name val="Calibri"/>
      <family val="2"/>
      <scheme val="minor"/>
    </font>
    <font>
      <sz val="18"/>
      <color theme="0"/>
      <name val="MV Boli"/>
    </font>
    <font>
      <sz val="18"/>
      <color theme="0"/>
      <name val="Bauhaus 93"/>
      <family val="5"/>
    </font>
    <font>
      <sz val="18"/>
      <color rgb="FFFF0000"/>
      <name val="Bauhaus 93"/>
      <family val="5"/>
    </font>
    <font>
      <u/>
      <sz val="18"/>
      <color theme="0"/>
      <name val="Calibri"/>
      <family val="2"/>
      <scheme val="minor"/>
    </font>
    <font>
      <sz val="22"/>
      <color theme="0"/>
      <name val="MV Boli"/>
    </font>
    <font>
      <sz val="72"/>
      <color rgb="FFF24C50"/>
      <name val="Adobe Arabic"/>
      <family val="1"/>
    </font>
    <font>
      <sz val="12"/>
      <color theme="0"/>
      <name val="Bodoni MT"/>
      <family val="1"/>
    </font>
    <font>
      <sz val="11"/>
      <color theme="0"/>
      <name val="Microsoft JhengHei Light"/>
      <family val="2"/>
    </font>
    <font>
      <b/>
      <sz val="20"/>
      <color theme="0"/>
      <name val="Microsoft JhengHei UI Light"/>
      <family val="2"/>
    </font>
    <font>
      <sz val="72"/>
      <color rgb="FFF68689"/>
      <name val="Adobe Arabic"/>
      <family val="1"/>
    </font>
    <font>
      <b/>
      <sz val="10"/>
      <color theme="0"/>
      <name val="Microsoft YaHei Light"/>
      <family val="2"/>
    </font>
    <font>
      <sz val="72"/>
      <color theme="0"/>
      <name val="Adobe Arabic"/>
      <family val="1"/>
    </font>
    <font>
      <b/>
      <sz val="18"/>
      <color theme="0"/>
      <name val="Microsoft JhengHei UI Light"/>
      <family val="2"/>
    </font>
    <font>
      <b/>
      <sz val="16"/>
      <color theme="0"/>
      <name val="Microsoft JhengHei UI Light"/>
      <family val="2"/>
    </font>
    <font>
      <sz val="72"/>
      <color rgb="FFF24C50"/>
      <name val="Bahnschrift SemiBold"/>
      <family val="2"/>
    </font>
    <font>
      <sz val="72"/>
      <color rgb="FFF68689"/>
      <name val="Bahnschrift SemiBold"/>
      <family val="2"/>
    </font>
    <font>
      <b/>
      <sz val="11"/>
      <color theme="0"/>
      <name val="Microsoft YaHei Light"/>
      <family val="2"/>
    </font>
    <font>
      <sz val="26"/>
      <color theme="0"/>
      <name val="Calibri"/>
      <family val="2"/>
      <scheme val="minor"/>
    </font>
    <font>
      <b/>
      <sz val="11"/>
      <color theme="0"/>
      <name val="Microsoft JhengHei UI Light"/>
      <family val="2"/>
    </font>
    <font>
      <sz val="26"/>
      <color theme="1"/>
      <name val="Calibri"/>
      <family val="2"/>
      <scheme val="minor"/>
    </font>
    <font>
      <sz val="14"/>
      <color rgb="FFFF0000"/>
      <name val="MV Boli"/>
    </font>
    <font>
      <u/>
      <sz val="20"/>
      <color theme="10"/>
      <name val="Calibri"/>
      <family val="2"/>
      <scheme val="minor"/>
    </font>
    <font>
      <sz val="16"/>
      <color theme="0"/>
      <name val="MV Boli"/>
    </font>
    <font>
      <sz val="6"/>
      <name val="MV Boli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00"/>
      <name val="Sitka Text"/>
    </font>
    <font>
      <sz val="48"/>
      <color theme="0"/>
      <name val="Rockwell Extra Bold"/>
      <family val="1"/>
    </font>
    <font>
      <sz val="72"/>
      <color theme="4" tint="-0.249977111117893"/>
      <name val="Bahnschrift SemiBold"/>
      <family val="2"/>
    </font>
    <font>
      <sz val="14"/>
      <color theme="0"/>
      <name val="Times New Roman"/>
      <family val="1"/>
    </font>
    <font>
      <u/>
      <sz val="11"/>
      <color theme="0"/>
      <name val="Calibri"/>
      <family val="2"/>
      <scheme val="minor"/>
    </font>
    <font>
      <sz val="48"/>
      <color theme="1"/>
      <name val="Bauhaus 93"/>
      <family val="5"/>
    </font>
    <font>
      <sz val="48"/>
      <color theme="0"/>
      <name val="Bauhaus 93"/>
      <family val="5"/>
    </font>
    <font>
      <sz val="48"/>
      <color rgb="FFFF0000"/>
      <name val="Bauhaus 93"/>
      <family val="5"/>
    </font>
    <font>
      <sz val="26"/>
      <name val="MV Boli"/>
    </font>
    <font>
      <sz val="11"/>
      <color theme="0"/>
      <name val="Bauhaus 93"/>
      <family val="5"/>
    </font>
    <font>
      <sz val="11"/>
      <color rgb="FFFF0000"/>
      <name val="Bauhaus 93"/>
      <family val="5"/>
    </font>
    <font>
      <sz val="11"/>
      <color theme="10"/>
      <name val="Bauhaus 93"/>
      <family val="5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Microsoft YaHei Light"/>
      <family val="2"/>
    </font>
    <font>
      <b/>
      <sz val="10.5"/>
      <color theme="0"/>
      <name val="Microsoft YaHei Light"/>
      <family val="2"/>
    </font>
    <font>
      <b/>
      <sz val="10.5"/>
      <color theme="0"/>
      <name val="Malgun Gothic"/>
      <family val="2"/>
    </font>
    <font>
      <sz val="11"/>
      <color rgb="FFC00000"/>
      <name val="MV Boli"/>
    </font>
    <font>
      <sz val="12"/>
      <color theme="0"/>
      <name val="Berlin Sans FB"/>
      <family val="2"/>
    </font>
    <font>
      <sz val="72"/>
      <color rgb="FF0070C0"/>
      <name val="Adobe Arabic"/>
      <family val="1"/>
    </font>
    <font>
      <sz val="48"/>
      <color rgb="FFF24C50"/>
      <name val="Minion Pro"/>
      <family val="1"/>
    </font>
    <font>
      <sz val="80"/>
      <color rgb="FFF24C50"/>
      <name val="Bahnschrift SemiBold"/>
      <family val="2"/>
    </font>
    <font>
      <sz val="80"/>
      <color rgb="FFF68689"/>
      <name val="Bahnschrift SemiBold"/>
      <family val="2"/>
    </font>
    <font>
      <sz val="12"/>
      <color theme="0"/>
      <name val="Microsoft JhengHei UI Light"/>
      <family val="2"/>
    </font>
    <font>
      <sz val="48"/>
      <color rgb="FF0070C0"/>
      <name val="Minion Pro"/>
      <family val="1"/>
    </font>
    <font>
      <sz val="48"/>
      <color rgb="FFF68689"/>
      <name val="Minion Pro"/>
      <family val="1"/>
    </font>
    <font>
      <b/>
      <sz val="22"/>
      <color theme="0"/>
      <name val="Microsoft JhengHei UI Light"/>
      <family val="2"/>
    </font>
    <font>
      <sz val="60"/>
      <color theme="4" tint="-0.249977111117893"/>
      <name val="Bahnschrift SemiBold"/>
      <family val="2"/>
    </font>
    <font>
      <sz val="28"/>
      <name val="MV Boli"/>
    </font>
    <font>
      <b/>
      <sz val="100"/>
      <color theme="4" tint="-0.249977111117893"/>
      <name val="Minion Pro"/>
      <family val="1"/>
    </font>
    <font>
      <sz val="18"/>
      <color theme="0"/>
      <name val="Berlin Sans FB"/>
      <family val="2"/>
    </font>
    <font>
      <b/>
      <sz val="36"/>
      <color rgb="FFF68689"/>
      <name val="Minion Pro"/>
      <family val="1"/>
    </font>
    <font>
      <sz val="9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6"/>
      <color rgb="FFFFC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C000"/>
      <name val="Rockwell Extra Bold"/>
      <family val="1"/>
    </font>
    <font>
      <sz val="28"/>
      <color rgb="FFFFC000"/>
      <name val="Rockwell Extra Bold"/>
      <family val="1"/>
    </font>
    <font>
      <b/>
      <sz val="14"/>
      <color rgb="FFEB200B"/>
      <name val="Calibri"/>
      <family val="2"/>
      <scheme val="minor"/>
    </font>
    <font>
      <u/>
      <sz val="16"/>
      <color rgb="FFEB200B"/>
      <name val="Calibri"/>
      <family val="2"/>
      <scheme val="minor"/>
    </font>
    <font>
      <sz val="9"/>
      <color theme="0"/>
      <name val="MV Boli"/>
    </font>
    <font>
      <sz val="18"/>
      <color theme="0"/>
      <name val="Adobe Gothic Std B"/>
      <family val="2"/>
      <charset val="128"/>
    </font>
    <font>
      <sz val="8"/>
      <color theme="1"/>
      <name val="Calibri"/>
      <family val="2"/>
      <scheme val="minor"/>
    </font>
    <font>
      <sz val="11"/>
      <color theme="0"/>
      <name val="Times New Roman"/>
      <family val="1"/>
    </font>
    <font>
      <strike/>
      <sz val="11"/>
      <color theme="1"/>
      <name val="Calibri"/>
      <family val="2"/>
      <scheme val="minor"/>
    </font>
    <font>
      <b/>
      <sz val="14"/>
      <color theme="0"/>
      <name val="MV Boli"/>
    </font>
    <font>
      <sz val="24"/>
      <name val="MV Boli"/>
    </font>
    <font>
      <b/>
      <sz val="22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45"/>
      <color rgb="FF0070C0"/>
      <name val="Minion Pro"/>
      <family val="1"/>
    </font>
    <font>
      <sz val="11"/>
      <color theme="1"/>
      <name val="Times New Roman"/>
      <family val="1"/>
    </font>
    <font>
      <b/>
      <sz val="24"/>
      <color theme="0"/>
      <name val="Times New Roman"/>
      <family val="1"/>
    </font>
    <font>
      <sz val="24"/>
      <color theme="1"/>
      <name val="Times New Roman"/>
      <family val="1"/>
    </font>
    <font>
      <b/>
      <sz val="11"/>
      <color theme="1"/>
      <name val="Times New Roman"/>
      <family val="1"/>
    </font>
    <font>
      <i/>
      <sz val="24"/>
      <color theme="1"/>
      <name val="Times New Roman"/>
      <family val="1"/>
    </font>
    <font>
      <sz val="48"/>
      <color rgb="FFF24C50"/>
      <name val="Bahnschrift SemiBold"/>
      <family val="2"/>
    </font>
    <font>
      <sz val="2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34"/>
      <color theme="4" tint="-0.249977111117893"/>
      <name val="Bahnschrift SemiBold"/>
      <family val="2"/>
    </font>
    <font>
      <sz val="60"/>
      <color rgb="FF0070C0"/>
      <name val="Adobe Arabic"/>
      <family val="1"/>
    </font>
    <font>
      <u/>
      <sz val="11"/>
      <name val="Calibri"/>
      <family val="2"/>
      <scheme val="minor"/>
    </font>
    <font>
      <b/>
      <sz val="60"/>
      <color rgb="FFF68689"/>
      <name val="Minion Pro"/>
      <family val="1"/>
    </font>
    <font>
      <sz val="9"/>
      <color theme="1"/>
      <name val="Times New Roman"/>
      <family val="1"/>
    </font>
    <font>
      <sz val="22"/>
      <color theme="0"/>
      <name val="Bahnschrift"/>
      <family val="2"/>
    </font>
    <font>
      <b/>
      <sz val="36"/>
      <color theme="1"/>
      <name val="MV Boli"/>
    </font>
    <font>
      <b/>
      <sz val="36"/>
      <color rgb="FFFF0000"/>
      <name val="MV Boli"/>
    </font>
    <font>
      <b/>
      <sz val="36"/>
      <color theme="0"/>
      <name val="MV Boli"/>
    </font>
  </fonts>
  <fills count="6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200B"/>
        <bgColor indexed="64"/>
      </patternFill>
    </fill>
    <fill>
      <patternFill patternType="solid">
        <fgColor rgb="FFB82C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25" fillId="0" borderId="0"/>
    <xf numFmtId="0" fontId="39" fillId="0" borderId="0" applyNumberFormat="0" applyFill="0" applyBorder="0" applyAlignment="0" applyProtection="0"/>
  </cellStyleXfs>
  <cellXfs count="883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0" fillId="8" borderId="0" xfId="0" applyFill="1"/>
    <xf numFmtId="0" fontId="0" fillId="8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13" borderId="13" xfId="0" applyFont="1" applyFill="1" applyBorder="1" applyAlignment="1">
      <alignment horizontal="center" vertical="center"/>
    </xf>
    <xf numFmtId="0" fontId="1" fillId="14" borderId="8" xfId="0" applyFont="1" applyFill="1" applyBorder="1"/>
    <xf numFmtId="0" fontId="1" fillId="14" borderId="9" xfId="0" applyFont="1" applyFill="1" applyBorder="1"/>
    <xf numFmtId="0" fontId="1" fillId="14" borderId="10" xfId="0" applyFont="1" applyFill="1" applyBorder="1"/>
    <xf numFmtId="0" fontId="1" fillId="15" borderId="8" xfId="0" applyFont="1" applyFill="1" applyBorder="1"/>
    <xf numFmtId="0" fontId="1" fillId="15" borderId="9" xfId="0" applyFont="1" applyFill="1" applyBorder="1"/>
    <xf numFmtId="0" fontId="1" fillId="15" borderId="10" xfId="0" applyFont="1" applyFill="1" applyBorder="1"/>
    <xf numFmtId="0" fontId="1" fillId="16" borderId="8" xfId="0" applyFont="1" applyFill="1" applyBorder="1"/>
    <xf numFmtId="0" fontId="1" fillId="16" borderId="9" xfId="0" applyFont="1" applyFill="1" applyBorder="1"/>
    <xf numFmtId="0" fontId="1" fillId="16" borderId="10" xfId="0" applyFont="1" applyFill="1" applyBorder="1"/>
    <xf numFmtId="0" fontId="0" fillId="18" borderId="11" xfId="0" applyFill="1" applyBorder="1"/>
    <xf numFmtId="0" fontId="0" fillId="18" borderId="5" xfId="0" applyFill="1" applyBorder="1"/>
    <xf numFmtId="0" fontId="0" fillId="18" borderId="17" xfId="0" applyFill="1" applyBorder="1"/>
    <xf numFmtId="0" fontId="0" fillId="19" borderId="11" xfId="0" applyFill="1" applyBorder="1"/>
    <xf numFmtId="0" fontId="0" fillId="19" borderId="5" xfId="0" applyFill="1" applyBorder="1"/>
    <xf numFmtId="0" fontId="0" fillId="19" borderId="17" xfId="0" applyFill="1" applyBorder="1"/>
    <xf numFmtId="0" fontId="0" fillId="20" borderId="18" xfId="0" applyFill="1" applyBorder="1"/>
    <xf numFmtId="0" fontId="0" fillId="20" borderId="0" xfId="0" applyFill="1" applyBorder="1"/>
    <xf numFmtId="0" fontId="0" fillId="20" borderId="19" xfId="0" applyFill="1" applyBorder="1"/>
    <xf numFmtId="0" fontId="0" fillId="18" borderId="6" xfId="0" applyFill="1" applyBorder="1"/>
    <xf numFmtId="0" fontId="0" fillId="18" borderId="1" xfId="0" applyFill="1" applyBorder="1"/>
    <xf numFmtId="0" fontId="0" fillId="18" borderId="7" xfId="0" applyFill="1" applyBorder="1"/>
    <xf numFmtId="0" fontId="0" fillId="19" borderId="6" xfId="0" applyFill="1" applyBorder="1"/>
    <xf numFmtId="0" fontId="0" fillId="19" borderId="1" xfId="0" applyFill="1" applyBorder="1"/>
    <xf numFmtId="0" fontId="0" fillId="19" borderId="7" xfId="0" applyFill="1" applyBorder="1"/>
    <xf numFmtId="0" fontId="0" fillId="20" borderId="21" xfId="0" applyFill="1" applyBorder="1"/>
    <xf numFmtId="0" fontId="0" fillId="20" borderId="22" xfId="0" applyFill="1" applyBorder="1"/>
    <xf numFmtId="0" fontId="0" fillId="20" borderId="23" xfId="0" applyFill="1" applyBorder="1"/>
    <xf numFmtId="0" fontId="2" fillId="21" borderId="18" xfId="0" applyFont="1" applyFill="1" applyBorder="1"/>
    <xf numFmtId="0" fontId="0" fillId="21" borderId="18" xfId="0" applyFill="1" applyBorder="1"/>
    <xf numFmtId="0" fontId="0" fillId="21" borderId="0" xfId="0" applyFill="1" applyBorder="1"/>
    <xf numFmtId="0" fontId="0" fillId="21" borderId="19" xfId="0" applyFill="1" applyBorder="1"/>
    <xf numFmtId="0" fontId="0" fillId="20" borderId="6" xfId="0" applyFill="1" applyBorder="1"/>
    <xf numFmtId="0" fontId="0" fillId="20" borderId="1" xfId="0" applyFill="1" applyBorder="1"/>
    <xf numFmtId="0" fontId="0" fillId="20" borderId="7" xfId="0" applyFill="1" applyBorder="1"/>
    <xf numFmtId="0" fontId="0" fillId="20" borderId="24" xfId="0" applyFill="1" applyBorder="1"/>
    <xf numFmtId="0" fontId="0" fillId="20" borderId="2" xfId="0" applyFill="1" applyBorder="1"/>
    <xf numFmtId="0" fontId="0" fillId="20" borderId="25" xfId="0" applyFill="1" applyBorder="1"/>
    <xf numFmtId="0" fontId="0" fillId="18" borderId="12" xfId="0" applyFill="1" applyBorder="1"/>
    <xf numFmtId="0" fontId="0" fillId="18" borderId="3" xfId="0" applyFill="1" applyBorder="1"/>
    <xf numFmtId="0" fontId="0" fillId="18" borderId="26" xfId="0" applyFill="1" applyBorder="1"/>
    <xf numFmtId="0" fontId="0" fillId="19" borderId="24" xfId="0" applyFill="1" applyBorder="1"/>
    <xf numFmtId="0" fontId="0" fillId="19" borderId="2" xfId="0" applyFill="1" applyBorder="1"/>
    <xf numFmtId="0" fontId="0" fillId="19" borderId="25" xfId="0" applyFill="1" applyBorder="1"/>
    <xf numFmtId="0" fontId="2" fillId="21" borderId="13" xfId="0" applyFont="1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13" xfId="0" applyFill="1" applyBorder="1"/>
    <xf numFmtId="0" fontId="0" fillId="21" borderId="14" xfId="0" applyFill="1" applyBorder="1"/>
    <xf numFmtId="0" fontId="0" fillId="21" borderId="15" xfId="0" applyFill="1" applyBorder="1"/>
    <xf numFmtId="0" fontId="2" fillId="7" borderId="13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6" fontId="0" fillId="3" borderId="1" xfId="0" applyNumberFormat="1" applyFill="1" applyBorder="1"/>
    <xf numFmtId="16" fontId="0" fillId="2" borderId="1" xfId="0" applyNumberFormat="1" applyFill="1" applyBorder="1"/>
    <xf numFmtId="0" fontId="6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7" fillId="24" borderId="13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" fontId="8" fillId="0" borderId="1" xfId="0" applyNumberFormat="1" applyFont="1" applyBorder="1" applyAlignment="1">
      <alignment horizontal="center" vertical="center"/>
    </xf>
    <xf numFmtId="0" fontId="5" fillId="27" borderId="1" xfId="0" applyFont="1" applyFill="1" applyBorder="1" applyAlignment="1">
      <alignment horizontal="center" vertical="center"/>
    </xf>
    <xf numFmtId="0" fontId="9" fillId="16" borderId="33" xfId="0" applyFont="1" applyFill="1" applyBorder="1" applyAlignment="1">
      <alignment horizontal="center" vertical="center" wrapText="1"/>
    </xf>
    <xf numFmtId="0" fontId="10" fillId="16" borderId="33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16" fontId="0" fillId="30" borderId="1" xfId="0" applyNumberFormat="1" applyFill="1" applyBorder="1"/>
    <xf numFmtId="0" fontId="0" fillId="30" borderId="1" xfId="0" applyFill="1" applyBorder="1" applyAlignment="1">
      <alignment horizontal="center" vertical="center"/>
    </xf>
    <xf numFmtId="16" fontId="0" fillId="9" borderId="1" xfId="0" applyNumberFormat="1" applyFill="1" applyBorder="1"/>
    <xf numFmtId="0" fontId="0" fillId="9" borderId="1" xfId="0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0" borderId="1" xfId="0" applyBorder="1"/>
    <xf numFmtId="0" fontId="0" fillId="8" borderId="1" xfId="0" applyFill="1" applyBorder="1"/>
    <xf numFmtId="0" fontId="3" fillId="6" borderId="3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3" fillId="23" borderId="3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wrapText="1"/>
    </xf>
    <xf numFmtId="0" fontId="3" fillId="6" borderId="1" xfId="0" applyFont="1" applyFill="1" applyBorder="1"/>
    <xf numFmtId="49" fontId="0" fillId="8" borderId="1" xfId="0" applyNumberFormat="1" applyFill="1" applyBorder="1"/>
    <xf numFmtId="49" fontId="0" fillId="3" borderId="1" xfId="0" applyNumberFormat="1" applyFill="1" applyBorder="1"/>
    <xf numFmtId="49" fontId="0" fillId="2" borderId="1" xfId="0" applyNumberFormat="1" applyFill="1" applyBorder="1"/>
    <xf numFmtId="0" fontId="3" fillId="6" borderId="1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13" borderId="1" xfId="0" applyFont="1" applyFill="1" applyBorder="1" applyAlignment="1">
      <alignment horizontal="left" vertical="center" wrapText="1"/>
    </xf>
    <xf numFmtId="49" fontId="0" fillId="8" borderId="0" xfId="0" applyNumberFormat="1" applyFill="1"/>
    <xf numFmtId="0" fontId="0" fillId="8" borderId="0" xfId="0" applyFill="1" applyAlignment="1">
      <alignment wrapText="1"/>
    </xf>
    <xf numFmtId="0" fontId="3" fillId="8" borderId="1" xfId="0" applyFont="1" applyFill="1" applyBorder="1"/>
    <xf numFmtId="0" fontId="16" fillId="13" borderId="1" xfId="0" applyFont="1" applyFill="1" applyBorder="1" applyAlignment="1">
      <alignment horizontal="right"/>
    </xf>
    <xf numFmtId="0" fontId="0" fillId="24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32" borderId="1" xfId="0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0" borderId="40" xfId="0" applyFont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 wrapText="1"/>
    </xf>
    <xf numFmtId="0" fontId="3" fillId="34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6" borderId="45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  <xf numFmtId="0" fontId="2" fillId="9" borderId="4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1" xfId="0" applyFont="1" applyFill="1" applyBorder="1" applyAlignment="1">
      <alignment horizontal="center" vertical="center" wrapText="1"/>
    </xf>
    <xf numFmtId="0" fontId="1" fillId="6" borderId="42" xfId="0" applyFont="1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24" fillId="9" borderId="3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3" fontId="0" fillId="2" borderId="1" xfId="0" applyNumberFormat="1" applyFill="1" applyBorder="1" applyAlignment="1">
      <alignment horizontal="center" vertical="center"/>
    </xf>
    <xf numFmtId="3" fontId="0" fillId="9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Fill="1" applyAlignment="1">
      <alignment horizontal="center" vertical="center"/>
    </xf>
    <xf numFmtId="0" fontId="27" fillId="0" borderId="0" xfId="0" applyFont="1"/>
    <xf numFmtId="0" fontId="29" fillId="0" borderId="49" xfId="0" applyFont="1" applyFill="1" applyBorder="1" applyAlignment="1">
      <alignment horizontal="center" vertical="center"/>
    </xf>
    <xf numFmtId="0" fontId="29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left" vertical="center" wrapText="1"/>
    </xf>
    <xf numFmtId="0" fontId="30" fillId="0" borderId="0" xfId="0" applyFont="1" applyBorder="1"/>
    <xf numFmtId="3" fontId="27" fillId="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horizontal="center" vertical="center"/>
    </xf>
    <xf numFmtId="49" fontId="32" fillId="0" borderId="1" xfId="0" applyNumberFormat="1" applyFont="1" applyFill="1" applyBorder="1" applyAlignment="1">
      <alignment horizontal="center" vertical="center" wrapText="1"/>
    </xf>
    <xf numFmtId="15" fontId="27" fillId="0" borderId="1" xfId="0" applyNumberFormat="1" applyFont="1" applyFill="1" applyBorder="1" applyAlignment="1">
      <alignment horizontal="center" vertical="center"/>
    </xf>
    <xf numFmtId="9" fontId="27" fillId="0" borderId="1" xfId="0" applyNumberFormat="1" applyFont="1" applyFill="1" applyBorder="1" applyAlignment="1">
      <alignment horizontal="center" vertical="center"/>
    </xf>
    <xf numFmtId="9" fontId="27" fillId="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15" fontId="27" fillId="0" borderId="1" xfId="0" applyNumberFormat="1" applyFont="1" applyFill="1" applyBorder="1" applyAlignment="1">
      <alignment horizontal="center" vertical="center" wrapText="1"/>
    </xf>
    <xf numFmtId="15" fontId="32" fillId="0" borderId="1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vertical="top"/>
    </xf>
    <xf numFmtId="49" fontId="27" fillId="0" borderId="1" xfId="0" applyNumberFormat="1" applyFont="1" applyFill="1" applyBorder="1" applyAlignment="1">
      <alignment horizontal="left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9" fontId="32" fillId="0" borderId="1" xfId="0" applyNumberFormat="1" applyFont="1" applyFill="1" applyBorder="1" applyAlignment="1">
      <alignment horizontal="center" vertical="center"/>
    </xf>
    <xf numFmtId="0" fontId="30" fillId="0" borderId="0" xfId="0" applyFont="1" applyFill="1" applyBorder="1"/>
    <xf numFmtId="164" fontId="32" fillId="0" borderId="1" xfId="0" applyNumberFormat="1" applyFont="1" applyFill="1" applyBorder="1" applyAlignment="1">
      <alignment horizontal="center" vertical="center"/>
    </xf>
    <xf numFmtId="49" fontId="31" fillId="0" borderId="1" xfId="0" applyNumberFormat="1" applyFont="1" applyFill="1" applyBorder="1" applyAlignment="1">
      <alignment horizontal="left" vertical="center" wrapText="1"/>
    </xf>
    <xf numFmtId="49" fontId="33" fillId="0" borderId="1" xfId="0" applyNumberFormat="1" applyFont="1" applyFill="1" applyBorder="1" applyAlignment="1">
      <alignment horizontal="left" vertical="center" wrapText="1"/>
    </xf>
    <xf numFmtId="49" fontId="31" fillId="0" borderId="3" xfId="0" applyNumberFormat="1" applyFont="1" applyFill="1" applyBorder="1" applyAlignment="1">
      <alignment horizontal="left" vertical="center" wrapText="1"/>
    </xf>
    <xf numFmtId="49" fontId="27" fillId="0" borderId="3" xfId="0" applyNumberFormat="1" applyFont="1" applyFill="1" applyBorder="1" applyAlignment="1">
      <alignment horizontal="center" vertical="center" wrapText="1"/>
    </xf>
    <xf numFmtId="49" fontId="32" fillId="0" borderId="3" xfId="0" applyNumberFormat="1" applyFont="1" applyFill="1" applyBorder="1" applyAlignment="1">
      <alignment horizontal="center" vertical="center" wrapText="1"/>
    </xf>
    <xf numFmtId="9" fontId="27" fillId="0" borderId="3" xfId="0" applyNumberFormat="1" applyFont="1" applyFill="1" applyBorder="1" applyAlignment="1">
      <alignment horizontal="center" vertical="center"/>
    </xf>
    <xf numFmtId="9" fontId="27" fillId="0" borderId="3" xfId="0" applyNumberFormat="1" applyFont="1" applyFill="1" applyBorder="1" applyAlignment="1">
      <alignment horizontal="center" vertical="center" wrapText="1"/>
    </xf>
    <xf numFmtId="0" fontId="30" fillId="0" borderId="0" xfId="0" applyFont="1"/>
    <xf numFmtId="0" fontId="31" fillId="0" borderId="3" xfId="0" applyFont="1" applyFill="1" applyBorder="1" applyAlignment="1">
      <alignment horizontal="left" vertical="center" wrapText="1"/>
    </xf>
    <xf numFmtId="0" fontId="32" fillId="0" borderId="3" xfId="1" applyNumberFormat="1" applyFont="1" applyFill="1" applyBorder="1" applyAlignment="1">
      <alignment horizontal="left" vertical="center" shrinkToFit="1"/>
    </xf>
    <xf numFmtId="0" fontId="27" fillId="0" borderId="3" xfId="0" applyFont="1" applyFill="1" applyBorder="1" applyAlignment="1">
      <alignment horizontal="left" vertical="center" wrapText="1"/>
    </xf>
    <xf numFmtId="15" fontId="27" fillId="0" borderId="3" xfId="0" applyNumberFormat="1" applyFont="1" applyFill="1" applyBorder="1" applyAlignment="1">
      <alignment horizontal="center" vertical="center" wrapText="1"/>
    </xf>
    <xf numFmtId="164" fontId="32" fillId="0" borderId="3" xfId="0" applyNumberFormat="1" applyFont="1" applyFill="1" applyBorder="1" applyAlignment="1">
      <alignment horizontal="center" vertical="center"/>
    </xf>
    <xf numFmtId="49" fontId="32" fillId="0" borderId="3" xfId="0" applyNumberFormat="1" applyFont="1" applyFill="1" applyBorder="1" applyAlignment="1">
      <alignment horizontal="left" vertical="center" wrapText="1"/>
    </xf>
    <xf numFmtId="15" fontId="27" fillId="0" borderId="3" xfId="0" applyNumberFormat="1" applyFont="1" applyFill="1" applyBorder="1" applyAlignment="1">
      <alignment horizontal="center" vertical="center"/>
    </xf>
    <xf numFmtId="0" fontId="30" fillId="0" borderId="0" xfId="0" applyFont="1" applyFill="1"/>
    <xf numFmtId="0" fontId="32" fillId="0" borderId="1" xfId="1" applyFont="1" applyFill="1" applyBorder="1" applyAlignment="1">
      <alignment horizontal="left" vertical="center" shrinkToFit="1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 wrapText="1"/>
    </xf>
    <xf numFmtId="0" fontId="30" fillId="0" borderId="0" xfId="0" applyFont="1" applyFill="1" applyAlignment="1">
      <alignment horizontal="left" vertical="center" wrapText="1"/>
    </xf>
    <xf numFmtId="165" fontId="27" fillId="0" borderId="1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/>
    </xf>
    <xf numFmtId="0" fontId="34" fillId="20" borderId="1" xfId="0" applyFont="1" applyFill="1" applyBorder="1" applyAlignment="1">
      <alignment vertical="center"/>
    </xf>
    <xf numFmtId="1" fontId="27" fillId="0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0" fillId="2" borderId="0" xfId="0" applyFill="1"/>
    <xf numFmtId="14" fontId="0" fillId="2" borderId="0" xfId="0" applyNumberFormat="1" applyFill="1"/>
    <xf numFmtId="49" fontId="26" fillId="17" borderId="1" xfId="0" applyNumberFormat="1" applyFont="1" applyFill="1" applyBorder="1" applyAlignment="1">
      <alignment horizontal="center" vertical="center"/>
    </xf>
    <xf numFmtId="49" fontId="0" fillId="31" borderId="1" xfId="0" applyNumberFormat="1" applyFill="1" applyBorder="1" applyAlignment="1">
      <alignment horizontal="center" vertical="center"/>
    </xf>
    <xf numFmtId="1" fontId="26" fillId="17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right"/>
    </xf>
    <xf numFmtId="0" fontId="1" fillId="13" borderId="1" xfId="0" applyFont="1" applyFill="1" applyBorder="1" applyAlignment="1">
      <alignment horizontal="right"/>
    </xf>
    <xf numFmtId="0" fontId="2" fillId="17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12" fontId="0" fillId="0" borderId="1" xfId="0" applyNumberFormat="1" applyBorder="1"/>
    <xf numFmtId="0" fontId="0" fillId="0" borderId="1" xfId="0" applyBorder="1" applyAlignment="1"/>
    <xf numFmtId="0" fontId="36" fillId="16" borderId="1" xfId="0" applyFont="1" applyFill="1" applyBorder="1" applyAlignment="1">
      <alignment horizontal="center" vertical="center" wrapText="1"/>
    </xf>
    <xf numFmtId="16" fontId="0" fillId="2" borderId="0" xfId="0" applyNumberFormat="1" applyFill="1"/>
    <xf numFmtId="0" fontId="0" fillId="2" borderId="1" xfId="0" applyFill="1" applyBorder="1" applyAlignment="1">
      <alignment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vertical="top" wrapText="1"/>
    </xf>
    <xf numFmtId="0" fontId="0" fillId="0" borderId="5" xfId="0" applyBorder="1" applyAlignment="1">
      <alignment horizontal="left"/>
    </xf>
    <xf numFmtId="0" fontId="0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42" fillId="6" borderId="3" xfId="0" applyFont="1" applyFill="1" applyBorder="1" applyAlignment="1">
      <alignment horizontal="center" vertical="center" wrapText="1"/>
    </xf>
    <xf numFmtId="0" fontId="0" fillId="2" borderId="28" xfId="0" applyFill="1" applyBorder="1"/>
    <xf numFmtId="0" fontId="0" fillId="2" borderId="51" xfId="0" applyFill="1" applyBorder="1"/>
    <xf numFmtId="0" fontId="0" fillId="2" borderId="0" xfId="0" applyFill="1" applyAlignment="1">
      <alignment wrapText="1"/>
    </xf>
    <xf numFmtId="0" fontId="0" fillId="2" borderId="0" xfId="0" applyFont="1" applyFill="1" applyAlignment="1">
      <alignment wrapText="1"/>
    </xf>
    <xf numFmtId="0" fontId="44" fillId="40" borderId="0" xfId="0" applyFont="1" applyFill="1"/>
    <xf numFmtId="0" fontId="44" fillId="40" borderId="0" xfId="0" applyFont="1" applyFill="1" applyAlignment="1">
      <alignment wrapText="1"/>
    </xf>
    <xf numFmtId="0" fontId="0" fillId="40" borderId="0" xfId="0" applyFill="1"/>
    <xf numFmtId="0" fontId="0" fillId="40" borderId="0" xfId="0" applyFill="1" applyAlignment="1">
      <alignment wrapText="1"/>
    </xf>
    <xf numFmtId="0" fontId="0" fillId="18" borderId="30" xfId="0" applyFill="1" applyBorder="1"/>
    <xf numFmtId="0" fontId="0" fillId="41" borderId="1" xfId="0" applyFill="1" applyBorder="1" applyAlignment="1">
      <alignment horizontal="center" vertical="center" wrapText="1"/>
    </xf>
    <xf numFmtId="0" fontId="46" fillId="0" borderId="0" xfId="0" applyFont="1"/>
    <xf numFmtId="0" fontId="1" fillId="38" borderId="1" xfId="0" applyFont="1" applyFill="1" applyBorder="1" applyAlignment="1">
      <alignment horizontal="center" vertical="center"/>
    </xf>
    <xf numFmtId="0" fontId="1" fillId="38" borderId="1" xfId="0" applyFont="1" applyFill="1" applyBorder="1" applyAlignment="1">
      <alignment horizontal="center" vertical="center" wrapText="1"/>
    </xf>
    <xf numFmtId="0" fontId="40" fillId="31" borderId="34" xfId="2" applyFont="1" applyFill="1" applyBorder="1" applyAlignment="1">
      <alignment horizontal="center" vertical="center"/>
    </xf>
    <xf numFmtId="167" fontId="0" fillId="0" borderId="1" xfId="0" applyNumberFormat="1" applyBorder="1"/>
    <xf numFmtId="16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center" vertical="center"/>
    </xf>
    <xf numFmtId="0" fontId="50" fillId="0" borderId="0" xfId="0" applyFont="1"/>
    <xf numFmtId="0" fontId="51" fillId="44" borderId="54" xfId="0" applyFont="1" applyFill="1" applyBorder="1" applyAlignment="1">
      <alignment vertical="center"/>
    </xf>
    <xf numFmtId="0" fontId="51" fillId="45" borderId="1" xfId="0" applyFont="1" applyFill="1" applyBorder="1" applyAlignment="1">
      <alignment horizontal="center" vertical="center"/>
    </xf>
    <xf numFmtId="0" fontId="51" fillId="25" borderId="1" xfId="0" applyFont="1" applyFill="1" applyBorder="1" applyAlignment="1">
      <alignment horizontal="center" vertical="center"/>
    </xf>
    <xf numFmtId="16" fontId="0" fillId="0" borderId="1" xfId="0" applyNumberFormat="1" applyBorder="1"/>
    <xf numFmtId="0" fontId="0" fillId="0" borderId="1" xfId="0" applyBorder="1" applyAlignment="1">
      <alignment wrapText="1"/>
    </xf>
    <xf numFmtId="0" fontId="0" fillId="48" borderId="0" xfId="0" applyFill="1"/>
    <xf numFmtId="0" fontId="52" fillId="8" borderId="1" xfId="0" applyFont="1" applyFill="1" applyBorder="1" applyAlignment="1">
      <alignment horizontal="center" vertical="center"/>
    </xf>
    <xf numFmtId="0" fontId="54" fillId="49" borderId="1" xfId="2" applyFont="1" applyFill="1" applyBorder="1" applyAlignment="1">
      <alignment horizontal="center" vertical="center"/>
    </xf>
    <xf numFmtId="0" fontId="54" fillId="18" borderId="1" xfId="2" applyFont="1" applyFill="1" applyBorder="1" applyAlignment="1">
      <alignment horizontal="center" vertical="center"/>
    </xf>
    <xf numFmtId="0" fontId="54" fillId="20" borderId="1" xfId="2" applyFont="1" applyFill="1" applyBorder="1" applyAlignment="1">
      <alignment horizontal="center" vertical="center"/>
    </xf>
    <xf numFmtId="0" fontId="54" fillId="9" borderId="1" xfId="2" applyFont="1" applyFill="1" applyBorder="1" applyAlignment="1">
      <alignment horizontal="center" vertical="center"/>
    </xf>
    <xf numFmtId="0" fontId="54" fillId="30" borderId="1" xfId="2" applyFont="1" applyFill="1" applyBorder="1" applyAlignment="1">
      <alignment horizontal="center" vertical="center"/>
    </xf>
    <xf numFmtId="0" fontId="54" fillId="10" borderId="1" xfId="2" applyFont="1" applyFill="1" applyBorder="1" applyAlignment="1">
      <alignment horizontal="center" vertical="center"/>
    </xf>
    <xf numFmtId="0" fontId="54" fillId="39" borderId="1" xfId="2" applyFont="1" applyFill="1" applyBorder="1" applyAlignment="1">
      <alignment horizontal="center" vertical="center"/>
    </xf>
    <xf numFmtId="0" fontId="3" fillId="34" borderId="5" xfId="0" applyFont="1" applyFill="1" applyBorder="1" applyAlignment="1">
      <alignment horizontal="center" vertical="center" wrapText="1"/>
    </xf>
    <xf numFmtId="0" fontId="54" fillId="3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6" fontId="18" fillId="0" borderId="40" xfId="0" applyNumberFormat="1" applyFont="1" applyFill="1" applyBorder="1" applyAlignment="1">
      <alignment horizontal="center" vertical="center"/>
    </xf>
    <xf numFmtId="3" fontId="0" fillId="0" borderId="40" xfId="0" applyNumberForma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 vertical="center"/>
    </xf>
    <xf numFmtId="0" fontId="73" fillId="5" borderId="1" xfId="2" applyFont="1" applyFill="1" applyBorder="1" applyAlignment="1">
      <alignment horizontal="center" vertical="center"/>
    </xf>
    <xf numFmtId="0" fontId="53" fillId="48" borderId="0" xfId="0" applyFont="1" applyFill="1" applyBorder="1" applyAlignment="1">
      <alignment vertical="center" wrapText="1"/>
    </xf>
    <xf numFmtId="0" fontId="73" fillId="26" borderId="1" xfId="2" applyFont="1" applyFill="1" applyBorder="1" applyAlignment="1">
      <alignment horizontal="center" vertical="center"/>
    </xf>
    <xf numFmtId="0" fontId="46" fillId="2" borderId="0" xfId="0" applyFont="1" applyFill="1"/>
    <xf numFmtId="0" fontId="54" fillId="29" borderId="1" xfId="2" applyFont="1" applyFill="1" applyBorder="1" applyAlignment="1">
      <alignment horizontal="center" vertical="center"/>
    </xf>
    <xf numFmtId="0" fontId="54" fillId="8" borderId="0" xfId="0" applyFont="1" applyFill="1"/>
    <xf numFmtId="0" fontId="73" fillId="42" borderId="1" xfId="2" applyFont="1" applyFill="1" applyBorder="1" applyAlignment="1">
      <alignment horizontal="center" vertical="center"/>
    </xf>
    <xf numFmtId="0" fontId="54" fillId="46" borderId="1" xfId="2" applyFont="1" applyFill="1" applyBorder="1" applyAlignment="1">
      <alignment horizontal="center" vertical="center"/>
    </xf>
    <xf numFmtId="0" fontId="73" fillId="23" borderId="1" xfId="2" applyFont="1" applyFill="1" applyBorder="1" applyAlignment="1">
      <alignment horizontal="center" vertical="center"/>
    </xf>
    <xf numFmtId="0" fontId="73" fillId="38" borderId="1" xfId="2" applyFont="1" applyFill="1" applyBorder="1" applyAlignment="1">
      <alignment horizontal="center" vertical="center"/>
    </xf>
    <xf numFmtId="0" fontId="54" fillId="41" borderId="1" xfId="2" applyFont="1" applyFill="1" applyBorder="1" applyAlignment="1">
      <alignment horizontal="center" vertical="center"/>
    </xf>
    <xf numFmtId="0" fontId="73" fillId="51" borderId="1" xfId="2" applyFont="1" applyFill="1" applyBorder="1" applyAlignment="1">
      <alignment horizontal="center" vertical="center"/>
    </xf>
    <xf numFmtId="0" fontId="54" fillId="31" borderId="1" xfId="2" applyFont="1" applyFill="1" applyBorder="1" applyAlignment="1">
      <alignment horizontal="center" vertical="center"/>
    </xf>
    <xf numFmtId="0" fontId="73" fillId="28" borderId="1" xfId="2" applyFont="1" applyFill="1" applyBorder="1" applyAlignment="1">
      <alignment horizontal="center" vertical="center"/>
    </xf>
    <xf numFmtId="0" fontId="54" fillId="52" borderId="1" xfId="2" applyFont="1" applyFill="1" applyBorder="1" applyAlignment="1">
      <alignment horizontal="center" vertical="center"/>
    </xf>
    <xf numFmtId="0" fontId="91" fillId="52" borderId="1" xfId="0" applyFont="1" applyFill="1" applyBorder="1" applyAlignment="1">
      <alignment horizontal="center" vertical="center" wrapText="1"/>
    </xf>
    <xf numFmtId="0" fontId="91" fillId="52" borderId="1" xfId="0" applyFont="1" applyFill="1" applyBorder="1" applyAlignment="1">
      <alignment horizontal="center" vertical="center"/>
    </xf>
    <xf numFmtId="0" fontId="73" fillId="50" borderId="1" xfId="2" applyFont="1" applyFill="1" applyBorder="1" applyAlignment="1">
      <alignment horizontal="center" vertical="center"/>
    </xf>
    <xf numFmtId="0" fontId="7" fillId="37" borderId="0" xfId="0" applyFont="1" applyFill="1"/>
    <xf numFmtId="0" fontId="0" fillId="37" borderId="0" xfId="0" applyFill="1"/>
    <xf numFmtId="0" fontId="7" fillId="25" borderId="0" xfId="0" applyFont="1" applyFill="1"/>
    <xf numFmtId="0" fontId="97" fillId="37" borderId="0" xfId="0" applyFont="1" applyFill="1" applyAlignment="1">
      <alignment horizontal="center" vertical="center"/>
    </xf>
    <xf numFmtId="0" fontId="41" fillId="37" borderId="2" xfId="0" applyFont="1" applyFill="1" applyBorder="1" applyAlignment="1"/>
    <xf numFmtId="0" fontId="98" fillId="37" borderId="2" xfId="0" applyFont="1" applyFill="1" applyBorder="1" applyAlignment="1"/>
    <xf numFmtId="0" fontId="102" fillId="37" borderId="0" xfId="0" applyFont="1" applyFill="1" applyAlignment="1">
      <alignment horizontal="center"/>
    </xf>
    <xf numFmtId="0" fontId="101" fillId="37" borderId="0" xfId="0" applyFont="1" applyFill="1" applyAlignment="1">
      <alignment horizontal="center" vertical="center"/>
    </xf>
    <xf numFmtId="0" fontId="103" fillId="37" borderId="0" xfId="0" applyFont="1" applyFill="1" applyAlignment="1">
      <alignment horizontal="center" vertical="center"/>
    </xf>
    <xf numFmtId="0" fontId="3" fillId="37" borderId="0" xfId="0" applyFont="1" applyFill="1"/>
    <xf numFmtId="0" fontId="103" fillId="25" borderId="0" xfId="0" applyFont="1" applyFill="1" applyAlignment="1">
      <alignment horizontal="center" vertical="center"/>
    </xf>
    <xf numFmtId="0" fontId="102" fillId="25" borderId="0" xfId="0" applyFont="1" applyFill="1" applyAlignment="1">
      <alignment horizontal="center"/>
    </xf>
    <xf numFmtId="0" fontId="3" fillId="25" borderId="0" xfId="0" applyFont="1" applyFill="1"/>
    <xf numFmtId="0" fontId="100" fillId="37" borderId="0" xfId="0" applyFont="1" applyFill="1" applyAlignment="1">
      <alignment vertical="center" wrapText="1"/>
    </xf>
    <xf numFmtId="0" fontId="111" fillId="0" borderId="0" xfId="0" applyFont="1"/>
    <xf numFmtId="0" fontId="113" fillId="0" borderId="0" xfId="2" applyFont="1"/>
    <xf numFmtId="0" fontId="112" fillId="31" borderId="58" xfId="2" applyFont="1" applyFill="1" applyBorder="1" applyAlignment="1"/>
    <xf numFmtId="0" fontId="92" fillId="8" borderId="2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115" fillId="8" borderId="59" xfId="2" applyFont="1" applyFill="1" applyBorder="1" applyAlignment="1"/>
    <xf numFmtId="16" fontId="0" fillId="0" borderId="0" xfId="0" applyNumberFormat="1"/>
    <xf numFmtId="0" fontId="90" fillId="0" borderId="0" xfId="0" applyFont="1"/>
    <xf numFmtId="168" fontId="27" fillId="0" borderId="1" xfId="0" applyNumberFormat="1" applyFont="1" applyFill="1" applyBorder="1" applyAlignment="1">
      <alignment horizontal="center" vertical="center" wrapText="1"/>
    </xf>
    <xf numFmtId="0" fontId="117" fillId="37" borderId="0" xfId="0" applyFont="1" applyFill="1"/>
    <xf numFmtId="0" fontId="87" fillId="31" borderId="34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37" borderId="2" xfId="0" applyFont="1" applyFill="1" applyBorder="1" applyAlignment="1">
      <alignment vertical="center"/>
    </xf>
    <xf numFmtId="0" fontId="126" fillId="3" borderId="1" xfId="2" applyFont="1" applyFill="1" applyBorder="1" applyAlignment="1">
      <alignment horizontal="center" vertical="center"/>
    </xf>
    <xf numFmtId="0" fontId="96" fillId="38" borderId="1" xfId="2" applyFont="1" applyFill="1" applyBorder="1" applyAlignment="1">
      <alignment horizontal="center" vertical="center"/>
    </xf>
    <xf numFmtId="0" fontId="46" fillId="8" borderId="0" xfId="0" applyFont="1" applyFill="1"/>
    <xf numFmtId="0" fontId="53" fillId="8" borderId="0" xfId="0" applyFont="1" applyFill="1" applyBorder="1" applyAlignment="1">
      <alignment vertical="center" wrapText="1"/>
    </xf>
    <xf numFmtId="0" fontId="76" fillId="38" borderId="32" xfId="0" applyFont="1" applyFill="1" applyBorder="1" applyAlignment="1">
      <alignment horizontal="center" vertical="center"/>
    </xf>
    <xf numFmtId="0" fontId="129" fillId="8" borderId="1" xfId="2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64" fillId="3" borderId="32" xfId="0" applyFont="1" applyFill="1" applyBorder="1" applyAlignment="1">
      <alignment horizontal="center" vertical="center"/>
    </xf>
    <xf numFmtId="0" fontId="64" fillId="49" borderId="32" xfId="0" applyFon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08" fillId="37" borderId="0" xfId="0" applyFont="1" applyFill="1" applyAlignment="1">
      <alignment vertical="center" wrapText="1"/>
    </xf>
    <xf numFmtId="0" fontId="0" fillId="2" borderId="5" xfId="0" applyFill="1" applyBorder="1" applyAlignment="1">
      <alignment horizontal="left" vertical="center"/>
    </xf>
    <xf numFmtId="49" fontId="0" fillId="2" borderId="5" xfId="0" applyNumberFormat="1" applyFill="1" applyBorder="1" applyAlignment="1">
      <alignment horizontal="left" vertical="center"/>
    </xf>
    <xf numFmtId="0" fontId="50" fillId="0" borderId="1" xfId="0" applyFont="1" applyBorder="1"/>
    <xf numFmtId="0" fontId="50" fillId="0" borderId="1" xfId="0" applyFont="1" applyBorder="1" applyAlignment="1">
      <alignment wrapText="1"/>
    </xf>
    <xf numFmtId="0" fontId="51" fillId="0" borderId="1" xfId="0" applyFont="1" applyBorder="1" applyAlignment="1">
      <alignment horizontal="left" vertical="center"/>
    </xf>
    <xf numFmtId="0" fontId="51" fillId="44" borderId="51" xfId="0" applyFont="1" applyFill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1" fillId="25" borderId="1" xfId="0" applyFont="1" applyFill="1" applyBorder="1" applyAlignment="1">
      <alignment vertical="center"/>
    </xf>
    <xf numFmtId="0" fontId="49" fillId="44" borderId="16" xfId="0" applyFont="1" applyFill="1" applyBorder="1" applyAlignment="1">
      <alignment vertical="center"/>
    </xf>
    <xf numFmtId="0" fontId="49" fillId="44" borderId="19" xfId="0" applyFont="1" applyFill="1" applyBorder="1" applyAlignment="1">
      <alignment vertical="center"/>
    </xf>
    <xf numFmtId="0" fontId="48" fillId="44" borderId="19" xfId="0" applyFont="1" applyFill="1" applyBorder="1" applyAlignment="1">
      <alignment vertical="center"/>
    </xf>
    <xf numFmtId="0" fontId="50" fillId="0" borderId="4" xfId="0" applyFont="1" applyBorder="1"/>
    <xf numFmtId="0" fontId="51" fillId="46" borderId="1" xfId="0" applyFont="1" applyFill="1" applyBorder="1" applyAlignment="1">
      <alignment horizontal="center" vertical="center"/>
    </xf>
    <xf numFmtId="0" fontId="51" fillId="25" borderId="1" xfId="0" applyFont="1" applyFill="1" applyBorder="1" applyAlignment="1">
      <alignment horizontal="center" vertical="top"/>
    </xf>
    <xf numFmtId="0" fontId="51" fillId="31" borderId="1" xfId="0" applyFont="1" applyFill="1" applyBorder="1" applyAlignment="1">
      <alignment horizontal="center" vertical="center"/>
    </xf>
    <xf numFmtId="9" fontId="137" fillId="37" borderId="0" xfId="0" applyNumberFormat="1" applyFont="1" applyFill="1" applyAlignment="1">
      <alignment vertical="center" wrapText="1"/>
    </xf>
    <xf numFmtId="0" fontId="108" fillId="37" borderId="0" xfId="0" applyFont="1" applyFill="1" applyAlignment="1"/>
    <xf numFmtId="9" fontId="101" fillId="37" borderId="0" xfId="0" applyNumberFormat="1" applyFont="1" applyFill="1" applyAlignment="1">
      <alignment horizontal="left" vertical="center"/>
    </xf>
    <xf numFmtId="9" fontId="137" fillId="37" borderId="0" xfId="0" applyNumberFormat="1" applyFont="1" applyFill="1" applyAlignment="1">
      <alignment horizontal="center" wrapText="1"/>
    </xf>
    <xf numFmtId="9" fontId="138" fillId="37" borderId="0" xfId="0" applyNumberFormat="1" applyFont="1" applyFill="1" applyAlignment="1">
      <alignment vertical="center"/>
    </xf>
    <xf numFmtId="9" fontId="137" fillId="37" borderId="0" xfId="0" applyNumberFormat="1" applyFont="1" applyFill="1" applyAlignment="1">
      <alignment horizontal="right" vertical="center" wrapText="1"/>
    </xf>
    <xf numFmtId="9" fontId="144" fillId="37" borderId="0" xfId="0" applyNumberFormat="1" applyFont="1" applyFill="1" applyAlignment="1">
      <alignment horizontal="left" vertical="center"/>
    </xf>
    <xf numFmtId="9" fontId="143" fillId="37" borderId="0" xfId="0" applyNumberFormat="1" applyFont="1" applyFill="1" applyAlignment="1">
      <alignment horizontal="left" vertical="center"/>
    </xf>
    <xf numFmtId="0" fontId="145" fillId="37" borderId="0" xfId="0" applyFont="1" applyFill="1" applyAlignment="1">
      <alignment vertical="center" wrapText="1"/>
    </xf>
    <xf numFmtId="0" fontId="0" fillId="0" borderId="18" xfId="0" applyBorder="1"/>
    <xf numFmtId="0" fontId="77" fillId="54" borderId="34" xfId="0" applyFont="1" applyFill="1" applyBorder="1" applyAlignment="1"/>
    <xf numFmtId="0" fontId="58" fillId="31" borderId="34" xfId="2" applyFont="1" applyFill="1" applyBorder="1" applyAlignment="1"/>
    <xf numFmtId="0" fontId="3" fillId="54" borderId="1" xfId="0" applyFont="1" applyFill="1" applyBorder="1" applyAlignment="1">
      <alignment horizontal="right" vertical="center" wrapText="1"/>
    </xf>
    <xf numFmtId="0" fontId="3" fillId="54" borderId="1" xfId="0" applyFont="1" applyFill="1" applyBorder="1" applyAlignment="1">
      <alignment vertical="center"/>
    </xf>
    <xf numFmtId="0" fontId="61" fillId="31" borderId="1" xfId="2" applyFont="1" applyFill="1" applyBorder="1" applyAlignment="1"/>
    <xf numFmtId="0" fontId="2" fillId="17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18" borderId="6" xfId="0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0" fillId="18" borderId="7" xfId="0" applyFill="1" applyBorder="1" applyAlignment="1">
      <alignment vertical="center"/>
    </xf>
    <xf numFmtId="0" fontId="0" fillId="19" borderId="24" xfId="0" applyFill="1" applyBorder="1" applyAlignment="1">
      <alignment vertical="center"/>
    </xf>
    <xf numFmtId="0" fontId="0" fillId="19" borderId="2" xfId="0" applyFill="1" applyBorder="1" applyAlignment="1">
      <alignment vertical="center"/>
    </xf>
    <xf numFmtId="0" fontId="0" fillId="19" borderId="25" xfId="0" applyFill="1" applyBorder="1" applyAlignment="1">
      <alignment vertical="center"/>
    </xf>
    <xf numFmtId="0" fontId="0" fillId="20" borderId="18" xfId="0" applyFill="1" applyBorder="1" applyAlignment="1">
      <alignment vertical="center"/>
    </xf>
    <xf numFmtId="0" fontId="0" fillId="20" borderId="0" xfId="0" applyFill="1" applyBorder="1" applyAlignment="1">
      <alignment vertical="center"/>
    </xf>
    <xf numFmtId="0" fontId="0" fillId="20" borderId="19" xfId="0" applyFill="1" applyBorder="1" applyAlignment="1">
      <alignment vertical="center"/>
    </xf>
    <xf numFmtId="0" fontId="0" fillId="2" borderId="1" xfId="0" applyFill="1" applyBorder="1" applyAlignment="1">
      <alignment horizontal="center" vertical="center" wrapText="1"/>
    </xf>
    <xf numFmtId="0" fontId="26" fillId="46" borderId="1" xfId="0" applyFont="1" applyFill="1" applyBorder="1" applyAlignment="1">
      <alignment horizontal="center" vertical="center"/>
    </xf>
    <xf numFmtId="0" fontId="26" fillId="46" borderId="1" xfId="0" applyFont="1" applyFill="1" applyBorder="1" applyAlignment="1">
      <alignment horizontal="center" vertical="center" wrapText="1"/>
    </xf>
    <xf numFmtId="0" fontId="64" fillId="46" borderId="32" xfId="0" applyFont="1" applyFill="1" applyBorder="1" applyAlignment="1">
      <alignment horizontal="center" vertical="center"/>
    </xf>
    <xf numFmtId="0" fontId="145" fillId="37" borderId="0" xfId="0" applyFont="1" applyFill="1" applyAlignment="1">
      <alignment vertical="top" wrapText="1"/>
    </xf>
    <xf numFmtId="0" fontId="1" fillId="53" borderId="46" xfId="0" applyFont="1" applyFill="1" applyBorder="1" applyAlignment="1">
      <alignment horizontal="center" vertical="center" wrapText="1"/>
    </xf>
    <xf numFmtId="0" fontId="1" fillId="53" borderId="47" xfId="0" applyFont="1" applyFill="1" applyBorder="1" applyAlignment="1">
      <alignment horizontal="center" vertical="center" wrapText="1"/>
    </xf>
    <xf numFmtId="0" fontId="24" fillId="53" borderId="43" xfId="0" applyFont="1" applyFill="1" applyBorder="1" applyAlignment="1">
      <alignment horizontal="center" vertical="center" wrapText="1"/>
    </xf>
    <xf numFmtId="0" fontId="149" fillId="37" borderId="0" xfId="0" applyFont="1" applyFill="1" applyAlignment="1">
      <alignment vertical="top" wrapText="1"/>
    </xf>
    <xf numFmtId="0" fontId="105" fillId="37" borderId="0" xfId="0" applyFont="1" applyFill="1" applyAlignment="1">
      <alignment horizontal="center" vertical="top" wrapText="1"/>
    </xf>
    <xf numFmtId="0" fontId="3" fillId="8" borderId="0" xfId="0" applyFont="1" applyFill="1" applyAlignment="1">
      <alignment horizontal="left" vertical="center"/>
    </xf>
    <xf numFmtId="3" fontId="0" fillId="3" borderId="1" xfId="0" applyNumberFormat="1" applyFill="1" applyBorder="1" applyAlignment="1">
      <alignment horizontal="center" vertical="center"/>
    </xf>
    <xf numFmtId="169" fontId="0" fillId="3" borderId="1" xfId="0" applyNumberForma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69" fontId="0" fillId="17" borderId="1" xfId="0" applyNumberFormat="1" applyFill="1" applyBorder="1" applyAlignment="1">
      <alignment horizontal="center" vertical="center"/>
    </xf>
    <xf numFmtId="169" fontId="0" fillId="9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4" fillId="33" borderId="41" xfId="0" applyFont="1" applyFill="1" applyBorder="1" applyAlignment="1">
      <alignment horizontal="center" vertical="center" wrapText="1"/>
    </xf>
    <xf numFmtId="0" fontId="24" fillId="33" borderId="42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 applyAlignment="1">
      <alignment horizontal="center" vertical="center"/>
    </xf>
    <xf numFmtId="9" fontId="7" fillId="46" borderId="0" xfId="0" applyNumberFormat="1" applyFont="1" applyFill="1" applyAlignment="1">
      <alignment horizontal="center" vertical="center"/>
    </xf>
    <xf numFmtId="0" fontId="7" fillId="25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8" borderId="65" xfId="0" applyFont="1" applyFill="1" applyBorder="1" applyAlignment="1">
      <alignment horizontal="center" vertical="center"/>
    </xf>
    <xf numFmtId="0" fontId="7" fillId="25" borderId="0" xfId="0" applyFont="1" applyFill="1" applyBorder="1" applyAlignment="1">
      <alignment horizontal="center" vertical="center"/>
    </xf>
    <xf numFmtId="9" fontId="7" fillId="46" borderId="0" xfId="0" applyNumberFormat="1" applyFont="1" applyFill="1" applyBorder="1" applyAlignment="1">
      <alignment horizontal="center" vertical="center"/>
    </xf>
    <xf numFmtId="0" fontId="3" fillId="8" borderId="65" xfId="0" applyFont="1" applyFill="1" applyBorder="1" applyAlignment="1">
      <alignment horizontal="left" vertical="center"/>
    </xf>
    <xf numFmtId="1" fontId="3" fillId="8" borderId="0" xfId="0" applyNumberFormat="1" applyFont="1" applyFill="1" applyBorder="1" applyAlignment="1">
      <alignment horizontal="center" vertical="center"/>
    </xf>
    <xf numFmtId="9" fontId="3" fillId="8" borderId="0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/>
    </xf>
    <xf numFmtId="0" fontId="3" fillId="8" borderId="0" xfId="0" applyFont="1" applyFill="1" applyAlignment="1">
      <alignment horizontal="right" wrapText="1"/>
    </xf>
    <xf numFmtId="0" fontId="3" fillId="8" borderId="0" xfId="0" applyFont="1" applyFill="1" applyBorder="1" applyAlignment="1">
      <alignment horizontal="center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right"/>
    </xf>
    <xf numFmtId="0" fontId="7" fillId="46" borderId="0" xfId="0" applyFont="1" applyFill="1"/>
    <xf numFmtId="0" fontId="153" fillId="8" borderId="0" xfId="0" applyFont="1" applyFill="1" applyAlignment="1"/>
    <xf numFmtId="0" fontId="0" fillId="57" borderId="0" xfId="0" applyFill="1"/>
    <xf numFmtId="0" fontId="3" fillId="57" borderId="0" xfId="0" applyFont="1" applyFill="1"/>
    <xf numFmtId="0" fontId="3" fillId="57" borderId="0" xfId="0" applyFont="1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0" fontId="43" fillId="8" borderId="0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right"/>
    </xf>
    <xf numFmtId="0" fontId="3" fillId="8" borderId="1" xfId="0" applyFont="1" applyFill="1" applyBorder="1" applyAlignment="1">
      <alignment horizontal="right" vertical="center"/>
    </xf>
    <xf numFmtId="0" fontId="3" fillId="8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 vertical="center" wrapText="1"/>
    </xf>
    <xf numFmtId="1" fontId="7" fillId="46" borderId="1" xfId="0" applyNumberFormat="1" applyFont="1" applyFill="1" applyBorder="1" applyAlignment="1">
      <alignment horizontal="left" vertical="center"/>
    </xf>
    <xf numFmtId="166" fontId="7" fillId="46" borderId="1" xfId="0" applyNumberFormat="1" applyFont="1" applyFill="1" applyBorder="1" applyAlignment="1">
      <alignment horizontal="left" vertical="center"/>
    </xf>
    <xf numFmtId="0" fontId="122" fillId="8" borderId="67" xfId="0" applyFont="1" applyFill="1" applyBorder="1" applyAlignment="1">
      <alignment horizontal="left" vertical="center"/>
    </xf>
    <xf numFmtId="0" fontId="3" fillId="8" borderId="67" xfId="0" applyFont="1" applyFill="1" applyBorder="1" applyAlignment="1">
      <alignment horizontal="left"/>
    </xf>
    <xf numFmtId="0" fontId="7" fillId="46" borderId="67" xfId="0" applyFont="1" applyFill="1" applyBorder="1" applyAlignment="1">
      <alignment horizontal="left"/>
    </xf>
    <xf numFmtId="0" fontId="3" fillId="8" borderId="18" xfId="0" applyFont="1" applyFill="1" applyBorder="1"/>
    <xf numFmtId="0" fontId="3" fillId="8" borderId="0" xfId="0" applyFont="1" applyFill="1" applyBorder="1"/>
    <xf numFmtId="0" fontId="3" fillId="8" borderId="19" xfId="0" applyFont="1" applyFill="1" applyBorder="1"/>
    <xf numFmtId="0" fontId="3" fillId="8" borderId="28" xfId="0" applyFont="1" applyFill="1" applyBorder="1"/>
    <xf numFmtId="0" fontId="3" fillId="8" borderId="27" xfId="0" applyFont="1" applyFill="1" applyBorder="1"/>
    <xf numFmtId="0" fontId="3" fillId="8" borderId="29" xfId="0" applyFont="1" applyFill="1" applyBorder="1"/>
    <xf numFmtId="0" fontId="3" fillId="8" borderId="14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left"/>
    </xf>
    <xf numFmtId="0" fontId="3" fillId="8" borderId="19" xfId="0" applyFont="1" applyFill="1" applyBorder="1" applyAlignment="1">
      <alignment horizontal="left"/>
    </xf>
    <xf numFmtId="0" fontId="7" fillId="46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0" fontId="3" fillId="8" borderId="68" xfId="0" applyFont="1" applyFill="1" applyBorder="1" applyAlignment="1">
      <alignment horizontal="right"/>
    </xf>
    <xf numFmtId="0" fontId="3" fillId="8" borderId="69" xfId="0" applyFont="1" applyFill="1" applyBorder="1" applyAlignment="1">
      <alignment horizontal="left"/>
    </xf>
    <xf numFmtId="0" fontId="3" fillId="8" borderId="68" xfId="0" applyFont="1" applyFill="1" applyBorder="1"/>
    <xf numFmtId="0" fontId="157" fillId="8" borderId="0" xfId="0" applyFont="1" applyFill="1"/>
    <xf numFmtId="0" fontId="3" fillId="8" borderId="66" xfId="0" applyFont="1" applyFill="1" applyBorder="1" applyAlignment="1">
      <alignment horizontal="right"/>
    </xf>
    <xf numFmtId="0" fontId="122" fillId="8" borderId="67" xfId="0" applyFont="1" applyFill="1" applyBorder="1" applyAlignment="1">
      <alignment horizontal="left"/>
    </xf>
    <xf numFmtId="0" fontId="3" fillId="8" borderId="70" xfId="0" applyFont="1" applyFill="1" applyBorder="1" applyAlignment="1">
      <alignment horizontal="left"/>
    </xf>
    <xf numFmtId="0" fontId="3" fillId="8" borderId="30" xfId="0" applyFont="1" applyFill="1" applyBorder="1"/>
    <xf numFmtId="0" fontId="3" fillId="8" borderId="31" xfId="0" applyFont="1" applyFill="1" applyBorder="1" applyAlignment="1">
      <alignment horizontal="left"/>
    </xf>
    <xf numFmtId="0" fontId="3" fillId="8" borderId="30" xfId="0" applyFont="1" applyFill="1" applyBorder="1" applyAlignment="1">
      <alignment horizontal="right"/>
    </xf>
    <xf numFmtId="0" fontId="160" fillId="53" borderId="0" xfId="2" applyFont="1" applyFill="1" applyBorder="1" applyAlignment="1"/>
    <xf numFmtId="0" fontId="1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/>
    </xf>
    <xf numFmtId="0" fontId="122" fillId="8" borderId="0" xfId="0" applyFont="1" applyFill="1" applyAlignment="1">
      <alignment horizontal="right" vertical="center"/>
    </xf>
    <xf numFmtId="0" fontId="155" fillId="8" borderId="20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 wrapText="1"/>
    </xf>
    <xf numFmtId="0" fontId="7" fillId="46" borderId="0" xfId="0" applyFont="1" applyFill="1" applyAlignment="1">
      <alignment horizontal="center" vertical="center"/>
    </xf>
    <xf numFmtId="0" fontId="122" fillId="8" borderId="0" xfId="0" applyFont="1" applyFill="1" applyAlignment="1">
      <alignment horizontal="right"/>
    </xf>
    <xf numFmtId="0" fontId="3" fillId="8" borderId="0" xfId="0" applyFont="1" applyFill="1" applyAlignment="1">
      <alignment horizontal="left" vertical="center"/>
    </xf>
    <xf numFmtId="0" fontId="3" fillId="58" borderId="0" xfId="0" applyFont="1" applyFill="1"/>
    <xf numFmtId="0" fontId="3" fillId="58" borderId="0" xfId="0" applyFont="1" applyFill="1" applyAlignment="1">
      <alignment horizontal="center" vertical="center"/>
    </xf>
    <xf numFmtId="0" fontId="0" fillId="58" borderId="0" xfId="0" applyFill="1" applyAlignment="1">
      <alignment horizontal="center" vertical="center"/>
    </xf>
    <xf numFmtId="0" fontId="0" fillId="58" borderId="0" xfId="0" applyFill="1"/>
    <xf numFmtId="0" fontId="122" fillId="8" borderId="0" xfId="0" applyFont="1" applyFill="1" applyBorder="1" applyAlignment="1">
      <alignment horizontal="left" vertical="center"/>
    </xf>
    <xf numFmtId="0" fontId="0" fillId="8" borderId="0" xfId="0" applyFill="1" applyBorder="1"/>
    <xf numFmtId="16" fontId="3" fillId="8" borderId="0" xfId="0" applyNumberFormat="1" applyFont="1" applyFill="1" applyBorder="1"/>
    <xf numFmtId="14" fontId="3" fillId="8" borderId="0" xfId="0" applyNumberFormat="1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right"/>
    </xf>
    <xf numFmtId="0" fontId="7" fillId="46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 vertical="center"/>
    </xf>
    <xf numFmtId="0" fontId="7" fillId="8" borderId="0" xfId="0" applyFont="1" applyFill="1" applyBorder="1" applyAlignment="1">
      <alignment horizontal="left"/>
    </xf>
    <xf numFmtId="0" fontId="122" fillId="8" borderId="0" xfId="0" applyFont="1" applyFill="1" applyBorder="1" applyAlignment="1">
      <alignment horizontal="left"/>
    </xf>
    <xf numFmtId="0" fontId="3" fillId="8" borderId="0" xfId="0" applyFont="1" applyFill="1" applyBorder="1" applyAlignment="1">
      <alignment horizontal="left"/>
    </xf>
    <xf numFmtId="0" fontId="16" fillId="8" borderId="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3" fillId="8" borderId="20" xfId="0" applyFont="1" applyFill="1" applyBorder="1" applyAlignment="1">
      <alignment horizontal="right"/>
    </xf>
    <xf numFmtId="0" fontId="3" fillId="8" borderId="20" xfId="0" applyFont="1" applyFill="1" applyBorder="1"/>
    <xf numFmtId="0" fontId="1" fillId="8" borderId="0" xfId="0" applyFont="1" applyFill="1" applyBorder="1" applyAlignment="1">
      <alignment horizontal="center"/>
    </xf>
    <xf numFmtId="0" fontId="155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left" vertical="center" wrapText="1"/>
    </xf>
    <xf numFmtId="166" fontId="7" fillId="46" borderId="0" xfId="0" applyNumberFormat="1" applyFont="1" applyFill="1" applyBorder="1" applyAlignment="1">
      <alignment horizontal="left" vertical="center"/>
    </xf>
    <xf numFmtId="0" fontId="3" fillId="8" borderId="53" xfId="0" applyFont="1" applyFill="1" applyBorder="1"/>
    <xf numFmtId="0" fontId="3" fillId="8" borderId="44" xfId="0" applyFont="1" applyFill="1" applyBorder="1"/>
    <xf numFmtId="0" fontId="3" fillId="8" borderId="18" xfId="0" applyFont="1" applyFill="1" applyBorder="1" applyAlignment="1">
      <alignment horizontal="right"/>
    </xf>
    <xf numFmtId="0" fontId="3" fillId="8" borderId="71" xfId="0" applyFont="1" applyFill="1" applyBorder="1" applyAlignment="1">
      <alignment horizontal="center" vertical="center" wrapText="1"/>
    </xf>
    <xf numFmtId="166" fontId="3" fillId="8" borderId="71" xfId="0" applyNumberFormat="1" applyFont="1" applyFill="1" applyBorder="1" applyAlignment="1">
      <alignment horizontal="center" vertical="center"/>
    </xf>
    <xf numFmtId="0" fontId="3" fillId="8" borderId="71" xfId="0" applyFont="1" applyFill="1" applyBorder="1" applyAlignment="1">
      <alignment horizontal="center" vertical="center"/>
    </xf>
    <xf numFmtId="0" fontId="3" fillId="8" borderId="71" xfId="0" applyFont="1" applyFill="1" applyBorder="1"/>
    <xf numFmtId="0" fontId="3" fillId="8" borderId="0" xfId="0" applyFont="1" applyFill="1" applyAlignment="1">
      <alignment horizontal="right" vertical="center"/>
    </xf>
    <xf numFmtId="0" fontId="3" fillId="8" borderId="0" xfId="0" applyFont="1" applyFill="1" applyAlignment="1"/>
    <xf numFmtId="0" fontId="3" fillId="8" borderId="13" xfId="0" applyFont="1" applyFill="1" applyBorder="1" applyAlignment="1">
      <alignment vertical="center"/>
    </xf>
    <xf numFmtId="0" fontId="3" fillId="8" borderId="14" xfId="0" applyFont="1" applyFill="1" applyBorder="1" applyAlignment="1">
      <alignment vertical="center"/>
    </xf>
    <xf numFmtId="0" fontId="156" fillId="8" borderId="0" xfId="0" applyFont="1" applyFill="1" applyAlignment="1"/>
    <xf numFmtId="15" fontId="0" fillId="0" borderId="1" xfId="0" applyNumberFormat="1" applyBorder="1" applyAlignment="1"/>
    <xf numFmtId="0" fontId="3" fillId="8" borderId="2" xfId="0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0" fontId="3" fillId="8" borderId="2" xfId="0" applyFont="1" applyFill="1" applyBorder="1" applyAlignment="1"/>
    <xf numFmtId="49" fontId="1" fillId="37" borderId="0" xfId="0" applyNumberFormat="1" applyFont="1" applyFill="1" applyAlignment="1">
      <alignment horizontal="center"/>
    </xf>
    <xf numFmtId="0" fontId="163" fillId="0" borderId="5" xfId="0" applyFont="1" applyBorder="1" applyAlignment="1">
      <alignment horizontal="center" vertical="top"/>
    </xf>
    <xf numFmtId="0" fontId="163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164" fillId="8" borderId="0" xfId="0" applyFont="1" applyFill="1"/>
    <xf numFmtId="0" fontId="0" fillId="8" borderId="0" xfId="0" applyFont="1" applyFill="1"/>
    <xf numFmtId="0" fontId="0" fillId="0" borderId="0" xfId="0" applyFont="1"/>
    <xf numFmtId="0" fontId="164" fillId="8" borderId="0" xfId="0" applyFont="1" applyFill="1" applyAlignment="1">
      <alignment horizontal="right"/>
    </xf>
    <xf numFmtId="0" fontId="164" fillId="8" borderId="0" xfId="0" applyFont="1" applyFill="1" applyAlignment="1">
      <alignment horizontal="left"/>
    </xf>
    <xf numFmtId="0" fontId="165" fillId="0" borderId="0" xfId="0" applyFont="1"/>
    <xf numFmtId="1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/>
    <xf numFmtId="0" fontId="1" fillId="58" borderId="3" xfId="0" applyFont="1" applyFill="1" applyBorder="1" applyAlignment="1">
      <alignment horizontal="right"/>
    </xf>
    <xf numFmtId="16" fontId="8" fillId="59" borderId="1" xfId="0" applyNumberFormat="1" applyFont="1" applyFill="1" applyBorder="1" applyAlignment="1">
      <alignment horizontal="center" vertical="center"/>
    </xf>
    <xf numFmtId="0" fontId="8" fillId="59" borderId="1" xfId="0" applyFont="1" applyFill="1" applyBorder="1" applyAlignment="1">
      <alignment horizontal="center" vertical="center"/>
    </xf>
    <xf numFmtId="0" fontId="167" fillId="49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5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168" fillId="2" borderId="19" xfId="0" applyFont="1" applyFill="1" applyBorder="1" applyAlignment="1">
      <alignment vertical="center" wrapText="1"/>
    </xf>
    <xf numFmtId="0" fontId="165" fillId="0" borderId="0" xfId="0" applyFont="1" applyAlignment="1">
      <alignment horizontal="right"/>
    </xf>
    <xf numFmtId="0" fontId="169" fillId="23" borderId="3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71" fillId="2" borderId="1" xfId="0" applyFont="1" applyFill="1" applyBorder="1"/>
    <xf numFmtId="49" fontId="171" fillId="3" borderId="1" xfId="0" applyNumberFormat="1" applyFont="1" applyFill="1" applyBorder="1"/>
    <xf numFmtId="9" fontId="172" fillId="37" borderId="0" xfId="0" applyNumberFormat="1" applyFont="1" applyFill="1" applyAlignment="1">
      <alignment horizontal="left" vertical="center"/>
    </xf>
    <xf numFmtId="0" fontId="0" fillId="0" borderId="0" xfId="0" applyAlignment="1">
      <alignment horizontal="right"/>
    </xf>
    <xf numFmtId="0" fontId="0" fillId="19" borderId="6" xfId="0" applyFill="1" applyBorder="1" applyAlignment="1">
      <alignment vertical="center"/>
    </xf>
    <xf numFmtId="0" fontId="0" fillId="19" borderId="1" xfId="0" applyFill="1" applyBorder="1" applyAlignment="1">
      <alignment vertical="center"/>
    </xf>
    <xf numFmtId="0" fontId="0" fillId="19" borderId="7" xfId="0" applyFill="1" applyBorder="1" applyAlignment="1">
      <alignment vertical="center"/>
    </xf>
    <xf numFmtId="0" fontId="0" fillId="20" borderId="11" xfId="0" applyFill="1" applyBorder="1"/>
    <xf numFmtId="0" fontId="0" fillId="20" borderId="5" xfId="0" applyFill="1" applyBorder="1"/>
    <xf numFmtId="0" fontId="0" fillId="20" borderId="17" xfId="0" applyFill="1" applyBorder="1"/>
    <xf numFmtId="0" fontId="176" fillId="1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29" borderId="1" xfId="0" applyFill="1" applyBorder="1" applyAlignment="1">
      <alignment horizontal="center" vertical="center" wrapText="1"/>
    </xf>
    <xf numFmtId="16" fontId="0" fillId="17" borderId="1" xfId="0" applyNumberFormat="1" applyFill="1" applyBorder="1"/>
    <xf numFmtId="9" fontId="1" fillId="5" borderId="1" xfId="0" applyNumberFormat="1" applyFont="1" applyFill="1" applyBorder="1" applyAlignment="1">
      <alignment horizontal="center"/>
    </xf>
    <xf numFmtId="9" fontId="0" fillId="29" borderId="1" xfId="0" applyNumberForma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122" fillId="8" borderId="0" xfId="0" applyFont="1" applyFill="1" applyBorder="1" applyAlignment="1">
      <alignment horizontal="right" vertical="center"/>
    </xf>
    <xf numFmtId="0" fontId="173" fillId="2" borderId="5" xfId="0" applyFont="1" applyFill="1" applyBorder="1" applyAlignment="1">
      <alignment horizontal="center" vertical="center" wrapText="1"/>
    </xf>
    <xf numFmtId="3" fontId="0" fillId="30" borderId="1" xfId="0" applyNumberFormat="1" applyFill="1" applyBorder="1" applyAlignment="1">
      <alignment horizontal="center" vertical="center"/>
    </xf>
    <xf numFmtId="0" fontId="165" fillId="0" borderId="0" xfId="0" applyFont="1" applyAlignment="1"/>
    <xf numFmtId="0" fontId="0" fillId="0" borderId="0" xfId="0" applyAlignment="1">
      <alignment horizontal="right"/>
    </xf>
    <xf numFmtId="0" fontId="165" fillId="0" borderId="0" xfId="0" applyFont="1" applyAlignment="1">
      <alignment horizontal="left"/>
    </xf>
    <xf numFmtId="0" fontId="3" fillId="23" borderId="1" xfId="0" applyFont="1" applyFill="1" applyBorder="1" applyAlignment="1">
      <alignment horizontal="center" wrapText="1"/>
    </xf>
    <xf numFmtId="3" fontId="179" fillId="16" borderId="33" xfId="0" applyNumberFormat="1" applyFont="1" applyFill="1" applyBorder="1" applyAlignment="1">
      <alignment horizontal="center" vertical="center" wrapText="1"/>
    </xf>
    <xf numFmtId="0" fontId="3" fillId="8" borderId="75" xfId="0" applyNumberFormat="1" applyFont="1" applyFill="1" applyBorder="1" applyAlignment="1">
      <alignment horizontal="center" vertical="center" wrapText="1"/>
    </xf>
    <xf numFmtId="0" fontId="3" fillId="8" borderId="76" xfId="0" applyFont="1" applyFill="1" applyBorder="1" applyAlignment="1">
      <alignment horizontal="center" vertical="center" wrapText="1"/>
    </xf>
    <xf numFmtId="170" fontId="3" fillId="8" borderId="77" xfId="0" applyNumberFormat="1" applyFont="1" applyFill="1" applyBorder="1" applyAlignment="1">
      <alignment horizontal="center" vertical="center"/>
    </xf>
    <xf numFmtId="0" fontId="122" fillId="8" borderId="76" xfId="0" applyFont="1" applyFill="1" applyBorder="1" applyAlignment="1">
      <alignment horizontal="center" vertical="center"/>
    </xf>
    <xf numFmtId="0" fontId="3" fillId="8" borderId="77" xfId="0" applyFon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/>
    </xf>
    <xf numFmtId="170" fontId="1" fillId="5" borderId="1" xfId="0" applyNumberFormat="1" applyFont="1" applyFill="1" applyBorder="1" applyAlignment="1">
      <alignment horizontal="center"/>
    </xf>
    <xf numFmtId="170" fontId="0" fillId="29" borderId="1" xfId="0" applyNumberFormat="1" applyFill="1" applyBorder="1" applyAlignment="1">
      <alignment horizontal="center"/>
    </xf>
    <xf numFmtId="170" fontId="0" fillId="29" borderId="0" xfId="0" applyNumberFormat="1" applyFill="1" applyAlignment="1">
      <alignment horizontal="center"/>
    </xf>
    <xf numFmtId="170" fontId="0" fillId="29" borderId="31" xfId="0" applyNumberFormat="1" applyFill="1" applyBorder="1" applyAlignment="1">
      <alignment horizontal="center"/>
    </xf>
    <xf numFmtId="0" fontId="156" fillId="33" borderId="0" xfId="2" applyFont="1" applyFill="1" applyAlignment="1">
      <alignment horizontal="center" vertical="center" wrapText="1"/>
    </xf>
    <xf numFmtId="170" fontId="7" fillId="46" borderId="77" xfId="0" applyNumberFormat="1" applyFont="1" applyFill="1" applyBorder="1" applyAlignment="1">
      <alignment horizontal="center" vertical="center"/>
    </xf>
    <xf numFmtId="0" fontId="183" fillId="46" borderId="76" xfId="0" applyFont="1" applyFill="1" applyBorder="1" applyAlignment="1">
      <alignment horizontal="center" vertical="center"/>
    </xf>
    <xf numFmtId="1" fontId="7" fillId="46" borderId="77" xfId="0" applyNumberFormat="1" applyFont="1" applyFill="1" applyBorder="1" applyAlignment="1">
      <alignment horizontal="center" vertical="center"/>
    </xf>
    <xf numFmtId="9" fontId="3" fillId="8" borderId="0" xfId="0" applyNumberFormat="1" applyFont="1" applyFill="1" applyAlignment="1">
      <alignment horizontal="right"/>
    </xf>
    <xf numFmtId="0" fontId="66" fillId="8" borderId="0" xfId="2" applyFont="1" applyFill="1" applyBorder="1" applyAlignment="1">
      <alignment horizontal="center"/>
    </xf>
    <xf numFmtId="0" fontId="66" fillId="8" borderId="49" xfId="2" applyFont="1" applyFill="1" applyBorder="1" applyAlignment="1">
      <alignment horizontal="center" vertical="center"/>
    </xf>
    <xf numFmtId="9" fontId="30" fillId="0" borderId="0" xfId="0" applyNumberFormat="1" applyFont="1" applyAlignment="1">
      <alignment horizontal="center" vertical="center"/>
    </xf>
    <xf numFmtId="3" fontId="30" fillId="0" borderId="0" xfId="0" applyNumberFormat="1" applyFont="1" applyAlignment="1">
      <alignment horizontal="center" vertical="center"/>
    </xf>
    <xf numFmtId="0" fontId="66" fillId="8" borderId="32" xfId="2" applyFont="1" applyFill="1" applyBorder="1" applyAlignment="1">
      <alignment horizontal="center"/>
    </xf>
    <xf numFmtId="170" fontId="30" fillId="0" borderId="0" xfId="0" applyNumberFormat="1" applyFont="1" applyAlignment="1">
      <alignment horizontal="left" vertical="center" wrapText="1"/>
    </xf>
    <xf numFmtId="170" fontId="30" fillId="0" borderId="0" xfId="0" applyNumberFormat="1" applyFont="1" applyAlignment="1">
      <alignment horizontal="center" vertical="center"/>
    </xf>
    <xf numFmtId="170" fontId="30" fillId="0" borderId="0" xfId="0" applyNumberFormat="1" applyFont="1" applyFill="1" applyAlignment="1">
      <alignment horizontal="left" vertical="center" wrapText="1"/>
    </xf>
    <xf numFmtId="170" fontId="30" fillId="0" borderId="0" xfId="0" applyNumberFormat="1" applyFont="1"/>
    <xf numFmtId="0" fontId="187" fillId="8" borderId="0" xfId="0" applyFont="1" applyFill="1" applyAlignment="1">
      <alignment horizontal="center" vertical="center"/>
    </xf>
    <xf numFmtId="0" fontId="114" fillId="33" borderId="51" xfId="2" applyFont="1" applyFill="1" applyBorder="1" applyAlignment="1">
      <alignment horizontal="center" vertical="center" wrapText="1"/>
    </xf>
    <xf numFmtId="0" fontId="114" fillId="33" borderId="16" xfId="2" applyFont="1" applyFill="1" applyBorder="1" applyAlignment="1">
      <alignment horizontal="center" vertical="center" wrapText="1"/>
    </xf>
    <xf numFmtId="0" fontId="114" fillId="33" borderId="52" xfId="2" applyFont="1" applyFill="1" applyBorder="1" applyAlignment="1">
      <alignment horizontal="center" vertical="center" wrapText="1"/>
    </xf>
    <xf numFmtId="0" fontId="93" fillId="8" borderId="44" xfId="2" applyFont="1" applyFill="1" applyBorder="1" applyAlignment="1">
      <alignment horizontal="center" vertical="center"/>
    </xf>
    <xf numFmtId="0" fontId="95" fillId="8" borderId="0" xfId="2" applyFont="1" applyFill="1" applyBorder="1" applyAlignment="1">
      <alignment horizontal="center" vertical="center"/>
    </xf>
    <xf numFmtId="0" fontId="95" fillId="8" borderId="27" xfId="2" applyFont="1" applyFill="1" applyBorder="1" applyAlignment="1">
      <alignment horizontal="center" vertical="center"/>
    </xf>
    <xf numFmtId="0" fontId="109" fillId="54" borderId="13" xfId="0" applyFont="1" applyFill="1" applyBorder="1" applyAlignment="1">
      <alignment horizontal="center"/>
    </xf>
    <xf numFmtId="0" fontId="109" fillId="54" borderId="14" xfId="0" applyFont="1" applyFill="1" applyBorder="1" applyAlignment="1">
      <alignment horizontal="center"/>
    </xf>
    <xf numFmtId="0" fontId="109" fillId="54" borderId="15" xfId="0" applyFont="1" applyFill="1" applyBorder="1" applyAlignment="1">
      <alignment horizontal="center"/>
    </xf>
    <xf numFmtId="3" fontId="140" fillId="37" borderId="0" xfId="0" applyNumberFormat="1" applyFont="1" applyFill="1" applyAlignment="1">
      <alignment horizontal="center" vertical="center"/>
    </xf>
    <xf numFmtId="0" fontId="140" fillId="37" borderId="0" xfId="0" applyFont="1" applyFill="1" applyAlignment="1">
      <alignment horizontal="center" vertical="center"/>
    </xf>
    <xf numFmtId="0" fontId="146" fillId="37" borderId="0" xfId="0" applyFont="1" applyFill="1" applyAlignment="1">
      <alignment horizontal="left" vertical="center"/>
    </xf>
    <xf numFmtId="1" fontId="120" fillId="37" borderId="0" xfId="0" applyNumberFormat="1" applyFont="1" applyFill="1" applyAlignment="1">
      <alignment horizontal="right" vertical="center"/>
    </xf>
    <xf numFmtId="0" fontId="181" fillId="37" borderId="0" xfId="0" applyFont="1" applyFill="1" applyAlignment="1">
      <alignment horizontal="left" wrapText="1"/>
    </xf>
    <xf numFmtId="0" fontId="96" fillId="53" borderId="34" xfId="0" applyFont="1" applyFill="1" applyBorder="1" applyAlignment="1">
      <alignment horizontal="center"/>
    </xf>
    <xf numFmtId="0" fontId="96" fillId="53" borderId="0" xfId="0" applyFont="1" applyFill="1" applyBorder="1" applyAlignment="1">
      <alignment horizontal="center"/>
    </xf>
    <xf numFmtId="0" fontId="108" fillId="37" borderId="0" xfId="0" applyFont="1" applyFill="1" applyAlignment="1">
      <alignment horizontal="center"/>
    </xf>
    <xf numFmtId="3" fontId="141" fillId="37" borderId="0" xfId="0" applyNumberFormat="1" applyFont="1" applyFill="1" applyAlignment="1">
      <alignment horizontal="center" vertical="center"/>
    </xf>
    <xf numFmtId="0" fontId="141" fillId="37" borderId="0" xfId="0" applyFont="1" applyFill="1" applyAlignment="1">
      <alignment horizontal="center" vertical="center"/>
    </xf>
    <xf numFmtId="0" fontId="110" fillId="37" borderId="0" xfId="0" applyFont="1" applyFill="1" applyAlignment="1">
      <alignment horizontal="center" vertical="top"/>
    </xf>
    <xf numFmtId="0" fontId="59" fillId="31" borderId="30" xfId="2" applyFont="1" applyFill="1" applyBorder="1" applyAlignment="1">
      <alignment horizontal="center"/>
    </xf>
    <xf numFmtId="0" fontId="59" fillId="31" borderId="20" xfId="2" applyFont="1" applyFill="1" applyBorder="1" applyAlignment="1">
      <alignment horizontal="center"/>
    </xf>
    <xf numFmtId="0" fontId="59" fillId="31" borderId="31" xfId="2" applyFont="1" applyFill="1" applyBorder="1" applyAlignment="1">
      <alignment horizontal="center"/>
    </xf>
    <xf numFmtId="0" fontId="119" fillId="37" borderId="0" xfId="0" applyFont="1" applyFill="1" applyAlignment="1">
      <alignment horizontal="center" vertical="center"/>
    </xf>
    <xf numFmtId="0" fontId="99" fillId="37" borderId="0" xfId="0" applyFont="1" applyFill="1" applyAlignment="1">
      <alignment horizontal="left" vertical="top" wrapText="1"/>
    </xf>
    <xf numFmtId="0" fontId="99" fillId="37" borderId="0" xfId="0" applyFont="1" applyFill="1" applyAlignment="1">
      <alignment horizontal="left" vertical="top"/>
    </xf>
    <xf numFmtId="0" fontId="105" fillId="37" borderId="0" xfId="0" applyFont="1" applyFill="1" applyAlignment="1">
      <alignment horizontal="right" vertical="center" wrapText="1"/>
    </xf>
    <xf numFmtId="0" fontId="134" fillId="37" borderId="0" xfId="0" applyFont="1" applyFill="1" applyAlignment="1">
      <alignment horizontal="center" vertical="center" wrapText="1"/>
    </xf>
    <xf numFmtId="0" fontId="104" fillId="37" borderId="0" xfId="0" applyFont="1" applyFill="1" applyAlignment="1">
      <alignment horizontal="right" wrapText="1"/>
    </xf>
    <xf numFmtId="3" fontId="178" fillId="37" borderId="0" xfId="0" applyNumberFormat="1" applyFont="1" applyFill="1" applyAlignment="1">
      <alignment horizontal="right" vertical="top"/>
    </xf>
    <xf numFmtId="0" fontId="118" fillId="37" borderId="0" xfId="0" applyFont="1" applyFill="1" applyAlignment="1">
      <alignment horizontal="center"/>
    </xf>
    <xf numFmtId="9" fontId="142" fillId="37" borderId="0" xfId="0" applyNumberFormat="1" applyFont="1" applyFill="1" applyAlignment="1">
      <alignment horizontal="center" vertical="center" wrapText="1"/>
    </xf>
    <xf numFmtId="3" fontId="139" fillId="37" borderId="0" xfId="0" applyNumberFormat="1" applyFont="1" applyFill="1" applyAlignment="1">
      <alignment horizontal="center" vertical="center"/>
    </xf>
    <xf numFmtId="0" fontId="104" fillId="37" borderId="0" xfId="0" applyFont="1" applyFill="1" applyAlignment="1">
      <alignment horizontal="left" vertical="center" wrapText="1"/>
    </xf>
    <xf numFmtId="0" fontId="148" fillId="37" borderId="0" xfId="0" applyFont="1" applyFill="1" applyAlignment="1">
      <alignment horizontal="left" vertical="center" wrapText="1"/>
    </xf>
    <xf numFmtId="0" fontId="162" fillId="37" borderId="0" xfId="0" applyFont="1" applyFill="1" applyAlignment="1">
      <alignment horizontal="right" vertical="center" wrapText="1"/>
    </xf>
    <xf numFmtId="0" fontId="184" fillId="37" borderId="0" xfId="0" applyFont="1" applyFill="1" applyAlignment="1">
      <alignment horizontal="right" vertical="center" wrapText="1"/>
    </xf>
    <xf numFmtId="3" fontId="150" fillId="37" borderId="0" xfId="0" applyNumberFormat="1" applyFont="1" applyFill="1" applyAlignment="1">
      <alignment horizontal="center" vertical="center" wrapText="1"/>
    </xf>
    <xf numFmtId="0" fontId="180" fillId="37" borderId="0" xfId="0" applyFont="1" applyFill="1" applyAlignment="1">
      <alignment horizontal="center" vertical="top"/>
    </xf>
    <xf numFmtId="9" fontId="182" fillId="37" borderId="0" xfId="0" applyNumberFormat="1" applyFont="1" applyFill="1" applyAlignment="1">
      <alignment horizontal="center"/>
    </xf>
    <xf numFmtId="0" fontId="105" fillId="37" borderId="0" xfId="0" applyFont="1" applyFill="1" applyAlignment="1">
      <alignment horizontal="left" wrapText="1"/>
    </xf>
    <xf numFmtId="3" fontId="107" fillId="37" borderId="0" xfId="0" applyNumberFormat="1" applyFont="1" applyFill="1" applyAlignment="1">
      <alignment horizontal="left" vertical="center"/>
    </xf>
    <xf numFmtId="1" fontId="133" fillId="37" borderId="0" xfId="0" applyNumberFormat="1" applyFont="1" applyFill="1" applyAlignment="1">
      <alignment horizontal="center" vertical="center"/>
    </xf>
    <xf numFmtId="0" fontId="3" fillId="37" borderId="0" xfId="0" applyFont="1" applyFill="1" applyAlignment="1">
      <alignment horizontal="center"/>
    </xf>
    <xf numFmtId="3" fontId="106" fillId="37" borderId="0" xfId="0" applyNumberFormat="1" applyFont="1" applyFill="1" applyAlignment="1">
      <alignment horizontal="left" vertical="top"/>
    </xf>
    <xf numFmtId="0" fontId="105" fillId="37" borderId="0" xfId="0" applyFont="1" applyFill="1" applyAlignment="1">
      <alignment horizontal="center" vertical="top" wrapText="1"/>
    </xf>
    <xf numFmtId="0" fontId="66" fillId="31" borderId="34" xfId="2" applyFont="1" applyFill="1" applyBorder="1" applyAlignment="1">
      <alignment horizontal="center"/>
    </xf>
    <xf numFmtId="0" fontId="66" fillId="31" borderId="0" xfId="2" applyFont="1" applyFill="1" applyBorder="1" applyAlignment="1">
      <alignment horizontal="center"/>
    </xf>
    <xf numFmtId="0" fontId="66" fillId="31" borderId="56" xfId="2" applyFont="1" applyFill="1" applyBorder="1" applyAlignment="1">
      <alignment horizontal="center"/>
    </xf>
    <xf numFmtId="0" fontId="156" fillId="8" borderId="2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158" fillId="8" borderId="34" xfId="0" applyFont="1" applyFill="1" applyBorder="1" applyAlignment="1">
      <alignment horizontal="center"/>
    </xf>
    <xf numFmtId="0" fontId="158" fillId="8" borderId="0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left" vertical="center"/>
    </xf>
    <xf numFmtId="0" fontId="3" fillId="8" borderId="14" xfId="0" applyFont="1" applyFill="1" applyBorder="1" applyAlignment="1">
      <alignment horizontal="left" vertical="center"/>
    </xf>
    <xf numFmtId="0" fontId="3" fillId="8" borderId="15" xfId="0" applyFont="1" applyFill="1" applyBorder="1" applyAlignment="1">
      <alignment horizontal="left" vertical="center"/>
    </xf>
    <xf numFmtId="0" fontId="152" fillId="46" borderId="1" xfId="0" applyFont="1" applyFill="1" applyBorder="1" applyAlignment="1">
      <alignment horizontal="center"/>
    </xf>
    <xf numFmtId="0" fontId="116" fillId="0" borderId="1" xfId="0" applyFont="1" applyBorder="1" applyAlignment="1">
      <alignment horizontal="center" vertical="center"/>
    </xf>
    <xf numFmtId="0" fontId="155" fillId="8" borderId="20" xfId="0" applyFont="1" applyFill="1" applyBorder="1" applyAlignment="1">
      <alignment horizontal="center"/>
    </xf>
    <xf numFmtId="0" fontId="154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 wrapText="1"/>
    </xf>
    <xf numFmtId="0" fontId="7" fillId="46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22" fillId="8" borderId="0" xfId="0" applyFont="1" applyFill="1" applyAlignment="1">
      <alignment horizontal="right"/>
    </xf>
    <xf numFmtId="0" fontId="3" fillId="8" borderId="0" xfId="0" applyFont="1" applyFill="1" applyAlignment="1">
      <alignment horizontal="left" vertical="center"/>
    </xf>
    <xf numFmtId="0" fontId="16" fillId="8" borderId="2" xfId="0" applyFont="1" applyFill="1" applyBorder="1" applyAlignment="1">
      <alignment horizontal="center" vertical="center"/>
    </xf>
    <xf numFmtId="0" fontId="16" fillId="8" borderId="64" xfId="0" applyFont="1" applyFill="1" applyBorder="1" applyAlignment="1">
      <alignment horizontal="center" vertical="center"/>
    </xf>
    <xf numFmtId="0" fontId="43" fillId="8" borderId="44" xfId="0" applyFont="1" applyFill="1" applyBorder="1" applyAlignment="1">
      <alignment horizontal="center"/>
    </xf>
    <xf numFmtId="0" fontId="43" fillId="8" borderId="54" xfId="0" applyFont="1" applyFill="1" applyBorder="1" applyAlignment="1">
      <alignment horizontal="center"/>
    </xf>
    <xf numFmtId="14" fontId="3" fillId="8" borderId="67" xfId="0" applyNumberFormat="1" applyFont="1" applyFill="1" applyBorder="1" applyAlignment="1">
      <alignment horizontal="left" vertical="center"/>
    </xf>
    <xf numFmtId="14" fontId="3" fillId="8" borderId="0" xfId="0" applyNumberFormat="1" applyFont="1" applyFill="1" applyBorder="1" applyAlignment="1">
      <alignment horizontal="left" vertical="center"/>
    </xf>
    <xf numFmtId="0" fontId="116" fillId="0" borderId="57" xfId="0" applyFont="1" applyBorder="1" applyAlignment="1">
      <alignment horizontal="center" vertical="center"/>
    </xf>
    <xf numFmtId="0" fontId="116" fillId="0" borderId="27" xfId="0" applyFont="1" applyBorder="1" applyAlignment="1">
      <alignment horizontal="center" vertical="center"/>
    </xf>
    <xf numFmtId="0" fontId="152" fillId="46" borderId="34" xfId="0" applyFont="1" applyFill="1" applyBorder="1" applyAlignment="1">
      <alignment horizontal="center"/>
    </xf>
    <xf numFmtId="0" fontId="152" fillId="46" borderId="0" xfId="0" applyFont="1" applyFill="1" applyBorder="1" applyAlignment="1">
      <alignment horizontal="center"/>
    </xf>
    <xf numFmtId="0" fontId="122" fillId="8" borderId="0" xfId="0" applyFont="1" applyFill="1" applyAlignment="1">
      <alignment horizontal="right" vertical="center"/>
    </xf>
    <xf numFmtId="0" fontId="122" fillId="8" borderId="75" xfId="0" applyNumberFormat="1" applyFont="1" applyFill="1" applyBorder="1" applyAlignment="1">
      <alignment horizontal="center"/>
    </xf>
    <xf numFmtId="0" fontId="122" fillId="8" borderId="76" xfId="0" applyNumberFormat="1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6" fillId="0" borderId="34" xfId="0" applyFont="1" applyBorder="1" applyAlignment="1">
      <alignment horizontal="center" vertical="center"/>
    </xf>
    <xf numFmtId="0" fontId="116" fillId="0" borderId="0" xfId="0" applyFont="1" applyBorder="1" applyAlignment="1">
      <alignment horizontal="center" vertical="center"/>
    </xf>
    <xf numFmtId="0" fontId="116" fillId="0" borderId="3" xfId="0" applyFont="1" applyBorder="1" applyAlignment="1">
      <alignment horizontal="center" vertical="center"/>
    </xf>
    <xf numFmtId="0" fontId="122" fillId="8" borderId="0" xfId="0" applyFont="1" applyFill="1" applyBorder="1" applyAlignment="1">
      <alignment horizontal="right" vertical="center"/>
    </xf>
    <xf numFmtId="0" fontId="58" fillId="31" borderId="32" xfId="2" applyFont="1" applyFill="1" applyBorder="1" applyAlignment="1">
      <alignment horizontal="center"/>
    </xf>
    <xf numFmtId="0" fontId="58" fillId="31" borderId="22" xfId="2" applyFont="1" applyFill="1" applyBorder="1" applyAlignment="1">
      <alignment horizontal="center"/>
    </xf>
    <xf numFmtId="0" fontId="58" fillId="31" borderId="49" xfId="2" applyFont="1" applyFill="1" applyBorder="1" applyAlignment="1">
      <alignment horizontal="center"/>
    </xf>
    <xf numFmtId="0" fontId="77" fillId="55" borderId="34" xfId="0" applyFont="1" applyFill="1" applyBorder="1" applyAlignment="1">
      <alignment horizontal="center"/>
    </xf>
    <xf numFmtId="0" fontId="77" fillId="55" borderId="0" xfId="0" applyFont="1" applyFill="1" applyBorder="1" applyAlignment="1">
      <alignment horizontal="center"/>
    </xf>
    <xf numFmtId="0" fontId="2" fillId="17" borderId="51" xfId="0" applyFont="1" applyFill="1" applyBorder="1" applyAlignment="1">
      <alignment horizontal="center" vertical="center" wrapText="1"/>
    </xf>
    <xf numFmtId="0" fontId="2" fillId="17" borderId="16" xfId="0" applyFont="1" applyFill="1" applyBorder="1" applyAlignment="1">
      <alignment horizontal="center" vertical="center" wrapText="1"/>
    </xf>
    <xf numFmtId="0" fontId="0" fillId="19" borderId="72" xfId="0" applyFill="1" applyBorder="1" applyAlignment="1">
      <alignment horizontal="center"/>
    </xf>
    <xf numFmtId="0" fontId="0" fillId="19" borderId="73" xfId="0" applyFill="1" applyBorder="1" applyAlignment="1">
      <alignment horizontal="center"/>
    </xf>
    <xf numFmtId="0" fontId="0" fillId="19" borderId="74" xfId="0" applyFill="1" applyBorder="1" applyAlignment="1">
      <alignment horizontal="center"/>
    </xf>
    <xf numFmtId="0" fontId="70" fillId="31" borderId="60" xfId="2" applyFont="1" applyFill="1" applyBorder="1" applyAlignment="1">
      <alignment horizontal="center"/>
    </xf>
    <xf numFmtId="0" fontId="70" fillId="31" borderId="55" xfId="2" applyFont="1" applyFill="1" applyBorder="1" applyAlignment="1">
      <alignment horizontal="center"/>
    </xf>
    <xf numFmtId="0" fontId="70" fillId="31" borderId="61" xfId="2" applyFont="1" applyFill="1" applyBorder="1" applyAlignment="1">
      <alignment horizontal="center"/>
    </xf>
    <xf numFmtId="0" fontId="60" fillId="7" borderId="62" xfId="0" applyFont="1" applyFill="1" applyBorder="1" applyAlignment="1">
      <alignment horizontal="center"/>
    </xf>
    <xf numFmtId="0" fontId="60" fillId="7" borderId="6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4" fillId="10" borderId="15" xfId="0" applyFont="1" applyFill="1" applyBorder="1" applyAlignment="1">
      <alignment horizontal="center"/>
    </xf>
    <xf numFmtId="0" fontId="4" fillId="11" borderId="13" xfId="0" applyFont="1" applyFill="1" applyBorder="1" applyAlignment="1">
      <alignment horizontal="center"/>
    </xf>
    <xf numFmtId="0" fontId="4" fillId="11" borderId="14" xfId="0" applyFont="1" applyFill="1" applyBorder="1" applyAlignment="1">
      <alignment horizontal="center"/>
    </xf>
    <xf numFmtId="0" fontId="4" fillId="11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19" xfId="0" applyFill="1" applyBorder="1" applyAlignment="1">
      <alignment horizontal="center"/>
    </xf>
    <xf numFmtId="0" fontId="0" fillId="20" borderId="28" xfId="0" applyFill="1" applyBorder="1" applyAlignment="1">
      <alignment horizontal="center"/>
    </xf>
    <xf numFmtId="0" fontId="0" fillId="20" borderId="27" xfId="0" applyFill="1" applyBorder="1" applyAlignment="1">
      <alignment horizontal="center"/>
    </xf>
    <xf numFmtId="0" fontId="0" fillId="20" borderId="29" xfId="0" applyFill="1" applyBorder="1" applyAlignment="1">
      <alignment horizontal="center"/>
    </xf>
    <xf numFmtId="0" fontId="59" fillId="31" borderId="60" xfId="2" applyFont="1" applyFill="1" applyBorder="1" applyAlignment="1">
      <alignment horizontal="center"/>
    </xf>
    <xf numFmtId="0" fontId="59" fillId="31" borderId="55" xfId="2" applyFont="1" applyFill="1" applyBorder="1" applyAlignment="1">
      <alignment horizontal="center"/>
    </xf>
    <xf numFmtId="0" fontId="59" fillId="31" borderId="61" xfId="2" applyFont="1" applyFill="1" applyBorder="1" applyAlignment="1">
      <alignment horizontal="center"/>
    </xf>
    <xf numFmtId="0" fontId="2" fillId="17" borderId="52" xfId="0" applyFont="1" applyFill="1" applyBorder="1" applyAlignment="1">
      <alignment horizontal="center" vertical="center" wrapText="1"/>
    </xf>
    <xf numFmtId="0" fontId="0" fillId="19" borderId="2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25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0" fillId="19" borderId="19" xfId="0" applyFill="1" applyBorder="1" applyAlignment="1">
      <alignment horizontal="center"/>
    </xf>
    <xf numFmtId="0" fontId="0" fillId="19" borderId="28" xfId="0" applyFill="1" applyBorder="1" applyAlignment="1">
      <alignment horizontal="center"/>
    </xf>
    <xf numFmtId="0" fontId="0" fillId="19" borderId="27" xfId="0" applyFill="1" applyBorder="1" applyAlignment="1">
      <alignment horizontal="center"/>
    </xf>
    <xf numFmtId="0" fontId="0" fillId="19" borderId="29" xfId="0" applyFill="1" applyBorder="1" applyAlignment="1">
      <alignment horizontal="center"/>
    </xf>
    <xf numFmtId="0" fontId="8" fillId="41" borderId="30" xfId="0" applyFont="1" applyFill="1" applyBorder="1" applyAlignment="1">
      <alignment horizontal="center"/>
    </xf>
    <xf numFmtId="0" fontId="8" fillId="41" borderId="20" xfId="0" applyFont="1" applyFill="1" applyBorder="1" applyAlignment="1">
      <alignment horizontal="center"/>
    </xf>
    <xf numFmtId="0" fontId="58" fillId="31" borderId="1" xfId="2" applyFont="1" applyFill="1" applyBorder="1" applyAlignment="1">
      <alignment horizontal="center"/>
    </xf>
    <xf numFmtId="0" fontId="61" fillId="31" borderId="30" xfId="2" applyFont="1" applyFill="1" applyBorder="1" applyAlignment="1">
      <alignment horizontal="center"/>
    </xf>
    <xf numFmtId="0" fontId="61" fillId="31" borderId="20" xfId="2" applyFont="1" applyFill="1" applyBorder="1" applyAlignment="1">
      <alignment horizontal="center"/>
    </xf>
    <xf numFmtId="0" fontId="61" fillId="31" borderId="31" xfId="2" applyFont="1" applyFill="1" applyBorder="1" applyAlignment="1">
      <alignment horizontal="center"/>
    </xf>
    <xf numFmtId="0" fontId="28" fillId="35" borderId="0" xfId="0" applyFont="1" applyFill="1" applyBorder="1" applyAlignment="1">
      <alignment horizontal="center" vertical="center"/>
    </xf>
    <xf numFmtId="0" fontId="34" fillId="20" borderId="1" xfId="0" applyFont="1" applyFill="1" applyBorder="1" applyAlignment="1">
      <alignment horizontal="center" vertical="center"/>
    </xf>
    <xf numFmtId="0" fontId="62" fillId="56" borderId="30" xfId="0" applyFont="1" applyFill="1" applyBorder="1" applyAlignment="1">
      <alignment horizontal="center"/>
    </xf>
    <xf numFmtId="0" fontId="62" fillId="56" borderId="20" xfId="0" applyFont="1" applyFill="1" applyBorder="1" applyAlignment="1">
      <alignment horizontal="center"/>
    </xf>
    <xf numFmtId="0" fontId="62" fillId="56" borderId="31" xfId="0" applyFont="1" applyFill="1" applyBorder="1" applyAlignment="1">
      <alignment horizontal="center"/>
    </xf>
    <xf numFmtId="0" fontId="62" fillId="18" borderId="30" xfId="0" applyFont="1" applyFill="1" applyBorder="1" applyAlignment="1">
      <alignment horizontal="center"/>
    </xf>
    <xf numFmtId="0" fontId="62" fillId="18" borderId="20" xfId="0" applyFont="1" applyFill="1" applyBorder="1" applyAlignment="1">
      <alignment horizontal="center"/>
    </xf>
    <xf numFmtId="0" fontId="62" fillId="18" borderId="31" xfId="0" applyFont="1" applyFill="1" applyBorder="1" applyAlignment="1">
      <alignment horizontal="center"/>
    </xf>
    <xf numFmtId="0" fontId="61" fillId="31" borderId="58" xfId="2" applyFont="1" applyFill="1" applyBorder="1" applyAlignment="1">
      <alignment horizontal="center"/>
    </xf>
    <xf numFmtId="0" fontId="61" fillId="31" borderId="2" xfId="2" applyFont="1" applyFill="1" applyBorder="1" applyAlignment="1">
      <alignment horizontal="center"/>
    </xf>
    <xf numFmtId="0" fontId="61" fillId="31" borderId="59" xfId="2" applyFont="1" applyFill="1" applyBorder="1" applyAlignment="1">
      <alignment horizontal="center"/>
    </xf>
    <xf numFmtId="0" fontId="62" fillId="20" borderId="1" xfId="0" applyFont="1" applyFill="1" applyBorder="1" applyAlignment="1">
      <alignment horizontal="center"/>
    </xf>
    <xf numFmtId="0" fontId="28" fillId="35" borderId="1" xfId="0" applyFont="1" applyFill="1" applyBorder="1" applyAlignment="1">
      <alignment horizontal="center" vertical="center"/>
    </xf>
    <xf numFmtId="0" fontId="66" fillId="8" borderId="71" xfId="2" applyFont="1" applyFill="1" applyBorder="1" applyAlignment="1">
      <alignment horizontal="center"/>
    </xf>
    <xf numFmtId="0" fontId="185" fillId="0" borderId="0" xfId="0" applyFont="1" applyAlignment="1">
      <alignment horizontal="center" vertical="center"/>
    </xf>
    <xf numFmtId="0" fontId="66" fillId="31" borderId="58" xfId="2" applyFont="1" applyFill="1" applyBorder="1" applyAlignment="1">
      <alignment horizontal="center" vertical="center"/>
    </xf>
    <xf numFmtId="0" fontId="66" fillId="31" borderId="2" xfId="2" applyFont="1" applyFill="1" applyBorder="1" applyAlignment="1">
      <alignment horizontal="center" vertical="center"/>
    </xf>
    <xf numFmtId="0" fontId="66" fillId="31" borderId="31" xfId="2" applyFont="1" applyFill="1" applyBorder="1" applyAlignment="1">
      <alignment horizontal="center" vertical="center"/>
    </xf>
    <xf numFmtId="0" fontId="66" fillId="31" borderId="1" xfId="2" applyFont="1" applyFill="1" applyBorder="1" applyAlignment="1">
      <alignment horizontal="center"/>
    </xf>
    <xf numFmtId="0" fontId="66" fillId="31" borderId="3" xfId="2" applyFont="1" applyFill="1" applyBorder="1" applyAlignment="1">
      <alignment horizontal="center"/>
    </xf>
    <xf numFmtId="0" fontId="65" fillId="9" borderId="3" xfId="0" applyFont="1" applyFill="1" applyBorder="1" applyAlignment="1">
      <alignment horizontal="center" vertical="center"/>
    </xf>
    <xf numFmtId="0" fontId="174" fillId="5" borderId="5" xfId="0" applyFont="1" applyFill="1" applyBorder="1" applyAlignment="1">
      <alignment horizontal="center" vertical="center" wrapText="1"/>
    </xf>
    <xf numFmtId="0" fontId="175" fillId="29" borderId="5" xfId="0" applyFont="1" applyFill="1" applyBorder="1" applyAlignment="1">
      <alignment horizontal="center" vertical="center" wrapText="1"/>
    </xf>
    <xf numFmtId="0" fontId="186" fillId="8" borderId="71" xfId="2" applyFont="1" applyFill="1" applyBorder="1" applyAlignment="1">
      <alignment horizontal="center" vertical="center"/>
    </xf>
    <xf numFmtId="0" fontId="168" fillId="2" borderId="34" xfId="0" applyFont="1" applyFill="1" applyBorder="1" applyAlignment="1">
      <alignment horizontal="center" vertical="center" wrapText="1"/>
    </xf>
    <xf numFmtId="0" fontId="168" fillId="2" borderId="0" xfId="0" applyFont="1" applyFill="1" applyBorder="1" applyAlignment="1">
      <alignment horizontal="center" vertical="center" wrapText="1"/>
    </xf>
    <xf numFmtId="0" fontId="65" fillId="10" borderId="34" xfId="0" applyFont="1" applyFill="1" applyBorder="1" applyAlignment="1">
      <alignment horizontal="center"/>
    </xf>
    <xf numFmtId="0" fontId="65" fillId="10" borderId="0" xfId="0" applyFont="1" applyFill="1" applyBorder="1" applyAlignment="1">
      <alignment horizontal="center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0" fontId="6" fillId="22" borderId="14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0" fontId="79" fillId="31" borderId="34" xfId="2" applyFont="1" applyFill="1" applyBorder="1" applyAlignment="1">
      <alignment horizontal="center"/>
    </xf>
    <xf numFmtId="0" fontId="79" fillId="31" borderId="0" xfId="2" applyFont="1" applyFill="1" applyBorder="1" applyAlignment="1">
      <alignment horizontal="center"/>
    </xf>
    <xf numFmtId="0" fontId="79" fillId="31" borderId="56" xfId="2" applyFont="1" applyFill="1" applyBorder="1" applyAlignment="1">
      <alignment horizontal="center"/>
    </xf>
    <xf numFmtId="0" fontId="47" fillId="39" borderId="34" xfId="0" applyFont="1" applyFill="1" applyBorder="1" applyAlignment="1">
      <alignment horizontal="center"/>
    </xf>
    <xf numFmtId="0" fontId="47" fillId="39" borderId="0" xfId="0" applyFont="1" applyFill="1" applyBorder="1" applyAlignment="1">
      <alignment horizontal="center"/>
    </xf>
    <xf numFmtId="3" fontId="66" fillId="31" borderId="34" xfId="2" applyNumberFormat="1" applyFont="1" applyFill="1" applyBorder="1" applyAlignment="1">
      <alignment horizontal="center"/>
    </xf>
    <xf numFmtId="0" fontId="72" fillId="43" borderId="57" xfId="0" applyFont="1" applyFill="1" applyBorder="1" applyAlignment="1">
      <alignment horizontal="center"/>
    </xf>
    <xf numFmtId="0" fontId="72" fillId="43" borderId="27" xfId="0" applyFont="1" applyFill="1" applyBorder="1" applyAlignment="1">
      <alignment horizontal="center"/>
    </xf>
    <xf numFmtId="0" fontId="159" fillId="43" borderId="25" xfId="2" applyFont="1" applyFill="1" applyBorder="1" applyAlignment="1">
      <alignment horizontal="center" vertical="center" wrapText="1"/>
    </xf>
    <xf numFmtId="0" fontId="159" fillId="43" borderId="50" xfId="2" applyFont="1" applyFill="1" applyBorder="1" applyAlignment="1">
      <alignment horizontal="center" vertical="center" wrapText="1"/>
    </xf>
    <xf numFmtId="0" fontId="21" fillId="20" borderId="13" xfId="0" applyFont="1" applyFill="1" applyBorder="1" applyAlignment="1">
      <alignment horizontal="center" vertical="center"/>
    </xf>
    <xf numFmtId="0" fontId="21" fillId="20" borderId="14" xfId="0" applyFont="1" applyFill="1" applyBorder="1" applyAlignment="1">
      <alignment horizontal="center" vertical="center"/>
    </xf>
    <xf numFmtId="0" fontId="21" fillId="20" borderId="15" xfId="0" applyFont="1" applyFill="1" applyBorder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9" xfId="0" applyFont="1" applyFill="1" applyBorder="1" applyAlignment="1">
      <alignment horizontal="center" vertical="center"/>
    </xf>
    <xf numFmtId="0" fontId="20" fillId="17" borderId="48" xfId="0" applyFont="1" applyFill="1" applyBorder="1" applyAlignment="1">
      <alignment horizontal="center" vertical="center"/>
    </xf>
    <xf numFmtId="0" fontId="20" fillId="17" borderId="38" xfId="0" applyFont="1" applyFill="1" applyBorder="1" applyAlignment="1">
      <alignment horizontal="center" vertical="center"/>
    </xf>
    <xf numFmtId="0" fontId="20" fillId="17" borderId="39" xfId="0" applyFont="1" applyFill="1" applyBorder="1" applyAlignment="1">
      <alignment horizontal="center" vertical="center"/>
    </xf>
    <xf numFmtId="0" fontId="20" fillId="17" borderId="37" xfId="0" applyFont="1" applyFill="1" applyBorder="1" applyAlignment="1">
      <alignment horizontal="center" vertical="center"/>
    </xf>
    <xf numFmtId="0" fontId="22" fillId="5" borderId="37" xfId="0" applyFont="1" applyFill="1" applyBorder="1" applyAlignment="1">
      <alignment horizontal="center" vertical="center"/>
    </xf>
    <xf numFmtId="0" fontId="22" fillId="5" borderId="38" xfId="0" applyFont="1" applyFill="1" applyBorder="1" applyAlignment="1">
      <alignment horizontal="center" vertical="center"/>
    </xf>
    <xf numFmtId="0" fontId="22" fillId="5" borderId="39" xfId="0" applyFont="1" applyFill="1" applyBorder="1" applyAlignment="1">
      <alignment horizontal="center" vertical="center"/>
    </xf>
    <xf numFmtId="0" fontId="21" fillId="16" borderId="13" xfId="0" applyFont="1" applyFill="1" applyBorder="1" applyAlignment="1">
      <alignment horizontal="center" vertical="center"/>
    </xf>
    <xf numFmtId="0" fontId="21" fillId="16" borderId="14" xfId="0" applyFont="1" applyFill="1" applyBorder="1" applyAlignment="1">
      <alignment horizontal="center" vertical="center"/>
    </xf>
    <xf numFmtId="0" fontId="21" fillId="16" borderId="15" xfId="0" applyFont="1" applyFill="1" applyBorder="1" applyAlignment="1">
      <alignment horizontal="center" vertical="center"/>
    </xf>
    <xf numFmtId="0" fontId="59" fillId="31" borderId="30" xfId="2" applyFont="1" applyFill="1" applyBorder="1" applyAlignment="1">
      <alignment horizontal="center" vertical="center"/>
    </xf>
    <xf numFmtId="0" fontId="59" fillId="31" borderId="20" xfId="2" applyFont="1" applyFill="1" applyBorder="1" applyAlignment="1">
      <alignment horizontal="center" vertical="center"/>
    </xf>
    <xf numFmtId="0" fontId="59" fillId="31" borderId="31" xfId="2" applyFont="1" applyFill="1" applyBorder="1" applyAlignment="1">
      <alignment horizontal="center" vertical="center"/>
    </xf>
    <xf numFmtId="0" fontId="77" fillId="26" borderId="34" xfId="0" applyFont="1" applyFill="1" applyBorder="1" applyAlignment="1">
      <alignment horizontal="center" vertical="center"/>
    </xf>
    <xf numFmtId="0" fontId="77" fillId="26" borderId="0" xfId="0" applyFont="1" applyFill="1" applyBorder="1" applyAlignment="1">
      <alignment horizontal="center" vertical="center"/>
    </xf>
    <xf numFmtId="3" fontId="10" fillId="16" borderId="18" xfId="0" applyNumberFormat="1" applyFont="1" applyFill="1" applyBorder="1" applyAlignment="1">
      <alignment horizontal="center" vertical="center" wrapText="1"/>
    </xf>
    <xf numFmtId="3" fontId="10" fillId="16" borderId="0" xfId="0" applyNumberFormat="1" applyFont="1" applyFill="1" applyBorder="1" applyAlignment="1">
      <alignment horizontal="center" vertical="center" wrapText="1"/>
    </xf>
    <xf numFmtId="0" fontId="14" fillId="29" borderId="13" xfId="0" applyFont="1" applyFill="1" applyBorder="1" applyAlignment="1">
      <alignment horizontal="center" vertical="center" wrapText="1"/>
    </xf>
    <xf numFmtId="0" fontId="14" fillId="29" borderId="14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3" fillId="26" borderId="34" xfId="0" applyFont="1" applyFill="1" applyBorder="1" applyAlignment="1">
      <alignment horizontal="center"/>
    </xf>
    <xf numFmtId="0" fontId="3" fillId="26" borderId="0" xfId="0" applyFont="1" applyFill="1" applyBorder="1" applyAlignment="1">
      <alignment horizontal="center"/>
    </xf>
    <xf numFmtId="0" fontId="170" fillId="2" borderId="0" xfId="0" applyFont="1" applyFill="1" applyAlignment="1">
      <alignment horizontal="center" vertical="center" wrapText="1"/>
    </xf>
    <xf numFmtId="0" fontId="68" fillId="31" borderId="30" xfId="2" applyFont="1" applyFill="1" applyBorder="1" applyAlignment="1">
      <alignment horizontal="center" vertical="center"/>
    </xf>
    <xf numFmtId="0" fontId="68" fillId="31" borderId="31" xfId="2" applyFont="1" applyFill="1" applyBorder="1" applyAlignment="1">
      <alignment horizontal="center" vertical="center"/>
    </xf>
    <xf numFmtId="0" fontId="19" fillId="20" borderId="18" xfId="0" applyFont="1" applyFill="1" applyBorder="1" applyAlignment="1">
      <alignment horizontal="center" vertical="center"/>
    </xf>
    <xf numFmtId="0" fontId="19" fillId="20" borderId="0" xfId="0" applyFont="1" applyFill="1" applyBorder="1" applyAlignment="1">
      <alignment horizontal="center" vertical="center"/>
    </xf>
    <xf numFmtId="0" fontId="19" fillId="20" borderId="5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3" fillId="27" borderId="0" xfId="0" applyFont="1" applyFill="1" applyAlignment="1">
      <alignment horizontal="center"/>
    </xf>
    <xf numFmtId="0" fontId="66" fillId="31" borderId="34" xfId="2" applyFont="1" applyFill="1" applyBorder="1" applyAlignment="1">
      <alignment horizontal="center" vertical="center"/>
    </xf>
    <xf numFmtId="0" fontId="66" fillId="31" borderId="0" xfId="2" applyFont="1" applyFill="1" applyBorder="1" applyAlignment="1">
      <alignment horizontal="center" vertical="center"/>
    </xf>
    <xf numFmtId="0" fontId="65" fillId="29" borderId="34" xfId="0" applyFont="1" applyFill="1" applyBorder="1" applyAlignment="1">
      <alignment horizontal="center"/>
    </xf>
    <xf numFmtId="0" fontId="65" fillId="29" borderId="0" xfId="0" applyFont="1" applyFill="1" applyBorder="1" applyAlignment="1">
      <alignment horizontal="center"/>
    </xf>
    <xf numFmtId="0" fontId="65" fillId="29" borderId="56" xfId="0" applyFont="1" applyFill="1" applyBorder="1" applyAlignment="1">
      <alignment horizontal="center"/>
    </xf>
    <xf numFmtId="0" fontId="0" fillId="2" borderId="20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30" xfId="0" applyFont="1" applyFill="1" applyBorder="1" applyAlignment="1">
      <alignment horizontal="center" vertical="center"/>
    </xf>
    <xf numFmtId="0" fontId="0" fillId="3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36" fillId="36" borderId="1" xfId="0" applyFont="1" applyFill="1" applyBorder="1" applyAlignment="1">
      <alignment horizontal="center" vertical="center"/>
    </xf>
    <xf numFmtId="0" fontId="58" fillId="31" borderId="13" xfId="2" applyFont="1" applyFill="1" applyBorder="1" applyAlignment="1">
      <alignment horizontal="center"/>
    </xf>
    <xf numFmtId="0" fontId="58" fillId="31" borderId="14" xfId="2" applyFont="1" applyFill="1" applyBorder="1" applyAlignment="1">
      <alignment horizontal="center"/>
    </xf>
    <xf numFmtId="0" fontId="58" fillId="31" borderId="15" xfId="2" applyFont="1" applyFill="1" applyBorder="1" applyAlignment="1">
      <alignment horizontal="center"/>
    </xf>
    <xf numFmtId="0" fontId="80" fillId="40" borderId="18" xfId="0" applyFont="1" applyFill="1" applyBorder="1" applyAlignment="1">
      <alignment horizontal="center"/>
    </xf>
    <xf numFmtId="0" fontId="80" fillId="40" borderId="0" xfId="0" applyFont="1" applyFill="1" applyBorder="1" applyAlignment="1">
      <alignment horizontal="center"/>
    </xf>
    <xf numFmtId="0" fontId="58" fillId="31" borderId="18" xfId="2" applyFont="1" applyFill="1" applyBorder="1" applyAlignment="1">
      <alignment horizontal="center"/>
    </xf>
    <xf numFmtId="0" fontId="58" fillId="31" borderId="0" xfId="2" applyFont="1" applyFill="1" applyBorder="1" applyAlignment="1">
      <alignment horizontal="center"/>
    </xf>
    <xf numFmtId="0" fontId="65" fillId="46" borderId="1" xfId="0" applyFont="1" applyFill="1" applyBorder="1" applyAlignment="1">
      <alignment horizontal="center"/>
    </xf>
    <xf numFmtId="0" fontId="84" fillId="23" borderId="1" xfId="0" applyFont="1" applyFill="1" applyBorder="1" applyAlignment="1">
      <alignment horizontal="center"/>
    </xf>
    <xf numFmtId="0" fontId="2" fillId="29" borderId="13" xfId="0" applyFont="1" applyFill="1" applyBorder="1" applyAlignment="1">
      <alignment horizontal="center" vertical="center" wrapText="1"/>
    </xf>
    <xf numFmtId="0" fontId="2" fillId="29" borderId="14" xfId="0" applyFont="1" applyFill="1" applyBorder="1" applyAlignment="1">
      <alignment horizontal="center" vertical="center" wrapText="1"/>
    </xf>
    <xf numFmtId="0" fontId="87" fillId="31" borderId="34" xfId="2" applyFont="1" applyFill="1" applyBorder="1" applyAlignment="1">
      <alignment horizontal="center" vertical="center"/>
    </xf>
    <xf numFmtId="0" fontId="87" fillId="31" borderId="0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30" fillId="33" borderId="0" xfId="0" applyFont="1" applyFill="1" applyAlignment="1">
      <alignment horizontal="center" vertical="center" readingOrder="1"/>
    </xf>
    <xf numFmtId="0" fontId="130" fillId="31" borderId="0" xfId="0" applyFont="1" applyFill="1" applyAlignment="1">
      <alignment horizontal="center" vertical="center" readingOrder="1"/>
    </xf>
    <xf numFmtId="0" fontId="130" fillId="22" borderId="0" xfId="0" applyFont="1" applyFill="1" applyAlignment="1">
      <alignment horizontal="center" vertical="center" readingOrder="1"/>
    </xf>
    <xf numFmtId="0" fontId="132" fillId="8" borderId="0" xfId="0" applyFont="1" applyFill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73" fillId="8" borderId="0" xfId="0" applyFont="1" applyFill="1" applyAlignment="1">
      <alignment horizontal="center"/>
    </xf>
    <xf numFmtId="0" fontId="123" fillId="8" borderId="0" xfId="0" applyFont="1" applyFill="1" applyAlignment="1">
      <alignment horizontal="center"/>
    </xf>
    <xf numFmtId="0" fontId="79" fillId="31" borderId="30" xfId="2" applyFont="1" applyFill="1" applyBorder="1" applyAlignment="1">
      <alignment horizontal="center"/>
    </xf>
    <xf numFmtId="0" fontId="79" fillId="31" borderId="20" xfId="2" applyFont="1" applyFill="1" applyBorder="1" applyAlignment="1">
      <alignment horizontal="center"/>
    </xf>
    <xf numFmtId="0" fontId="79" fillId="31" borderId="31" xfId="2" applyFont="1" applyFill="1" applyBorder="1" applyAlignment="1">
      <alignment horizontal="center"/>
    </xf>
    <xf numFmtId="0" fontId="166" fillId="8" borderId="0" xfId="0" applyFont="1" applyFill="1" applyAlignment="1">
      <alignment horizontal="center"/>
    </xf>
    <xf numFmtId="0" fontId="147" fillId="46" borderId="2" xfId="2" applyFont="1" applyFill="1" applyBorder="1" applyAlignment="1">
      <alignment horizontal="center" vertical="center"/>
    </xf>
    <xf numFmtId="0" fontId="147" fillId="46" borderId="0" xfId="2" applyFont="1" applyFill="1" applyBorder="1" applyAlignment="1">
      <alignment horizontal="center" vertical="center"/>
    </xf>
    <xf numFmtId="0" fontId="15" fillId="22" borderId="2" xfId="0" applyFont="1" applyFill="1" applyBorder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17" fillId="24" borderId="44" xfId="0" applyFont="1" applyFill="1" applyBorder="1" applyAlignment="1">
      <alignment horizontal="center" vertical="center" wrapText="1"/>
    </xf>
    <xf numFmtId="0" fontId="17" fillId="24" borderId="0" xfId="0" applyFont="1" applyFill="1" applyBorder="1" applyAlignment="1">
      <alignment horizontal="center" vertical="center" wrapText="1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49" fontId="0" fillId="3" borderId="5" xfId="0" applyNumberForma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49" fontId="0" fillId="2" borderId="3" xfId="0" applyNumberFormat="1" applyFill="1" applyBorder="1" applyAlignment="1">
      <alignment horizontal="left" vertical="center"/>
    </xf>
    <xf numFmtId="49" fontId="0" fillId="2" borderId="5" xfId="0" applyNumberFormat="1" applyFill="1" applyBorder="1" applyAlignment="1">
      <alignment horizontal="left" vertical="center"/>
    </xf>
    <xf numFmtId="49" fontId="0" fillId="2" borderId="4" xfId="0" applyNumberFormat="1" applyFill="1" applyBorder="1" applyAlignment="1">
      <alignment horizontal="left" vertical="center"/>
    </xf>
    <xf numFmtId="0" fontId="64" fillId="30" borderId="1" xfId="0" applyFont="1" applyFill="1" applyBorder="1" applyAlignment="1">
      <alignment horizontal="center" vertical="center"/>
    </xf>
    <xf numFmtId="0" fontId="58" fillId="31" borderId="34" xfId="2" applyFont="1" applyFill="1" applyBorder="1" applyAlignment="1">
      <alignment horizontal="center" vertical="center"/>
    </xf>
    <xf numFmtId="0" fontId="58" fillId="31" borderId="0" xfId="2" applyFont="1" applyFill="1" applyBorder="1" applyAlignment="1">
      <alignment horizontal="center" vertical="center"/>
    </xf>
    <xf numFmtId="0" fontId="58" fillId="31" borderId="56" xfId="2" applyFont="1" applyFill="1" applyBorder="1" applyAlignment="1">
      <alignment horizontal="center" vertical="center"/>
    </xf>
    <xf numFmtId="0" fontId="37" fillId="29" borderId="0" xfId="0" applyFont="1" applyFill="1" applyBorder="1" applyAlignment="1">
      <alignment horizontal="left" vertical="top" wrapText="1"/>
    </xf>
    <xf numFmtId="0" fontId="69" fillId="3" borderId="1" xfId="0" applyFont="1" applyFill="1" applyBorder="1" applyAlignment="1">
      <alignment horizontal="center" vertical="center"/>
    </xf>
    <xf numFmtId="0" fontId="70" fillId="31" borderId="1" xfId="2" applyFont="1" applyFill="1" applyBorder="1" applyAlignment="1">
      <alignment horizontal="center" vertical="center"/>
    </xf>
    <xf numFmtId="0" fontId="76" fillId="51" borderId="1" xfId="0" applyFont="1" applyFill="1" applyBorder="1" applyAlignment="1">
      <alignment horizontal="center" vertical="center"/>
    </xf>
    <xf numFmtId="49" fontId="3" fillId="5" borderId="30" xfId="0" applyNumberFormat="1" applyFont="1" applyFill="1" applyBorder="1" applyAlignment="1">
      <alignment horizontal="center"/>
    </xf>
    <xf numFmtId="49" fontId="3" fillId="5" borderId="31" xfId="0" applyNumberFormat="1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59" fillId="31" borderId="58" xfId="2" applyFont="1" applyFill="1" applyBorder="1" applyAlignment="1">
      <alignment horizontal="center" vertical="center"/>
    </xf>
    <xf numFmtId="0" fontId="59" fillId="31" borderId="2" xfId="2" applyFont="1" applyFill="1" applyBorder="1" applyAlignment="1">
      <alignment horizontal="center" vertical="center"/>
    </xf>
    <xf numFmtId="0" fontId="59" fillId="31" borderId="59" xfId="2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" fillId="58" borderId="34" xfId="0" applyFont="1" applyFill="1" applyBorder="1" applyAlignment="1">
      <alignment horizontal="left"/>
    </xf>
    <xf numFmtId="0" fontId="1" fillId="58" borderId="0" xfId="0" applyFont="1" applyFill="1" applyBorder="1" applyAlignment="1">
      <alignment horizontal="left"/>
    </xf>
    <xf numFmtId="0" fontId="1" fillId="58" borderId="30" xfId="0" applyFont="1" applyFill="1" applyBorder="1" applyAlignment="1">
      <alignment horizontal="left"/>
    </xf>
    <xf numFmtId="0" fontId="1" fillId="58" borderId="31" xfId="0" applyFont="1" applyFill="1" applyBorder="1" applyAlignment="1">
      <alignment horizontal="left"/>
    </xf>
    <xf numFmtId="49" fontId="1" fillId="37" borderId="0" xfId="0" applyNumberFormat="1" applyFont="1" applyFill="1" applyAlignment="1">
      <alignment horizontal="center"/>
    </xf>
    <xf numFmtId="0" fontId="1" fillId="58" borderId="58" xfId="0" applyFont="1" applyFill="1" applyBorder="1" applyAlignment="1">
      <alignment horizontal="left"/>
    </xf>
    <xf numFmtId="0" fontId="1" fillId="58" borderId="2" xfId="0" applyFont="1" applyFill="1" applyBorder="1" applyAlignment="1">
      <alignment horizontal="left"/>
    </xf>
    <xf numFmtId="0" fontId="1" fillId="58" borderId="59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48" fillId="44" borderId="13" xfId="0" applyFont="1" applyFill="1" applyBorder="1" applyAlignment="1">
      <alignment horizontal="center" vertical="center"/>
    </xf>
    <xf numFmtId="0" fontId="48" fillId="44" borderId="14" xfId="0" applyFont="1" applyFill="1" applyBorder="1" applyAlignment="1">
      <alignment horizontal="center" vertical="center"/>
    </xf>
    <xf numFmtId="0" fontId="48" fillId="44" borderId="27" xfId="0" applyFont="1" applyFill="1" applyBorder="1" applyAlignment="1">
      <alignment horizontal="center" vertical="center"/>
    </xf>
    <xf numFmtId="0" fontId="51" fillId="47" borderId="18" xfId="0" applyFont="1" applyFill="1" applyBorder="1" applyAlignment="1">
      <alignment vertical="center"/>
    </xf>
    <xf numFmtId="0" fontId="51" fillId="47" borderId="0" xfId="0" applyFont="1" applyFill="1" applyBorder="1" applyAlignment="1">
      <alignment vertical="center"/>
    </xf>
    <xf numFmtId="0" fontId="90" fillId="31" borderId="1" xfId="0" applyFont="1" applyFill="1" applyBorder="1" applyAlignment="1">
      <alignment horizontal="center"/>
    </xf>
    <xf numFmtId="0" fontId="69" fillId="52" borderId="1" xfId="0" applyFont="1" applyFill="1" applyBorder="1" applyAlignment="1">
      <alignment horizontal="center"/>
    </xf>
    <xf numFmtId="0" fontId="9" fillId="27" borderId="32" xfId="0" applyFont="1" applyFill="1" applyBorder="1" applyAlignment="1">
      <alignment horizontal="center" vertical="center"/>
    </xf>
    <xf numFmtId="0" fontId="9" fillId="27" borderId="22" xfId="0" applyFont="1" applyFill="1" applyBorder="1" applyAlignment="1">
      <alignment horizontal="center" vertical="center"/>
    </xf>
    <xf numFmtId="170" fontId="122" fillId="8" borderId="76" xfId="0" applyNumberFormat="1" applyFont="1" applyFill="1" applyBorder="1" applyAlignment="1">
      <alignment horizontal="center" vertical="center"/>
    </xf>
    <xf numFmtId="170" fontId="183" fillId="46" borderId="76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8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rgb="FFBAF8C1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 patternType="solid">
          <fgColor rgb="FF00B050"/>
          <bgColor rgb="FF000000"/>
        </patternFill>
      </fill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numFmt numFmtId="20" formatCode="d\-mmm\-yy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EBAB"/>
      <color rgb="FFFFE79B"/>
      <color rgb="FFFCEEE4"/>
      <color rgb="FFF68689"/>
      <color rgb="FFF24C50"/>
      <color rgb="FFEB200B"/>
      <color rgb="FFB82C00"/>
      <color rgb="FF100351"/>
      <color rgb="FF140464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TOTALS!$F$165</c:f>
              <c:strCache>
                <c:ptCount val="1"/>
                <c:pt idx="0">
                  <c:v>Water RWP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TOTALS!$H$165</c:f>
              <c:numCache>
                <c:formatCode>General</c:formatCode>
                <c:ptCount val="1"/>
                <c:pt idx="0">
                  <c:v>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0-4141-B66B-47C35DDCDE17}"/>
            </c:ext>
          </c:extLst>
        </c:ser>
        <c:ser>
          <c:idx val="1"/>
          <c:order val="1"/>
          <c:tx>
            <c:strRef>
              <c:f>TOTALS!$F$166</c:f>
              <c:strCache>
                <c:ptCount val="1"/>
                <c:pt idx="0">
                  <c:v>PM RWP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TOTALS!$H$166</c:f>
              <c:numCache>
                <c:formatCode>General</c:formatCode>
                <c:ptCount val="1"/>
                <c:pt idx="0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A0-4141-B66B-47C35DDCDE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17018440"/>
        <c:axId val="717015488"/>
      </c:barChart>
      <c:catAx>
        <c:axId val="71701844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7015488"/>
        <c:crosses val="autoZero"/>
        <c:auto val="1"/>
        <c:lblAlgn val="ctr"/>
        <c:lblOffset val="100"/>
        <c:noMultiLvlLbl val="0"/>
      </c:catAx>
      <c:valAx>
        <c:axId val="7170154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70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TOTALS!$J$148:$J$149</c:f>
              <c:strCache>
                <c:ptCount val="2"/>
                <c:pt idx="0">
                  <c:v>106</c:v>
                </c:pt>
                <c:pt idx="1">
                  <c:v>142</c:v>
                </c:pt>
              </c:strCache>
            </c:strRef>
          </c:tx>
          <c:spPr>
            <a:ln w="2222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22225"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411-4AF8-A7D2-546210A4E565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2225"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411-4AF8-A7D2-546210A4E565}"/>
              </c:ext>
            </c:extLst>
          </c:dPt>
          <c:dLbls>
            <c:dLbl>
              <c:idx val="0"/>
              <c:layout>
                <c:manualLayout>
                  <c:x val="6.8647332869759312E-2"/>
                  <c:y val="-0.1044623855956035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026D71-321C-4E14-B755-0D329D70C1B5}" type="CATEGORYNAME">
                      <a:rPr lang="en-US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591283E8-A233-421C-8016-D04972C17403}" type="PERCENTAGE">
                      <a:rPr lang="en-US" sz="1800" baseline="0">
                        <a:solidFill>
                          <a:schemeClr val="accent1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51735362385743"/>
                      <c:h val="0.4771909938955513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411-4AF8-A7D2-546210A4E565}"/>
                </c:ext>
              </c:extLst>
            </c:dLbl>
            <c:dLbl>
              <c:idx val="1"/>
              <c:layout>
                <c:manualLayout>
                  <c:x val="-2.3311811354120755E-2"/>
                  <c:y val="7.96577886254959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9D02BEB-6762-4F16-99C6-5DB124FA3BF1}" type="CATEGORY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
</a:t>
                    </a:r>
                    <a:fld id="{F2877810-F0BA-4429-BF97-EEDD2A188B99}" type="PERCENTAGE">
                      <a:rPr lang="en-US" sz="1800" baseline="0">
                        <a:solidFill>
                          <a:schemeClr val="accent1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13948079930336"/>
                      <c:h val="0.5563743958126100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411-4AF8-A7D2-546210A4E5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TOTALS!$I$148:$I$149</c:f>
              <c:strCache>
                <c:ptCount val="2"/>
                <c:pt idx="0">
                  <c:v>Identified on RWP</c:v>
                </c:pt>
                <c:pt idx="1">
                  <c:v>Calls by Customer</c:v>
                </c:pt>
              </c:strCache>
            </c:strRef>
          </c:cat>
          <c:val>
            <c:numRef>
              <c:f>TOTALS!$J$148:$J$149</c:f>
              <c:numCache>
                <c:formatCode>General</c:formatCode>
                <c:ptCount val="2"/>
                <c:pt idx="0">
                  <c:v>106</c:v>
                </c:pt>
                <c:pt idx="1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11-4AF8-A7D2-546210A4E56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049572518039125E-2"/>
          <c:y val="2.1546419800902702E-2"/>
          <c:w val="0.89449651958142196"/>
          <c:h val="0.6035898428957968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TOTALS!$E$84</c:f>
              <c:strCache>
                <c:ptCount val="1"/>
                <c:pt idx="0">
                  <c:v>Yesterday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2.7125066329627247E-3"/>
                  <c:y val="0.1862086904325207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1C-4A3D-B662-9B9AF6C3D94C}"/>
                </c:ext>
              </c:extLst>
            </c:dLbl>
            <c:dLbl>
              <c:idx val="1"/>
              <c:layout>
                <c:manualLayout>
                  <c:x val="6.181175109527259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1C-4A3D-B662-9B9AF6C3D94C}"/>
                </c:ext>
              </c:extLst>
            </c:dLbl>
            <c:dLbl>
              <c:idx val="2"/>
              <c:layout>
                <c:manualLayout>
                  <c:x val="5.6660117294823228E-17"/>
                  <c:y val="0.202228599319442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77-4E3A-839B-56160F817D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TOTALS!$F$82:$N$83</c15:sqref>
                  </c15:fullRef>
                </c:ext>
              </c:extLst>
              <c:f>TOTALS!$F$82:$N$83</c:f>
              <c:multiLvlStrCache>
                <c:ptCount val="4"/>
                <c:lvl>
                  <c:pt idx="0">
                    <c:v>LSA</c:v>
                  </c:pt>
                  <c:pt idx="1">
                    <c:v>OPS</c:v>
                  </c:pt>
                  <c:pt idx="2">
                    <c:v>LSA</c:v>
                  </c:pt>
                  <c:pt idx="3">
                    <c:v>OPS</c:v>
                  </c:pt>
                </c:lvl>
                <c:lvl>
                  <c:pt idx="0">
                    <c:v>Water Trucks </c:v>
                  </c:pt>
                  <c:pt idx="2">
                    <c:v>Wastewater Trucks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TOTALS!$F$84:$K$84</c15:sqref>
                  </c15:fullRef>
                </c:ext>
              </c:extLst>
              <c:f>TOTALS!$F$84:$I$84</c:f>
              <c:numCache>
                <c:formatCode>General</c:formatCode>
                <c:ptCount val="4"/>
                <c:pt idx="0">
                  <c:v>8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A3D-B662-9B9AF6C3D94C}"/>
            </c:ext>
          </c:extLst>
        </c:ser>
        <c:ser>
          <c:idx val="1"/>
          <c:order val="1"/>
          <c:tx>
            <c:strRef>
              <c:f>TOTALS!$E$85</c:f>
              <c:strCache>
                <c:ptCount val="1"/>
                <c:pt idx="0">
                  <c:v>Day-before</c:v>
                </c:pt>
              </c:strCache>
            </c:strRef>
          </c:tx>
          <c:spPr>
            <a:solidFill>
              <a:srgbClr val="F24C5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548386704165889E-2"/>
                  <c:y val="-8.77862991162615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1C-4A3D-B662-9B9AF6C3D94C}"/>
                </c:ext>
              </c:extLst>
            </c:dLbl>
            <c:dLbl>
              <c:idx val="1"/>
              <c:layout>
                <c:manualLayout>
                  <c:x val="6.8009959948427861E-3"/>
                  <c:y val="7.91740865682530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1C-4A3D-B662-9B9AF6C3D94C}"/>
                </c:ext>
              </c:extLst>
            </c:dLbl>
            <c:dLbl>
              <c:idx val="2"/>
              <c:layout>
                <c:manualLayout>
                  <c:x val="9.8860986551161083E-3"/>
                  <c:y val="-9.02188109592256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77-4E3A-839B-56160F817DAC}"/>
                </c:ext>
              </c:extLst>
            </c:dLbl>
            <c:dLbl>
              <c:idx val="3"/>
              <c:layout>
                <c:manualLayout>
                  <c:x val="2.1639784488193425E-2"/>
                  <c:y val="-8.778629911626194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1C-4A3D-B662-9B9AF6C3D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TOTALS!$F$82:$N$83</c15:sqref>
                  </c15:fullRef>
                </c:ext>
              </c:extLst>
              <c:f>TOTALS!$F$82:$N$83</c:f>
              <c:multiLvlStrCache>
                <c:ptCount val="4"/>
                <c:lvl>
                  <c:pt idx="0">
                    <c:v>LSA</c:v>
                  </c:pt>
                  <c:pt idx="1">
                    <c:v>OPS</c:v>
                  </c:pt>
                  <c:pt idx="2">
                    <c:v>LSA</c:v>
                  </c:pt>
                  <c:pt idx="3">
                    <c:v>OPS</c:v>
                  </c:pt>
                </c:lvl>
                <c:lvl>
                  <c:pt idx="0">
                    <c:v>Water Trucks </c:v>
                  </c:pt>
                  <c:pt idx="2">
                    <c:v>Wastewater Trucks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TOTALS!$F$85:$K$85</c15:sqref>
                  </c15:fullRef>
                </c:ext>
              </c:extLst>
              <c:f>TOTALS!$F$85:$I$85</c:f>
              <c:numCache>
                <c:formatCode>General</c:formatCode>
                <c:ptCount val="4"/>
                <c:pt idx="0">
                  <c:v>8</c:v>
                </c:pt>
                <c:pt idx="1">
                  <c:v>1</c:v>
                </c:pt>
                <c:pt idx="2">
                  <c:v>11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A3D-B662-9B9AF6C3D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44565032"/>
        <c:axId val="744566016"/>
        <c:axId val="765022088"/>
        <c:extLst/>
      </c:bar3DChart>
      <c:catAx>
        <c:axId val="74456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6016"/>
        <c:crosses val="autoZero"/>
        <c:auto val="1"/>
        <c:lblAlgn val="ctr"/>
        <c:lblOffset val="100"/>
        <c:noMultiLvlLbl val="0"/>
      </c:catAx>
      <c:valAx>
        <c:axId val="7445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5032"/>
        <c:crosses val="autoZero"/>
        <c:crossBetween val="between"/>
      </c:valAx>
      <c:serAx>
        <c:axId val="7650220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601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B4-4E69-8B63-E3D81501963E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B4-4E69-8B63-E3D81501963E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B4-4E69-8B63-E3D815019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B4-4E69-8B63-E3D81501963E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B4-4E69-8B63-E3D81501963E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BB4-4E69-8B63-E3D81501963E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BB4-4E69-8B63-E3D81501963E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BB4-4E69-8B63-E3D81501963E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BB4-4E69-8B63-E3D81501963E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BB4-4E69-8B63-E3D81501963E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BB4-4E69-8B63-E3D81501963E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BB4-4E69-8B63-E3D81501963E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BB4-4E69-8B63-E3D8150196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BB4-4E69-8B63-E3D81501963E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BB4-4E69-8B63-E3D81501963E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BB4-4E69-8B63-E3D81501963E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B4-4E69-8B63-E3D815019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A1-43C7-8D08-9A9BF17F1F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A1-43C7-8D08-9A9BF17F1F7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A1-43C7-8D08-9A9BF17F1F71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TOTALS!$C$202:$C$204</c:f>
              <c:numCache>
                <c:formatCode>General</c:formatCode>
                <c:ptCount val="3"/>
                <c:pt idx="0">
                  <c:v>37.5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A1-43C7-8D08-9A9BF17F1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AC-4AB2-BC10-2AB622C736E4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AC-4AB2-BC10-2AB622C736E4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AC-4AB2-BC10-2AB622C736E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AC-4AB2-BC10-2AB622C736E4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AC-4AB2-BC10-2AB622C736E4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FAC-4AB2-BC10-2AB622C736E4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FAC-4AB2-BC10-2AB622C736E4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FAC-4AB2-BC10-2AB622C736E4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FAC-4AB2-BC10-2AB622C736E4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FAC-4AB2-BC10-2AB622C736E4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FAC-4AB2-BC10-2AB622C736E4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FAC-4AB2-BC10-2AB622C736E4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FAC-4AB2-BC10-2AB622C736E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FAC-4AB2-BC10-2AB622C736E4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FAC-4AB2-BC10-2AB622C736E4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FAC-4AB2-BC10-2AB622C736E4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FAC-4AB2-BC10-2AB622C73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4794790726645038"/>
          <c:y val="0.6048584483472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E-4B88-BBD5-0ADFC92256A7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E-4B88-BBD5-0ADFC92256A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EE-4B88-BBD5-0ADFC92256A7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TOTALS!$E$202:$E$204</c:f>
              <c:numCache>
                <c:formatCode>General</c:formatCode>
                <c:ptCount val="3"/>
                <c:pt idx="0">
                  <c:v>0</c:v>
                </c:pt>
                <c:pt idx="1">
                  <c:v>37.5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EE-4B88-BBD5-0ADFC922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7C-4997-920D-208093BCC8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7C-4997-920D-208093BCC80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7C-4997-920D-208093BCC80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7C-4997-920D-208093BCC805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7C-4997-920D-208093BCC805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47C-4997-920D-208093BCC805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47C-4997-920D-208093BCC805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47C-4997-920D-208093BCC805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47C-4997-920D-208093BCC805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47C-4997-920D-208093BCC805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47C-4997-920D-208093BCC805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47C-4997-920D-208093BCC805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47C-4997-920D-208093BCC80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47C-4997-920D-208093BCC805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47C-4997-920D-208093BCC805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47C-4997-920D-208093BCC805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47C-4997-920D-208093BCC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561231947350971"/>
          <c:y val="0.5876889646176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bg1"/>
            </a:solidFill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F4-4796-BD71-4A7D0BD6F11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F4-4796-BD71-4A7D0BD6F11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F4-4796-BD71-4A7D0BD6F11B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TOTALS!$G$202:$G$204</c:f>
              <c:numCache>
                <c:formatCode>General</c:formatCode>
                <c:ptCount val="3"/>
                <c:pt idx="0">
                  <c:v>15</c:v>
                </c:pt>
                <c:pt idx="1">
                  <c:v>22.5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F4-4796-BD71-4A7D0BD6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4B-4359-8332-E83B92BA9ECF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4B-4359-8332-E83B92BA9ECF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F4B-4359-8332-E83B92BA9EC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F4B-4359-8332-E83B92BA9ECF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F4B-4359-8332-E83B92BA9ECF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F4B-4359-8332-E83B92BA9ECF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F4B-4359-8332-E83B92BA9ECF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F4B-4359-8332-E83B92BA9ECF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F4B-4359-8332-E83B92BA9ECF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F4B-4359-8332-E83B92BA9ECF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F4B-4359-8332-E83B92BA9ECF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F4B-4359-8332-E83B92BA9ECF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F4B-4359-8332-E83B92BA9EC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F4B-4359-8332-E83B92BA9ECF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F4B-4359-8332-E83B92BA9ECF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F4B-4359-8332-E83B92BA9ECF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F4B-4359-8332-E83B92BA9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noFill/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3-4341-ACDD-849FAEE1972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3-4341-ACDD-849FAEE197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33-4341-ACDD-849FAEE19721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TOTALS!$I$202:$I$204</c:f>
              <c:numCache>
                <c:formatCode>General</c:formatCode>
                <c:ptCount val="3"/>
                <c:pt idx="0">
                  <c:v>15</c:v>
                </c:pt>
                <c:pt idx="1">
                  <c:v>22.5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33-4341-ACDD-849FAEE19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DB-4583-8C81-5307AC197A11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DB-4583-8C81-5307AC197A11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DB-4583-8C81-5307AC197A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DB-4583-8C81-5307AC197A11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DB-4583-8C81-5307AC197A11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DB-4583-8C81-5307AC197A11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DB-4583-8C81-5307AC197A11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DB-4583-8C81-5307AC197A11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DB-4583-8C81-5307AC197A11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DB-4583-8C81-5307AC197A11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6DB-4583-8C81-5307AC197A11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6DB-4583-8C81-5307AC197A11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6DB-4583-8C81-5307AC197A1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6DB-4583-8C81-5307AC197A11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6DB-4583-8C81-5307AC197A11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6DB-4583-8C81-5307AC197A11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6DB-4583-8C81-5307AC197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</a:t>
            </a:r>
            <a:r>
              <a:rPr lang="en-US" sz="1200" baseline="0">
                <a:solidFill>
                  <a:schemeClr val="bg1"/>
                </a:solidFill>
              </a:rPr>
              <a:t> Yesterday</a:t>
            </a:r>
            <a:endParaRPr lang="en-US" sz="1200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A2-4B5D-A391-69539E91D9F5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2-4B5D-A391-69539E91D9F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A2-4B5D-A391-69539E91D9F5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TOTALS!$K$202:$K$204</c:f>
              <c:numCache>
                <c:formatCode>General</c:formatCode>
                <c:ptCount val="3"/>
                <c:pt idx="0">
                  <c:v>11.25</c:v>
                </c:pt>
                <c:pt idx="1">
                  <c:v>26.25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A2-4B5D-A391-69539E91D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F1-4418-AB02-A00A95D2BA38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F1-4418-AB02-A00A95D2BA38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F1-4418-AB02-A00A95D2BA3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F1-4418-AB02-A00A95D2BA38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F1-4418-AB02-A00A95D2BA38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F1-4418-AB02-A00A95D2BA38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F1-4418-AB02-A00A95D2BA38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F1-4418-AB02-A00A95D2BA38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F1-4418-AB02-A00A95D2BA38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F1-4418-AB02-A00A95D2BA38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EF1-4418-AB02-A00A95D2BA38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EF1-4418-AB02-A00A95D2BA38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EF1-4418-AB02-A00A95D2BA3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EF1-4418-AB02-A00A95D2BA38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EF1-4418-AB02-A00A95D2BA38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EF1-4418-AB02-A00A95D2BA38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EF1-4418-AB02-A00A95D2B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7F-4302-901F-CDF65A6D4A3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7F-4302-901F-CDF65A6D4A3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7F-4302-901F-CDF65A6D4A39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TOTALS!$M$202:$M$204</c:f>
              <c:numCache>
                <c:formatCode>General</c:formatCode>
                <c:ptCount val="3"/>
                <c:pt idx="0">
                  <c:v>11.25</c:v>
                </c:pt>
                <c:pt idx="1">
                  <c:v>26.25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7F-4302-901F-CDF65A6D4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3-4B7A-B350-D8A506028B9C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3-4B7A-B350-D8A506028B9C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B3-4B7A-B350-D8A506028B9C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B3-4B7A-B350-D8A506028B9C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B3-4B7A-B350-D8A506028B9C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B3-4B7A-B350-D8A506028B9C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B3-4B7A-B350-D8A506028B9C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B3-4B7A-B350-D8A506028B9C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B3-4B7A-B350-D8A506028B9C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B3-4B7A-B350-D8A506028B9C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B3-4B7A-B350-D8A506028B9C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B3-4B7A-B350-D8A506028B9C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B3-4B7A-B350-D8A506028B9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B3-4B7A-B350-D8A506028B9C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B3-4B7A-B350-D8A506028B9C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B3-4B7A-B350-D8A506028B9C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0B3-4B7A-B350-D8A506028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19-4CEE-A58E-A0AF33BAFCE6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19-4CEE-A58E-A0AF33BAFCE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19-4CEE-A58E-A0AF33BAFCE6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TOTALS!$O$202:$O$204</c:f>
              <c:numCache>
                <c:formatCode>General</c:formatCode>
                <c:ptCount val="3"/>
                <c:pt idx="0">
                  <c:v>37.5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19-4CEE-A58E-A0AF33BAF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80-4299-A175-A8C1ED2B98E2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80-4299-A175-A8C1ED2B98E2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80-4299-A175-A8C1ED2B98E2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80-4299-A175-A8C1ED2B98E2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80-4299-A175-A8C1ED2B98E2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80-4299-A175-A8C1ED2B98E2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80-4299-A175-A8C1ED2B98E2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80-4299-A175-A8C1ED2B98E2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80-4299-A175-A8C1ED2B98E2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80-4299-A175-A8C1ED2B98E2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80-4299-A175-A8C1ED2B98E2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80-4299-A175-A8C1ED2B98E2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80-4299-A175-A8C1ED2B98E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80-4299-A175-A8C1ED2B98E2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080-4299-A175-A8C1ED2B98E2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080-4299-A175-A8C1ED2B98E2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80-4299-A175-A8C1ED2B9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22-4FA2-9A7B-F0E12A7DBC0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22-4FA2-9A7B-F0E12A7DBC0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222-4FA2-9A7B-F0E12A7DBC0B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TOTALS!$Q$202:$Q$204</c:f>
              <c:numCache>
                <c:formatCode>General</c:formatCode>
                <c:ptCount val="3"/>
                <c:pt idx="0">
                  <c:v>0</c:v>
                </c:pt>
                <c:pt idx="1">
                  <c:v>37.5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22-4FA2-9A7B-F0E12A7DB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481629472932797E-2"/>
          <c:y val="3.2692967409948544E-2"/>
          <c:w val="0.97651837052706725"/>
          <c:h val="0.718343355913055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TOTALS!$B$136</c:f>
              <c:strCache>
                <c:ptCount val="1"/>
                <c:pt idx="0">
                  <c:v>Today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TOTALS!$C$135:$P$135</c:f>
              <c:strCache>
                <c:ptCount val="14"/>
                <c:pt idx="0">
                  <c:v>Receiving Water</c:v>
                </c:pt>
                <c:pt idx="1">
                  <c:v>Water Farm Distro </c:v>
                </c:pt>
                <c:pt idx="2">
                  <c:v>Grab n Go</c:v>
                </c:pt>
                <c:pt idx="3">
                  <c:v>LSA ECP</c:v>
                </c:pt>
                <c:pt idx="4">
                  <c:v>C/D Portapotty</c:v>
                </c:pt>
                <c:pt idx="5">
                  <c:v>G/H ECP</c:v>
                </c:pt>
                <c:pt idx="6">
                  <c:v>A Block</c:v>
                </c:pt>
                <c:pt idx="7">
                  <c:v>B Block</c:v>
                </c:pt>
                <c:pt idx="8">
                  <c:v>G Block</c:v>
                </c:pt>
                <c:pt idx="9">
                  <c:v>I Block</c:v>
                </c:pt>
                <c:pt idx="10">
                  <c:v>LSA DFAC </c:v>
                </c:pt>
                <c:pt idx="11">
                  <c:v>Ops DFAC </c:v>
                </c:pt>
                <c:pt idx="12">
                  <c:v>Ops Portapotty</c:v>
                </c:pt>
                <c:pt idx="13">
                  <c:v>Saudi ECP</c:v>
                </c:pt>
              </c:strCache>
            </c:strRef>
          </c:cat>
          <c:val>
            <c:numRef>
              <c:f>TOTALS!$C$136:$P$136</c:f>
              <c:numCache>
                <c:formatCode>0.0</c:formatCode>
                <c:ptCount val="14"/>
                <c:pt idx="0">
                  <c:v>0.9</c:v>
                </c:pt>
                <c:pt idx="1">
                  <c:v>3.3</c:v>
                </c:pt>
                <c:pt idx="2" formatCode="General">
                  <c:v>1.2</c:v>
                </c:pt>
                <c:pt idx="3" formatCode="General">
                  <c:v>4.0999999999999996</c:v>
                </c:pt>
                <c:pt idx="4" formatCode="General">
                  <c:v>2.5</c:v>
                </c:pt>
                <c:pt idx="5" formatCode="General">
                  <c:v>0.6</c:v>
                </c:pt>
                <c:pt idx="6" formatCode="General">
                  <c:v>1.3</c:v>
                </c:pt>
                <c:pt idx="7" formatCode="General">
                  <c:v>1.6</c:v>
                </c:pt>
                <c:pt idx="8" formatCode="General">
                  <c:v>0</c:v>
                </c:pt>
                <c:pt idx="9" formatCode="General">
                  <c:v>2.2000000000000002</c:v>
                </c:pt>
                <c:pt idx="10" formatCode="General">
                  <c:v>2.7</c:v>
                </c:pt>
                <c:pt idx="11" formatCode="General">
                  <c:v>1.2</c:v>
                </c:pt>
                <c:pt idx="12" formatCode="General">
                  <c:v>2.2000000000000002</c:v>
                </c:pt>
                <c:pt idx="13" formatCode="General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F-4695-8AEF-AA86B4F7EB68}"/>
            </c:ext>
          </c:extLst>
        </c:ser>
        <c:ser>
          <c:idx val="1"/>
          <c:order val="1"/>
          <c:tx>
            <c:strRef>
              <c:f>TOTALS!$B$137</c:f>
              <c:strCache>
                <c:ptCount val="1"/>
                <c:pt idx="0">
                  <c:v>Yesterday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TOTALS!$C$135:$P$135</c:f>
              <c:strCache>
                <c:ptCount val="14"/>
                <c:pt idx="0">
                  <c:v>Receiving Water</c:v>
                </c:pt>
                <c:pt idx="1">
                  <c:v>Water Farm Distro </c:v>
                </c:pt>
                <c:pt idx="2">
                  <c:v>Grab n Go</c:v>
                </c:pt>
                <c:pt idx="3">
                  <c:v>LSA ECP</c:v>
                </c:pt>
                <c:pt idx="4">
                  <c:v>C/D Portapotty</c:v>
                </c:pt>
                <c:pt idx="5">
                  <c:v>G/H ECP</c:v>
                </c:pt>
                <c:pt idx="6">
                  <c:v>A Block</c:v>
                </c:pt>
                <c:pt idx="7">
                  <c:v>B Block</c:v>
                </c:pt>
                <c:pt idx="8">
                  <c:v>G Block</c:v>
                </c:pt>
                <c:pt idx="9">
                  <c:v>I Block</c:v>
                </c:pt>
                <c:pt idx="10">
                  <c:v>LSA DFAC </c:v>
                </c:pt>
                <c:pt idx="11">
                  <c:v>Ops DFAC </c:v>
                </c:pt>
                <c:pt idx="12">
                  <c:v>Ops Portapotty</c:v>
                </c:pt>
                <c:pt idx="13">
                  <c:v>Saudi ECP</c:v>
                </c:pt>
              </c:strCache>
            </c:strRef>
          </c:cat>
          <c:val>
            <c:numRef>
              <c:f>TOTALS!$C$137:$P$137</c:f>
              <c:numCache>
                <c:formatCode>General</c:formatCode>
                <c:ptCount val="14"/>
                <c:pt idx="0">
                  <c:v>1.8</c:v>
                </c:pt>
                <c:pt idx="1">
                  <c:v>1.8</c:v>
                </c:pt>
                <c:pt idx="2">
                  <c:v>1.7</c:v>
                </c:pt>
                <c:pt idx="3">
                  <c:v>3</c:v>
                </c:pt>
                <c:pt idx="4">
                  <c:v>2.7</c:v>
                </c:pt>
                <c:pt idx="5">
                  <c:v>4.5</c:v>
                </c:pt>
                <c:pt idx="6">
                  <c:v>1.5</c:v>
                </c:pt>
                <c:pt idx="7">
                  <c:v>1</c:v>
                </c:pt>
                <c:pt idx="8">
                  <c:v>0</c:v>
                </c:pt>
                <c:pt idx="9">
                  <c:v>1.4</c:v>
                </c:pt>
                <c:pt idx="10">
                  <c:v>0.6</c:v>
                </c:pt>
                <c:pt idx="11">
                  <c:v>2.4</c:v>
                </c:pt>
                <c:pt idx="12">
                  <c:v>2</c:v>
                </c:pt>
                <c:pt idx="13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F-4695-8AEF-AA86B4F7E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8738144"/>
        <c:axId val="718742736"/>
      </c:barChart>
      <c:valAx>
        <c:axId val="718742736"/>
        <c:scaling>
          <c:orientation val="minMax"/>
          <c:max val="6"/>
        </c:scaling>
        <c:delete val="0"/>
        <c:axPos val="r"/>
        <c:majorGridlines>
          <c:spPr>
            <a:ln w="9525" cap="flat" cmpd="sng" algn="ctr">
              <a:solidFill>
                <a:srgbClr val="FFFF00"/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738144"/>
        <c:crosses val="max"/>
        <c:crossBetween val="between"/>
        <c:majorUnit val="0.5"/>
      </c:valAx>
      <c:catAx>
        <c:axId val="71873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874273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5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search?sxsrf=ALeKk03psxfe-dSkB7zHHpp0C7MsWAuXpQ%3A1586336270346&amp;ei=DpKNXs_pFI2RkwXavqToDw&amp;q=prince+sultan+airbase+weather+farenhiet&amp;oq=prince+sultan+airbase+weather+farenhiet&amp;gs_lcp=CgZwc3ktYWIQAzIHCCEQChCgATIGCCEQChAVOgQIABBHOgYIAB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14654</xdr:colOff>
      <xdr:row>1</xdr:row>
      <xdr:rowOff>15573</xdr:rowOff>
    </xdr:from>
    <xdr:to>
      <xdr:col>9</xdr:col>
      <xdr:colOff>918</xdr:colOff>
      <xdr:row>5</xdr:row>
      <xdr:rowOff>268653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59" t="12348" r="2958" b="14578"/>
        <a:stretch/>
      </xdr:blipFill>
      <xdr:spPr>
        <a:xfrm>
          <a:off x="7764910" y="67676"/>
          <a:ext cx="1205651" cy="1063926"/>
        </a:xfrm>
        <a:prstGeom prst="rect">
          <a:avLst/>
        </a:prstGeom>
        <a:ln w="28575">
          <a:solidFill>
            <a:srgbClr val="FF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9727</xdr:rowOff>
    </xdr:from>
    <xdr:to>
      <xdr:col>1</xdr:col>
      <xdr:colOff>907914</xdr:colOff>
      <xdr:row>9</xdr:row>
      <xdr:rowOff>180383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450"/>
          <a:ext cx="2634574" cy="905635"/>
        </a:xfrm>
        <a:prstGeom prst="rect">
          <a:avLst/>
        </a:prstGeom>
        <a:effectLst>
          <a:outerShdw blurRad="50800"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471961</xdr:colOff>
      <xdr:row>9</xdr:row>
      <xdr:rowOff>257433</xdr:rowOff>
    </xdr:from>
    <xdr:to>
      <xdr:col>15</xdr:col>
      <xdr:colOff>643581</xdr:colOff>
      <xdr:row>14</xdr:row>
      <xdr:rowOff>120135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95374</xdr:colOff>
      <xdr:row>8</xdr:row>
      <xdr:rowOff>169249</xdr:rowOff>
    </xdr:from>
    <xdr:to>
      <xdr:col>9</xdr:col>
      <xdr:colOff>1750787</xdr:colOff>
      <xdr:row>14</xdr:row>
      <xdr:rowOff>81641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63501</xdr:colOff>
      <xdr:row>16</xdr:row>
      <xdr:rowOff>0</xdr:rowOff>
    </xdr:from>
    <xdr:to>
      <xdr:col>3</xdr:col>
      <xdr:colOff>1212851</xdr:colOff>
      <xdr:row>21</xdr:row>
      <xdr:rowOff>57728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94391</xdr:colOff>
      <xdr:row>15</xdr:row>
      <xdr:rowOff>892677</xdr:rowOff>
    </xdr:from>
    <xdr:to>
      <xdr:col>16</xdr:col>
      <xdr:colOff>0</xdr:colOff>
      <xdr:row>18</xdr:row>
      <xdr:rowOff>213055</xdr:rowOff>
    </xdr:to>
    <xdr:sp macro="" textlink="TOTALS!C193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163677" y="4657320"/>
          <a:ext cx="1066752" cy="8534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5ED2301-1092-4898-8F73-427F4ED7EB0F}" type="TxLink">
            <a:rPr lang="en-US" sz="4400" b="0" i="0" u="none" strike="noStrike">
              <a:solidFill>
                <a:srgbClr val="F24C50"/>
              </a:solidFill>
              <a:latin typeface="Bahnschrift" panose="020B0502040204020203" pitchFamily="34" charset="0"/>
              <a:cs typeface="Calibri"/>
            </a:rPr>
            <a:pPr algn="ctr"/>
            <a:t>0:47</a:t>
          </a:fld>
          <a:endParaRPr lang="en-US" sz="4400">
            <a:solidFill>
              <a:srgbClr val="F24C5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13</xdr:col>
      <xdr:colOff>49916</xdr:colOff>
      <xdr:row>15</xdr:row>
      <xdr:rowOff>927001</xdr:rowOff>
    </xdr:from>
    <xdr:to>
      <xdr:col>15</xdr:col>
      <xdr:colOff>69139</xdr:colOff>
      <xdr:row>18</xdr:row>
      <xdr:rowOff>240905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740345" y="4691644"/>
          <a:ext cx="1398080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Hours</a:t>
          </a:r>
          <a:r>
            <a:rPr lang="en-US" sz="2000" b="0" i="0" u="none" strike="noStrike" baseline="0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 Spent</a:t>
          </a:r>
          <a:endParaRPr lang="en-US" sz="2000" b="0" i="0" u="none" strike="noStrike">
            <a:solidFill>
              <a:schemeClr val="bg1"/>
            </a:solidFill>
            <a:latin typeface="Bahnschrift" panose="020B0502040204020203" pitchFamily="34" charset="0"/>
            <a:cs typeface="Calibri"/>
          </a:endParaRPr>
        </a:p>
      </xdr:txBody>
    </xdr:sp>
    <xdr:clientData/>
  </xdr:twoCellAnchor>
  <xdr:twoCellAnchor>
    <xdr:from>
      <xdr:col>14</xdr:col>
      <xdr:colOff>67180</xdr:colOff>
      <xdr:row>15</xdr:row>
      <xdr:rowOff>577533</xdr:rowOff>
    </xdr:from>
    <xdr:to>
      <xdr:col>19</xdr:col>
      <xdr:colOff>65121</xdr:colOff>
      <xdr:row>16</xdr:row>
      <xdr:rowOff>170689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483323" y="4342176"/>
          <a:ext cx="1939227" cy="618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Gallons Filled</a:t>
          </a:r>
        </a:p>
      </xdr:txBody>
    </xdr:sp>
    <xdr:clientData/>
  </xdr:twoCellAnchor>
  <xdr:twoCellAnchor>
    <xdr:from>
      <xdr:col>11</xdr:col>
      <xdr:colOff>23232</xdr:colOff>
      <xdr:row>15</xdr:row>
      <xdr:rowOff>536472</xdr:rowOff>
    </xdr:from>
    <xdr:to>
      <xdr:col>14</xdr:col>
      <xdr:colOff>298731</xdr:colOff>
      <xdr:row>16</xdr:row>
      <xdr:rowOff>131689</xdr:rowOff>
    </xdr:to>
    <xdr:sp macro="" textlink="TOTALS!C194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629153" y="4296340"/>
          <a:ext cx="1060894" cy="6312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6E5CA0B-34ED-4922-91CD-9ABAE8324639}" type="TxLink">
            <a:rPr lang="en-US" sz="4800" b="0" i="0" u="none" strike="noStrike">
              <a:solidFill>
                <a:srgbClr val="F68689"/>
              </a:solidFill>
              <a:latin typeface="Bahnschrift" panose="020B0502040204020203" pitchFamily="34" charset="0"/>
              <a:cs typeface="Calibri"/>
            </a:rPr>
            <a:pPr algn="ctr"/>
            <a:t>180</a:t>
          </a:fld>
          <a:endParaRPr lang="en-US" sz="19900">
            <a:solidFill>
              <a:srgbClr val="F68689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13</xdr:col>
      <xdr:colOff>2683</xdr:colOff>
      <xdr:row>15</xdr:row>
      <xdr:rowOff>33271</xdr:rowOff>
    </xdr:from>
    <xdr:to>
      <xdr:col>16</xdr:col>
      <xdr:colOff>24147</xdr:colOff>
      <xdr:row>15</xdr:row>
      <xdr:rowOff>35954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8689483" y="3805171"/>
          <a:ext cx="2564639" cy="268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31258</xdr:colOff>
      <xdr:row>18</xdr:row>
      <xdr:rowOff>166621</xdr:rowOff>
    </xdr:from>
    <xdr:to>
      <xdr:col>16</xdr:col>
      <xdr:colOff>14622</xdr:colOff>
      <xdr:row>18</xdr:row>
      <xdr:rowOff>169304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8679958" y="5348221"/>
          <a:ext cx="2564639" cy="268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71786</xdr:colOff>
      <xdr:row>15</xdr:row>
      <xdr:rowOff>29079</xdr:rowOff>
    </xdr:from>
    <xdr:to>
      <xdr:col>9</xdr:col>
      <xdr:colOff>1844830</xdr:colOff>
      <xdr:row>15</xdr:row>
      <xdr:rowOff>35920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4798000" y="3793722"/>
          <a:ext cx="3759687" cy="6841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35502</xdr:colOff>
      <xdr:row>15</xdr:row>
      <xdr:rowOff>322049</xdr:rowOff>
    </xdr:from>
    <xdr:to>
      <xdr:col>22</xdr:col>
      <xdr:colOff>603251</xdr:colOff>
      <xdr:row>15</xdr:row>
      <xdr:rowOff>326571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1392931" y="4086692"/>
          <a:ext cx="2935391" cy="4522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1805214</xdr:colOff>
      <xdr:row>15</xdr:row>
      <xdr:rowOff>58106</xdr:rowOff>
    </xdr:from>
    <xdr:to>
      <xdr:col>19</xdr:col>
      <xdr:colOff>36285</xdr:colOff>
      <xdr:row>15</xdr:row>
      <xdr:rowOff>905081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8518071" y="3822749"/>
          <a:ext cx="2875643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Daily Averages in</a:t>
          </a:r>
          <a:r>
            <a:rPr lang="en-US" sz="1100" b="0" i="0" u="none" strike="noStrike" baseline="0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 Last Seven</a:t>
          </a:r>
          <a:r>
            <a:rPr lang="en-US" sz="1100" b="0" i="0" u="none" strike="noStrike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 days </a:t>
          </a:r>
        </a:p>
      </xdr:txBody>
    </xdr:sp>
    <xdr:clientData/>
  </xdr:twoCellAnchor>
  <xdr:twoCellAnchor>
    <xdr:from>
      <xdr:col>13</xdr:col>
      <xdr:colOff>163286</xdr:colOff>
      <xdr:row>14</xdr:row>
      <xdr:rowOff>156078</xdr:rowOff>
    </xdr:from>
    <xdr:to>
      <xdr:col>15</xdr:col>
      <xdr:colOff>1023256</xdr:colOff>
      <xdr:row>15</xdr:row>
      <xdr:rowOff>640196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8853715" y="3557864"/>
          <a:ext cx="2238827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Porta Cooler RWP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426909</xdr:colOff>
      <xdr:row>43</xdr:row>
      <xdr:rowOff>748</xdr:rowOff>
    </xdr:from>
    <xdr:to>
      <xdr:col>23</xdr:col>
      <xdr:colOff>577850</xdr:colOff>
      <xdr:row>56</xdr:row>
      <xdr:rowOff>75384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5113546" y="8994708"/>
          <a:ext cx="10527291" cy="2679260"/>
          <a:chOff x="2142565" y="7524750"/>
          <a:chExt cx="9884335" cy="254217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51366" y="7524750"/>
            <a:ext cx="4975534" cy="2542172"/>
          </a:xfrm>
          <a:prstGeom prst="rect">
            <a:avLst/>
          </a:prstGeom>
        </xdr:spPr>
      </xdr:pic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6826250" y="8985250"/>
            <a:ext cx="2146300" cy="361950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ight Arrow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 rot="20905564">
            <a:off x="5383492" y="9435685"/>
            <a:ext cx="2896779" cy="77262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ight Arrow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 rot="351871" flipV="1">
            <a:off x="2142565" y="8843469"/>
            <a:ext cx="4920580" cy="56174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349249</xdr:colOff>
      <xdr:row>23</xdr:row>
      <xdr:rowOff>183403</xdr:rowOff>
    </xdr:from>
    <xdr:to>
      <xdr:col>23</xdr:col>
      <xdr:colOff>571500</xdr:colOff>
      <xdr:row>38</xdr:row>
      <xdr:rowOff>172875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5575355" y="5249354"/>
          <a:ext cx="10059132" cy="2948123"/>
          <a:chOff x="2511628" y="4876800"/>
          <a:chExt cx="9502572" cy="2637422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38666" y="4876800"/>
            <a:ext cx="4975534" cy="2637422"/>
          </a:xfrm>
          <a:prstGeom prst="rect">
            <a:avLst/>
          </a:prstGeom>
        </xdr:spPr>
      </xdr:pic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8896350" y="6858000"/>
            <a:ext cx="996950" cy="590550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ight Arrow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2511628" y="7237837"/>
            <a:ext cx="6346077" cy="77574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230447</xdr:colOff>
      <xdr:row>5</xdr:row>
      <xdr:rowOff>2108</xdr:rowOff>
    </xdr:from>
    <xdr:to>
      <xdr:col>23</xdr:col>
      <xdr:colOff>552451</xdr:colOff>
      <xdr:row>19</xdr:row>
      <xdr:rowOff>165645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7074960" y="1502506"/>
          <a:ext cx="8540478" cy="2953604"/>
          <a:chOff x="4387665" y="967409"/>
          <a:chExt cx="8280585" cy="2792859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93464" y="967409"/>
            <a:ext cx="5174786" cy="2792859"/>
          </a:xfrm>
          <a:prstGeom prst="rect">
            <a:avLst/>
          </a:prstGeom>
        </xdr:spPr>
      </xdr:pic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10548939" y="3033944"/>
            <a:ext cx="1036874" cy="62535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ight Arrow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666782">
            <a:off x="4387665" y="2713804"/>
            <a:ext cx="6135330" cy="86086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123554</xdr:colOff>
      <xdr:row>59</xdr:row>
      <xdr:rowOff>181666</xdr:rowOff>
    </xdr:from>
    <xdr:to>
      <xdr:col>23</xdr:col>
      <xdr:colOff>590550</xdr:colOff>
      <xdr:row>73</xdr:row>
      <xdr:rowOff>77305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3254" y="11840266"/>
          <a:ext cx="5343796" cy="2924589"/>
        </a:xfrm>
        <a:prstGeom prst="rect">
          <a:avLst/>
        </a:prstGeom>
      </xdr:spPr>
    </xdr:pic>
    <xdr:clientData/>
  </xdr:twoCellAnchor>
  <xdr:twoCellAnchor>
    <xdr:from>
      <xdr:col>17</xdr:col>
      <xdr:colOff>601869</xdr:colOff>
      <xdr:row>66</xdr:row>
      <xdr:rowOff>174476</xdr:rowOff>
    </xdr:from>
    <xdr:to>
      <xdr:col>20</xdr:col>
      <xdr:colOff>187738</xdr:colOff>
      <xdr:row>69</xdr:row>
      <xdr:rowOff>165652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171608" y="12797172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201519</xdr:colOff>
      <xdr:row>69</xdr:row>
      <xdr:rowOff>171245</xdr:rowOff>
    </xdr:from>
    <xdr:to>
      <xdr:col>18</xdr:col>
      <xdr:colOff>363387</xdr:colOff>
      <xdr:row>70</xdr:row>
      <xdr:rowOff>75760</xdr:rowOff>
    </xdr:to>
    <xdr:sp macro="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 rot="21368162">
          <a:off x="3034171" y="13340593"/>
          <a:ext cx="6506346" cy="86732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194549</xdr:colOff>
      <xdr:row>66</xdr:row>
      <xdr:rowOff>177864</xdr:rowOff>
    </xdr:from>
    <xdr:to>
      <xdr:col>19</xdr:col>
      <xdr:colOff>63344</xdr:colOff>
      <xdr:row>67</xdr:row>
      <xdr:rowOff>84200</xdr:rowOff>
    </xdr:to>
    <xdr:sp macro="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 rot="20535846">
          <a:off x="4523592" y="12800560"/>
          <a:ext cx="5324274" cy="88553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8835</xdr:colOff>
      <xdr:row>61</xdr:row>
      <xdr:rowOff>122571</xdr:rowOff>
    </xdr:from>
    <xdr:to>
      <xdr:col>20</xdr:col>
      <xdr:colOff>202095</xdr:colOff>
      <xdr:row>63</xdr:row>
      <xdr:rowOff>295965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9185965" y="11646441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104915</xdr:colOff>
      <xdr:row>117</xdr:row>
      <xdr:rowOff>176696</xdr:rowOff>
    </xdr:from>
    <xdr:to>
      <xdr:col>23</xdr:col>
      <xdr:colOff>563218</xdr:colOff>
      <xdr:row>126</xdr:row>
      <xdr:rowOff>160089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9872" y="14803783"/>
          <a:ext cx="5317434" cy="1706176"/>
        </a:xfrm>
        <a:prstGeom prst="rect">
          <a:avLst/>
        </a:prstGeom>
      </xdr:spPr>
    </xdr:pic>
    <xdr:clientData/>
  </xdr:twoCellAnchor>
  <xdr:twoCellAnchor>
    <xdr:from>
      <xdr:col>21</xdr:col>
      <xdr:colOff>456095</xdr:colOff>
      <xdr:row>118</xdr:row>
      <xdr:rowOff>205399</xdr:rowOff>
    </xdr:from>
    <xdr:to>
      <xdr:col>24</xdr:col>
      <xdr:colOff>41964</xdr:colOff>
      <xdr:row>121</xdr:row>
      <xdr:rowOff>113748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1455399" y="15014703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430272</xdr:colOff>
      <xdr:row>121</xdr:row>
      <xdr:rowOff>23398</xdr:rowOff>
    </xdr:from>
    <xdr:to>
      <xdr:col>21</xdr:col>
      <xdr:colOff>353684</xdr:colOff>
      <xdr:row>121</xdr:row>
      <xdr:rowOff>107005</xdr:rowOff>
    </xdr:to>
    <xdr:sp macro="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21360661">
          <a:off x="4151924" y="15462181"/>
          <a:ext cx="7201064" cy="8360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209693</xdr:colOff>
      <xdr:row>77</xdr:row>
      <xdr:rowOff>168414</xdr:rowOff>
    </xdr:from>
    <xdr:to>
      <xdr:col>23</xdr:col>
      <xdr:colOff>571500</xdr:colOff>
      <xdr:row>91</xdr:row>
      <xdr:rowOff>130313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393" y="15592564"/>
          <a:ext cx="5238607" cy="2724149"/>
        </a:xfrm>
        <a:prstGeom prst="rect">
          <a:avLst/>
        </a:prstGeom>
      </xdr:spPr>
    </xdr:pic>
    <xdr:clientData/>
  </xdr:twoCellAnchor>
  <xdr:twoCellAnchor>
    <xdr:from>
      <xdr:col>15</xdr:col>
      <xdr:colOff>202094</xdr:colOff>
      <xdr:row>86</xdr:row>
      <xdr:rowOff>144660</xdr:rowOff>
    </xdr:from>
    <xdr:to>
      <xdr:col>18</xdr:col>
      <xdr:colOff>259522</xdr:colOff>
      <xdr:row>91</xdr:row>
      <xdr:rowOff>143565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7557051" y="16604964"/>
          <a:ext cx="1879601" cy="921036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153974</xdr:colOff>
      <xdr:row>86</xdr:row>
      <xdr:rowOff>130657</xdr:rowOff>
    </xdr:from>
    <xdr:to>
      <xdr:col>15</xdr:col>
      <xdr:colOff>150251</xdr:colOff>
      <xdr:row>88</xdr:row>
      <xdr:rowOff>70937</xdr:rowOff>
    </xdr:to>
    <xdr:sp macro="" textlink="">
      <xdr:nvSpPr>
        <xdr:cNvPr id="38" name="Right Arrow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329837">
          <a:off x="7065448" y="17623236"/>
          <a:ext cx="3418592" cy="321280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295832</xdr:colOff>
      <xdr:row>96</xdr:row>
      <xdr:rowOff>171727</xdr:rowOff>
    </xdr:from>
    <xdr:to>
      <xdr:col>23</xdr:col>
      <xdr:colOff>590550</xdr:colOff>
      <xdr:row>112</xdr:row>
      <xdr:rowOff>50799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5532" y="19278877"/>
          <a:ext cx="5171518" cy="2914372"/>
        </a:xfrm>
        <a:prstGeom prst="rect">
          <a:avLst/>
        </a:prstGeom>
      </xdr:spPr>
    </xdr:pic>
    <xdr:clientData/>
  </xdr:twoCellAnchor>
  <xdr:twoCellAnchor>
    <xdr:from>
      <xdr:col>15</xdr:col>
      <xdr:colOff>279397</xdr:colOff>
      <xdr:row>99</xdr:row>
      <xdr:rowOff>1094</xdr:rowOff>
    </xdr:from>
    <xdr:to>
      <xdr:col>18</xdr:col>
      <xdr:colOff>336825</xdr:colOff>
      <xdr:row>105</xdr:row>
      <xdr:rowOff>149087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7634354" y="18913051"/>
          <a:ext cx="1879601" cy="124129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91397</xdr:colOff>
      <xdr:row>104</xdr:row>
      <xdr:rowOff>30140</xdr:rowOff>
    </xdr:from>
    <xdr:to>
      <xdr:col>15</xdr:col>
      <xdr:colOff>386021</xdr:colOff>
      <xdr:row>106</xdr:row>
      <xdr:rowOff>23372</xdr:rowOff>
    </xdr:to>
    <xdr:sp macro="" textlink="">
      <xdr:nvSpPr>
        <xdr:cNvPr id="41" name="Right Arrow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 rot="19246852" flipV="1">
          <a:off x="6838962" y="19853183"/>
          <a:ext cx="902016" cy="35766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48172</xdr:colOff>
      <xdr:row>131</xdr:row>
      <xdr:rowOff>0</xdr:rowOff>
    </xdr:from>
    <xdr:to>
      <xdr:col>23</xdr:col>
      <xdr:colOff>528052</xdr:colOff>
      <xdr:row>139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6961" y="26088474"/>
          <a:ext cx="4737723" cy="2185402"/>
        </a:xfrm>
        <a:prstGeom prst="rect">
          <a:avLst/>
        </a:prstGeom>
      </xdr:spPr>
    </xdr:pic>
    <xdr:clientData/>
  </xdr:twoCellAnchor>
  <xdr:twoCellAnchor>
    <xdr:from>
      <xdr:col>15</xdr:col>
      <xdr:colOff>306552</xdr:colOff>
      <xdr:row>132</xdr:row>
      <xdr:rowOff>65689</xdr:rowOff>
    </xdr:from>
    <xdr:to>
      <xdr:col>16</xdr:col>
      <xdr:colOff>189521</xdr:colOff>
      <xdr:row>134</xdr:row>
      <xdr:rowOff>50162</xdr:rowOff>
    </xdr:to>
    <xdr:sp macro="" textlink="">
      <xdr:nvSpPr>
        <xdr:cNvPr id="45" name="Right Arrow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flipV="1">
          <a:off x="10597931" y="26043758"/>
          <a:ext cx="491693" cy="361094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171622</xdr:colOff>
      <xdr:row>144</xdr:row>
      <xdr:rowOff>0</xdr:rowOff>
    </xdr:from>
    <xdr:to>
      <xdr:col>23</xdr:col>
      <xdr:colOff>466340</xdr:colOff>
      <xdr:row>156</xdr:row>
      <xdr:rowOff>85018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6172" y="28546396"/>
          <a:ext cx="5191654" cy="2899613"/>
        </a:xfrm>
        <a:prstGeom prst="rect">
          <a:avLst/>
        </a:prstGeom>
      </xdr:spPr>
    </xdr:pic>
    <xdr:clientData/>
  </xdr:twoCellAnchor>
  <xdr:twoCellAnchor>
    <xdr:from>
      <xdr:col>18</xdr:col>
      <xdr:colOff>37264</xdr:colOff>
      <xdr:row>147</xdr:row>
      <xdr:rowOff>154460</xdr:rowOff>
    </xdr:from>
    <xdr:to>
      <xdr:col>20</xdr:col>
      <xdr:colOff>235251</xdr:colOff>
      <xdr:row>150</xdr:row>
      <xdr:rowOff>85810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12268165" y="29335856"/>
          <a:ext cx="1422221" cy="101256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264810</xdr:colOff>
      <xdr:row>148</xdr:row>
      <xdr:rowOff>42857</xdr:rowOff>
    </xdr:from>
    <xdr:to>
      <xdr:col>17</xdr:col>
      <xdr:colOff>595253</xdr:colOff>
      <xdr:row>149</xdr:row>
      <xdr:rowOff>153044</xdr:rowOff>
    </xdr:to>
    <xdr:sp macro="" textlink="">
      <xdr:nvSpPr>
        <xdr:cNvPr id="44" name="Right Arrow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 rot="21360661">
          <a:off x="9515215" y="29584659"/>
          <a:ext cx="2698822" cy="470592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47625</xdr:colOff>
      <xdr:row>178</xdr:row>
      <xdr:rowOff>142874</xdr:rowOff>
    </xdr:from>
    <xdr:to>
      <xdr:col>24</xdr:col>
      <xdr:colOff>190500</xdr:colOff>
      <xdr:row>190</xdr:row>
      <xdr:rowOff>76199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36871274"/>
          <a:ext cx="3800475" cy="2790825"/>
        </a:xfrm>
        <a:prstGeom prst="rect">
          <a:avLst/>
        </a:prstGeom>
      </xdr:spPr>
    </xdr:pic>
    <xdr:clientData/>
  </xdr:twoCellAnchor>
  <xdr:twoCellAnchor>
    <xdr:from>
      <xdr:col>21</xdr:col>
      <xdr:colOff>219075</xdr:colOff>
      <xdr:row>183</xdr:row>
      <xdr:rowOff>95249</xdr:rowOff>
    </xdr:from>
    <xdr:to>
      <xdr:col>23</xdr:col>
      <xdr:colOff>8282</xdr:colOff>
      <xdr:row>187</xdr:row>
      <xdr:rowOff>177856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13877925" y="38347649"/>
          <a:ext cx="1008407" cy="84460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18791</xdr:colOff>
      <xdr:row>189</xdr:row>
      <xdr:rowOff>96806</xdr:rowOff>
    </xdr:from>
    <xdr:to>
      <xdr:col>21</xdr:col>
      <xdr:colOff>415909</xdr:colOff>
      <xdr:row>191</xdr:row>
      <xdr:rowOff>187943</xdr:rowOff>
    </xdr:to>
    <xdr:sp macro="" textlink="">
      <xdr:nvSpPr>
        <xdr:cNvPr id="47" name="Right Arrow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 rot="20021003">
          <a:off x="11239241" y="39492206"/>
          <a:ext cx="2835518" cy="47213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654026</xdr:colOff>
      <xdr:row>0</xdr:row>
      <xdr:rowOff>510224</xdr:rowOff>
    </xdr:from>
    <xdr:to>
      <xdr:col>27</xdr:col>
      <xdr:colOff>185100</xdr:colOff>
      <xdr:row>2</xdr:row>
      <xdr:rowOff>269861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54026" y="510224"/>
          <a:ext cx="14271012" cy="1886887"/>
          <a:chOff x="661963" y="12583161"/>
          <a:chExt cx="14271012" cy="1886887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GrpSpPr/>
        </xdr:nvGrpSpPr>
        <xdr:grpSpPr>
          <a:xfrm>
            <a:off x="661963" y="12611735"/>
            <a:ext cx="3075964" cy="1855134"/>
            <a:chOff x="627064" y="396876"/>
            <a:chExt cx="3184525" cy="1903564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GrpSpPr/>
          </xdr:nvGrpSpPr>
          <xdr:grpSpPr>
            <a:xfrm>
              <a:off x="627064" y="396876"/>
              <a:ext cx="3184525" cy="1903564"/>
              <a:chOff x="627064" y="396876"/>
              <a:chExt cx="3193239" cy="1904792"/>
            </a:xfrm>
          </xdr:grpSpPr>
          <xdr:graphicFrame macro="">
            <xdr:nvGraphicFramePr>
              <xdr:cNvPr id="2" name="Chart 1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30" y="495652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C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4" y="396876"/>
              <a:ext cx="3193239" cy="168376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C00-000009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C00-00000B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GrpSpPr/>
        </xdr:nvGrpSpPr>
        <xdr:grpSpPr>
          <a:xfrm>
            <a:off x="2290735" y="12604751"/>
            <a:ext cx="2979763" cy="1855771"/>
            <a:chOff x="676367" y="396225"/>
            <a:chExt cx="3084928" cy="1904218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C00-000018000000}"/>
                </a:ext>
              </a:extLst>
            </xdr:cNvPr>
            <xdr:cNvGrpSpPr/>
          </xdr:nvGrpSpPr>
          <xdr:grpSpPr>
            <a:xfrm>
              <a:off x="676367" y="396225"/>
              <a:ext cx="3084928" cy="1904218"/>
              <a:chOff x="676503" y="396225"/>
              <a:chExt cx="3093369" cy="1905445"/>
            </a:xfrm>
          </xdr:grpSpPr>
          <xdr:graphicFrame macro="">
            <xdr:nvGraphicFramePr>
              <xdr:cNvPr id="40" name="Chart 39">
                <a:extLst>
                  <a:ext uri="{FF2B5EF4-FFF2-40B4-BE49-F238E27FC236}">
                    <a16:creationId xmlns:a16="http://schemas.microsoft.com/office/drawing/2014/main" id="{00000000-0008-0000-0C00-00002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41" name="Chart 40">
                <a:extLst>
                  <a:ext uri="{FF2B5EF4-FFF2-40B4-BE49-F238E27FC236}">
                    <a16:creationId xmlns:a16="http://schemas.microsoft.com/office/drawing/2014/main" id="{00000000-0008-0000-0C00-00002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76503" y="396225"/>
              <a:ext cx="3093369" cy="16599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C00-000021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C00-000022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C00-000023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C00-000026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C00-00002A000000}"/>
              </a:ext>
            </a:extLst>
          </xdr:cNvPr>
          <xdr:cNvGrpSpPr/>
        </xdr:nvGrpSpPr>
        <xdr:grpSpPr>
          <a:xfrm>
            <a:off x="3856012" y="12614911"/>
            <a:ext cx="3075964" cy="1855137"/>
            <a:chOff x="627063" y="396875"/>
            <a:chExt cx="3184525" cy="1903567"/>
          </a:xfrm>
        </xdr:grpSpPr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59" name="Chart 58">
                <a:extLst>
                  <a:ext uri="{FF2B5EF4-FFF2-40B4-BE49-F238E27FC236}">
                    <a16:creationId xmlns:a16="http://schemas.microsoft.com/office/drawing/2014/main" id="{00000000-0008-0000-0C00-00003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60" name="Chart 59">
                <a:extLst>
                  <a:ext uri="{FF2B5EF4-FFF2-40B4-BE49-F238E27FC236}">
                    <a16:creationId xmlns:a16="http://schemas.microsoft.com/office/drawing/2014/main" id="{00000000-0008-0000-0C00-00003C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</xdr:grp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C00-00002D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C00-00002E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C00-00002F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C00-000030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C00-000031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C00-000032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C00-000034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C00-000035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C00-000036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C00-000037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C00-000038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C00-000039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C00-00003A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GrpSpPr/>
        </xdr:nvGrpSpPr>
        <xdr:grpSpPr>
          <a:xfrm>
            <a:off x="5445099" y="12608561"/>
            <a:ext cx="3075964" cy="1855137"/>
            <a:chOff x="627063" y="396875"/>
            <a:chExt cx="3184525" cy="1903567"/>
          </a:xfrm>
        </xdr:grpSpPr>
        <xdr:grpSp>
          <xdr:nvGrpSpPr>
            <xdr:cNvPr id="62" name="Group 61">
              <a:extLst>
                <a:ext uri="{FF2B5EF4-FFF2-40B4-BE49-F238E27FC236}">
                  <a16:creationId xmlns:a16="http://schemas.microsoft.com/office/drawing/2014/main" id="{00000000-0008-0000-0C00-00003E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78" name="Chart 77">
                <a:extLst>
                  <a:ext uri="{FF2B5EF4-FFF2-40B4-BE49-F238E27FC236}">
                    <a16:creationId xmlns:a16="http://schemas.microsoft.com/office/drawing/2014/main" id="{00000000-0008-0000-0C00-00004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7"/>
              </a:graphicData>
            </a:graphic>
          </xdr:graphicFrame>
          <xdr:graphicFrame macro="">
            <xdr:nvGraphicFramePr>
              <xdr:cNvPr id="79" name="Chart 78">
                <a:extLst>
                  <a:ext uri="{FF2B5EF4-FFF2-40B4-BE49-F238E27FC236}">
                    <a16:creationId xmlns:a16="http://schemas.microsoft.com/office/drawing/2014/main" id="{00000000-0008-0000-0C00-00004F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</xdr:grpSp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C00-00003F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C00-000040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C00-000041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C00-000042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C00-000043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C00-000044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C00-000045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C00-000046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C00-000047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C00-000048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C00-000049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C00-00004B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C00-00004C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80" name="Group 79">
            <a:extLst>
              <a:ext uri="{FF2B5EF4-FFF2-40B4-BE49-F238E27FC236}">
                <a16:creationId xmlns:a16="http://schemas.microsoft.com/office/drawing/2014/main" id="{00000000-0008-0000-0C00-000050000000}"/>
              </a:ext>
            </a:extLst>
          </xdr:cNvPr>
          <xdr:cNvGrpSpPr/>
        </xdr:nvGrpSpPr>
        <xdr:grpSpPr>
          <a:xfrm>
            <a:off x="7057999" y="12602211"/>
            <a:ext cx="3075964" cy="1855137"/>
            <a:chOff x="627063" y="396875"/>
            <a:chExt cx="3184525" cy="1903567"/>
          </a:xfrm>
        </xdr:grpSpPr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0C00-000051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97" name="Chart 96">
                <a:extLst>
                  <a:ext uri="{FF2B5EF4-FFF2-40B4-BE49-F238E27FC236}">
                    <a16:creationId xmlns:a16="http://schemas.microsoft.com/office/drawing/2014/main" id="{00000000-0008-0000-0C00-000061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graphicFrame macro="">
            <xdr:nvGraphicFramePr>
              <xdr:cNvPr id="98" name="Chart 97">
                <a:extLst>
                  <a:ext uri="{FF2B5EF4-FFF2-40B4-BE49-F238E27FC236}">
                    <a16:creationId xmlns:a16="http://schemas.microsoft.com/office/drawing/2014/main" id="{00000000-0008-0000-0C00-00006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C00-000054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C00-000055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0000000-0008-0000-0C00-000056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00000000-0008-0000-0C00-000057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C00-000058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0C00-000059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00000000-0008-0000-0C00-00005B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00000000-0008-0000-0C00-00005D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C00-00005E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0000000-0008-0000-0C00-00005F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00000000-0008-0000-0C00-000060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C00-000063000000}"/>
              </a:ext>
            </a:extLst>
          </xdr:cNvPr>
          <xdr:cNvGrpSpPr/>
        </xdr:nvGrpSpPr>
        <xdr:grpSpPr>
          <a:xfrm>
            <a:off x="8655024" y="12595861"/>
            <a:ext cx="3075964" cy="1855137"/>
            <a:chOff x="627063" y="396875"/>
            <a:chExt cx="3184525" cy="1903567"/>
          </a:xfrm>
        </xdr:grpSpPr>
        <xdr:grpSp>
          <xdr:nvGrpSpPr>
            <xdr:cNvPr id="100" name="Group 99">
              <a:extLst>
                <a:ext uri="{FF2B5EF4-FFF2-40B4-BE49-F238E27FC236}">
                  <a16:creationId xmlns:a16="http://schemas.microsoft.com/office/drawing/2014/main" id="{00000000-0008-0000-0C00-000064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16" name="Chart 115">
                <a:extLst>
                  <a:ext uri="{FF2B5EF4-FFF2-40B4-BE49-F238E27FC236}">
                    <a16:creationId xmlns:a16="http://schemas.microsoft.com/office/drawing/2014/main" id="{00000000-0008-0000-0C00-000074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graphicFrame macro="">
            <xdr:nvGraphicFramePr>
              <xdr:cNvPr id="117" name="Chart 116">
                <a:extLst>
                  <a:ext uri="{FF2B5EF4-FFF2-40B4-BE49-F238E27FC236}">
                    <a16:creationId xmlns:a16="http://schemas.microsoft.com/office/drawing/2014/main" id="{00000000-0008-0000-0C00-000075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</xdr:grpSp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C00-000065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C00-000066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03" name="TextBox 102">
              <a:extLst>
                <a:ext uri="{FF2B5EF4-FFF2-40B4-BE49-F238E27FC236}">
                  <a16:creationId xmlns:a16="http://schemas.microsoft.com/office/drawing/2014/main" id="{00000000-0008-0000-0C00-000067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C00-000068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05" name="TextBox 104">
              <a:extLst>
                <a:ext uri="{FF2B5EF4-FFF2-40B4-BE49-F238E27FC236}">
                  <a16:creationId xmlns:a16="http://schemas.microsoft.com/office/drawing/2014/main" id="{00000000-0008-0000-0C00-000069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06" name="TextBox 105">
              <a:extLst>
                <a:ext uri="{FF2B5EF4-FFF2-40B4-BE49-F238E27FC236}">
                  <a16:creationId xmlns:a16="http://schemas.microsoft.com/office/drawing/2014/main" id="{00000000-0008-0000-0C00-00006A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07" name="TextBox 106">
              <a:extLst>
                <a:ext uri="{FF2B5EF4-FFF2-40B4-BE49-F238E27FC236}">
                  <a16:creationId xmlns:a16="http://schemas.microsoft.com/office/drawing/2014/main" id="{00000000-0008-0000-0C00-00006B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C00-00006C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C00-00006D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C00-00006E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C00-00006F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C00-000070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00000000-0008-0000-0C00-000071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14" name="TextBox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15" name="TextBox 114">
              <a:extLst>
                <a:ext uri="{FF2B5EF4-FFF2-40B4-BE49-F238E27FC236}">
                  <a16:creationId xmlns:a16="http://schemas.microsoft.com/office/drawing/2014/main" id="{00000000-0008-0000-0C00-000073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00000000-0008-0000-0C00-000076000000}"/>
              </a:ext>
            </a:extLst>
          </xdr:cNvPr>
          <xdr:cNvGrpSpPr/>
        </xdr:nvGrpSpPr>
        <xdr:grpSpPr>
          <a:xfrm>
            <a:off x="10236174" y="12589511"/>
            <a:ext cx="3075964" cy="1855137"/>
            <a:chOff x="627063" y="396875"/>
            <a:chExt cx="3184525" cy="1903567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C00-000077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35" name="Chart 134">
                <a:extLst>
                  <a:ext uri="{FF2B5EF4-FFF2-40B4-BE49-F238E27FC236}">
                    <a16:creationId xmlns:a16="http://schemas.microsoft.com/office/drawing/2014/main" id="{00000000-0008-0000-0C00-000087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graphicFrame macro="">
            <xdr:nvGraphicFramePr>
              <xdr:cNvPr id="136" name="Chart 135">
                <a:extLst>
                  <a:ext uri="{FF2B5EF4-FFF2-40B4-BE49-F238E27FC236}">
                    <a16:creationId xmlns:a16="http://schemas.microsoft.com/office/drawing/2014/main" id="{00000000-0008-0000-0C00-00008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</xdr:grpSp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C00-000078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21" name="TextBox 120">
              <a:extLst>
                <a:ext uri="{FF2B5EF4-FFF2-40B4-BE49-F238E27FC236}">
                  <a16:creationId xmlns:a16="http://schemas.microsoft.com/office/drawing/2014/main" id="{00000000-0008-0000-0C00-000079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22" name="TextBox 121">
              <a:extLst>
                <a:ext uri="{FF2B5EF4-FFF2-40B4-BE49-F238E27FC236}">
                  <a16:creationId xmlns:a16="http://schemas.microsoft.com/office/drawing/2014/main" id="{00000000-0008-0000-0C00-00007A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23" name="TextBox 122">
              <a:extLst>
                <a:ext uri="{FF2B5EF4-FFF2-40B4-BE49-F238E27FC236}">
                  <a16:creationId xmlns:a16="http://schemas.microsoft.com/office/drawing/2014/main" id="{00000000-0008-0000-0C00-00007B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24" name="TextBox 123">
              <a:extLst>
                <a:ext uri="{FF2B5EF4-FFF2-40B4-BE49-F238E27FC236}">
                  <a16:creationId xmlns:a16="http://schemas.microsoft.com/office/drawing/2014/main" id="{00000000-0008-0000-0C00-00007C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0000000-0008-0000-0C00-00007D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00000000-0008-0000-0C00-00007E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00000000-0008-0000-0C00-00007F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C00-000080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C00-000081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C00-000082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C00-000083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32" name="TextBox 131">
              <a:extLst>
                <a:ext uri="{FF2B5EF4-FFF2-40B4-BE49-F238E27FC236}">
                  <a16:creationId xmlns:a16="http://schemas.microsoft.com/office/drawing/2014/main" id="{00000000-0008-0000-0C00-000084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C00-000085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C00-000086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00000000-0008-0000-0C00-000089000000}"/>
              </a:ext>
            </a:extLst>
          </xdr:cNvPr>
          <xdr:cNvGrpSpPr/>
        </xdr:nvGrpSpPr>
        <xdr:grpSpPr>
          <a:xfrm>
            <a:off x="11857011" y="12583161"/>
            <a:ext cx="3075964" cy="1855137"/>
            <a:chOff x="627063" y="396875"/>
            <a:chExt cx="3184525" cy="1903567"/>
          </a:xfrm>
        </xdr:grpSpPr>
        <xdr:grpSp>
          <xdr:nvGrpSpPr>
            <xdr:cNvPr id="138" name="Group 137">
              <a:extLst>
                <a:ext uri="{FF2B5EF4-FFF2-40B4-BE49-F238E27FC236}">
                  <a16:creationId xmlns:a16="http://schemas.microsoft.com/office/drawing/2014/main" id="{00000000-0008-0000-0C00-00008A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54" name="Chart 153">
                <a:extLst>
                  <a:ext uri="{FF2B5EF4-FFF2-40B4-BE49-F238E27FC236}">
                    <a16:creationId xmlns:a16="http://schemas.microsoft.com/office/drawing/2014/main" id="{00000000-0008-0000-0C00-00009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graphicFrame macro="">
            <xdr:nvGraphicFramePr>
              <xdr:cNvPr id="155" name="Chart 154">
                <a:extLst>
                  <a:ext uri="{FF2B5EF4-FFF2-40B4-BE49-F238E27FC236}">
                    <a16:creationId xmlns:a16="http://schemas.microsoft.com/office/drawing/2014/main" id="{00000000-0008-0000-0C00-00009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</xdr:grp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C00-00008B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C00-00008C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C00-00008D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C00-00008E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43" name="TextBox 142">
              <a:extLst>
                <a:ext uri="{FF2B5EF4-FFF2-40B4-BE49-F238E27FC236}">
                  <a16:creationId xmlns:a16="http://schemas.microsoft.com/office/drawing/2014/main" id="{00000000-0008-0000-0C00-00008F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C00-000090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45" name="TextBox 144">
              <a:extLst>
                <a:ext uri="{FF2B5EF4-FFF2-40B4-BE49-F238E27FC236}">
                  <a16:creationId xmlns:a16="http://schemas.microsoft.com/office/drawing/2014/main" id="{00000000-0008-0000-0C00-000091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46" name="TextBox 145">
              <a:extLst>
                <a:ext uri="{FF2B5EF4-FFF2-40B4-BE49-F238E27FC236}">
                  <a16:creationId xmlns:a16="http://schemas.microsoft.com/office/drawing/2014/main" id="{00000000-0008-0000-0C00-000092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47" name="TextBox 146">
              <a:extLst>
                <a:ext uri="{FF2B5EF4-FFF2-40B4-BE49-F238E27FC236}">
                  <a16:creationId xmlns:a16="http://schemas.microsoft.com/office/drawing/2014/main" id="{00000000-0008-0000-0C00-000093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48" name="TextBox 147">
              <a:extLst>
                <a:ext uri="{FF2B5EF4-FFF2-40B4-BE49-F238E27FC236}">
                  <a16:creationId xmlns:a16="http://schemas.microsoft.com/office/drawing/2014/main" id="{00000000-0008-0000-0C00-000094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49" name="TextBox 148">
              <a:extLst>
                <a:ext uri="{FF2B5EF4-FFF2-40B4-BE49-F238E27FC236}">
                  <a16:creationId xmlns:a16="http://schemas.microsoft.com/office/drawing/2014/main" id="{00000000-0008-0000-0C00-000095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50" name="TextBox 149">
              <a:extLst>
                <a:ext uri="{FF2B5EF4-FFF2-40B4-BE49-F238E27FC236}">
                  <a16:creationId xmlns:a16="http://schemas.microsoft.com/office/drawing/2014/main" id="{00000000-0008-0000-0C00-000096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51" name="TextBox 150">
              <a:extLst>
                <a:ext uri="{FF2B5EF4-FFF2-40B4-BE49-F238E27FC236}">
                  <a16:creationId xmlns:a16="http://schemas.microsoft.com/office/drawing/2014/main" id="{00000000-0008-0000-0C00-000097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52" name="TextBox 151">
              <a:extLst>
                <a:ext uri="{FF2B5EF4-FFF2-40B4-BE49-F238E27FC236}">
                  <a16:creationId xmlns:a16="http://schemas.microsoft.com/office/drawing/2014/main" id="{00000000-0008-0000-0C00-000098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C00-000099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</xdr:grpSp>
    <xdr:clientData/>
  </xdr:twoCellAnchor>
  <xdr:twoCellAnchor>
    <xdr:from>
      <xdr:col>0</xdr:col>
      <xdr:colOff>7938</xdr:colOff>
      <xdr:row>1</xdr:row>
      <xdr:rowOff>23812</xdr:rowOff>
    </xdr:from>
    <xdr:to>
      <xdr:col>1</xdr:col>
      <xdr:colOff>579438</xdr:colOff>
      <xdr:row>1</xdr:row>
      <xdr:rowOff>714375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00000000-0008-0000-0C00-00009C000000}"/>
            </a:ext>
          </a:extLst>
        </xdr:cNvPr>
        <xdr:cNvSpPr/>
      </xdr:nvSpPr>
      <xdr:spPr>
        <a:xfrm>
          <a:off x="7938" y="642937"/>
          <a:ext cx="1381125" cy="69056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(since 7-May)</a:t>
          </a:r>
          <a:endParaRPr lang="en-US" sz="1400">
            <a:effectLst/>
          </a:endParaRPr>
        </a:p>
        <a:p>
          <a:pPr algn="ctr"/>
          <a:r>
            <a:rPr lang="en-US" sz="14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Total Gallons Used</a:t>
          </a:r>
        </a:p>
      </xdr:txBody>
    </xdr:sp>
    <xdr:clientData/>
  </xdr:twoCellAnchor>
  <xdr:twoCellAnchor>
    <xdr:from>
      <xdr:col>0</xdr:col>
      <xdr:colOff>0</xdr:colOff>
      <xdr:row>1</xdr:row>
      <xdr:rowOff>706438</xdr:rowOff>
    </xdr:from>
    <xdr:to>
      <xdr:col>1</xdr:col>
      <xdr:colOff>571500</xdr:colOff>
      <xdr:row>1</xdr:row>
      <xdr:rowOff>1063625</xdr:rowOff>
    </xdr:to>
    <xdr:sp macro="" textlink="$E$66">
      <xdr:nvSpPr>
        <xdr:cNvPr id="20" name="Rectangle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0" y="1325563"/>
          <a:ext cx="1381125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7B4E35-04AD-4412-953A-F0AA3FB4AF2B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pPr algn="ctr"/>
            <a:t>1,845</a:t>
          </a:fld>
          <a:endParaRPr lang="en-US" sz="2800" b="1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1343026</xdr:rowOff>
    </xdr:from>
    <xdr:to>
      <xdr:col>1</xdr:col>
      <xdr:colOff>571500</xdr:colOff>
      <xdr:row>2</xdr:row>
      <xdr:rowOff>192088</xdr:rowOff>
    </xdr:to>
    <xdr:sp macro="" textlink="$E$67">
      <xdr:nvSpPr>
        <xdr:cNvPr id="157" name="Rectangle 156">
          <a:extLst>
            <a:ext uri="{FF2B5EF4-FFF2-40B4-BE49-F238E27FC236}">
              <a16:creationId xmlns:a16="http://schemas.microsoft.com/office/drawing/2014/main" id="{00000000-0008-0000-0C00-00009D000000}"/>
            </a:ext>
          </a:extLst>
        </xdr:cNvPr>
        <xdr:cNvSpPr/>
      </xdr:nvSpPr>
      <xdr:spPr>
        <a:xfrm>
          <a:off x="0" y="1962151"/>
          <a:ext cx="1381125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A8BE80-614D-49BE-A4A1-74B33303A80B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pPr algn="ctr"/>
            <a:t>15:14</a:t>
          </a:fld>
          <a:endParaRPr lang="en-US" sz="3200" b="1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  <xdr:twoCellAnchor>
    <xdr:from>
      <xdr:col>0</xdr:col>
      <xdr:colOff>15875</xdr:colOff>
      <xdr:row>1</xdr:row>
      <xdr:rowOff>1143000</xdr:rowOff>
    </xdr:from>
    <xdr:to>
      <xdr:col>2</xdr:col>
      <xdr:colOff>0</xdr:colOff>
      <xdr:row>1</xdr:row>
      <xdr:rowOff>1381126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/>
      </xdr:nvSpPr>
      <xdr:spPr>
        <a:xfrm>
          <a:off x="15875" y="1762125"/>
          <a:ext cx="1381125" cy="23812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Total  Time Spent</a:t>
          </a:r>
          <a:endParaRPr lang="en-US" sz="1000" b="0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2</xdr:row>
      <xdr:rowOff>190501</xdr:rowOff>
    </xdr:from>
    <xdr:to>
      <xdr:col>1</xdr:col>
      <xdr:colOff>571500</xdr:colOff>
      <xdr:row>2</xdr:row>
      <xdr:rowOff>327027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0000000-0008-0000-0C00-00009F000000}"/>
            </a:ext>
          </a:extLst>
        </xdr:cNvPr>
        <xdr:cNvSpPr/>
      </xdr:nvSpPr>
      <xdr:spPr>
        <a:xfrm>
          <a:off x="0" y="2317751"/>
          <a:ext cx="1381125" cy="13652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HR:MM</a:t>
          </a:r>
          <a:endParaRPr lang="en-US" sz="1000" b="0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D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1FDCE16E-0040-41F9-B5C3-C517BDFF8A95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pPr algn="ctr"/>
            <a:t>75</a:t>
          </a:fld>
          <a:endParaRPr lang="en-US" sz="32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F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3181674-6B56-4A66-BF88-6F819AE3F08F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0</a:t>
          </a:fld>
          <a:endParaRPr lang="en-US" sz="72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H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5989564A-DBA1-47EB-99EC-B4C401F38756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30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J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99C03E25-A1C4-4F69-8D3D-7963C8CFF388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30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L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9A67E43E-9DFA-46E4-9213-9B121E4B7A20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22.5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N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5F3C6B32-DA45-4DC1-A7F4-7FEE61598660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22.5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P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D6282E3C-D900-4550-B78C-ECE062208A7D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75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R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324370C2-2BCD-4D35-90A1-374875C894F3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0</xdr:rowOff>
    </xdr:from>
    <xdr:to>
      <xdr:col>6</xdr:col>
      <xdr:colOff>353332</xdr:colOff>
      <xdr:row>5</xdr:row>
      <xdr:rowOff>13511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589965"/>
          <a:ext cx="3673842" cy="752092"/>
        </a:xfrm>
        <a:prstGeom prst="rect">
          <a:avLst/>
        </a:prstGeom>
      </xdr:spPr>
    </xdr:pic>
    <xdr:clientData/>
  </xdr:twoCellAnchor>
  <xdr:twoCellAnchor editAs="oneCell">
    <xdr:from>
      <xdr:col>15</xdr:col>
      <xdr:colOff>304801</xdr:colOff>
      <xdr:row>1</xdr:row>
      <xdr:rowOff>0</xdr:rowOff>
    </xdr:from>
    <xdr:to>
      <xdr:col>17</xdr:col>
      <xdr:colOff>19051</xdr:colOff>
      <xdr:row>6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964" y="589965"/>
          <a:ext cx="3704392" cy="80163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151251</xdr:rowOff>
    </xdr:from>
    <xdr:to>
      <xdr:col>14</xdr:col>
      <xdr:colOff>1809</xdr:colOff>
      <xdr:row>21</xdr:row>
      <xdr:rowOff>57728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179974</xdr:colOff>
      <xdr:row>7</xdr:row>
      <xdr:rowOff>145063</xdr:rowOff>
    </xdr:from>
    <xdr:ext cx="566475" cy="9534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1835151" y="1685276"/>
          <a:ext cx="566475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CL2 Target Range</a:t>
          </a:r>
        </a:p>
        <a:p>
          <a:pPr algn="ctr"/>
          <a:r>
            <a:rPr lang="en-US" sz="1100" i="1">
              <a:solidFill>
                <a:srgbClr val="FFFF00"/>
              </a:solidFill>
            </a:rPr>
            <a:t>0.5 to 5.0</a:t>
          </a:r>
        </a:p>
      </xdr:txBody>
    </xdr:sp>
    <xdr:clientData/>
  </xdr:oneCellAnchor>
  <xdr:oneCellAnchor>
    <xdr:from>
      <xdr:col>0</xdr:col>
      <xdr:colOff>0</xdr:colOff>
      <xdr:row>9</xdr:row>
      <xdr:rowOff>54543</xdr:rowOff>
    </xdr:from>
    <xdr:ext cx="69429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943668"/>
          <a:ext cx="6942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 b="1" i="1">
              <a:solidFill>
                <a:srgbClr val="FFC000"/>
              </a:solidFill>
            </a:rPr>
            <a:t>CL2</a:t>
          </a:r>
          <a:r>
            <a:rPr lang="en-US" sz="1100" b="1" i="1" baseline="0">
              <a:solidFill>
                <a:srgbClr val="FFC000"/>
              </a:solidFill>
            </a:rPr>
            <a:t> PPM</a:t>
          </a:r>
          <a:endParaRPr lang="en-US" sz="1100" b="1" i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395633</xdr:colOff>
      <xdr:row>21</xdr:row>
      <xdr:rowOff>53401</xdr:rowOff>
    </xdr:from>
    <xdr:ext cx="857287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5511157" y="4125394"/>
          <a:ext cx="8572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 b="1" i="1">
              <a:solidFill>
                <a:srgbClr val="FFC000"/>
              </a:solidFill>
            </a:rPr>
            <a:t>LOCATIONS</a:t>
          </a:r>
        </a:p>
      </xdr:txBody>
    </xdr:sp>
    <xdr:clientData/>
  </xdr:oneCellAnchor>
  <xdr:oneCellAnchor>
    <xdr:from>
      <xdr:col>3</xdr:col>
      <xdr:colOff>12785</xdr:colOff>
      <xdr:row>0</xdr:row>
      <xdr:rowOff>336678</xdr:rowOff>
    </xdr:from>
    <xdr:ext cx="5945134" cy="2988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569832" y="336678"/>
          <a:ext cx="59451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Chlorine Residual Readings</a:t>
          </a:r>
        </a:p>
      </xdr:txBody>
    </xdr:sp>
    <xdr:clientData/>
  </xdr:oneCellAnchor>
  <xdr:twoCellAnchor>
    <xdr:from>
      <xdr:col>0</xdr:col>
      <xdr:colOff>767114</xdr:colOff>
      <xdr:row>16</xdr:row>
      <xdr:rowOff>55402</xdr:rowOff>
    </xdr:from>
    <xdr:to>
      <xdr:col>13</xdr:col>
      <xdr:colOff>340940</xdr:colOff>
      <xdr:row>16</xdr:row>
      <xdr:rowOff>59663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CxnSpPr/>
      </xdr:nvCxnSpPr>
      <xdr:spPr>
        <a:xfrm>
          <a:off x="767114" y="3234664"/>
          <a:ext cx="10654363" cy="4261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770353</xdr:colOff>
      <xdr:row>4</xdr:row>
      <xdr:rowOff>143876</xdr:rowOff>
    </xdr:from>
    <xdr:to>
      <xdr:col>13</xdr:col>
      <xdr:colOff>344179</xdr:colOff>
      <xdr:row>4</xdr:row>
      <xdr:rowOff>148137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CxnSpPr/>
      </xdr:nvCxnSpPr>
      <xdr:spPr>
        <a:xfrm>
          <a:off x="770353" y="1124077"/>
          <a:ext cx="10654363" cy="4261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206071</xdr:colOff>
      <xdr:row>5</xdr:row>
      <xdr:rowOff>75841</xdr:rowOff>
    </xdr:from>
    <xdr:to>
      <xdr:col>14</xdr:col>
      <xdr:colOff>211295</xdr:colOff>
      <xdr:row>15</xdr:row>
      <xdr:rowOff>98787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CxnSpPr>
          <a:stCxn id="16" idx="2"/>
          <a:endCxn id="17" idx="0"/>
        </xdr:cNvCxnSpPr>
      </xdr:nvCxnSpPr>
      <xdr:spPr>
        <a:xfrm flipH="1">
          <a:off x="11861248" y="1246763"/>
          <a:ext cx="5224" cy="1869400"/>
        </a:xfrm>
        <a:prstGeom prst="straightConnector1">
          <a:avLst/>
        </a:prstGeom>
        <a:ln w="22225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375034</xdr:colOff>
      <xdr:row>4</xdr:row>
      <xdr:rowOff>55403</xdr:rowOff>
    </xdr:from>
    <xdr:to>
      <xdr:col>14</xdr:col>
      <xdr:colOff>8524</xdr:colOff>
      <xdr:row>5</xdr:row>
      <xdr:rowOff>34094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1455571" y="1035604"/>
          <a:ext cx="225872" cy="161946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378272</xdr:colOff>
      <xdr:row>15</xdr:row>
      <xdr:rowOff>156661</xdr:rowOff>
    </xdr:from>
    <xdr:to>
      <xdr:col>14</xdr:col>
      <xdr:colOff>11762</xdr:colOff>
      <xdr:row>16</xdr:row>
      <xdr:rowOff>135352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1458809" y="3152668"/>
          <a:ext cx="225872" cy="161946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13</xdr:col>
      <xdr:colOff>518021</xdr:colOff>
      <xdr:row>3</xdr:row>
      <xdr:rowOff>180572</xdr:rowOff>
    </xdr:from>
    <xdr:ext cx="56647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11583234" y="982203"/>
          <a:ext cx="566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MAX</a:t>
          </a:r>
        </a:p>
      </xdr:txBody>
    </xdr:sp>
    <xdr:clientData/>
  </xdr:oneCellAnchor>
  <xdr:oneCellAnchor>
    <xdr:from>
      <xdr:col>13</xdr:col>
      <xdr:colOff>512797</xdr:colOff>
      <xdr:row>15</xdr:row>
      <xdr:rowOff>98787</xdr:rowOff>
    </xdr:from>
    <xdr:ext cx="566475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11578010" y="3116163"/>
          <a:ext cx="566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MIN</a:t>
          </a: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86762</xdr:rowOff>
    </xdr:from>
    <xdr:to>
      <xdr:col>7</xdr:col>
      <xdr:colOff>51955</xdr:colOff>
      <xdr:row>66</xdr:row>
      <xdr:rowOff>104310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55" y="4156535"/>
          <a:ext cx="7377545" cy="97330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3:L48" totalsRowShown="0" headerRowDxfId="88" dataDxfId="86" headerRowBorderDxfId="87" tableBorderDxfId="85" totalsRowBorderDxfId="84">
  <autoFilter ref="A3:L48" xr:uid="{00000000-0009-0000-0100-000002000000}"/>
  <tableColumns count="12">
    <tableColumn id="1" xr3:uid="{00000000-0010-0000-0000-000001000000}" name="Priority" dataDxfId="83">
      <calculatedColumnFormula>SUM(A3)+1</calculatedColumnFormula>
    </tableColumn>
    <tableColumn id="3" xr3:uid="{00000000-0010-0000-0000-000003000000}" name="Project or WT Number" dataDxfId="82"/>
    <tableColumn id="4" xr3:uid="{00000000-0010-0000-0000-000004000000}" name="Project Title/Scope" dataDxfId="81"/>
    <tableColumn id="5" xr3:uid="{00000000-0010-0000-0000-000005000000}" name="Site" dataDxfId="80"/>
    <tableColumn id="6" xr3:uid="{00000000-0010-0000-0000-000006000000}" name="Agent" dataDxfId="79"/>
    <tableColumn id="9" xr3:uid="{00000000-0010-0000-0000-000009000000}" name="Current _x000a_Cost_x000a_$K" dataDxfId="78"/>
    <tableColumn id="10" xr3:uid="{00000000-0010-0000-0000-00000A000000}" name="Start Date" dataDxfId="77"/>
    <tableColumn id="11" xr3:uid="{00000000-0010-0000-0000-00000B000000}" name="Original Compl" dataDxfId="76"/>
    <tableColumn id="12" xr3:uid="{00000000-0010-0000-0000-00000C000000}" name="Est_x000a_ Compl" dataDxfId="75"/>
    <tableColumn id="13" xr3:uid="{00000000-0010-0000-0000-00000D000000}" name="% _x000a_Compl Sched" dataDxfId="74"/>
    <tableColumn id="14" xr3:uid="{00000000-0010-0000-0000-00000E000000}" name="% _x000a_Compl Actual" dataDxfId="73"/>
    <tableColumn id="15" xr3:uid="{00000000-0010-0000-0000-00000F000000}" name="Remarks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3:L11" totalsRowShown="0" headerRowDxfId="71" dataDxfId="69" headerRowBorderDxfId="70" tableBorderDxfId="68" totalsRowBorderDxfId="67">
  <autoFilter ref="A3:L11" xr:uid="{00000000-0009-0000-0100-000001000000}"/>
  <tableColumns count="12">
    <tableColumn id="1" xr3:uid="{00000000-0010-0000-0100-000001000000}" name="Priority" dataDxfId="66">
      <calculatedColumnFormula>SUM(A3)+1</calculatedColumnFormula>
    </tableColumn>
    <tableColumn id="3" xr3:uid="{00000000-0010-0000-0100-000003000000}" name="Project or WT Number" dataDxfId="65"/>
    <tableColumn id="4" xr3:uid="{00000000-0010-0000-0100-000004000000}" name="Project Title/Scope" dataDxfId="64"/>
    <tableColumn id="5" xr3:uid="{00000000-0010-0000-0100-000005000000}" name="Site" dataDxfId="63"/>
    <tableColumn id="6" xr3:uid="{00000000-0010-0000-0100-000006000000}" name="Agent" dataDxfId="62"/>
    <tableColumn id="9" xr3:uid="{00000000-0010-0000-0100-000009000000}" name="Current _x000a_Cost_x000a_$K" dataDxfId="61"/>
    <tableColumn id="10" xr3:uid="{00000000-0010-0000-0100-00000A000000}" name="Start Date" dataDxfId="60"/>
    <tableColumn id="11" xr3:uid="{00000000-0010-0000-0100-00000B000000}" name="Original Compl" dataDxfId="59"/>
    <tableColumn id="12" xr3:uid="{00000000-0010-0000-0100-00000C000000}" name="Est_x000a_ Compl" dataDxfId="58"/>
    <tableColumn id="13" xr3:uid="{00000000-0010-0000-0100-00000D000000}" name="% _x000a_Compl Sched" dataDxfId="57"/>
    <tableColumn id="14" xr3:uid="{00000000-0010-0000-0100-00000E000000}" name="% _x000a_Compl Actual" dataDxfId="56"/>
    <tableColumn id="15" xr3:uid="{00000000-0010-0000-0100-00000F000000}" name="Remarks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4" displayName="Table14" ref="A3:K29" totalsRowShown="0" headerRowDxfId="54" dataDxfId="52" headerRowBorderDxfId="53" tableBorderDxfId="51" totalsRowBorderDxfId="50">
  <autoFilter ref="A3:K29" xr:uid="{00000000-0009-0000-0100-000003000000}"/>
  <tableColumns count="11">
    <tableColumn id="1" xr3:uid="{00000000-0010-0000-0200-000001000000}" name="Priority" dataDxfId="49">
      <calculatedColumnFormula>SUM(A3)+1</calculatedColumnFormula>
    </tableColumn>
    <tableColumn id="3" xr3:uid="{00000000-0010-0000-0200-000003000000}" name="Project or WT Number" dataDxfId="48"/>
    <tableColumn id="4" xr3:uid="{00000000-0010-0000-0200-000004000000}" name="Project Title/Scope" dataDxfId="47"/>
    <tableColumn id="5" xr3:uid="{00000000-0010-0000-0200-000005000000}" name="Site" dataDxfId="46"/>
    <tableColumn id="6" xr3:uid="{00000000-0010-0000-0200-000006000000}" name="Agent" dataDxfId="45"/>
    <tableColumn id="9" xr3:uid="{00000000-0010-0000-0200-000009000000}" name="Current _x000a_Cost_x000a_$K" dataDxfId="44"/>
    <tableColumn id="10" xr3:uid="{00000000-0010-0000-0200-00000A000000}" name="Est Const_x000a_Length_x000a_(days)" dataDxfId="43"/>
    <tableColumn id="11" xr3:uid="{00000000-0010-0000-0200-00000B000000}" name="Est Const_x000a_Start_x000a_Date" dataDxfId="42"/>
    <tableColumn id="12" xr3:uid="{00000000-0010-0000-0200-00000C000000}" name="Est Const_x000a_ Compl_x000a_Date" dataDxfId="41">
      <calculatedColumnFormula>Table14[[#This Row],[Est Const
Start
Date]]+Table14[[#This Row],[Est Const
Length
(days)]]</calculatedColumnFormula>
    </tableColumn>
    <tableColumn id="13" xr3:uid="{00000000-0010-0000-0200-00000D000000}" name="Planning_x000a_% _x000a_Compl" dataDxfId="40"/>
    <tableColumn id="15" xr3:uid="{00000000-0010-0000-0200-00000F000000}" name="Remarks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5" displayName="Table15" ref="A6:D296" totalsRowShown="0">
  <autoFilter ref="A6:D296" xr:uid="{00000000-0009-0000-0100-000004000000}">
    <filterColumn colId="3">
      <filters>
        <filter val="CE FUELS &amp; PLUMBING OFFICE/ LSA"/>
        <filter val="CE PLUMBING FIELD / LSA"/>
        <filter val="CE PLUMBING FIELD COLUMN #1/ LSA"/>
        <filter val="CE PLUMBING FIELD COLUMN #2/ LSA"/>
        <filter val="CE PLUMBING FIELD COLUMN #3/ LSA"/>
        <filter val="CE PLUMBING FIELD COLUMN #4/ LSA"/>
        <filter val="CE PLUMBING FIELD MIDDLE ROW #1/ LSA"/>
        <filter val="CE PLUMBING FIELD MIDDLE ROW #2/ LSA"/>
        <filter val="CE PLUMBING FIELD ROW #1/ LSA"/>
        <filter val="CE PLUMBING FIELD ROW #2/ LSA"/>
        <filter val="CE PLUMBING FIELD ROW #3/ LSA"/>
        <filter val="CE PLUMBING FIELD ROW #4/ LSA"/>
        <filter val="CE PLUMBING FIELD ROW #5/ LSA"/>
        <filter val="CE PLUMBING FIELD ROW #6/ LSA"/>
        <filter val="CE PLUMBING FIELD ROW #7/ LSA"/>
        <filter val="CE PLUMBING FIELD/ LSA"/>
        <filter val="CE PLUMBING SHOP WALL/ LSA"/>
      </filters>
    </filterColumn>
  </autoFilter>
  <sortState xmlns:xlrd2="http://schemas.microsoft.com/office/spreadsheetml/2017/richdata2" ref="A3:D318">
    <sortCondition sortBy="cellColor" ref="C1:C317" dxfId="38"/>
  </sortState>
  <tableColumns count="4">
    <tableColumn id="1" xr3:uid="{00000000-0010-0000-0300-000001000000}" name="Container Number"/>
    <tableColumn id="2" xr3:uid="{00000000-0010-0000-0300-000002000000}" name="Size/Type"/>
    <tableColumn id="3" xr3:uid="{00000000-0010-0000-0300-000003000000}" name="Status"/>
    <tableColumn id="4" xr3:uid="{00000000-0010-0000-0300-000004000000}" name="Last Reported By LR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ames.silcott@psab.afcent.af.mi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d.docs.live.net/3.%20RA" TargetMode="External"/><Relationship Id="rId1" Type="http://schemas.openxmlformats.org/officeDocument/2006/relationships/hyperlink" Target="https://d.docs.live.net/3.%20RA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.docs.live.net/c584b68247cd7a7f/Desktop/Projects/OPS%20Town%20-%20Porta%20Cooler%20Layout.pptx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>
    <pageSetUpPr fitToPage="1"/>
  </sheetPr>
  <dimension ref="A1:AP430"/>
  <sheetViews>
    <sheetView zoomScale="204" zoomScaleNormal="204" zoomScaleSheetLayoutView="115" workbookViewId="0">
      <selection activeCell="D10" sqref="D10"/>
    </sheetView>
  </sheetViews>
  <sheetFormatPr defaultRowHeight="15"/>
  <cols>
    <col min="1" max="1" width="0.85546875" customWidth="1"/>
    <col min="2" max="2" width="35.7109375" customWidth="1"/>
    <col min="3" max="3" width="0.85546875" customWidth="1"/>
    <col min="4" max="4" width="35.7109375" customWidth="1"/>
    <col min="5" max="5" width="0.85546875" customWidth="1"/>
    <col min="6" max="6" width="35.7109375" customWidth="1"/>
    <col min="7" max="7" width="0.85546875" customWidth="1"/>
    <col min="8" max="8" width="0.42578125" customWidth="1"/>
    <col min="9" max="9" width="17.7109375" customWidth="1"/>
    <col min="11" max="11" width="3.7109375" customWidth="1"/>
    <col min="14" max="42" width="8.7109375" style="247"/>
  </cols>
  <sheetData>
    <row r="1" spans="1:13" ht="3.95" customHeight="1">
      <c r="A1" s="267"/>
      <c r="B1" s="6"/>
      <c r="C1" s="6"/>
      <c r="D1" s="6"/>
      <c r="E1" s="6"/>
      <c r="F1" s="6"/>
      <c r="G1" s="6"/>
      <c r="H1" s="247"/>
      <c r="I1" s="247"/>
      <c r="J1" s="247"/>
      <c r="K1" s="247"/>
      <c r="L1" s="247"/>
      <c r="M1" s="247"/>
    </row>
    <row r="2" spans="1:13" ht="32.1" customHeight="1">
      <c r="A2" s="6"/>
      <c r="B2" s="572" t="s">
        <v>2150</v>
      </c>
      <c r="C2" s="572"/>
      <c r="D2" s="572"/>
      <c r="E2" s="572"/>
      <c r="F2" s="572"/>
      <c r="G2" s="6"/>
      <c r="H2" s="247"/>
      <c r="I2" s="263" t="s">
        <v>2</v>
      </c>
      <c r="J2" s="247"/>
      <c r="K2" s="247"/>
      <c r="L2" s="247"/>
      <c r="M2" s="247"/>
    </row>
    <row r="3" spans="1:13" ht="3.95" customHeight="1">
      <c r="A3" s="6"/>
      <c r="B3" s="6"/>
      <c r="C3" s="6"/>
      <c r="D3" s="6"/>
      <c r="E3" s="6"/>
      <c r="F3" s="6"/>
      <c r="G3" s="6"/>
      <c r="H3" s="247"/>
      <c r="I3" s="263"/>
      <c r="J3" s="247"/>
      <c r="K3" s="247"/>
      <c r="L3" s="247"/>
      <c r="M3" s="247"/>
    </row>
    <row r="4" spans="1:13" ht="23.45" customHeight="1">
      <c r="A4" s="6"/>
      <c r="B4" s="249" t="s">
        <v>1069</v>
      </c>
      <c r="C4" s="248"/>
      <c r="D4" s="257" t="s">
        <v>462</v>
      </c>
      <c r="E4" s="248"/>
      <c r="F4" s="271" t="s">
        <v>1055</v>
      </c>
      <c r="G4" s="6"/>
      <c r="H4" s="247"/>
      <c r="I4" s="263"/>
      <c r="J4" s="247"/>
      <c r="K4" s="247"/>
      <c r="L4" s="247"/>
      <c r="M4" s="247"/>
    </row>
    <row r="5" spans="1:13" ht="3.95" customHeight="1">
      <c r="A5" s="6"/>
      <c r="B5" s="248"/>
      <c r="C5" s="248"/>
      <c r="D5" s="248"/>
      <c r="E5" s="248"/>
      <c r="F5" s="248"/>
      <c r="G5" s="6"/>
      <c r="H5" s="247"/>
      <c r="I5" s="263"/>
      <c r="J5" s="247"/>
      <c r="K5" s="247"/>
      <c r="L5" s="247"/>
      <c r="M5" s="247"/>
    </row>
    <row r="6" spans="1:13" ht="23.45" customHeight="1">
      <c r="A6" s="6"/>
      <c r="B6" s="250" t="s">
        <v>1070</v>
      </c>
      <c r="C6" s="248"/>
      <c r="D6" s="262" t="s">
        <v>463</v>
      </c>
      <c r="E6" s="248"/>
      <c r="F6" s="272" t="s">
        <v>1064</v>
      </c>
      <c r="G6" s="6"/>
      <c r="H6" s="247"/>
      <c r="I6" s="263"/>
      <c r="J6" s="247"/>
      <c r="K6" s="247"/>
      <c r="L6" s="247"/>
      <c r="M6" s="247"/>
    </row>
    <row r="7" spans="1:13" ht="3.95" customHeight="1" thickBot="1">
      <c r="A7" s="6"/>
      <c r="B7" s="248"/>
      <c r="C7" s="248"/>
      <c r="D7" s="248"/>
      <c r="E7" s="248"/>
      <c r="F7" s="248"/>
      <c r="G7" s="6"/>
      <c r="H7" s="247"/>
      <c r="I7" s="247"/>
      <c r="J7" s="247"/>
      <c r="K7" s="247"/>
      <c r="L7" s="247"/>
      <c r="M7" s="247"/>
    </row>
    <row r="8" spans="1:13" ht="23.45" customHeight="1">
      <c r="A8" s="6"/>
      <c r="B8" s="251" t="s">
        <v>1071</v>
      </c>
      <c r="C8" s="248"/>
      <c r="D8" s="264" t="s">
        <v>459</v>
      </c>
      <c r="E8" s="248"/>
      <c r="F8" s="273" t="s">
        <v>1065</v>
      </c>
      <c r="G8" s="6"/>
      <c r="H8" s="247"/>
      <c r="I8" s="573" t="s">
        <v>1073</v>
      </c>
      <c r="J8" s="247"/>
      <c r="K8" s="247"/>
      <c r="L8" s="247"/>
      <c r="M8" s="247"/>
    </row>
    <row r="9" spans="1:13" ht="3.95" customHeight="1">
      <c r="A9" s="6"/>
      <c r="B9" s="248"/>
      <c r="C9" s="248"/>
      <c r="D9" s="248"/>
      <c r="E9" s="248"/>
      <c r="F9" s="248"/>
      <c r="G9" s="6"/>
      <c r="H9" s="247"/>
      <c r="I9" s="574"/>
      <c r="J9" s="247"/>
      <c r="K9" s="247"/>
      <c r="L9" s="247"/>
      <c r="M9" s="247"/>
    </row>
    <row r="10" spans="1:13" ht="23.45" customHeight="1">
      <c r="A10" s="6"/>
      <c r="B10" s="252" t="s">
        <v>1915</v>
      </c>
      <c r="C10" s="248"/>
      <c r="D10" s="266" t="s">
        <v>464</v>
      </c>
      <c r="E10" s="248"/>
      <c r="F10" s="274" t="s">
        <v>1066</v>
      </c>
      <c r="G10" s="6"/>
      <c r="H10" s="247"/>
      <c r="I10" s="574"/>
      <c r="J10" s="247"/>
      <c r="K10" s="247"/>
      <c r="L10" s="247"/>
      <c r="M10" s="247"/>
    </row>
    <row r="11" spans="1:13" ht="3.95" customHeight="1">
      <c r="A11" s="6"/>
      <c r="B11" s="248"/>
      <c r="C11" s="248"/>
      <c r="D11" s="248"/>
      <c r="E11" s="248"/>
      <c r="F11" s="248"/>
      <c r="G11" s="6"/>
      <c r="H11" s="247"/>
      <c r="I11" s="574"/>
      <c r="J11" s="247"/>
      <c r="K11" s="247"/>
      <c r="L11" s="247"/>
      <c r="M11" s="247"/>
    </row>
    <row r="12" spans="1:13" ht="23.45" customHeight="1" thickBot="1">
      <c r="A12" s="6"/>
      <c r="B12" s="253" t="s">
        <v>1072</v>
      </c>
      <c r="C12" s="248"/>
      <c r="D12" s="268" t="s">
        <v>997</v>
      </c>
      <c r="E12" s="248"/>
      <c r="F12" s="275" t="s">
        <v>941</v>
      </c>
      <c r="G12" s="6"/>
      <c r="H12" s="247"/>
      <c r="I12" s="575"/>
      <c r="J12" s="247"/>
      <c r="K12" s="247"/>
      <c r="L12" s="247"/>
      <c r="M12" s="247"/>
    </row>
    <row r="13" spans="1:13" ht="3.95" customHeight="1" thickBot="1">
      <c r="A13" s="6"/>
      <c r="B13" s="248"/>
      <c r="C13" s="248"/>
      <c r="D13" s="248"/>
      <c r="E13" s="248"/>
      <c r="F13" s="248"/>
      <c r="G13" s="6"/>
      <c r="H13" s="247"/>
      <c r="I13" s="247"/>
      <c r="J13" s="247"/>
      <c r="K13" s="247"/>
      <c r="L13" s="247"/>
      <c r="M13" s="247"/>
    </row>
    <row r="14" spans="1:13" ht="23.45" customHeight="1">
      <c r="A14" s="6"/>
      <c r="B14" s="254" t="s">
        <v>460</v>
      </c>
      <c r="C14" s="248"/>
      <c r="D14" s="269" t="s">
        <v>1068</v>
      </c>
      <c r="E14" s="248"/>
      <c r="F14" s="276" t="s">
        <v>1067</v>
      </c>
      <c r="G14" s="6"/>
      <c r="H14" s="247"/>
      <c r="I14" s="576" t="s">
        <v>468</v>
      </c>
      <c r="J14" s="247"/>
      <c r="K14" s="247"/>
      <c r="L14" s="247"/>
      <c r="M14" s="247"/>
    </row>
    <row r="15" spans="1:13" ht="3.95" customHeight="1">
      <c r="A15" s="6"/>
      <c r="B15" s="248"/>
      <c r="C15" s="248"/>
      <c r="D15" s="248"/>
      <c r="E15" s="248"/>
      <c r="F15" s="248"/>
      <c r="G15" s="6"/>
      <c r="H15" s="247"/>
      <c r="I15" s="577"/>
      <c r="J15" s="247"/>
      <c r="K15" s="247"/>
      <c r="L15" s="247"/>
      <c r="M15" s="247"/>
    </row>
    <row r="16" spans="1:13" ht="23.45" customHeight="1" thickBot="1">
      <c r="A16" s="6"/>
      <c r="B16" s="255" t="s">
        <v>461</v>
      </c>
      <c r="C16" s="248"/>
      <c r="D16" s="270" t="s">
        <v>465</v>
      </c>
      <c r="E16" s="248"/>
      <c r="F16" s="279" t="s">
        <v>467</v>
      </c>
      <c r="G16" s="6"/>
      <c r="H16" s="247"/>
      <c r="I16" s="578"/>
      <c r="J16" s="247"/>
      <c r="K16" s="247"/>
      <c r="L16" s="247"/>
      <c r="M16" s="247"/>
    </row>
    <row r="17" spans="1:13" ht="3.95" customHeight="1">
      <c r="A17" s="6"/>
      <c r="B17" s="6"/>
      <c r="C17" s="6"/>
      <c r="D17" s="6"/>
      <c r="E17" s="6"/>
      <c r="F17" s="6"/>
      <c r="G17" s="6"/>
      <c r="H17" s="247"/>
      <c r="I17" s="247"/>
      <c r="J17" s="247"/>
      <c r="K17" s="247"/>
      <c r="L17" s="247"/>
      <c r="M17" s="247"/>
    </row>
    <row r="18" spans="1:13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</row>
    <row r="19" spans="1:13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</row>
    <row r="20" spans="1:13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</row>
    <row r="21" spans="1:13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</row>
    <row r="22" spans="1:13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</row>
    <row r="23" spans="1:13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</row>
    <row r="24" spans="1:13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</row>
    <row r="25" spans="1:13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</row>
    <row r="26" spans="1:13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</row>
    <row r="27" spans="1:13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</row>
    <row r="28" spans="1:13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</row>
    <row r="29" spans="1:13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</row>
    <row r="30" spans="1:13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</row>
    <row r="31" spans="1:13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</row>
    <row r="32" spans="1:13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</row>
    <row r="33" spans="1:13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</row>
    <row r="34" spans="1:13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</row>
    <row r="35" spans="1:13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</row>
    <row r="36" spans="1:13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</row>
    <row r="37" spans="1:13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</row>
    <row r="38" spans="1:13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</row>
    <row r="39" spans="1:13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</row>
    <row r="40" spans="1:13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</row>
    <row r="41" spans="1:13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</row>
    <row r="42" spans="1:13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</row>
    <row r="43" spans="1:13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</row>
    <row r="44" spans="1:13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</row>
    <row r="45" spans="1:13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</row>
    <row r="46" spans="1:13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</row>
    <row r="47" spans="1:13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</row>
    <row r="48" spans="1:13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</row>
    <row r="49" spans="1:13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</row>
    <row r="50" spans="1:13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</row>
    <row r="51" spans="1:13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</row>
    <row r="52" spans="1:13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</row>
    <row r="53" spans="1:13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</row>
    <row r="54" spans="1:13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</row>
    <row r="55" spans="1:13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</row>
    <row r="56" spans="1:13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</row>
    <row r="57" spans="1:13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</row>
    <row r="58" spans="1:13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</row>
    <row r="59" spans="1:13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</row>
    <row r="60" spans="1:13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</row>
    <row r="61" spans="1:13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</row>
    <row r="62" spans="1:13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</row>
    <row r="63" spans="1:13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</row>
    <row r="64" spans="1:13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</row>
    <row r="65" spans="1:13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</row>
    <row r="66" spans="1:13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</row>
    <row r="67" spans="1:13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</row>
    <row r="68" spans="1:13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</row>
    <row r="69" spans="1:13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</row>
    <row r="70" spans="1:13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</row>
    <row r="71" spans="1:13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</row>
    <row r="72" spans="1:13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</row>
    <row r="73" spans="1:13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</row>
    <row r="74" spans="1:13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</row>
    <row r="75" spans="1:13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</row>
    <row r="76" spans="1:13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</row>
    <row r="77" spans="1:13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</row>
    <row r="78" spans="1:13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</row>
    <row r="79" spans="1:13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</row>
    <row r="80" spans="1:13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</row>
    <row r="81" spans="1:13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</row>
    <row r="82" spans="1:13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</row>
    <row r="83" spans="1:13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</row>
    <row r="84" spans="1:13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</row>
    <row r="85" spans="1:13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</row>
    <row r="86" spans="1:13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</row>
    <row r="87" spans="1:13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</row>
    <row r="88" spans="1:13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</row>
    <row r="89" spans="1:13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</row>
    <row r="90" spans="1:13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</row>
    <row r="91" spans="1:13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</row>
    <row r="92" spans="1:13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</row>
    <row r="93" spans="1:13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</row>
    <row r="94" spans="1:13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</row>
    <row r="95" spans="1:13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</row>
    <row r="96" spans="1:13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</row>
    <row r="97" spans="1:13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</row>
    <row r="98" spans="1:13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</row>
    <row r="99" spans="1:13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</row>
    <row r="100" spans="1:13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</row>
    <row r="101" spans="1:13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</row>
    <row r="102" spans="1:13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</row>
    <row r="103" spans="1:13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</row>
    <row r="104" spans="1:13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</row>
    <row r="105" spans="1:13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</row>
    <row r="106" spans="1:13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</row>
    <row r="107" spans="1:13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</row>
    <row r="108" spans="1:13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</row>
    <row r="109" spans="1:13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</row>
    <row r="110" spans="1:13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</row>
    <row r="111" spans="1:13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</row>
    <row r="112" spans="1:13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</row>
    <row r="113" spans="1:13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</row>
    <row r="114" spans="1:13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</row>
    <row r="115" spans="1:13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</row>
    <row r="116" spans="1:13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</row>
    <row r="117" spans="1:13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</row>
    <row r="118" spans="1:13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</row>
    <row r="119" spans="1:13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</row>
    <row r="120" spans="1:13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</row>
    <row r="121" spans="1:13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</row>
    <row r="122" spans="1:13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</row>
    <row r="123" spans="1:13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</row>
    <row r="124" spans="1:13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</row>
    <row r="125" spans="1:13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</row>
    <row r="126" spans="1:13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</row>
    <row r="127" spans="1:13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</row>
    <row r="128" spans="1:13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</row>
    <row r="129" spans="1:13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</row>
    <row r="130" spans="1:13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</row>
    <row r="131" spans="1:13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</row>
    <row r="132" spans="1:13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</row>
    <row r="133" spans="1:13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</row>
    <row r="134" spans="1:13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</row>
    <row r="135" spans="1:13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</row>
    <row r="136" spans="1:13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</row>
    <row r="137" spans="1:13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</row>
    <row r="138" spans="1:13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</row>
    <row r="139" spans="1:13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</row>
    <row r="140" spans="1:13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</row>
    <row r="141" spans="1:13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</row>
    <row r="142" spans="1:13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</row>
    <row r="143" spans="1:13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</row>
    <row r="144" spans="1:13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</row>
    <row r="145" spans="1:13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</row>
    <row r="146" spans="1:13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</row>
    <row r="147" spans="1:13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</row>
    <row r="148" spans="1:13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</row>
    <row r="149" spans="1:13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</row>
    <row r="150" spans="1:13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</row>
    <row r="151" spans="1:13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</row>
    <row r="152" spans="1:13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</row>
    <row r="153" spans="1:13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</row>
    <row r="154" spans="1:13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</row>
    <row r="155" spans="1:13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</row>
    <row r="156" spans="1:13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</row>
    <row r="157" spans="1:13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</row>
    <row r="158" spans="1:13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</row>
    <row r="159" spans="1:13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</row>
    <row r="160" spans="1:13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</row>
    <row r="161" spans="1:13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</row>
    <row r="162" spans="1:13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</row>
    <row r="163" spans="1:13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</row>
    <row r="164" spans="1:13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</row>
    <row r="165" spans="1:13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</row>
    <row r="166" spans="1:13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</row>
    <row r="167" spans="1:13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</row>
    <row r="168" spans="1:13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</row>
    <row r="169" spans="1:13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</row>
    <row r="170" spans="1:13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</row>
    <row r="171" spans="1:13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</row>
    <row r="172" spans="1:13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</row>
    <row r="173" spans="1:13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</row>
    <row r="174" spans="1:13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</row>
    <row r="175" spans="1:13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</row>
    <row r="176" spans="1:13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</row>
    <row r="177" spans="1:13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</row>
    <row r="178" spans="1:13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</row>
    <row r="179" spans="1:13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</row>
    <row r="180" spans="1:13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</row>
    <row r="181" spans="1:13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</row>
    <row r="182" spans="1:13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</row>
    <row r="183" spans="1:13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</row>
    <row r="184" spans="1:13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</row>
    <row r="185" spans="1:13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</row>
    <row r="186" spans="1:13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</row>
    <row r="187" spans="1:13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</row>
    <row r="188" spans="1:13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</row>
    <row r="189" spans="1:13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</row>
    <row r="190" spans="1:13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</row>
    <row r="191" spans="1:13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</row>
    <row r="192" spans="1:13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</row>
    <row r="193" spans="1:13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</row>
    <row r="194" spans="1:13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</row>
    <row r="195" spans="1:13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</row>
    <row r="196" spans="1:13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</row>
    <row r="197" spans="1:13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</row>
    <row r="198" spans="1:13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</row>
    <row r="199" spans="1:13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</row>
    <row r="200" spans="1:13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</row>
    <row r="201" spans="1:13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</row>
    <row r="202" spans="1:13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</row>
    <row r="203" spans="1:13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</row>
    <row r="204" spans="1:13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</row>
    <row r="205" spans="1:13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</row>
    <row r="206" spans="1:13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</row>
    <row r="207" spans="1:13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</row>
    <row r="208" spans="1:13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</row>
    <row r="209" spans="1:13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</row>
    <row r="210" spans="1:13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</row>
    <row r="211" spans="1:13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</row>
    <row r="212" spans="1:13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</row>
    <row r="213" spans="1:13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</row>
    <row r="214" spans="1:13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</row>
    <row r="215" spans="1:13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</row>
    <row r="216" spans="1:13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</row>
    <row r="217" spans="1:13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</row>
    <row r="218" spans="1:13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</row>
    <row r="219" spans="1:13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</row>
    <row r="220" spans="1:13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</row>
    <row r="221" spans="1:13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</row>
    <row r="222" spans="1:13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</row>
    <row r="223" spans="1:13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</row>
    <row r="224" spans="1:13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</row>
    <row r="225" spans="1:13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</row>
    <row r="226" spans="1:13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</row>
    <row r="227" spans="1:13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</row>
    <row r="228" spans="1:13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</row>
    <row r="229" spans="1:13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</row>
    <row r="230" spans="1:13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</row>
    <row r="231" spans="1:13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</row>
    <row r="232" spans="1:13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</row>
    <row r="233" spans="1:13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</row>
    <row r="234" spans="1:13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</row>
    <row r="235" spans="1:13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</row>
    <row r="236" spans="1:13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</row>
    <row r="237" spans="1:13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</row>
    <row r="238" spans="1:13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</row>
    <row r="239" spans="1:13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</row>
    <row r="240" spans="1:13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</row>
    <row r="241" spans="1:13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</row>
    <row r="242" spans="1:13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</row>
    <row r="243" spans="1:13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</row>
    <row r="244" spans="1:13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</row>
    <row r="245" spans="1:13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</row>
    <row r="246" spans="1:13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</row>
    <row r="247" spans="1:13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</row>
    <row r="248" spans="1:13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</row>
    <row r="249" spans="1:13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</row>
    <row r="250" spans="1:13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</row>
    <row r="251" spans="1:13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</row>
    <row r="252" spans="1:13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</row>
    <row r="253" spans="1:13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</row>
    <row r="254" spans="1:13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</row>
    <row r="255" spans="1:13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</row>
    <row r="256" spans="1:13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</row>
    <row r="257" spans="1:13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</row>
    <row r="258" spans="1:13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</row>
    <row r="259" spans="1:13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</row>
    <row r="260" spans="1:13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</row>
    <row r="261" spans="1:13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</row>
    <row r="262" spans="1:13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</row>
    <row r="263" spans="1:13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</row>
    <row r="264" spans="1:13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</row>
    <row r="265" spans="1:13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</row>
    <row r="266" spans="1:13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</row>
    <row r="267" spans="1:13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</row>
    <row r="268" spans="1:13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</row>
    <row r="269" spans="1:13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</row>
    <row r="270" spans="1:13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</row>
    <row r="271" spans="1:13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</row>
    <row r="272" spans="1:13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</row>
    <row r="273" spans="1:13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</row>
    <row r="274" spans="1:13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</row>
    <row r="275" spans="1:13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</row>
    <row r="276" spans="1:13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</row>
    <row r="277" spans="1:13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</row>
    <row r="278" spans="1:13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</row>
    <row r="279" spans="1:13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</row>
    <row r="280" spans="1:13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</row>
    <row r="281" spans="1:13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</row>
    <row r="282" spans="1:13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</row>
    <row r="283" spans="1:13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</row>
    <row r="284" spans="1:13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</row>
    <row r="285" spans="1:13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</row>
    <row r="286" spans="1:13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</row>
    <row r="287" spans="1:13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</row>
    <row r="288" spans="1:13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</row>
    <row r="289" spans="1:13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</row>
    <row r="290" spans="1:13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</row>
    <row r="291" spans="1:13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</row>
    <row r="292" spans="1:13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</row>
    <row r="293" spans="1:13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</row>
    <row r="294" spans="1:13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</row>
    <row r="295" spans="1:13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</row>
    <row r="296" spans="1:13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</row>
    <row r="297" spans="1:13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</row>
    <row r="298" spans="1:13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</row>
    <row r="299" spans="1:13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</row>
    <row r="300" spans="1:13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</row>
    <row r="301" spans="1:13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</row>
    <row r="302" spans="1:13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</row>
    <row r="303" spans="1:13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</row>
    <row r="304" spans="1:13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</row>
    <row r="305" spans="1:13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</row>
    <row r="306" spans="1:13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</row>
    <row r="307" spans="1:13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</row>
    <row r="308" spans="1:13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</row>
    <row r="309" spans="1:13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</row>
    <row r="310" spans="1:13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</row>
    <row r="311" spans="1:13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</row>
    <row r="312" spans="1:13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</row>
    <row r="313" spans="1:13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</row>
    <row r="314" spans="1:13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</row>
    <row r="315" spans="1:13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</row>
    <row r="316" spans="1:13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</row>
    <row r="317" spans="1:13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</row>
    <row r="318" spans="1:13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</row>
    <row r="319" spans="1:13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</row>
    <row r="320" spans="1:13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</row>
    <row r="321" spans="1:13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</row>
    <row r="322" spans="1:13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</row>
    <row r="323" spans="1:13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</row>
    <row r="324" spans="1:13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</row>
    <row r="325" spans="1:13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</row>
    <row r="326" spans="1:13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</row>
    <row r="327" spans="1:13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</row>
    <row r="328" spans="1:13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</row>
    <row r="329" spans="1:13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</row>
    <row r="330" spans="1:13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</row>
    <row r="331" spans="1:13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</row>
    <row r="332" spans="1:13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</row>
    <row r="333" spans="1:13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</row>
    <row r="334" spans="1:13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</row>
    <row r="335" spans="1:13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</row>
    <row r="336" spans="1:13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</row>
    <row r="337" spans="1:13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</row>
    <row r="338" spans="1:13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</row>
    <row r="339" spans="1:13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</row>
    <row r="340" spans="1:13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</row>
    <row r="341" spans="1:13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</row>
    <row r="342" spans="1:13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</row>
    <row r="343" spans="1:13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</row>
    <row r="344" spans="1:13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</row>
    <row r="345" spans="1:13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</row>
    <row r="346" spans="1:13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</row>
    <row r="347" spans="1:13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</row>
    <row r="348" spans="1:13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</row>
    <row r="349" spans="1:13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</row>
    <row r="350" spans="1:13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</row>
    <row r="351" spans="1:13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</row>
    <row r="352" spans="1:13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</row>
    <row r="353" spans="1:13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</row>
    <row r="354" spans="1:13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</row>
    <row r="355" spans="1:13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</row>
    <row r="356" spans="1:13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</row>
    <row r="357" spans="1:13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</row>
    <row r="358" spans="1:13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</row>
    <row r="359" spans="1:13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</row>
    <row r="360" spans="1:13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</row>
    <row r="361" spans="1:13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</row>
    <row r="362" spans="1:13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</row>
    <row r="363" spans="1:13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</row>
    <row r="364" spans="1:13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</row>
    <row r="365" spans="1:13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</row>
    <row r="366" spans="1:13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</row>
    <row r="367" spans="1:13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</row>
    <row r="368" spans="1:13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</row>
    <row r="369" spans="1:13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</row>
    <row r="370" spans="1:13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</row>
    <row r="371" spans="1:13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</row>
    <row r="372" spans="1:13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</row>
    <row r="373" spans="1:13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</row>
    <row r="374" spans="1:13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</row>
    <row r="375" spans="1:13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</row>
    <row r="376" spans="1:13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</row>
    <row r="377" spans="1:13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</row>
    <row r="378" spans="1:13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</row>
    <row r="379" spans="1:13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</row>
    <row r="380" spans="1:13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</row>
    <row r="381" spans="1:13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</row>
    <row r="382" spans="1:13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</row>
    <row r="383" spans="1:13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</row>
    <row r="384" spans="1:13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</row>
    <row r="385" spans="1:13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</row>
    <row r="386" spans="1:13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</row>
    <row r="387" spans="1:13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</row>
    <row r="388" spans="1:13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</row>
    <row r="389" spans="1:13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</row>
    <row r="390" spans="1:13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</row>
    <row r="391" spans="1:13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</row>
    <row r="392" spans="1:13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</row>
    <row r="393" spans="1:13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</row>
    <row r="394" spans="1:13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</row>
    <row r="395" spans="1:13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</row>
    <row r="396" spans="1:13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</row>
    <row r="397" spans="1:13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</row>
    <row r="398" spans="1:13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</row>
    <row r="399" spans="1:13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</row>
    <row r="400" spans="1:13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</row>
    <row r="401" spans="1:13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</row>
    <row r="402" spans="1:13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</row>
    <row r="403" spans="1:13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</row>
    <row r="404" spans="1:13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</row>
    <row r="405" spans="1:13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</row>
    <row r="406" spans="1:13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</row>
    <row r="407" spans="1:13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</row>
    <row r="408" spans="1:13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</row>
    <row r="409" spans="1:13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</row>
    <row r="410" spans="1:13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</row>
    <row r="411" spans="1:13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</row>
    <row r="412" spans="1:13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</row>
    <row r="413" spans="1:13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</row>
    <row r="414" spans="1:13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</row>
    <row r="415" spans="1:13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</row>
    <row r="416" spans="1:13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</row>
    <row r="417" spans="1:13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</row>
    <row r="418" spans="1:13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</row>
    <row r="419" spans="1:13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</row>
    <row r="420" spans="1:13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</row>
    <row r="421" spans="1:13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</row>
    <row r="422" spans="1:13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</row>
    <row r="423" spans="1:13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</row>
    <row r="424" spans="1:13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</row>
    <row r="425" spans="1:13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</row>
    <row r="426" spans="1:13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</row>
    <row r="427" spans="1:13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</row>
    <row r="428" spans="1:13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</row>
    <row r="429" spans="1:13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</row>
    <row r="430" spans="1:13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</row>
  </sheetData>
  <mergeCells count="3">
    <mergeCell ref="B2:F2"/>
    <mergeCell ref="I8:I12"/>
    <mergeCell ref="I14:I16"/>
  </mergeCells>
  <hyperlinks>
    <hyperlink ref="B4" location="Schedule!A1" display="Schedule" xr:uid="{00000000-0004-0000-0000-000000000000}"/>
    <hyperlink ref="B6" location="Construction_Projects!A4" display="XXXXXConstruction ProjectsXXXXX" xr:uid="{00000000-0004-0000-0000-000001000000}"/>
    <hyperlink ref="B8" location="Design_Projects!A4" display="XXXXXXXDesign ProjectsXXXXXXX" xr:uid="{00000000-0004-0000-0000-000002000000}"/>
    <hyperlink ref="B10" location="'Porta Cooler RWP'!A1" display="Porta Cooler RWP" xr:uid="{00000000-0004-0000-0000-000003000000}"/>
    <hyperlink ref="B12" location="'PM - RWP'!G7" display="Preventative Maintenance RWP" xr:uid="{00000000-0004-0000-0000-000004000000}"/>
    <hyperlink ref="B14" location="'Work Task_Compl'!B7" display="Work Tasks Completed" xr:uid="{00000000-0004-0000-0000-000005000000}"/>
    <hyperlink ref="B16" location="'Work Task_Log'!A3" display="Work Task Log" xr:uid="{00000000-0004-0000-0000-000006000000}"/>
    <hyperlink ref="D4" location="'Water - RWP'!A3" display="Water &amp; Wastewater RWP" xr:uid="{00000000-0004-0000-0000-000007000000}"/>
    <hyperlink ref="D6" location="'Water Tm_Log'!A1" display="Water &amp; Wastewater Log" xr:uid="{00000000-0004-0000-0000-000008000000}"/>
    <hyperlink ref="D8" location="'Water Tm_Avg Gals'!B7" display="Water &amp; Wastewater Average Gal" xr:uid="{00000000-0004-0000-0000-000009000000}"/>
    <hyperlink ref="D10" location="Chlorine_Readings!A1" display="Chlorine Readings Log" xr:uid="{00000000-0004-0000-0000-00000A000000}"/>
    <hyperlink ref="D12" location="Chlorine_Graph!A2" display="CL2 Graph - Today vs Yesterday" xr:uid="{00000000-0004-0000-0000-00000B000000}"/>
    <hyperlink ref="D14" location="'Water Leaks_Log'!A1" display="Water Leak Log" xr:uid="{00000000-0004-0000-0000-00000C000000}"/>
    <hyperlink ref="D16" location="Ice_Log!A1" display="Ice Machine Log" xr:uid="{00000000-0004-0000-0000-00000D000000}"/>
    <hyperlink ref="F4" location="Inventory_Hompage!A1" display="XXXXXXXXXInventoryXXXXXXXX" xr:uid="{00000000-0004-0000-0000-00000E000000}"/>
    <hyperlink ref="F6" location="Orders_Purchases!A3" display="Ordering &amp; Purchases" xr:uid="{00000000-0004-0000-0000-00000F000000}"/>
    <hyperlink ref="F8" location="'Camp Fixture Count'!A2" display="Camp Total Fixtures" xr:uid="{00000000-0004-0000-0000-000010000000}"/>
    <hyperlink ref="F10" location="Vehicles!A1" display="Vehicles" xr:uid="{00000000-0004-0000-0000-000011000000}"/>
    <hyperlink ref="F12" location="Safety!A1" display="Safety" xr:uid="{00000000-0004-0000-0000-000012000000}"/>
    <hyperlink ref="F14" location="'Training Plan'!A3" display="Training" xr:uid="{00000000-0004-0000-0000-000013000000}"/>
    <hyperlink ref="F16" location="'Order of the Week'!A1" display="Order of the Week" xr:uid="{00000000-0004-0000-0000-000014000000}"/>
    <hyperlink ref="I8:I12" location="Snapshot!A1" display="Snapshot!A1" xr:uid="{00000000-0004-0000-0000-000015000000}"/>
    <hyperlink ref="I14:I16" location="About!A1" display="ABOUT US!" xr:uid="{00000000-0004-0000-0000-000016000000}"/>
  </hyperlinks>
  <printOptions horizontalCentered="1"/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5"/>
  <sheetViews>
    <sheetView zoomScale="230" zoomScaleNormal="230" workbookViewId="0"/>
  </sheetViews>
  <sheetFormatPr defaultRowHeight="15"/>
  <cols>
    <col min="1" max="1" width="24.7109375" customWidth="1"/>
    <col min="2" max="2" width="58.5703125" customWidth="1"/>
  </cols>
  <sheetData>
    <row r="1" spans="1:3" ht="28.5" customHeight="1" thickBot="1">
      <c r="A1" s="296" t="s">
        <v>313</v>
      </c>
      <c r="B1" s="297" t="s">
        <v>489</v>
      </c>
      <c r="C1" s="299" t="s">
        <v>498</v>
      </c>
    </row>
    <row r="2" spans="1:3" ht="34.5" thickBot="1">
      <c r="A2" s="579" t="s">
        <v>497</v>
      </c>
      <c r="B2" s="580"/>
      <c r="C2" s="581"/>
    </row>
    <row r="3" spans="1:3" ht="33.75">
      <c r="A3" s="301" t="s">
        <v>486</v>
      </c>
      <c r="B3" s="294" t="s">
        <v>496</v>
      </c>
    </row>
    <row r="4" spans="1:3" ht="33.75">
      <c r="A4" s="301" t="s">
        <v>487</v>
      </c>
      <c r="B4" s="294" t="s">
        <v>488</v>
      </c>
    </row>
    <row r="5" spans="1:3" ht="33">
      <c r="A5" s="301" t="s">
        <v>490</v>
      </c>
      <c r="B5" s="295" t="s">
        <v>491</v>
      </c>
    </row>
  </sheetData>
  <mergeCells count="1">
    <mergeCell ref="A2:C2"/>
  </mergeCells>
  <hyperlinks>
    <hyperlink ref="A1" location="DASHBOARD!A1" display="Back to Dashboard" xr:uid="{00000000-0004-0000-0100-000000000000}"/>
    <hyperlink ref="B5" r:id="rId1" xr:uid="{00000000-0004-0000-0100-000001000000}"/>
  </hyperlinks>
  <pageMargins left="0.7" right="0.7" top="0.75" bottom="0.75" header="0.3" footer="0.3"/>
  <pageSetup orientation="portrait" horizontalDpi="1200" verticalDpi="1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BG108"/>
  <sheetViews>
    <sheetView zoomScale="105" zoomScaleNormal="105" zoomScaleSheetLayoutView="70" workbookViewId="0">
      <selection activeCell="W1" sqref="W1"/>
    </sheetView>
  </sheetViews>
  <sheetFormatPr defaultRowHeight="15"/>
  <cols>
    <col min="1" max="1" width="15.42578125" customWidth="1"/>
    <col min="2" max="2" width="22" bestFit="1" customWidth="1"/>
    <col min="3" max="3" width="13.140625" customWidth="1"/>
    <col min="4" max="4" width="23.42578125" bestFit="1" customWidth="1"/>
    <col min="5" max="5" width="0.85546875" customWidth="1"/>
    <col min="6" max="6" width="0.5703125" customWidth="1"/>
    <col min="7" max="7" width="1.42578125" bestFit="1" customWidth="1"/>
    <col min="8" max="8" width="21.42578125" customWidth="1"/>
    <col min="9" max="9" width="6.85546875" customWidth="1"/>
    <col min="10" max="10" width="27.7109375" customWidth="1"/>
    <col min="11" max="11" width="0.85546875" customWidth="1"/>
    <col min="12" max="13" width="0.5703125" customWidth="1"/>
    <col min="14" max="14" width="10.85546875" customWidth="1"/>
    <col min="15" max="15" width="9.85546875" customWidth="1"/>
    <col min="16" max="16" width="17.42578125" customWidth="1"/>
    <col min="17" max="17" width="0.85546875" customWidth="1"/>
    <col min="18" max="19" width="0.5703125" customWidth="1"/>
    <col min="20" max="20" width="9.28515625" customWidth="1"/>
    <col min="21" max="21" width="15" customWidth="1"/>
    <col min="22" max="22" width="11.28515625" bestFit="1" customWidth="1"/>
    <col min="23" max="23" width="10.85546875" customWidth="1"/>
  </cols>
  <sheetData>
    <row r="1" spans="1:59" ht="31.5">
      <c r="A1" s="593" t="s">
        <v>313</v>
      </c>
      <c r="B1" s="594"/>
      <c r="C1" s="595"/>
      <c r="D1" s="587" t="s">
        <v>469</v>
      </c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440" t="s">
        <v>100</v>
      </c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1"/>
      <c r="AO1" s="281"/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AZ1" s="281"/>
      <c r="BA1" s="281"/>
      <c r="BB1" s="281"/>
      <c r="BC1" s="281"/>
      <c r="BD1" s="281"/>
      <c r="BE1" s="281"/>
      <c r="BF1" s="281"/>
      <c r="BG1" s="281"/>
    </row>
    <row r="2" spans="1:59" ht="14.45" customHeight="1">
      <c r="A2" s="306" t="s">
        <v>470</v>
      </c>
      <c r="B2" s="285"/>
      <c r="C2" s="284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1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1"/>
      <c r="AO2" s="281"/>
      <c r="AP2" s="281"/>
      <c r="AQ2" s="281"/>
      <c r="AR2" s="281"/>
      <c r="AS2" s="281"/>
      <c r="AT2" s="281"/>
      <c r="AU2" s="281"/>
      <c r="AV2" s="281"/>
      <c r="AW2" s="281"/>
      <c r="AX2" s="281"/>
      <c r="AY2" s="281"/>
      <c r="AZ2" s="281"/>
      <c r="BA2" s="281"/>
      <c r="BB2" s="281"/>
      <c r="BC2" s="281"/>
      <c r="BD2" s="281"/>
      <c r="BE2" s="281"/>
      <c r="BF2" s="281"/>
      <c r="BG2" s="281"/>
    </row>
    <row r="3" spans="1:59" ht="16.5" customHeight="1">
      <c r="A3" s="596" t="s">
        <v>400</v>
      </c>
      <c r="B3" s="596"/>
      <c r="C3" s="596"/>
      <c r="D3" s="597" t="s">
        <v>537</v>
      </c>
      <c r="E3" s="597"/>
      <c r="F3" s="597"/>
      <c r="G3" s="598"/>
      <c r="H3" s="598"/>
      <c r="I3" s="598"/>
      <c r="J3" s="598"/>
      <c r="K3" s="598"/>
      <c r="L3" s="598"/>
      <c r="M3" s="598"/>
      <c r="N3" s="598"/>
      <c r="O3" s="598"/>
      <c r="P3" s="598"/>
      <c r="Q3" s="598"/>
      <c r="R3" s="598"/>
      <c r="S3" s="598"/>
      <c r="T3" s="598"/>
      <c r="U3" s="598"/>
      <c r="V3" s="598"/>
      <c r="W3" s="598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</row>
    <row r="4" spans="1:59">
      <c r="A4" s="596"/>
      <c r="B4" s="596"/>
      <c r="C4" s="596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598"/>
      <c r="O4" s="598"/>
      <c r="P4" s="598"/>
      <c r="Q4" s="598"/>
      <c r="R4" s="598"/>
      <c r="S4" s="598"/>
      <c r="T4" s="598"/>
      <c r="U4" s="598"/>
      <c r="V4" s="598"/>
      <c r="W4" s="598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B4" s="281"/>
      <c r="BC4" s="281"/>
      <c r="BD4" s="281"/>
      <c r="BE4" s="281"/>
      <c r="BF4" s="281"/>
      <c r="BG4" s="281"/>
    </row>
    <row r="5" spans="1:59">
      <c r="A5" s="596"/>
      <c r="B5" s="596"/>
      <c r="C5" s="596"/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8"/>
      <c r="R5" s="598"/>
      <c r="S5" s="598"/>
      <c r="T5" s="598"/>
      <c r="U5" s="598"/>
      <c r="V5" s="598"/>
      <c r="W5" s="598"/>
      <c r="X5" s="281"/>
      <c r="Y5" s="281"/>
      <c r="Z5" s="281"/>
      <c r="AA5" s="281"/>
      <c r="AB5" s="281"/>
      <c r="AC5" s="281"/>
      <c r="AD5" s="281"/>
      <c r="AE5" s="281"/>
      <c r="AF5" s="281"/>
      <c r="AG5" s="281"/>
      <c r="AH5" s="281"/>
      <c r="AI5" s="281"/>
      <c r="AJ5" s="281"/>
      <c r="AK5" s="281"/>
      <c r="AL5" s="281"/>
      <c r="AM5" s="281"/>
      <c r="AN5" s="281"/>
      <c r="AO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  <c r="BA5" s="281"/>
      <c r="BB5" s="281"/>
      <c r="BC5" s="281"/>
      <c r="BD5" s="281"/>
      <c r="BE5" s="281"/>
      <c r="BF5" s="281"/>
      <c r="BG5" s="281"/>
    </row>
    <row r="6" spans="1:59" ht="3.95" customHeight="1">
      <c r="A6" s="282"/>
      <c r="B6" s="282"/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73"/>
      <c r="Q6" s="282"/>
      <c r="R6" s="282"/>
      <c r="S6" s="282"/>
      <c r="T6" s="73"/>
      <c r="U6" s="73"/>
      <c r="V6" s="73"/>
      <c r="W6" s="73"/>
      <c r="X6" s="281"/>
      <c r="Y6" s="281"/>
      <c r="Z6" s="281"/>
      <c r="AA6" s="281"/>
      <c r="AB6" s="281"/>
      <c r="AC6" s="281"/>
      <c r="AD6" s="281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B6" s="281"/>
      <c r="BC6" s="281"/>
      <c r="BD6" s="281"/>
      <c r="BE6" s="281"/>
      <c r="BF6" s="281"/>
      <c r="BG6" s="281"/>
    </row>
    <row r="7" spans="1:59" ht="13.5" customHeight="1">
      <c r="A7" s="582">
        <f>'Water Tm_Avg Gals'!$D$3</f>
        <v>96742.857142857145</v>
      </c>
      <c r="B7" s="583"/>
      <c r="C7" s="583"/>
      <c r="D7" s="583"/>
      <c r="E7" s="283"/>
      <c r="F7" s="283"/>
      <c r="G7" s="599" t="s">
        <v>546</v>
      </c>
      <c r="H7" s="599"/>
      <c r="I7" s="599"/>
      <c r="J7" s="584">
        <f>TOTALS!$J$72</f>
        <v>42.3</v>
      </c>
      <c r="K7" s="283"/>
      <c r="L7" s="283"/>
      <c r="M7" s="283"/>
      <c r="N7" s="600" t="s">
        <v>976</v>
      </c>
      <c r="O7" s="600"/>
      <c r="P7" s="600"/>
      <c r="Q7" s="283"/>
      <c r="R7" s="283"/>
      <c r="S7" s="283"/>
      <c r="T7" s="602">
        <f>'Camp Fixture Count'!$L$15</f>
        <v>1278</v>
      </c>
      <c r="U7" s="602"/>
      <c r="V7" s="606" t="s">
        <v>221</v>
      </c>
      <c r="W7" s="606"/>
      <c r="X7" s="293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B7" s="281"/>
      <c r="BC7" s="281"/>
      <c r="BD7" s="281"/>
      <c r="BE7" s="281"/>
      <c r="BF7" s="281"/>
      <c r="BG7" s="281"/>
    </row>
    <row r="8" spans="1:59" ht="20.45" customHeight="1">
      <c r="A8" s="583"/>
      <c r="B8" s="583"/>
      <c r="C8" s="583"/>
      <c r="D8" s="583"/>
      <c r="E8" s="283"/>
      <c r="F8" s="290"/>
      <c r="G8" s="599"/>
      <c r="H8" s="599"/>
      <c r="I8" s="599"/>
      <c r="J8" s="584"/>
      <c r="K8" s="283"/>
      <c r="L8" s="290"/>
      <c r="M8" s="288"/>
      <c r="N8" s="600"/>
      <c r="O8" s="600"/>
      <c r="P8" s="600"/>
      <c r="Q8" s="283"/>
      <c r="R8" s="290"/>
      <c r="S8" s="288"/>
      <c r="T8" s="602"/>
      <c r="U8" s="602"/>
      <c r="V8" s="606"/>
      <c r="W8" s="606"/>
      <c r="X8" s="293"/>
      <c r="Y8" s="281"/>
      <c r="Z8" s="281"/>
      <c r="AA8" s="281"/>
      <c r="AB8" s="281"/>
      <c r="AC8" s="281"/>
      <c r="AD8" s="281"/>
      <c r="AE8" s="281"/>
      <c r="AF8" s="281"/>
      <c r="AG8" s="281"/>
      <c r="AH8" s="281"/>
      <c r="AI8" s="281"/>
      <c r="AJ8" s="281"/>
      <c r="AK8" s="281"/>
      <c r="AL8" s="281"/>
      <c r="AM8" s="281"/>
      <c r="AN8" s="281"/>
      <c r="AO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  <c r="BA8" s="281"/>
      <c r="BB8" s="281"/>
      <c r="BC8" s="281"/>
      <c r="BD8" s="281"/>
      <c r="BE8" s="281"/>
      <c r="BF8" s="281"/>
      <c r="BG8" s="281"/>
    </row>
    <row r="9" spans="1:59" ht="20.45" customHeight="1">
      <c r="A9" s="583"/>
      <c r="B9" s="583"/>
      <c r="C9" s="583"/>
      <c r="D9" s="583"/>
      <c r="E9" s="283"/>
      <c r="F9" s="290"/>
      <c r="G9" s="599"/>
      <c r="H9" s="599"/>
      <c r="I9" s="599"/>
      <c r="J9" s="584"/>
      <c r="K9" s="283"/>
      <c r="L9" s="290"/>
      <c r="M9" s="288"/>
      <c r="N9" s="600"/>
      <c r="O9" s="600"/>
      <c r="P9" s="600"/>
      <c r="Q9" s="283"/>
      <c r="R9" s="290"/>
      <c r="S9" s="288"/>
      <c r="T9" s="602"/>
      <c r="U9" s="602"/>
      <c r="V9" s="606"/>
      <c r="W9" s="606"/>
      <c r="X9" s="293"/>
      <c r="Y9" s="281"/>
      <c r="Z9" s="281"/>
      <c r="AA9" s="281"/>
      <c r="AB9" s="281"/>
      <c r="AC9" s="281"/>
      <c r="AD9" s="281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AO9" s="281"/>
      <c r="AP9" s="281"/>
      <c r="AQ9" s="281"/>
      <c r="AR9" s="281"/>
      <c r="AS9" s="281"/>
      <c r="AT9" s="281"/>
      <c r="AU9" s="281"/>
      <c r="AV9" s="281"/>
      <c r="AW9" s="281"/>
      <c r="AX9" s="281"/>
      <c r="AY9" s="281"/>
      <c r="AZ9" s="281"/>
      <c r="BA9" s="281"/>
      <c r="BB9" s="281"/>
      <c r="BC9" s="281"/>
      <c r="BD9" s="281"/>
      <c r="BE9" s="281"/>
      <c r="BF9" s="281"/>
      <c r="BG9" s="281"/>
    </row>
    <row r="10" spans="1:59" ht="24" customHeight="1">
      <c r="A10" s="583"/>
      <c r="B10" s="583"/>
      <c r="C10" s="583"/>
      <c r="D10" s="583"/>
      <c r="E10" s="283"/>
      <c r="F10" s="290"/>
      <c r="G10" s="293" t="s">
        <v>2</v>
      </c>
      <c r="H10" s="293"/>
      <c r="I10" s="293"/>
      <c r="J10" s="293"/>
      <c r="K10" s="293"/>
      <c r="L10" s="290"/>
      <c r="M10" s="288"/>
      <c r="N10" s="600"/>
      <c r="O10" s="600"/>
      <c r="P10" s="600"/>
      <c r="Q10" s="283"/>
      <c r="R10" s="290"/>
      <c r="S10" s="288"/>
      <c r="T10" s="601" t="s">
        <v>484</v>
      </c>
      <c r="U10" s="601"/>
      <c r="V10" s="614">
        <f>Construction_Projects!$D$12</f>
        <v>4</v>
      </c>
      <c r="W10" s="614"/>
      <c r="X10" s="293"/>
      <c r="Y10" s="281"/>
      <c r="Z10" s="281"/>
      <c r="AA10" s="281"/>
      <c r="AB10" s="281"/>
      <c r="AC10" s="281"/>
      <c r="AD10" s="281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AO10" s="281"/>
      <c r="AP10" s="281"/>
      <c r="AQ10" s="281"/>
      <c r="AR10" s="281"/>
      <c r="AS10" s="281"/>
      <c r="AT10" s="281"/>
      <c r="AU10" s="281"/>
      <c r="AV10" s="281"/>
      <c r="AW10" s="281"/>
      <c r="AX10" s="281"/>
      <c r="AY10" s="281"/>
      <c r="AZ10" s="281"/>
      <c r="BA10" s="281"/>
      <c r="BB10" s="281"/>
      <c r="BC10" s="281"/>
      <c r="BD10" s="281"/>
      <c r="BE10" s="281"/>
      <c r="BF10" s="281"/>
      <c r="BG10" s="281"/>
    </row>
    <row r="11" spans="1:59" ht="17.45" customHeight="1">
      <c r="A11" s="589" t="s">
        <v>1630</v>
      </c>
      <c r="B11" s="589"/>
      <c r="C11" s="589"/>
      <c r="D11" s="589"/>
      <c r="E11" s="286"/>
      <c r="F11" s="291"/>
      <c r="G11" s="293"/>
      <c r="H11" s="293"/>
      <c r="I11" s="293"/>
      <c r="J11" s="293"/>
      <c r="K11" s="286"/>
      <c r="L11" s="291"/>
      <c r="M11" s="286"/>
      <c r="N11" s="321"/>
      <c r="O11" s="321"/>
      <c r="P11" s="321"/>
      <c r="Q11" s="286"/>
      <c r="R11" s="291"/>
      <c r="S11" s="286"/>
      <c r="T11" s="601"/>
      <c r="U11" s="601"/>
      <c r="V11" s="614"/>
      <c r="W11" s="614"/>
      <c r="X11" s="293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</row>
    <row r="12" spans="1:59" ht="19.5" customHeight="1">
      <c r="A12" s="590">
        <f>'Water Tm_Avg Gals'!$O$3</f>
        <v>112928.57142857143</v>
      </c>
      <c r="B12" s="591"/>
      <c r="C12" s="591"/>
      <c r="D12" s="591"/>
      <c r="E12" s="287"/>
      <c r="F12" s="290"/>
      <c r="G12" s="293"/>
      <c r="H12" s="293"/>
      <c r="I12" s="293"/>
      <c r="J12" s="293"/>
      <c r="K12" s="287"/>
      <c r="L12" s="290"/>
      <c r="M12" s="288"/>
      <c r="N12" s="280"/>
      <c r="O12" s="280"/>
      <c r="P12" s="281"/>
      <c r="Q12" s="287"/>
      <c r="R12" s="290"/>
      <c r="S12" s="288"/>
      <c r="T12" s="601"/>
      <c r="U12" s="601"/>
      <c r="V12" s="614"/>
      <c r="W12" s="614"/>
      <c r="X12" s="281"/>
      <c r="Y12" s="281"/>
      <c r="Z12" s="281"/>
      <c r="AA12" s="281"/>
      <c r="AB12" s="281"/>
      <c r="AC12" s="281"/>
      <c r="AD12" s="281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AO12" s="281"/>
      <c r="AP12" s="281"/>
      <c r="AQ12" s="281"/>
      <c r="AR12" s="281"/>
      <c r="AS12" s="281"/>
      <c r="AT12" s="281"/>
      <c r="AU12" s="281"/>
      <c r="AV12" s="281"/>
      <c r="AW12" s="281"/>
      <c r="AX12" s="281"/>
      <c r="AY12" s="281"/>
      <c r="AZ12" s="281"/>
      <c r="BA12" s="281"/>
      <c r="BB12" s="281"/>
      <c r="BC12" s="281"/>
      <c r="BD12" s="281"/>
      <c r="BE12" s="281"/>
      <c r="BF12" s="281"/>
      <c r="BG12" s="281"/>
    </row>
    <row r="13" spans="1:59" ht="19.5" customHeight="1">
      <c r="A13" s="591"/>
      <c r="B13" s="591"/>
      <c r="C13" s="591"/>
      <c r="D13" s="591"/>
      <c r="E13" s="287"/>
      <c r="F13" s="290"/>
      <c r="G13" s="293"/>
      <c r="H13" s="293"/>
      <c r="I13" s="293"/>
      <c r="J13" s="293"/>
      <c r="K13" s="287"/>
      <c r="L13" s="290"/>
      <c r="M13" s="288"/>
      <c r="N13" s="280"/>
      <c r="O13" s="280"/>
      <c r="P13" s="281"/>
      <c r="Q13" s="287"/>
      <c r="R13" s="290"/>
      <c r="S13" s="288"/>
      <c r="T13" s="601" t="s">
        <v>485</v>
      </c>
      <c r="U13" s="601"/>
      <c r="V13" s="617">
        <f>Design_Projects!$D$30</f>
        <v>19</v>
      </c>
      <c r="W13" s="617"/>
      <c r="X13" s="281"/>
      <c r="Y13" s="281"/>
      <c r="Z13" s="281"/>
      <c r="AA13" s="281"/>
      <c r="AB13" s="281"/>
      <c r="AC13" s="281"/>
      <c r="AD13" s="281"/>
      <c r="AE13" s="281"/>
      <c r="AF13" s="281"/>
      <c r="AG13" s="281"/>
      <c r="AH13" s="281"/>
      <c r="AI13" s="281"/>
      <c r="AJ13" s="281"/>
      <c r="AK13" s="281"/>
      <c r="AL13" s="281"/>
      <c r="AM13" s="281"/>
      <c r="AN13" s="281"/>
      <c r="AO13" s="281"/>
      <c r="AP13" s="281"/>
      <c r="AQ13" s="281"/>
      <c r="AR13" s="281"/>
      <c r="AS13" s="281"/>
      <c r="AT13" s="281"/>
      <c r="AU13" s="281"/>
      <c r="AV13" s="281"/>
      <c r="AW13" s="281"/>
      <c r="AX13" s="281"/>
      <c r="AY13" s="281"/>
      <c r="AZ13" s="281"/>
      <c r="BA13" s="281"/>
      <c r="BB13" s="281"/>
      <c r="BC13" s="281"/>
      <c r="BD13" s="281"/>
      <c r="BE13" s="281"/>
      <c r="BF13" s="281"/>
      <c r="BG13" s="281"/>
    </row>
    <row r="14" spans="1:59" ht="38.450000000000003" customHeight="1">
      <c r="A14" s="591"/>
      <c r="B14" s="591"/>
      <c r="C14" s="591"/>
      <c r="D14" s="591"/>
      <c r="E14" s="287"/>
      <c r="F14" s="290"/>
      <c r="G14" s="592" t="s">
        <v>2</v>
      </c>
      <c r="H14" s="592"/>
      <c r="I14" s="592"/>
      <c r="J14" s="592"/>
      <c r="K14" s="287"/>
      <c r="L14" s="290"/>
      <c r="M14" s="288"/>
      <c r="N14" s="280"/>
      <c r="O14" s="280"/>
      <c r="P14" s="281"/>
      <c r="Q14" s="287"/>
      <c r="R14" s="290"/>
      <c r="S14" s="288"/>
      <c r="T14" s="601"/>
      <c r="U14" s="601"/>
      <c r="V14" s="617"/>
      <c r="W14" s="617"/>
      <c r="X14" s="281"/>
      <c r="Y14" s="281"/>
      <c r="Z14" s="281"/>
      <c r="AA14" s="281"/>
      <c r="AB14" s="281"/>
      <c r="AC14" s="281"/>
      <c r="AD14" s="281"/>
      <c r="AE14" s="281"/>
      <c r="AF14" s="281"/>
      <c r="AG14" s="281"/>
      <c r="AH14" s="281"/>
      <c r="AI14" s="281"/>
      <c r="AJ14" s="281"/>
      <c r="AK14" s="281"/>
      <c r="AL14" s="281"/>
      <c r="AM14" s="281"/>
      <c r="AN14" s="281"/>
      <c r="AO14" s="281"/>
      <c r="AP14" s="281"/>
      <c r="AQ14" s="281"/>
      <c r="AR14" s="281"/>
      <c r="AS14" s="281"/>
      <c r="AT14" s="281"/>
      <c r="AU14" s="281"/>
      <c r="AV14" s="281"/>
      <c r="AW14" s="281"/>
      <c r="AX14" s="281"/>
      <c r="AY14" s="281"/>
      <c r="AZ14" s="281"/>
      <c r="BA14" s="281"/>
      <c r="BB14" s="281"/>
      <c r="BC14" s="281"/>
      <c r="BD14" s="281"/>
      <c r="BE14" s="281"/>
      <c r="BF14" s="281"/>
      <c r="BG14" s="281"/>
    </row>
    <row r="15" spans="1:59" ht="28.5" customHeight="1">
      <c r="A15" s="589" t="s">
        <v>1631</v>
      </c>
      <c r="B15" s="589"/>
      <c r="C15" s="589"/>
      <c r="D15" s="589"/>
      <c r="E15" s="286"/>
      <c r="F15" s="291"/>
      <c r="G15" s="615" t="s">
        <v>939</v>
      </c>
      <c r="H15" s="615"/>
      <c r="I15" s="615"/>
      <c r="J15" s="615"/>
      <c r="K15" s="615"/>
      <c r="L15" s="291"/>
      <c r="M15" s="286"/>
      <c r="N15" s="616" t="s">
        <v>1027</v>
      </c>
      <c r="O15" s="616"/>
      <c r="P15" s="616"/>
      <c r="Q15" s="286"/>
      <c r="R15" s="291"/>
      <c r="S15" s="286"/>
      <c r="T15" s="601"/>
      <c r="U15" s="601"/>
      <c r="V15" s="617"/>
      <c r="W15" s="617"/>
      <c r="X15" s="281"/>
      <c r="Y15" s="281"/>
      <c r="Z15" s="281"/>
      <c r="AA15" s="281"/>
      <c r="AB15" s="281"/>
      <c r="AC15" s="281"/>
      <c r="AD15" s="281"/>
      <c r="AE15" s="281"/>
      <c r="AF15" s="281"/>
      <c r="AG15" s="281"/>
      <c r="AH15" s="281"/>
      <c r="AI15" s="281"/>
      <c r="AJ15" s="281"/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  <c r="AW15" s="281"/>
      <c r="AX15" s="281"/>
      <c r="AY15" s="281"/>
      <c r="AZ15" s="281"/>
      <c r="BA15" s="281"/>
      <c r="BB15" s="281"/>
      <c r="BC15" s="281"/>
      <c r="BD15" s="281"/>
      <c r="BE15" s="281"/>
      <c r="BF15" s="281"/>
      <c r="BG15" s="281"/>
    </row>
    <row r="16" spans="1:59" ht="81" customHeight="1">
      <c r="A16" s="343" t="s">
        <v>977</v>
      </c>
      <c r="B16" s="524">
        <f>TOTALS!$D$49</f>
        <v>0.7142857142857143</v>
      </c>
      <c r="C16" s="343" t="s">
        <v>978</v>
      </c>
      <c r="D16" s="344">
        <f>TOTALS!$J$55</f>
        <v>0.42147435897435898</v>
      </c>
      <c r="E16" s="280"/>
      <c r="F16" s="292"/>
      <c r="G16" s="585">
        <f>TOTALS!$F$72</f>
        <v>48</v>
      </c>
      <c r="H16" s="585"/>
      <c r="I16" s="586" t="s">
        <v>476</v>
      </c>
      <c r="J16" s="586"/>
      <c r="K16" s="586"/>
      <c r="L16" s="292"/>
      <c r="M16" s="289"/>
      <c r="N16" s="280"/>
      <c r="O16" s="280"/>
      <c r="P16" s="281"/>
      <c r="Q16" s="280"/>
      <c r="R16" s="292"/>
      <c r="S16" s="289"/>
      <c r="T16" s="612" t="str">
        <f>Ice_Log!$D$3</f>
        <v>4 of 4</v>
      </c>
      <c r="U16" s="612"/>
      <c r="V16" s="613" t="s">
        <v>492</v>
      </c>
      <c r="W16" s="613"/>
      <c r="X16" s="281"/>
      <c r="Y16" s="303"/>
      <c r="Z16" s="281"/>
      <c r="AA16" s="281"/>
      <c r="AB16" s="281"/>
      <c r="AC16" s="281"/>
      <c r="AD16" s="281"/>
      <c r="AE16" s="281"/>
      <c r="AF16" s="281"/>
      <c r="AG16" s="281"/>
      <c r="AH16" s="281"/>
      <c r="AI16" s="281"/>
      <c r="AJ16" s="281"/>
      <c r="AK16" s="281"/>
      <c r="AL16" s="281"/>
      <c r="AM16" s="281"/>
      <c r="AN16" s="281"/>
      <c r="AO16" s="281"/>
      <c r="AP16" s="281"/>
      <c r="AQ16" s="281"/>
      <c r="AR16" s="281"/>
      <c r="AS16" s="281"/>
      <c r="AT16" s="281"/>
      <c r="AU16" s="281"/>
      <c r="AV16" s="281"/>
      <c r="AW16" s="281"/>
      <c r="AX16" s="281"/>
      <c r="AY16" s="281"/>
      <c r="AZ16" s="281"/>
      <c r="BA16" s="281"/>
      <c r="BB16" s="281"/>
      <c r="BC16" s="281"/>
      <c r="BD16" s="281"/>
      <c r="BE16" s="281"/>
      <c r="BF16" s="281"/>
      <c r="BG16" s="281"/>
    </row>
    <row r="17" spans="1:59" ht="18.95" customHeight="1">
      <c r="A17" s="343"/>
      <c r="B17" s="345"/>
      <c r="C17" s="343"/>
      <c r="D17" s="344"/>
      <c r="E17" s="280"/>
      <c r="F17" s="292"/>
      <c r="G17" s="618" t="s">
        <v>1005</v>
      </c>
      <c r="H17" s="618"/>
      <c r="I17" s="618"/>
      <c r="J17" s="618"/>
      <c r="K17" s="618"/>
      <c r="L17" s="292"/>
      <c r="M17" s="289"/>
      <c r="N17" s="280"/>
      <c r="O17" s="280"/>
      <c r="P17" s="281"/>
      <c r="Q17" s="280"/>
      <c r="R17" s="292"/>
      <c r="S17" s="289"/>
      <c r="T17" s="612"/>
      <c r="U17" s="612"/>
      <c r="V17" s="613"/>
      <c r="W17" s="613"/>
      <c r="X17" s="281"/>
      <c r="Y17" s="303"/>
      <c r="Z17" s="281"/>
      <c r="AA17" s="281"/>
      <c r="AB17" s="281"/>
      <c r="AC17" s="281"/>
      <c r="AD17" s="281"/>
      <c r="AE17" s="281"/>
      <c r="AF17" s="281"/>
      <c r="AG17" s="281"/>
      <c r="AH17" s="281"/>
      <c r="AI17" s="281"/>
      <c r="AJ17" s="281"/>
      <c r="AK17" s="281"/>
      <c r="AL17" s="281"/>
      <c r="AM17" s="281"/>
      <c r="AN17" s="281"/>
      <c r="AO17" s="281"/>
      <c r="AP17" s="281"/>
      <c r="AQ17" s="281"/>
      <c r="AR17" s="281"/>
      <c r="AS17" s="281"/>
      <c r="AT17" s="281"/>
      <c r="AU17" s="281"/>
      <c r="AV17" s="281"/>
      <c r="AW17" s="281"/>
      <c r="AX17" s="281"/>
      <c r="AY17" s="281"/>
      <c r="AZ17" s="281"/>
      <c r="BA17" s="281"/>
      <c r="BB17" s="281"/>
      <c r="BC17" s="281"/>
      <c r="BD17" s="281"/>
      <c r="BE17" s="281"/>
      <c r="BF17" s="281"/>
      <c r="BG17" s="281"/>
    </row>
    <row r="18" spans="1:59" ht="21.75" customHeight="1">
      <c r="A18" s="343"/>
      <c r="B18" s="345"/>
      <c r="C18" s="343"/>
      <c r="D18" s="344"/>
      <c r="E18" s="280"/>
      <c r="F18" s="292"/>
      <c r="G18" s="373"/>
      <c r="H18" s="373"/>
      <c r="I18" s="373"/>
      <c r="J18" s="373"/>
      <c r="K18" s="373"/>
      <c r="L18" s="292"/>
      <c r="M18" s="289"/>
      <c r="N18" s="611" t="s">
        <v>2</v>
      </c>
      <c r="O18" s="611"/>
      <c r="P18" s="611"/>
      <c r="Q18" s="280"/>
      <c r="R18" s="292"/>
      <c r="S18" s="289"/>
      <c r="T18" s="605">
        <f>Ice_Log!$L$3</f>
        <v>1271</v>
      </c>
      <c r="U18" s="605"/>
      <c r="V18" s="606" t="s">
        <v>493</v>
      </c>
      <c r="W18" s="606"/>
      <c r="X18" s="281"/>
      <c r="Y18" s="303"/>
      <c r="Z18" s="281"/>
      <c r="AA18" s="281"/>
      <c r="AB18" s="281"/>
      <c r="AC18" s="281"/>
      <c r="AD18" s="281"/>
      <c r="AE18" s="281"/>
      <c r="AF18" s="281"/>
      <c r="AG18" s="281"/>
      <c r="AH18" s="281"/>
      <c r="AI18" s="281"/>
      <c r="AJ18" s="281"/>
      <c r="AK18" s="281"/>
      <c r="AL18" s="281"/>
      <c r="AM18" s="281"/>
      <c r="AN18" s="281"/>
      <c r="AO18" s="281"/>
      <c r="AP18" s="281"/>
      <c r="AQ18" s="281"/>
      <c r="AR18" s="281"/>
      <c r="AS18" s="281"/>
      <c r="AT18" s="281"/>
      <c r="AU18" s="281"/>
      <c r="AV18" s="281"/>
      <c r="AW18" s="281"/>
      <c r="AX18" s="281"/>
      <c r="AY18" s="281"/>
      <c r="AZ18" s="281"/>
      <c r="BA18" s="281"/>
      <c r="BB18" s="281"/>
      <c r="BC18" s="281"/>
      <c r="BD18" s="281"/>
      <c r="BE18" s="281"/>
      <c r="BF18" s="281"/>
      <c r="BG18" s="281"/>
    </row>
    <row r="19" spans="1:59" ht="56.45" customHeight="1">
      <c r="A19" s="338"/>
      <c r="B19" s="342"/>
      <c r="C19" s="341"/>
      <c r="D19" s="340"/>
      <c r="E19" s="280"/>
      <c r="F19" s="282"/>
      <c r="G19" s="372" t="s">
        <v>2</v>
      </c>
      <c r="H19" s="608" t="s">
        <v>1006</v>
      </c>
      <c r="I19" s="608"/>
      <c r="J19" s="607">
        <f ca="1">TOTALS!$D$37</f>
        <v>5</v>
      </c>
      <c r="K19" s="368"/>
      <c r="L19" s="282"/>
      <c r="M19" s="280"/>
      <c r="N19" s="609">
        <f>TOTALS!$H$11+8</f>
        <v>230</v>
      </c>
      <c r="O19" s="609"/>
      <c r="P19" s="606" t="s">
        <v>983</v>
      </c>
      <c r="Q19" s="280"/>
      <c r="R19" s="282"/>
      <c r="S19" s="280"/>
      <c r="T19" s="605"/>
      <c r="U19" s="605"/>
      <c r="V19" s="606"/>
      <c r="W19" s="606"/>
      <c r="X19" s="281"/>
      <c r="Y19" s="281"/>
      <c r="Z19" s="281"/>
      <c r="AA19" s="281"/>
      <c r="AB19" s="281"/>
      <c r="AC19" s="281"/>
      <c r="AD19" s="281"/>
      <c r="AE19" s="281"/>
      <c r="AF19" s="281"/>
      <c r="AG19" s="281"/>
      <c r="AH19" s="281"/>
      <c r="AI19" s="281"/>
      <c r="AJ19" s="281"/>
      <c r="AK19" s="281"/>
      <c r="AL19" s="281"/>
      <c r="AM19" s="281"/>
      <c r="AN19" s="281"/>
      <c r="AO19" s="281"/>
      <c r="AP19" s="281"/>
      <c r="AQ19" s="281"/>
      <c r="AR19" s="281"/>
      <c r="AS19" s="281"/>
      <c r="AT19" s="281"/>
      <c r="AU19" s="281"/>
      <c r="AV19" s="281"/>
      <c r="AW19" s="281"/>
      <c r="AX19" s="281"/>
      <c r="AY19" s="281"/>
      <c r="AZ19" s="281"/>
      <c r="BA19" s="281"/>
      <c r="BB19" s="281"/>
      <c r="BC19" s="281"/>
      <c r="BD19" s="281"/>
      <c r="BE19" s="281"/>
      <c r="BF19" s="281"/>
      <c r="BG19" s="281"/>
    </row>
    <row r="20" spans="1:59" ht="14.1" customHeight="1">
      <c r="A20" s="338"/>
      <c r="B20" s="342"/>
      <c r="C20" s="589"/>
      <c r="D20" s="589"/>
      <c r="E20" s="280"/>
      <c r="F20" s="282"/>
      <c r="G20" s="372"/>
      <c r="H20" s="608"/>
      <c r="I20" s="608"/>
      <c r="J20" s="607"/>
      <c r="K20" s="346"/>
      <c r="L20" s="282"/>
      <c r="M20" s="280"/>
      <c r="N20" s="609"/>
      <c r="O20" s="609"/>
      <c r="P20" s="606"/>
      <c r="Q20" s="280"/>
      <c r="R20" s="282"/>
      <c r="S20" s="599" t="s">
        <v>1007</v>
      </c>
      <c r="T20" s="599"/>
      <c r="U20" s="599"/>
      <c r="V20" s="610">
        <f>Ice_Log!$H$3</f>
        <v>40360</v>
      </c>
      <c r="W20" s="610"/>
      <c r="X20" s="281"/>
      <c r="Y20" s="281"/>
      <c r="Z20" s="281"/>
      <c r="AA20" s="281"/>
      <c r="AB20" s="281"/>
      <c r="AC20" s="281"/>
      <c r="AD20" s="281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</row>
    <row r="21" spans="1:59" ht="14.1" customHeight="1">
      <c r="A21" s="339"/>
      <c r="B21" s="339"/>
      <c r="C21" s="589" t="s">
        <v>2</v>
      </c>
      <c r="D21" s="589"/>
      <c r="E21" s="280"/>
      <c r="F21" s="282"/>
      <c r="G21" s="372"/>
      <c r="H21" s="608"/>
      <c r="I21" s="608"/>
      <c r="J21" s="607"/>
      <c r="K21" s="346"/>
      <c r="L21" s="282"/>
      <c r="M21" s="280"/>
      <c r="N21" s="609"/>
      <c r="O21" s="609"/>
      <c r="P21" s="606"/>
      <c r="Q21" s="280"/>
      <c r="R21" s="282"/>
      <c r="S21" s="599"/>
      <c r="T21" s="599"/>
      <c r="U21" s="599"/>
      <c r="V21" s="610"/>
      <c r="W21" s="610"/>
      <c r="X21" s="281"/>
      <c r="Y21" s="281"/>
      <c r="Z21" s="281"/>
      <c r="AA21" s="281"/>
      <c r="AB21" s="281"/>
      <c r="AC21" s="281"/>
      <c r="AD21" s="281"/>
      <c r="AE21" s="281"/>
      <c r="AF21" s="281"/>
      <c r="AG21" s="281"/>
      <c r="AH21" s="281"/>
      <c r="AI21" s="281"/>
      <c r="AJ21" s="281"/>
      <c r="AK21" s="281"/>
      <c r="AL21" s="281"/>
      <c r="AM21" s="281"/>
      <c r="AN21" s="281"/>
      <c r="AO21" s="281"/>
      <c r="AP21" s="281"/>
      <c r="AQ21" s="281"/>
      <c r="AR21" s="281"/>
      <c r="AS21" s="281"/>
      <c r="AT21" s="281"/>
      <c r="AU21" s="281"/>
      <c r="AV21" s="281"/>
      <c r="AW21" s="281"/>
      <c r="AX21" s="281"/>
      <c r="AY21" s="281"/>
      <c r="AZ21" s="281"/>
      <c r="BA21" s="281"/>
      <c r="BB21" s="281"/>
      <c r="BC21" s="281"/>
      <c r="BD21" s="281"/>
      <c r="BE21" s="281"/>
      <c r="BF21" s="281"/>
      <c r="BG21" s="281"/>
    </row>
    <row r="22" spans="1:59" ht="24" customHeight="1">
      <c r="A22" s="604" t="s">
        <v>984</v>
      </c>
      <c r="B22" s="604"/>
      <c r="C22" s="604"/>
      <c r="D22" s="604"/>
      <c r="E22" s="604"/>
      <c r="F22" s="282"/>
      <c r="G22" s="372"/>
      <c r="H22" s="608"/>
      <c r="I22" s="608"/>
      <c r="J22" s="607"/>
      <c r="K22" s="280"/>
      <c r="L22" s="282"/>
      <c r="M22" s="280"/>
      <c r="N22" s="609"/>
      <c r="O22" s="609"/>
      <c r="P22" s="606"/>
      <c r="Q22" s="280"/>
      <c r="R22" s="282"/>
      <c r="S22" s="599"/>
      <c r="T22" s="599"/>
      <c r="U22" s="599"/>
      <c r="V22" s="610"/>
      <c r="W22" s="610"/>
      <c r="X22" s="281"/>
      <c r="Y22" s="281"/>
      <c r="Z22" s="281"/>
      <c r="AA22" s="281"/>
      <c r="AB22" s="281"/>
      <c r="AC22" s="281"/>
      <c r="AD22" s="281"/>
      <c r="AE22" s="281"/>
      <c r="AF22" s="281"/>
      <c r="AG22" s="281"/>
      <c r="AH22" s="281"/>
      <c r="AI22" s="281"/>
      <c r="AJ22" s="281"/>
      <c r="AK22" s="281"/>
      <c r="AL22" s="281"/>
      <c r="AM22" s="281"/>
      <c r="AN22" s="281"/>
      <c r="AO22" s="281"/>
      <c r="AP22" s="281"/>
      <c r="AQ22" s="281"/>
      <c r="AR22" s="281"/>
      <c r="AS22" s="281"/>
      <c r="AT22" s="281"/>
      <c r="AU22" s="281"/>
      <c r="AV22" s="281"/>
      <c r="AW22" s="281"/>
      <c r="AX22" s="281"/>
      <c r="AY22" s="281"/>
      <c r="AZ22" s="281"/>
      <c r="BA22" s="281"/>
      <c r="BB22" s="281"/>
      <c r="BC22" s="281"/>
      <c r="BD22" s="281"/>
      <c r="BE22" s="281"/>
      <c r="BF22" s="281"/>
      <c r="BG22" s="281"/>
    </row>
    <row r="23" spans="1:59" ht="14.45" customHeight="1">
      <c r="A23" s="280"/>
      <c r="B23" s="280"/>
      <c r="C23" s="280"/>
      <c r="D23" s="280"/>
      <c r="E23" s="280"/>
      <c r="F23" s="280"/>
      <c r="G23" s="603" t="s">
        <v>940</v>
      </c>
      <c r="H23" s="603"/>
      <c r="I23" s="603"/>
      <c r="J23" s="603"/>
      <c r="K23" s="603"/>
      <c r="L23" s="603"/>
      <c r="M23" s="603"/>
      <c r="N23" s="603"/>
      <c r="O23" s="603"/>
      <c r="P23" s="603"/>
      <c r="Q23" s="603"/>
      <c r="R23" s="280"/>
      <c r="S23" s="280"/>
      <c r="T23" s="293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  <c r="AF23" s="281"/>
      <c r="AG23" s="281"/>
      <c r="AH23" s="281"/>
      <c r="AI23" s="281"/>
      <c r="AJ23" s="281"/>
      <c r="AK23" s="281"/>
      <c r="AL23" s="281"/>
      <c r="AM23" s="281"/>
      <c r="AN23" s="281"/>
      <c r="AO23" s="281"/>
      <c r="AP23" s="281"/>
      <c r="AQ23" s="281"/>
      <c r="AR23" s="281"/>
      <c r="AS23" s="281"/>
      <c r="AT23" s="281"/>
      <c r="AU23" s="281"/>
      <c r="AV23" s="281"/>
      <c r="AW23" s="281"/>
      <c r="AX23" s="281"/>
      <c r="AY23" s="281"/>
      <c r="AZ23" s="281"/>
      <c r="BA23" s="281"/>
      <c r="BB23" s="281"/>
      <c r="BC23" s="281"/>
      <c r="BD23" s="281"/>
      <c r="BE23" s="281"/>
      <c r="BF23" s="281"/>
      <c r="BG23" s="281"/>
    </row>
    <row r="24" spans="1:59" ht="16.5">
      <c r="A24" s="280"/>
      <c r="B24" s="280"/>
      <c r="C24" s="280"/>
      <c r="D24" s="280"/>
      <c r="E24" s="280"/>
      <c r="F24" s="280"/>
      <c r="G24" s="280"/>
      <c r="H24" s="589" t="s">
        <v>2</v>
      </c>
      <c r="I24" s="589"/>
      <c r="J24" s="280"/>
      <c r="K24" s="280"/>
      <c r="L24" s="280"/>
      <c r="M24" s="280"/>
      <c r="N24" s="280"/>
      <c r="O24" s="280"/>
      <c r="P24" s="281"/>
      <c r="Q24" s="280"/>
      <c r="R24" s="280"/>
      <c r="S24" s="280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281"/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1"/>
      <c r="AX24" s="281"/>
      <c r="AY24" s="281"/>
      <c r="AZ24" s="281"/>
      <c r="BA24" s="281"/>
      <c r="BB24" s="281"/>
      <c r="BC24" s="281"/>
      <c r="BD24" s="281"/>
      <c r="BE24" s="281"/>
      <c r="BF24" s="281"/>
      <c r="BG24" s="281"/>
    </row>
    <row r="25" spans="1:59" ht="16.5">
      <c r="A25" s="280"/>
      <c r="B25" s="280"/>
      <c r="C25" s="280"/>
      <c r="D25" s="280"/>
      <c r="E25" s="280"/>
      <c r="F25" s="280"/>
      <c r="G25" s="280"/>
      <c r="H25" s="589" t="s">
        <v>2</v>
      </c>
      <c r="I25" s="589"/>
      <c r="J25" s="280"/>
      <c r="K25" s="280"/>
      <c r="L25" s="280"/>
      <c r="M25" s="280"/>
      <c r="N25" s="280"/>
      <c r="O25" s="280"/>
      <c r="P25" s="281"/>
      <c r="Q25" s="280"/>
      <c r="R25" s="280"/>
      <c r="S25" s="280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1"/>
      <c r="AX25" s="281"/>
      <c r="AY25" s="281"/>
      <c r="AZ25" s="281"/>
      <c r="BA25" s="281"/>
      <c r="BB25" s="281"/>
      <c r="BC25" s="281"/>
      <c r="BD25" s="281"/>
      <c r="BE25" s="281"/>
      <c r="BF25" s="281"/>
      <c r="BG25" s="281"/>
    </row>
    <row r="26" spans="1:59">
      <c r="A26" s="280"/>
      <c r="B26" s="280"/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1"/>
      <c r="Q26" s="280"/>
      <c r="R26" s="280"/>
      <c r="S26" s="280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1"/>
      <c r="AX26" s="281"/>
      <c r="AY26" s="281"/>
      <c r="AZ26" s="281"/>
      <c r="BA26" s="281"/>
      <c r="BB26" s="281"/>
      <c r="BC26" s="281"/>
      <c r="BD26" s="281"/>
      <c r="BE26" s="281"/>
      <c r="BF26" s="281"/>
      <c r="BG26" s="281"/>
    </row>
    <row r="27" spans="1:59">
      <c r="A27" s="280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1"/>
      <c r="Q27" s="280"/>
      <c r="R27" s="280"/>
      <c r="S27" s="280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/>
      <c r="AY27" s="281"/>
      <c r="AZ27" s="281"/>
      <c r="BA27" s="281"/>
      <c r="BB27" s="281"/>
      <c r="BC27" s="281"/>
      <c r="BD27" s="281"/>
      <c r="BE27" s="281"/>
      <c r="BF27" s="281"/>
      <c r="BG27" s="281"/>
    </row>
    <row r="28" spans="1:59">
      <c r="A28" s="281"/>
      <c r="B28" s="281"/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281"/>
      <c r="AK28" s="281"/>
      <c r="AL28" s="281"/>
      <c r="AM28" s="281"/>
      <c r="AN28" s="281"/>
      <c r="AO28" s="281"/>
      <c r="AP28" s="281"/>
      <c r="AQ28" s="281"/>
      <c r="AR28" s="281"/>
      <c r="AS28" s="281"/>
      <c r="AT28" s="281"/>
      <c r="AU28" s="281"/>
      <c r="AV28" s="281"/>
      <c r="AW28" s="281"/>
      <c r="AX28" s="281"/>
      <c r="AY28" s="281"/>
      <c r="AZ28" s="281"/>
      <c r="BA28" s="281"/>
      <c r="BB28" s="281"/>
      <c r="BC28" s="281"/>
      <c r="BD28" s="281"/>
      <c r="BE28" s="281"/>
      <c r="BF28" s="281"/>
      <c r="BG28" s="281"/>
    </row>
    <row r="29" spans="1:59">
      <c r="A29" s="281"/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1"/>
      <c r="AX29" s="281"/>
      <c r="AY29" s="281"/>
      <c r="AZ29" s="281"/>
      <c r="BA29" s="281"/>
      <c r="BB29" s="281"/>
      <c r="BC29" s="281"/>
      <c r="BD29" s="281"/>
      <c r="BE29" s="281"/>
      <c r="BF29" s="281"/>
      <c r="BG29" s="281"/>
    </row>
    <row r="30" spans="1:59">
      <c r="A30" s="281"/>
      <c r="B30" s="281"/>
      <c r="C30" s="281"/>
      <c r="D30" s="281"/>
      <c r="E30" s="281"/>
      <c r="F30" s="281"/>
      <c r="G30" s="281"/>
      <c r="H30" s="281"/>
      <c r="I30" s="281"/>
      <c r="J30" s="281"/>
      <c r="K30" s="281"/>
      <c r="L30" s="281"/>
      <c r="M30" s="281"/>
      <c r="N30" s="281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  <c r="AI30" s="281"/>
      <c r="AJ30" s="281"/>
      <c r="AK30" s="281"/>
      <c r="AL30" s="281"/>
      <c r="AM30" s="281"/>
      <c r="AN30" s="281"/>
      <c r="AO30" s="281"/>
      <c r="AP30" s="281"/>
      <c r="AQ30" s="281"/>
      <c r="AR30" s="281"/>
      <c r="AS30" s="281"/>
      <c r="AT30" s="281"/>
      <c r="AU30" s="281"/>
      <c r="AV30" s="281"/>
      <c r="AW30" s="281"/>
      <c r="AX30" s="281"/>
      <c r="AY30" s="281"/>
      <c r="AZ30" s="281"/>
      <c r="BA30" s="281"/>
      <c r="BB30" s="281"/>
      <c r="BC30" s="281"/>
      <c r="BD30" s="281"/>
      <c r="BE30" s="281"/>
      <c r="BF30" s="281"/>
      <c r="BG30" s="281"/>
    </row>
    <row r="31" spans="1:59">
      <c r="A31" s="281"/>
      <c r="B31" s="281"/>
      <c r="C31" s="281"/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281"/>
      <c r="AK31" s="281"/>
      <c r="AL31" s="281"/>
      <c r="AM31" s="281"/>
      <c r="AN31" s="281"/>
      <c r="AO31" s="281"/>
      <c r="AP31" s="281"/>
      <c r="AQ31" s="281"/>
      <c r="AR31" s="281"/>
      <c r="AS31" s="281"/>
      <c r="AT31" s="281"/>
      <c r="AU31" s="281"/>
      <c r="AV31" s="281"/>
      <c r="AW31" s="281"/>
      <c r="AX31" s="281"/>
      <c r="AY31" s="281"/>
      <c r="AZ31" s="281"/>
      <c r="BA31" s="281"/>
      <c r="BB31" s="281"/>
      <c r="BC31" s="281"/>
      <c r="BD31" s="281"/>
      <c r="BE31" s="281"/>
      <c r="BF31" s="281"/>
      <c r="BG31" s="281"/>
    </row>
    <row r="32" spans="1:59">
      <c r="A32" s="281"/>
      <c r="B32" s="281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  <c r="AI32" s="281"/>
      <c r="AJ32" s="281"/>
      <c r="AK32" s="281"/>
      <c r="AL32" s="281"/>
      <c r="AM32" s="281"/>
      <c r="AN32" s="281"/>
      <c r="AO32" s="281"/>
      <c r="AP32" s="281"/>
      <c r="AQ32" s="281"/>
      <c r="AR32" s="281"/>
      <c r="AS32" s="281"/>
      <c r="AT32" s="281"/>
      <c r="AU32" s="281"/>
      <c r="AV32" s="281"/>
      <c r="AW32" s="281"/>
      <c r="AX32" s="281"/>
      <c r="AY32" s="281"/>
      <c r="AZ32" s="281"/>
      <c r="BA32" s="281"/>
      <c r="BB32" s="281"/>
      <c r="BC32" s="281"/>
      <c r="BD32" s="281"/>
      <c r="BE32" s="281"/>
      <c r="BF32" s="281"/>
      <c r="BG32" s="281"/>
    </row>
    <row r="33" spans="1:59">
      <c r="A33" s="281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  <c r="AK33" s="281"/>
      <c r="AL33" s="281"/>
      <c r="AM33" s="281"/>
      <c r="AN33" s="281"/>
      <c r="AO33" s="281"/>
      <c r="AP33" s="281"/>
      <c r="AQ33" s="281"/>
      <c r="AR33" s="281"/>
      <c r="AS33" s="281"/>
      <c r="AT33" s="281"/>
      <c r="AU33" s="281"/>
      <c r="AV33" s="281"/>
      <c r="AW33" s="281"/>
      <c r="AX33" s="281"/>
      <c r="AY33" s="281"/>
      <c r="AZ33" s="281"/>
      <c r="BA33" s="281"/>
      <c r="BB33" s="281"/>
      <c r="BC33" s="281"/>
      <c r="BD33" s="281"/>
      <c r="BE33" s="281"/>
      <c r="BF33" s="281"/>
      <c r="BG33" s="281"/>
    </row>
    <row r="34" spans="1:59">
      <c r="A34" s="281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281"/>
      <c r="AK34" s="281"/>
      <c r="AL34" s="281"/>
      <c r="AM34" s="281"/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/>
      <c r="AY34" s="281"/>
      <c r="AZ34" s="281"/>
      <c r="BA34" s="281"/>
      <c r="BB34" s="281"/>
      <c r="BC34" s="281"/>
      <c r="BD34" s="281"/>
      <c r="BE34" s="281"/>
      <c r="BF34" s="281"/>
      <c r="BG34" s="281"/>
    </row>
    <row r="35" spans="1:59">
      <c r="A35" s="281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281"/>
      <c r="AK35" s="281"/>
      <c r="AL35" s="281"/>
      <c r="AM35" s="281"/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  <c r="BA35" s="281"/>
      <c r="BB35" s="281"/>
      <c r="BC35" s="281"/>
      <c r="BD35" s="281"/>
      <c r="BE35" s="281"/>
      <c r="BF35" s="281"/>
      <c r="BG35" s="281"/>
    </row>
    <row r="36" spans="1:59">
      <c r="A36" s="281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/>
      <c r="AY36" s="281"/>
      <c r="AZ36" s="281"/>
      <c r="BA36" s="281"/>
      <c r="BB36" s="281"/>
      <c r="BC36" s="281"/>
      <c r="BD36" s="281"/>
      <c r="BE36" s="281"/>
      <c r="BF36" s="281"/>
      <c r="BG36" s="281"/>
    </row>
    <row r="37" spans="1:59">
      <c r="A37" s="281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/>
      <c r="AY37" s="281"/>
      <c r="AZ37" s="281"/>
      <c r="BA37" s="281"/>
      <c r="BB37" s="281"/>
      <c r="BC37" s="281"/>
      <c r="BD37" s="281"/>
      <c r="BE37" s="281"/>
      <c r="BF37" s="281"/>
      <c r="BG37" s="281"/>
    </row>
    <row r="38" spans="1:59">
      <c r="A38" s="281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1"/>
      <c r="AY38" s="281"/>
      <c r="AZ38" s="281"/>
      <c r="BA38" s="281"/>
      <c r="BB38" s="281"/>
      <c r="BC38" s="281"/>
      <c r="BD38" s="281"/>
      <c r="BE38" s="281"/>
      <c r="BF38" s="281"/>
      <c r="BG38" s="281"/>
    </row>
    <row r="39" spans="1:59">
      <c r="A39" s="281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281"/>
      <c r="AX39" s="281"/>
      <c r="AY39" s="281"/>
      <c r="AZ39" s="281"/>
      <c r="BA39" s="281"/>
      <c r="BB39" s="281"/>
      <c r="BC39" s="281"/>
      <c r="BD39" s="281"/>
      <c r="BE39" s="281"/>
      <c r="BF39" s="281"/>
      <c r="BG39" s="281"/>
    </row>
    <row r="40" spans="1:59">
      <c r="A40" s="281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281"/>
      <c r="AX40" s="281"/>
      <c r="AY40" s="281"/>
      <c r="AZ40" s="281"/>
      <c r="BA40" s="281"/>
      <c r="BB40" s="281"/>
      <c r="BC40" s="281"/>
      <c r="BD40" s="281"/>
      <c r="BE40" s="281"/>
      <c r="BF40" s="281"/>
      <c r="BG40" s="281"/>
    </row>
    <row r="41" spans="1:59">
      <c r="A41" s="281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  <c r="AK41" s="281"/>
      <c r="AL41" s="28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/>
      <c r="AY41" s="281"/>
      <c r="AZ41" s="281"/>
      <c r="BA41" s="281"/>
      <c r="BB41" s="281"/>
      <c r="BC41" s="281"/>
      <c r="BD41" s="281"/>
      <c r="BE41" s="281"/>
      <c r="BF41" s="281"/>
      <c r="BG41" s="281"/>
    </row>
    <row r="42" spans="1:59">
      <c r="A42" s="281"/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  <c r="AK42" s="281"/>
      <c r="AL42" s="281"/>
      <c r="AM42" s="281"/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/>
      <c r="AY42" s="281"/>
      <c r="AZ42" s="281"/>
      <c r="BA42" s="281"/>
      <c r="BB42" s="281"/>
      <c r="BC42" s="281"/>
      <c r="BD42" s="281"/>
      <c r="BE42" s="281"/>
      <c r="BF42" s="281"/>
      <c r="BG42" s="281"/>
    </row>
    <row r="43" spans="1:59">
      <c r="A43" s="281"/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281"/>
      <c r="AK43" s="281"/>
      <c r="AL43" s="281"/>
      <c r="AM43" s="281"/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/>
      <c r="AY43" s="281"/>
      <c r="AZ43" s="281"/>
      <c r="BA43" s="281"/>
      <c r="BB43" s="281"/>
      <c r="BC43" s="281"/>
      <c r="BD43" s="281"/>
      <c r="BE43" s="281"/>
      <c r="BF43" s="281"/>
      <c r="BG43" s="281"/>
    </row>
    <row r="44" spans="1:59">
      <c r="A44" s="281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</row>
    <row r="45" spans="1:59">
      <c r="A45" s="281"/>
      <c r="B45" s="281"/>
      <c r="C45" s="281"/>
      <c r="D45" s="281"/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281"/>
      <c r="AK45" s="281"/>
      <c r="AL45" s="281"/>
      <c r="AM45" s="281"/>
      <c r="AN45" s="281"/>
      <c r="AO45" s="281"/>
      <c r="AP45" s="281"/>
      <c r="AQ45" s="281"/>
      <c r="AR45" s="281"/>
      <c r="AS45" s="281"/>
      <c r="AT45" s="281"/>
      <c r="AU45" s="281"/>
      <c r="AV45" s="281"/>
      <c r="AW45" s="281"/>
      <c r="AX45" s="281"/>
      <c r="AY45" s="281"/>
      <c r="AZ45" s="281"/>
      <c r="BA45" s="281"/>
      <c r="BB45" s="281"/>
      <c r="BC45" s="281"/>
      <c r="BD45" s="281"/>
      <c r="BE45" s="281"/>
      <c r="BF45" s="281"/>
      <c r="BG45" s="281"/>
    </row>
    <row r="46" spans="1:59">
      <c r="A46" s="281"/>
      <c r="B46" s="281"/>
      <c r="C46" s="281"/>
      <c r="D46" s="281"/>
      <c r="E46" s="281"/>
      <c r="F46" s="281"/>
      <c r="G46" s="281"/>
      <c r="H46" s="281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281"/>
      <c r="AK46" s="281"/>
      <c r="AL46" s="281"/>
      <c r="AM46" s="281"/>
      <c r="AN46" s="281"/>
      <c r="AO46" s="281"/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  <c r="BA46" s="281"/>
      <c r="BB46" s="281"/>
      <c r="BC46" s="281"/>
      <c r="BD46" s="281"/>
      <c r="BE46" s="281"/>
      <c r="BF46" s="281"/>
      <c r="BG46" s="281"/>
    </row>
    <row r="47" spans="1:59">
      <c r="A47" s="281"/>
      <c r="B47" s="281"/>
      <c r="C47" s="281"/>
      <c r="D47" s="281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  <c r="AF47" s="281"/>
      <c r="AG47" s="281"/>
      <c r="AH47" s="281"/>
      <c r="AI47" s="281"/>
      <c r="AJ47" s="281"/>
      <c r="AK47" s="281"/>
      <c r="AL47" s="281"/>
      <c r="AM47" s="281"/>
      <c r="AN47" s="281"/>
      <c r="AO47" s="281"/>
      <c r="AP47" s="281"/>
      <c r="AQ47" s="281"/>
      <c r="AR47" s="281"/>
      <c r="AS47" s="281"/>
      <c r="AT47" s="281"/>
      <c r="AU47" s="281"/>
      <c r="AV47" s="281"/>
      <c r="AW47" s="281"/>
      <c r="AX47" s="281"/>
      <c r="AY47" s="281"/>
      <c r="AZ47" s="281"/>
      <c r="BA47" s="281"/>
      <c r="BB47" s="281"/>
      <c r="BC47" s="281"/>
      <c r="BD47" s="281"/>
      <c r="BE47" s="281"/>
      <c r="BF47" s="281"/>
      <c r="BG47" s="281"/>
    </row>
    <row r="48" spans="1:59">
      <c r="A48" s="281"/>
      <c r="B48" s="281"/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  <c r="AF48" s="281"/>
      <c r="AG48" s="281"/>
      <c r="AH48" s="281"/>
      <c r="AI48" s="281"/>
      <c r="AJ48" s="281"/>
      <c r="AK48" s="281"/>
      <c r="AL48" s="281"/>
      <c r="AM48" s="281"/>
      <c r="AN48" s="281"/>
      <c r="AO48" s="281"/>
      <c r="AP48" s="281"/>
      <c r="AQ48" s="281"/>
      <c r="AR48" s="281"/>
      <c r="AS48" s="281"/>
      <c r="AT48" s="281"/>
      <c r="AU48" s="281"/>
      <c r="AV48" s="281"/>
      <c r="AW48" s="281"/>
      <c r="AX48" s="281"/>
      <c r="AY48" s="281"/>
      <c r="AZ48" s="281"/>
      <c r="BA48" s="281"/>
      <c r="BB48" s="281"/>
      <c r="BC48" s="281"/>
      <c r="BD48" s="281"/>
      <c r="BE48" s="281"/>
      <c r="BF48" s="281"/>
      <c r="BG48" s="281"/>
    </row>
    <row r="49" spans="1:59">
      <c r="A49" s="281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  <c r="AI49" s="281"/>
      <c r="AJ49" s="281"/>
      <c r="AK49" s="281"/>
      <c r="AL49" s="281"/>
      <c r="AM49" s="281"/>
      <c r="AN49" s="281"/>
      <c r="AO49" s="281"/>
      <c r="AP49" s="281"/>
      <c r="AQ49" s="281"/>
      <c r="AR49" s="281"/>
      <c r="AS49" s="281"/>
      <c r="AT49" s="281"/>
      <c r="AU49" s="281"/>
      <c r="AV49" s="281"/>
      <c r="AW49" s="281"/>
      <c r="AX49" s="281"/>
      <c r="AY49" s="281"/>
      <c r="AZ49" s="281"/>
      <c r="BA49" s="281"/>
      <c r="BB49" s="281"/>
      <c r="BC49" s="281"/>
      <c r="BD49" s="281"/>
      <c r="BE49" s="281"/>
      <c r="BF49" s="281"/>
      <c r="BG49" s="281"/>
    </row>
    <row r="50" spans="1:59">
      <c r="A50" s="281"/>
      <c r="B50" s="281"/>
      <c r="C50" s="281"/>
      <c r="D50" s="281"/>
      <c r="E50" s="281"/>
      <c r="F50" s="281"/>
      <c r="G50" s="281"/>
      <c r="H50" s="281"/>
      <c r="I50" s="281"/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</row>
    <row r="51" spans="1:59">
      <c r="A51" s="281"/>
      <c r="B51" s="281"/>
      <c r="C51" s="281"/>
      <c r="D51" s="281"/>
      <c r="E51" s="281"/>
      <c r="F51" s="281"/>
      <c r="G51" s="281"/>
      <c r="H51" s="281"/>
      <c r="I51" s="281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  <c r="AI51" s="281"/>
      <c r="AJ51" s="281"/>
      <c r="AK51" s="281"/>
      <c r="AL51" s="281"/>
      <c r="AM51" s="281"/>
      <c r="AN51" s="281"/>
      <c r="AO51" s="281"/>
      <c r="AP51" s="281"/>
      <c r="AQ51" s="281"/>
      <c r="AR51" s="281"/>
      <c r="AS51" s="281"/>
      <c r="AT51" s="281"/>
      <c r="AU51" s="281"/>
      <c r="AV51" s="281"/>
      <c r="AW51" s="281"/>
      <c r="AX51" s="281"/>
      <c r="AY51" s="281"/>
      <c r="AZ51" s="281"/>
      <c r="BA51" s="281"/>
      <c r="BB51" s="281"/>
      <c r="BC51" s="281"/>
      <c r="BD51" s="281"/>
      <c r="BE51" s="281"/>
      <c r="BF51" s="281"/>
      <c r="BG51" s="281"/>
    </row>
    <row r="52" spans="1:59">
      <c r="A52" s="281"/>
      <c r="B52" s="281"/>
      <c r="C52" s="281"/>
      <c r="D52" s="281"/>
      <c r="E52" s="281"/>
      <c r="F52" s="281"/>
      <c r="G52" s="281"/>
      <c r="H52" s="281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281"/>
      <c r="AK52" s="281"/>
      <c r="AL52" s="281"/>
      <c r="AM52" s="281"/>
      <c r="AN52" s="281"/>
      <c r="AO52" s="281"/>
      <c r="AP52" s="281"/>
      <c r="AQ52" s="281"/>
      <c r="AR52" s="281"/>
      <c r="AS52" s="281"/>
      <c r="AT52" s="281"/>
      <c r="AU52" s="281"/>
      <c r="AV52" s="281"/>
      <c r="AW52" s="281"/>
      <c r="AX52" s="281"/>
      <c r="AY52" s="281"/>
      <c r="AZ52" s="281"/>
      <c r="BA52" s="281"/>
      <c r="BB52" s="281"/>
      <c r="BC52" s="281"/>
      <c r="BD52" s="281"/>
      <c r="BE52" s="281"/>
      <c r="BF52" s="281"/>
      <c r="BG52" s="281"/>
    </row>
    <row r="53" spans="1:59">
      <c r="A53" s="281"/>
      <c r="B53" s="281"/>
      <c r="C53" s="281"/>
      <c r="D53" s="281"/>
      <c r="E53" s="281"/>
      <c r="F53" s="281"/>
      <c r="G53" s="281"/>
      <c r="H53" s="281"/>
      <c r="I53" s="28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  <c r="AI53" s="281"/>
      <c r="AJ53" s="281"/>
      <c r="AK53" s="281"/>
      <c r="AL53" s="281"/>
      <c r="AM53" s="281"/>
      <c r="AN53" s="281"/>
      <c r="AO53" s="281"/>
      <c r="AP53" s="281"/>
      <c r="AQ53" s="281"/>
      <c r="AR53" s="281"/>
      <c r="AS53" s="281"/>
      <c r="AT53" s="281"/>
      <c r="AU53" s="281"/>
      <c r="AV53" s="281"/>
      <c r="AW53" s="281"/>
      <c r="AX53" s="281"/>
      <c r="AY53" s="281"/>
      <c r="AZ53" s="281"/>
      <c r="BA53" s="281"/>
      <c r="BB53" s="281"/>
      <c r="BC53" s="281"/>
      <c r="BD53" s="281"/>
      <c r="BE53" s="281"/>
      <c r="BF53" s="281"/>
      <c r="BG53" s="281"/>
    </row>
    <row r="54" spans="1:59">
      <c r="A54" s="281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281"/>
      <c r="AK54" s="281"/>
      <c r="AL54" s="281"/>
      <c r="AM54" s="281"/>
      <c r="AN54" s="281"/>
      <c r="AO54" s="281"/>
      <c r="AP54" s="281"/>
      <c r="AQ54" s="281"/>
      <c r="AR54" s="281"/>
      <c r="AS54" s="281"/>
      <c r="AT54" s="281"/>
      <c r="AU54" s="281"/>
      <c r="AV54" s="281"/>
      <c r="AW54" s="281"/>
      <c r="AX54" s="281"/>
      <c r="AY54" s="281"/>
      <c r="AZ54" s="281"/>
      <c r="BA54" s="281"/>
      <c r="BB54" s="281"/>
      <c r="BC54" s="281"/>
      <c r="BD54" s="281"/>
      <c r="BE54" s="281"/>
      <c r="BF54" s="281"/>
      <c r="BG54" s="281"/>
    </row>
    <row r="55" spans="1:59">
      <c r="A55" s="281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281"/>
      <c r="AK55" s="281"/>
      <c r="AL55" s="281"/>
      <c r="AM55" s="281"/>
      <c r="AN55" s="281"/>
      <c r="AO55" s="281"/>
      <c r="AP55" s="281"/>
      <c r="AQ55" s="281"/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1"/>
      <c r="BG55" s="281"/>
    </row>
    <row r="56" spans="1:59">
      <c r="A56" s="281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281"/>
      <c r="AK56" s="281"/>
      <c r="AL56" s="281"/>
      <c r="AM56" s="281"/>
      <c r="AN56" s="281"/>
      <c r="AO56" s="281"/>
      <c r="AP56" s="281"/>
      <c r="AQ56" s="281"/>
      <c r="AR56" s="281"/>
      <c r="AS56" s="281"/>
      <c r="AT56" s="281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/>
      <c r="BE56" s="281"/>
      <c r="BF56" s="281"/>
      <c r="BG56" s="281"/>
    </row>
    <row r="57" spans="1:59">
      <c r="A57" s="281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281"/>
      <c r="AK57" s="281"/>
      <c r="AL57" s="281"/>
      <c r="AM57" s="281"/>
      <c r="AN57" s="281"/>
      <c r="AO57" s="281"/>
      <c r="AP57" s="281"/>
      <c r="AQ57" s="281"/>
      <c r="AR57" s="281"/>
      <c r="AS57" s="281"/>
      <c r="AT57" s="281"/>
      <c r="AU57" s="281"/>
      <c r="AV57" s="281"/>
      <c r="AW57" s="281"/>
      <c r="AX57" s="281"/>
      <c r="AY57" s="281"/>
      <c r="AZ57" s="281"/>
      <c r="BA57" s="281"/>
      <c r="BB57" s="281"/>
      <c r="BC57" s="281"/>
      <c r="BD57" s="281"/>
      <c r="BE57" s="281"/>
      <c r="BF57" s="281"/>
      <c r="BG57" s="281"/>
    </row>
    <row r="58" spans="1:59">
      <c r="A58" s="281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281"/>
      <c r="AX58" s="281"/>
      <c r="AY58" s="281"/>
      <c r="AZ58" s="281"/>
      <c r="BA58" s="281"/>
      <c r="BB58" s="281"/>
      <c r="BC58" s="281"/>
      <c r="BD58" s="281"/>
      <c r="BE58" s="281"/>
      <c r="BF58" s="281"/>
      <c r="BG58" s="281"/>
    </row>
    <row r="59" spans="1:59">
      <c r="A59" s="281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281"/>
      <c r="AK59" s="281"/>
      <c r="AL59" s="281"/>
      <c r="AM59" s="281"/>
      <c r="AN59" s="281"/>
      <c r="AO59" s="281"/>
      <c r="AP59" s="281"/>
      <c r="AQ59" s="281"/>
      <c r="AR59" s="281"/>
      <c r="AS59" s="281"/>
      <c r="AT59" s="281"/>
      <c r="AU59" s="281"/>
      <c r="AV59" s="281"/>
      <c r="AW59" s="281"/>
      <c r="AX59" s="281"/>
      <c r="AY59" s="281"/>
      <c r="AZ59" s="281"/>
      <c r="BA59" s="281"/>
      <c r="BB59" s="281"/>
      <c r="BC59" s="281"/>
      <c r="BD59" s="281"/>
      <c r="BE59" s="281"/>
      <c r="BF59" s="281"/>
      <c r="BG59" s="281"/>
    </row>
    <row r="60" spans="1:59">
      <c r="A60" s="281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</row>
    <row r="61" spans="1:59">
      <c r="A61" s="281"/>
      <c r="B61" s="281"/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  <c r="AF61" s="281"/>
      <c r="AG61" s="281"/>
      <c r="AH61" s="281"/>
      <c r="AI61" s="281"/>
      <c r="AJ61" s="281"/>
      <c r="AK61" s="281"/>
      <c r="AL61" s="281"/>
      <c r="AM61" s="281"/>
      <c r="AN61" s="281"/>
      <c r="AO61" s="281"/>
      <c r="AP61" s="281"/>
      <c r="AQ61" s="281"/>
      <c r="AR61" s="281"/>
      <c r="AS61" s="281"/>
      <c r="AT61" s="281"/>
      <c r="AU61" s="281"/>
      <c r="AV61" s="281"/>
      <c r="AW61" s="281"/>
      <c r="AX61" s="281"/>
      <c r="AY61" s="281"/>
      <c r="AZ61" s="281"/>
      <c r="BA61" s="281"/>
      <c r="BB61" s="281"/>
      <c r="BC61" s="281"/>
      <c r="BD61" s="281"/>
      <c r="BE61" s="281"/>
      <c r="BF61" s="281"/>
      <c r="BG61" s="281"/>
    </row>
    <row r="62" spans="1:59">
      <c r="A62" s="281"/>
      <c r="B62" s="281"/>
      <c r="C62" s="281"/>
      <c r="D62" s="281"/>
      <c r="E62" s="281"/>
      <c r="F62" s="281"/>
      <c r="G62" s="281"/>
      <c r="H62" s="281"/>
      <c r="I62" s="281"/>
      <c r="J62" s="281"/>
      <c r="K62" s="281"/>
      <c r="L62" s="281"/>
      <c r="M62" s="281"/>
      <c r="N62" s="281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  <c r="AF62" s="281"/>
      <c r="AG62" s="281"/>
      <c r="AH62" s="281"/>
      <c r="AI62" s="281"/>
      <c r="AJ62" s="281"/>
      <c r="AK62" s="281"/>
      <c r="AL62" s="281"/>
      <c r="AM62" s="281"/>
      <c r="AN62" s="281"/>
      <c r="AO62" s="281"/>
      <c r="AP62" s="281"/>
      <c r="AQ62" s="281"/>
      <c r="AR62" s="281"/>
      <c r="AS62" s="281"/>
      <c r="AT62" s="281"/>
      <c r="AU62" s="281"/>
      <c r="AV62" s="281"/>
      <c r="AW62" s="281"/>
      <c r="AX62" s="281"/>
      <c r="AY62" s="281"/>
      <c r="AZ62" s="281"/>
      <c r="BA62" s="281"/>
      <c r="BB62" s="281"/>
      <c r="BC62" s="281"/>
      <c r="BD62" s="281"/>
      <c r="BE62" s="281"/>
      <c r="BF62" s="281"/>
      <c r="BG62" s="281"/>
    </row>
    <row r="63" spans="1:59">
      <c r="A63" s="281"/>
      <c r="B63" s="281"/>
      <c r="C63" s="281"/>
      <c r="D63" s="281"/>
      <c r="E63" s="281"/>
      <c r="F63" s="281"/>
      <c r="G63" s="281"/>
      <c r="H63" s="281"/>
      <c r="I63" s="281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281"/>
      <c r="AR63" s="281"/>
      <c r="AS63" s="281"/>
      <c r="AT63" s="281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</row>
    <row r="64" spans="1:59">
      <c r="A64" s="281"/>
      <c r="B64" s="281"/>
      <c r="C64" s="281"/>
      <c r="D64" s="281"/>
      <c r="E64" s="281"/>
      <c r="F64" s="281"/>
      <c r="G64" s="281"/>
      <c r="H64" s="281"/>
      <c r="I64" s="281"/>
      <c r="J64" s="281"/>
      <c r="K64" s="281"/>
      <c r="L64" s="281"/>
      <c r="M64" s="281"/>
      <c r="N64" s="281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  <c r="AF64" s="281"/>
      <c r="AG64" s="281"/>
      <c r="AH64" s="281"/>
      <c r="AI64" s="281"/>
      <c r="AJ64" s="281"/>
      <c r="AK64" s="281"/>
      <c r="AL64" s="281"/>
      <c r="AM64" s="281"/>
      <c r="AN64" s="281"/>
      <c r="AO64" s="281"/>
      <c r="AP64" s="281"/>
      <c r="AQ64" s="281"/>
      <c r="AR64" s="281"/>
      <c r="AS64" s="281"/>
      <c r="AT64" s="281"/>
      <c r="AU64" s="281"/>
      <c r="AV64" s="281"/>
      <c r="AW64" s="281"/>
      <c r="AX64" s="281"/>
      <c r="AY64" s="281"/>
      <c r="AZ64" s="281"/>
      <c r="BA64" s="281"/>
      <c r="BB64" s="281"/>
      <c r="BC64" s="281"/>
      <c r="BD64" s="281"/>
      <c r="BE64" s="281"/>
      <c r="BF64" s="281"/>
      <c r="BG64" s="281"/>
    </row>
    <row r="65" spans="1:59">
      <c r="A65" s="281"/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  <c r="AF65" s="281"/>
      <c r="AG65" s="281"/>
      <c r="AH65" s="281"/>
      <c r="AI65" s="281"/>
      <c r="AJ65" s="281"/>
      <c r="AK65" s="281"/>
      <c r="AL65" s="281"/>
      <c r="AM65" s="281"/>
      <c r="AN65" s="281"/>
      <c r="AO65" s="281"/>
      <c r="AP65" s="281"/>
      <c r="AQ65" s="281"/>
      <c r="AR65" s="281"/>
      <c r="AS65" s="281"/>
      <c r="AT65" s="281"/>
      <c r="AU65" s="281"/>
      <c r="AV65" s="281"/>
      <c r="AW65" s="281"/>
      <c r="AX65" s="281"/>
      <c r="AY65" s="281"/>
      <c r="AZ65" s="281"/>
      <c r="BA65" s="281"/>
      <c r="BB65" s="281"/>
      <c r="BC65" s="281"/>
      <c r="BD65" s="281"/>
      <c r="BE65" s="281"/>
      <c r="BF65" s="281"/>
      <c r="BG65" s="281"/>
    </row>
    <row r="66" spans="1:59">
      <c r="A66" s="281"/>
      <c r="B66" s="281"/>
      <c r="C66" s="281"/>
      <c r="D66" s="281"/>
      <c r="E66" s="281"/>
      <c r="F66" s="281"/>
      <c r="G66" s="281"/>
      <c r="H66" s="281"/>
      <c r="I66" s="281"/>
      <c r="J66" s="281"/>
      <c r="K66" s="281"/>
      <c r="L66" s="281"/>
      <c r="M66" s="281"/>
      <c r="N66" s="281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  <c r="AF66" s="281"/>
      <c r="AG66" s="281"/>
      <c r="AH66" s="281"/>
      <c r="AI66" s="281"/>
      <c r="AJ66" s="281"/>
      <c r="AK66" s="281"/>
      <c r="AL66" s="281"/>
      <c r="AM66" s="281"/>
      <c r="AN66" s="281"/>
      <c r="AO66" s="281"/>
      <c r="AP66" s="281"/>
      <c r="AQ66" s="281"/>
      <c r="AR66" s="281"/>
      <c r="AS66" s="281"/>
      <c r="AT66" s="281"/>
      <c r="AU66" s="281"/>
      <c r="AV66" s="281"/>
      <c r="AW66" s="281"/>
      <c r="AX66" s="281"/>
      <c r="AY66" s="281"/>
      <c r="AZ66" s="281"/>
      <c r="BA66" s="281"/>
      <c r="BB66" s="281"/>
      <c r="BC66" s="281"/>
      <c r="BD66" s="281"/>
      <c r="BE66" s="281"/>
      <c r="BF66" s="281"/>
      <c r="BG66" s="281"/>
    </row>
    <row r="67" spans="1:59">
      <c r="A67" s="281"/>
      <c r="B67" s="281"/>
      <c r="C67" s="281"/>
      <c r="D67" s="281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  <c r="AF67" s="281"/>
      <c r="AG67" s="281"/>
      <c r="AH67" s="281"/>
      <c r="AI67" s="281"/>
      <c r="AJ67" s="281"/>
      <c r="AK67" s="281"/>
      <c r="AL67" s="281"/>
      <c r="AM67" s="281"/>
      <c r="AN67" s="281"/>
      <c r="AO67" s="281"/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  <c r="BC67" s="281"/>
      <c r="BD67" s="281"/>
      <c r="BE67" s="281"/>
      <c r="BF67" s="281"/>
      <c r="BG67" s="281"/>
    </row>
    <row r="68" spans="1:59">
      <c r="A68" s="281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  <c r="AF68" s="281"/>
      <c r="AG68" s="281"/>
      <c r="AH68" s="281"/>
      <c r="AI68" s="281"/>
      <c r="AJ68" s="281"/>
      <c r="AK68" s="281"/>
      <c r="AL68" s="281"/>
      <c r="AM68" s="281"/>
      <c r="AN68" s="281"/>
      <c r="AO68" s="281"/>
      <c r="AP68" s="281"/>
      <c r="AQ68" s="281"/>
      <c r="AR68" s="281"/>
      <c r="AS68" s="281"/>
      <c r="AT68" s="281"/>
      <c r="AU68" s="281"/>
      <c r="AV68" s="281"/>
      <c r="AW68" s="281"/>
      <c r="AX68" s="281"/>
      <c r="AY68" s="281"/>
      <c r="AZ68" s="281"/>
      <c r="BA68" s="281"/>
      <c r="BB68" s="281"/>
      <c r="BC68" s="281"/>
      <c r="BD68" s="281"/>
      <c r="BE68" s="281"/>
      <c r="BF68" s="281"/>
      <c r="BG68" s="281"/>
    </row>
    <row r="69" spans="1:59">
      <c r="A69" s="281"/>
      <c r="B69" s="281"/>
      <c r="C69" s="281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  <c r="AF69" s="281"/>
      <c r="AG69" s="281"/>
      <c r="AH69" s="281"/>
      <c r="AI69" s="281"/>
      <c r="AJ69" s="281"/>
      <c r="AK69" s="281"/>
      <c r="AL69" s="281"/>
      <c r="AM69" s="281"/>
      <c r="AN69" s="281"/>
      <c r="AO69" s="281"/>
      <c r="AP69" s="281"/>
      <c r="AQ69" s="281"/>
      <c r="AR69" s="281"/>
      <c r="AS69" s="281"/>
      <c r="AT69" s="281"/>
      <c r="AU69" s="281"/>
      <c r="AV69" s="281"/>
      <c r="AW69" s="281"/>
      <c r="AX69" s="281"/>
      <c r="AY69" s="281"/>
      <c r="AZ69" s="281"/>
      <c r="BA69" s="281"/>
      <c r="BB69" s="281"/>
      <c r="BC69" s="281"/>
      <c r="BD69" s="281"/>
      <c r="BE69" s="281"/>
      <c r="BF69" s="281"/>
      <c r="BG69" s="281"/>
    </row>
    <row r="70" spans="1:59">
      <c r="A70" s="281"/>
      <c r="B70" s="281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  <c r="AF70" s="281"/>
      <c r="AG70" s="281"/>
      <c r="AH70" s="281"/>
      <c r="AI70" s="281"/>
      <c r="AJ70" s="281"/>
      <c r="AK70" s="281"/>
      <c r="AL70" s="281"/>
      <c r="AM70" s="281"/>
      <c r="AN70" s="281"/>
      <c r="AO70" s="281"/>
      <c r="AP70" s="281"/>
      <c r="AQ70" s="281"/>
      <c r="AR70" s="281"/>
      <c r="AS70" s="281"/>
      <c r="AT70" s="281"/>
      <c r="AU70" s="281"/>
      <c r="AV70" s="281"/>
      <c r="AW70" s="281"/>
      <c r="AX70" s="281"/>
      <c r="AY70" s="281"/>
      <c r="AZ70" s="281"/>
      <c r="BA70" s="281"/>
      <c r="BB70" s="281"/>
      <c r="BC70" s="281"/>
      <c r="BD70" s="281"/>
      <c r="BE70" s="281"/>
      <c r="BF70" s="281"/>
      <c r="BG70" s="281"/>
    </row>
    <row r="71" spans="1:59">
      <c r="A71" s="281"/>
      <c r="B71" s="281"/>
      <c r="C71" s="281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  <c r="AF71" s="281"/>
      <c r="AG71" s="281"/>
      <c r="AH71" s="281"/>
      <c r="AI71" s="281"/>
      <c r="AJ71" s="281"/>
      <c r="AK71" s="281"/>
      <c r="AL71" s="281"/>
      <c r="AM71" s="281"/>
      <c r="AN71" s="281"/>
      <c r="AO71" s="281"/>
      <c r="AP71" s="281"/>
      <c r="AQ71" s="281"/>
      <c r="AR71" s="281"/>
      <c r="AS71" s="281"/>
      <c r="AT71" s="281"/>
      <c r="AU71" s="281"/>
      <c r="AV71" s="281"/>
      <c r="AW71" s="281"/>
      <c r="AX71" s="281"/>
      <c r="AY71" s="281"/>
      <c r="AZ71" s="281"/>
      <c r="BA71" s="281"/>
      <c r="BB71" s="281"/>
      <c r="BC71" s="281"/>
      <c r="BD71" s="281"/>
      <c r="BE71" s="281"/>
      <c r="BF71" s="281"/>
      <c r="BG71" s="281"/>
    </row>
    <row r="72" spans="1:59">
      <c r="A72" s="281"/>
      <c r="B72" s="281"/>
      <c r="C72" s="281"/>
      <c r="D72" s="281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  <c r="AF72" s="281"/>
      <c r="AG72" s="281"/>
      <c r="AH72" s="281"/>
      <c r="AI72" s="281"/>
      <c r="AJ72" s="281"/>
      <c r="AK72" s="281"/>
      <c r="AL72" s="281"/>
      <c r="AM72" s="281"/>
      <c r="AN72" s="281"/>
      <c r="AO72" s="281"/>
      <c r="AP72" s="281"/>
      <c r="AQ72" s="281"/>
      <c r="AR72" s="281"/>
      <c r="AS72" s="281"/>
      <c r="AT72" s="281"/>
      <c r="AU72" s="281"/>
      <c r="AV72" s="281"/>
      <c r="AW72" s="281"/>
      <c r="AX72" s="281"/>
      <c r="AY72" s="281"/>
      <c r="AZ72" s="281"/>
      <c r="BA72" s="281"/>
      <c r="BB72" s="281"/>
      <c r="BC72" s="281"/>
      <c r="BD72" s="281"/>
      <c r="BE72" s="281"/>
      <c r="BF72" s="281"/>
      <c r="BG72" s="281"/>
    </row>
    <row r="73" spans="1:59">
      <c r="A73" s="281"/>
      <c r="B73" s="281"/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  <c r="AF73" s="281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</row>
    <row r="74" spans="1:59">
      <c r="A74" s="281"/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  <c r="AF74" s="281"/>
      <c r="AG74" s="281"/>
      <c r="AH74" s="281"/>
      <c r="AI74" s="281"/>
      <c r="AJ74" s="281"/>
      <c r="AK74" s="281"/>
      <c r="AL74" s="281"/>
      <c r="AM74" s="281"/>
      <c r="AN74" s="281"/>
      <c r="AO74" s="281"/>
      <c r="AP74" s="281"/>
      <c r="AQ74" s="281"/>
      <c r="AR74" s="281"/>
      <c r="AS74" s="281"/>
      <c r="AT74" s="281"/>
      <c r="AU74" s="281"/>
      <c r="AV74" s="281"/>
      <c r="AW74" s="281"/>
      <c r="AX74" s="281"/>
      <c r="AY74" s="281"/>
      <c r="AZ74" s="281"/>
      <c r="BA74" s="281"/>
      <c r="BB74" s="281"/>
      <c r="BC74" s="281"/>
      <c r="BD74" s="281"/>
      <c r="BE74" s="281"/>
      <c r="BF74" s="281"/>
      <c r="BG74" s="281"/>
    </row>
    <row r="75" spans="1:59">
      <c r="A75" s="281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  <c r="AF75" s="281"/>
      <c r="AG75" s="281"/>
      <c r="AH75" s="281"/>
      <c r="AI75" s="281"/>
      <c r="AJ75" s="281"/>
      <c r="AK75" s="281"/>
      <c r="AL75" s="281"/>
      <c r="AM75" s="281"/>
      <c r="AN75" s="281"/>
      <c r="AO75" s="281"/>
      <c r="AP75" s="281"/>
      <c r="AQ75" s="281"/>
      <c r="AR75" s="281"/>
      <c r="AS75" s="281"/>
      <c r="AT75" s="281"/>
      <c r="AU75" s="281"/>
      <c r="AV75" s="281"/>
      <c r="AW75" s="281"/>
      <c r="AX75" s="281"/>
      <c r="AY75" s="281"/>
      <c r="AZ75" s="281"/>
      <c r="BA75" s="281"/>
      <c r="BB75" s="281"/>
      <c r="BC75" s="281"/>
      <c r="BD75" s="281"/>
      <c r="BE75" s="281"/>
      <c r="BF75" s="281"/>
      <c r="BG75" s="281"/>
    </row>
    <row r="76" spans="1:59">
      <c r="A76" s="281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  <c r="AF76" s="281"/>
      <c r="AG76" s="281"/>
      <c r="AH76" s="281"/>
      <c r="AI76" s="281"/>
      <c r="AJ76" s="281"/>
      <c r="AK76" s="281"/>
      <c r="AL76" s="281"/>
      <c r="AM76" s="281"/>
      <c r="AN76" s="281"/>
      <c r="AO76" s="281"/>
      <c r="AP76" s="281"/>
      <c r="AQ76" s="281"/>
      <c r="AR76" s="281"/>
      <c r="AS76" s="281"/>
      <c r="AT76" s="281"/>
      <c r="AU76" s="281"/>
      <c r="AV76" s="281"/>
      <c r="AW76" s="281"/>
      <c r="AX76" s="281"/>
      <c r="AY76" s="281"/>
      <c r="AZ76" s="281"/>
      <c r="BA76" s="281"/>
      <c r="BB76" s="281"/>
      <c r="BC76" s="281"/>
      <c r="BD76" s="281"/>
      <c r="BE76" s="281"/>
      <c r="BF76" s="281"/>
      <c r="BG76" s="281"/>
    </row>
    <row r="77" spans="1:59">
      <c r="A77" s="281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  <c r="AF77" s="281"/>
      <c r="AG77" s="281"/>
      <c r="AH77" s="281"/>
      <c r="AI77" s="281"/>
      <c r="AJ77" s="281"/>
      <c r="AK77" s="281"/>
      <c r="AL77" s="281"/>
      <c r="AM77" s="281"/>
      <c r="AN77" s="281"/>
      <c r="AO77" s="281"/>
      <c r="AP77" s="281"/>
      <c r="AQ77" s="281"/>
      <c r="AR77" s="281"/>
      <c r="AS77" s="281"/>
      <c r="AT77" s="281"/>
      <c r="AU77" s="281"/>
      <c r="AV77" s="281"/>
      <c r="AW77" s="281"/>
      <c r="AX77" s="281"/>
      <c r="AY77" s="281"/>
      <c r="AZ77" s="281"/>
      <c r="BA77" s="281"/>
      <c r="BB77" s="281"/>
      <c r="BC77" s="281"/>
      <c r="BD77" s="281"/>
      <c r="BE77" s="281"/>
      <c r="BF77" s="281"/>
      <c r="BG77" s="281"/>
    </row>
    <row r="78" spans="1:59">
      <c r="A78" s="281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  <c r="AF78" s="281"/>
      <c r="AG78" s="281"/>
      <c r="AH78" s="281"/>
      <c r="AI78" s="281"/>
      <c r="AJ78" s="281"/>
      <c r="AK78" s="281"/>
      <c r="AL78" s="281"/>
      <c r="AM78" s="281"/>
      <c r="AN78" s="281"/>
      <c r="AO78" s="281"/>
      <c r="AP78" s="281"/>
      <c r="AQ78" s="281"/>
      <c r="AR78" s="281"/>
      <c r="AS78" s="281"/>
      <c r="AT78" s="281"/>
      <c r="AU78" s="281"/>
      <c r="AV78" s="281"/>
      <c r="AW78" s="281"/>
      <c r="AX78" s="281"/>
      <c r="AY78" s="281"/>
      <c r="AZ78" s="281"/>
      <c r="BA78" s="281"/>
      <c r="BB78" s="281"/>
      <c r="BC78" s="281"/>
      <c r="BD78" s="281"/>
      <c r="BE78" s="281"/>
      <c r="BF78" s="281"/>
      <c r="BG78" s="281"/>
    </row>
    <row r="79" spans="1:59">
      <c r="A79" s="281"/>
      <c r="B79" s="281"/>
      <c r="C79" s="281"/>
      <c r="D79" s="281"/>
      <c r="E79" s="281"/>
      <c r="F79" s="281"/>
      <c r="G79" s="281"/>
      <c r="H79" s="281"/>
      <c r="I79" s="281"/>
      <c r="J79" s="281"/>
      <c r="K79" s="281"/>
      <c r="L79" s="281"/>
      <c r="M79" s="281"/>
      <c r="N79" s="281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  <c r="AF79" s="281"/>
      <c r="AG79" s="281"/>
      <c r="AH79" s="281"/>
      <c r="AI79" s="281"/>
      <c r="AJ79" s="281"/>
      <c r="AK79" s="281"/>
      <c r="AL79" s="281"/>
      <c r="AM79" s="281"/>
      <c r="AN79" s="281"/>
      <c r="AO79" s="281"/>
      <c r="AP79" s="281"/>
      <c r="AQ79" s="281"/>
      <c r="AR79" s="281"/>
      <c r="AS79" s="281"/>
      <c r="AT79" s="281"/>
      <c r="AU79" s="281"/>
      <c r="AV79" s="281"/>
      <c r="AW79" s="281"/>
      <c r="AX79" s="281"/>
      <c r="AY79" s="281"/>
      <c r="AZ79" s="281"/>
      <c r="BA79" s="281"/>
      <c r="BB79" s="281"/>
      <c r="BC79" s="281"/>
      <c r="BD79" s="281"/>
      <c r="BE79" s="281"/>
      <c r="BF79" s="281"/>
      <c r="BG79" s="281"/>
    </row>
    <row r="80" spans="1:59">
      <c r="A80" s="281"/>
      <c r="B80" s="281"/>
      <c r="C80" s="281"/>
      <c r="D80" s="281"/>
      <c r="E80" s="281"/>
      <c r="F80" s="281"/>
      <c r="G80" s="281"/>
      <c r="H80" s="281"/>
      <c r="I80" s="281"/>
      <c r="J80" s="281"/>
      <c r="K80" s="281"/>
      <c r="L80" s="281"/>
      <c r="M80" s="281"/>
      <c r="N80" s="281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  <c r="AF80" s="281"/>
      <c r="AG80" s="281"/>
      <c r="AH80" s="281"/>
      <c r="AI80" s="281"/>
      <c r="AJ80" s="281"/>
      <c r="AK80" s="281"/>
      <c r="AL80" s="281"/>
      <c r="AM80" s="281"/>
      <c r="AN80" s="281"/>
      <c r="AO80" s="281"/>
      <c r="AP80" s="281"/>
      <c r="AQ80" s="281"/>
      <c r="AR80" s="281"/>
      <c r="AS80" s="281"/>
      <c r="AT80" s="281"/>
      <c r="AU80" s="281"/>
      <c r="AV80" s="281"/>
      <c r="AW80" s="281"/>
      <c r="AX80" s="281"/>
      <c r="AY80" s="281"/>
      <c r="AZ80" s="281"/>
      <c r="BA80" s="281"/>
      <c r="BB80" s="281"/>
      <c r="BC80" s="281"/>
      <c r="BD80" s="281"/>
      <c r="BE80" s="281"/>
      <c r="BF80" s="281"/>
      <c r="BG80" s="281"/>
    </row>
    <row r="81" spans="1:59">
      <c r="A81" s="281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  <c r="AF81" s="281"/>
      <c r="AG81" s="281"/>
      <c r="AH81" s="281"/>
      <c r="AI81" s="281"/>
      <c r="AJ81" s="281"/>
      <c r="AK81" s="281"/>
      <c r="AL81" s="281"/>
      <c r="AM81" s="281"/>
      <c r="AN81" s="281"/>
      <c r="AO81" s="281"/>
      <c r="AP81" s="281"/>
      <c r="AQ81" s="281"/>
      <c r="AR81" s="281"/>
      <c r="AS81" s="281"/>
      <c r="AT81" s="281"/>
      <c r="AU81" s="281"/>
      <c r="AV81" s="281"/>
      <c r="AW81" s="281"/>
      <c r="AX81" s="281"/>
      <c r="AY81" s="281"/>
      <c r="AZ81" s="281"/>
      <c r="BA81" s="281"/>
      <c r="BB81" s="281"/>
      <c r="BC81" s="281"/>
      <c r="BD81" s="281"/>
      <c r="BE81" s="281"/>
      <c r="BF81" s="281"/>
      <c r="BG81" s="281"/>
    </row>
    <row r="82" spans="1:59">
      <c r="A82" s="281"/>
      <c r="B82" s="281"/>
      <c r="C82" s="281"/>
      <c r="D82" s="281"/>
      <c r="E82" s="281"/>
      <c r="F82" s="281"/>
      <c r="G82" s="281"/>
      <c r="H82" s="281"/>
      <c r="I82" s="281"/>
      <c r="J82" s="281"/>
      <c r="K82" s="281"/>
      <c r="L82" s="281"/>
      <c r="M82" s="281"/>
      <c r="N82" s="281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  <c r="AF82" s="281"/>
      <c r="AG82" s="281"/>
      <c r="AH82" s="281"/>
      <c r="AI82" s="281"/>
      <c r="AJ82" s="281"/>
      <c r="AK82" s="281"/>
      <c r="AL82" s="281"/>
      <c r="AM82" s="281"/>
      <c r="AN82" s="281"/>
      <c r="AO82" s="281"/>
      <c r="AP82" s="281"/>
      <c r="AQ82" s="281"/>
      <c r="AR82" s="281"/>
      <c r="AS82" s="281"/>
      <c r="AT82" s="281"/>
      <c r="AU82" s="281"/>
      <c r="AV82" s="281"/>
      <c r="AW82" s="281"/>
      <c r="AX82" s="281"/>
      <c r="AY82" s="281"/>
      <c r="AZ82" s="281"/>
      <c r="BA82" s="281"/>
      <c r="BB82" s="281"/>
      <c r="BC82" s="281"/>
      <c r="BD82" s="281"/>
      <c r="BE82" s="281"/>
      <c r="BF82" s="281"/>
      <c r="BG82" s="281"/>
    </row>
    <row r="83" spans="1:59">
      <c r="A83" s="281"/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  <c r="AF83" s="281"/>
      <c r="AG83" s="281"/>
      <c r="AH83" s="281"/>
      <c r="AI83" s="281"/>
      <c r="AJ83" s="281"/>
      <c r="AK83" s="281"/>
      <c r="AL83" s="281"/>
      <c r="AM83" s="281"/>
      <c r="AN83" s="281"/>
      <c r="AO83" s="281"/>
      <c r="AP83" s="281"/>
      <c r="AQ83" s="281"/>
      <c r="AR83" s="281"/>
      <c r="AS83" s="281"/>
      <c r="AT83" s="281"/>
      <c r="AU83" s="281"/>
      <c r="AV83" s="281"/>
      <c r="AW83" s="281"/>
      <c r="AX83" s="281"/>
      <c r="AY83" s="281"/>
      <c r="AZ83" s="281"/>
      <c r="BA83" s="281"/>
      <c r="BB83" s="281"/>
      <c r="BC83" s="281"/>
      <c r="BD83" s="281"/>
      <c r="BE83" s="281"/>
      <c r="BF83" s="281"/>
      <c r="BG83" s="281"/>
    </row>
    <row r="84" spans="1:59">
      <c r="A84" s="281"/>
      <c r="B84" s="281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  <c r="AI84" s="281"/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  <c r="BA84" s="281"/>
      <c r="BB84" s="281"/>
      <c r="BC84" s="281"/>
      <c r="BD84" s="281"/>
      <c r="BE84" s="281"/>
      <c r="BF84" s="281"/>
      <c r="BG84" s="281"/>
    </row>
    <row r="85" spans="1:59">
      <c r="A85" s="281"/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  <c r="AF85" s="281"/>
      <c r="AG85" s="281"/>
      <c r="AH85" s="281"/>
      <c r="AI85" s="281"/>
      <c r="AJ85" s="281"/>
      <c r="AK85" s="281"/>
      <c r="AL85" s="281"/>
      <c r="AM85" s="281"/>
      <c r="AN85" s="281"/>
      <c r="AO85" s="281"/>
      <c r="AP85" s="281"/>
      <c r="AQ85" s="281"/>
      <c r="AR85" s="281"/>
      <c r="AS85" s="281"/>
      <c r="AT85" s="281"/>
      <c r="AU85" s="281"/>
      <c r="AV85" s="281"/>
      <c r="AW85" s="281"/>
      <c r="AX85" s="281"/>
      <c r="AY85" s="281"/>
      <c r="AZ85" s="281"/>
      <c r="BA85" s="281"/>
      <c r="BB85" s="281"/>
      <c r="BC85" s="281"/>
      <c r="BD85" s="281"/>
      <c r="BE85" s="281"/>
      <c r="BF85" s="281"/>
      <c r="BG85" s="281"/>
    </row>
    <row r="86" spans="1:59">
      <c r="A86" s="281"/>
      <c r="B86" s="281"/>
      <c r="C86" s="281"/>
      <c r="D86" s="281"/>
      <c r="E86" s="281"/>
      <c r="F86" s="281"/>
      <c r="G86" s="281"/>
      <c r="H86" s="281"/>
      <c r="I86" s="281"/>
      <c r="J86" s="281"/>
      <c r="K86" s="281"/>
      <c r="L86" s="281"/>
      <c r="M86" s="281"/>
      <c r="N86" s="281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  <c r="AF86" s="281"/>
      <c r="AG86" s="281"/>
      <c r="AH86" s="281"/>
      <c r="AI86" s="281"/>
      <c r="AJ86" s="281"/>
      <c r="AK86" s="281"/>
      <c r="AL86" s="281"/>
      <c r="AM86" s="281"/>
      <c r="AN86" s="281"/>
      <c r="AO86" s="281"/>
      <c r="AP86" s="281"/>
      <c r="AQ86" s="281"/>
      <c r="AR86" s="281"/>
      <c r="AS86" s="281"/>
      <c r="AT86" s="281"/>
      <c r="AU86" s="281"/>
      <c r="AV86" s="281"/>
      <c r="AW86" s="281"/>
      <c r="AX86" s="281"/>
      <c r="AY86" s="281"/>
      <c r="AZ86" s="281"/>
      <c r="BA86" s="281"/>
      <c r="BB86" s="281"/>
      <c r="BC86" s="281"/>
      <c r="BD86" s="281"/>
      <c r="BE86" s="281"/>
      <c r="BF86" s="281"/>
      <c r="BG86" s="281"/>
    </row>
    <row r="87" spans="1:59">
      <c r="A87" s="281"/>
      <c r="B87" s="281"/>
      <c r="C87" s="281"/>
      <c r="D87" s="281"/>
      <c r="E87" s="281"/>
      <c r="F87" s="281"/>
      <c r="G87" s="281"/>
      <c r="H87" s="281"/>
      <c r="I87" s="281"/>
      <c r="J87" s="281"/>
      <c r="K87" s="281"/>
      <c r="L87" s="281"/>
      <c r="M87" s="281"/>
      <c r="N87" s="281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  <c r="AF87" s="281"/>
      <c r="AG87" s="281"/>
      <c r="AH87" s="281"/>
      <c r="AI87" s="281"/>
      <c r="AJ87" s="281"/>
      <c r="AK87" s="281"/>
      <c r="AL87" s="281"/>
      <c r="AM87" s="281"/>
      <c r="AN87" s="281"/>
      <c r="AO87" s="281"/>
      <c r="AP87" s="281"/>
      <c r="AQ87" s="281"/>
      <c r="AR87" s="281"/>
      <c r="AS87" s="281"/>
      <c r="AT87" s="281"/>
      <c r="AU87" s="281"/>
      <c r="AV87" s="281"/>
      <c r="AW87" s="281"/>
      <c r="AX87" s="281"/>
      <c r="AY87" s="281"/>
      <c r="AZ87" s="281"/>
      <c r="BA87" s="281"/>
      <c r="BB87" s="281"/>
      <c r="BC87" s="281"/>
      <c r="BD87" s="281"/>
      <c r="BE87" s="281"/>
      <c r="BF87" s="281"/>
      <c r="BG87" s="281"/>
    </row>
    <row r="88" spans="1:59">
      <c r="A88" s="281"/>
      <c r="B88" s="281"/>
      <c r="C88" s="281"/>
      <c r="D88" s="281"/>
      <c r="E88" s="281"/>
      <c r="F88" s="281"/>
      <c r="G88" s="281"/>
      <c r="H88" s="281"/>
      <c r="I88" s="281"/>
      <c r="J88" s="281"/>
      <c r="K88" s="281"/>
      <c r="L88" s="281"/>
      <c r="M88" s="281"/>
      <c r="N88" s="281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  <c r="AF88" s="281"/>
      <c r="AG88" s="281"/>
      <c r="AH88" s="281"/>
      <c r="AI88" s="281"/>
      <c r="AJ88" s="281"/>
      <c r="AK88" s="281"/>
      <c r="AL88" s="281"/>
      <c r="AM88" s="281"/>
      <c r="AN88" s="281"/>
      <c r="AO88" s="281"/>
      <c r="AP88" s="281"/>
      <c r="AQ88" s="281"/>
      <c r="AR88" s="281"/>
      <c r="AS88" s="281"/>
      <c r="AT88" s="281"/>
      <c r="AU88" s="281"/>
      <c r="AV88" s="281"/>
      <c r="AW88" s="281"/>
      <c r="AX88" s="281"/>
      <c r="AY88" s="281"/>
      <c r="AZ88" s="281"/>
      <c r="BA88" s="281"/>
      <c r="BB88" s="281"/>
      <c r="BC88" s="281"/>
      <c r="BD88" s="281"/>
      <c r="BE88" s="281"/>
      <c r="BF88" s="281"/>
      <c r="BG88" s="281"/>
    </row>
    <row r="89" spans="1:59">
      <c r="A89" s="281"/>
      <c r="B89" s="281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  <c r="AI89" s="281"/>
      <c r="AJ89" s="281"/>
      <c r="AK89" s="281"/>
      <c r="AL89" s="281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  <c r="BA89" s="281"/>
      <c r="BB89" s="281"/>
      <c r="BC89" s="281"/>
      <c r="BD89" s="281"/>
      <c r="BE89" s="281"/>
      <c r="BF89" s="281"/>
      <c r="BG89" s="281"/>
    </row>
    <row r="90" spans="1:59">
      <c r="A90" s="281"/>
      <c r="B90" s="281"/>
      <c r="C90" s="281"/>
      <c r="D90" s="281"/>
      <c r="E90" s="281"/>
      <c r="F90" s="281"/>
      <c r="G90" s="281"/>
      <c r="H90" s="281"/>
      <c r="I90" s="281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281"/>
      <c r="AQ90" s="281"/>
      <c r="AR90" s="281"/>
      <c r="AS90" s="281"/>
      <c r="AT90" s="281"/>
      <c r="AU90" s="281"/>
      <c r="AV90" s="281"/>
      <c r="AW90" s="281"/>
      <c r="AX90" s="281"/>
      <c r="AY90" s="281"/>
      <c r="AZ90" s="281"/>
      <c r="BA90" s="281"/>
      <c r="BB90" s="281"/>
      <c r="BC90" s="281"/>
      <c r="BD90" s="281"/>
      <c r="BE90" s="281"/>
      <c r="BF90" s="281"/>
      <c r="BG90" s="281"/>
    </row>
    <row r="91" spans="1:59">
      <c r="A91" s="281"/>
      <c r="B91" s="281"/>
      <c r="C91" s="281"/>
      <c r="D91" s="281"/>
      <c r="E91" s="281"/>
      <c r="F91" s="281"/>
      <c r="G91" s="281"/>
      <c r="H91" s="281"/>
      <c r="I91" s="281"/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  <c r="AF91" s="281"/>
      <c r="AG91" s="281"/>
      <c r="AH91" s="281"/>
      <c r="AI91" s="281"/>
      <c r="AJ91" s="281"/>
      <c r="AK91" s="281"/>
      <c r="AL91" s="281"/>
      <c r="AM91" s="281"/>
      <c r="AN91" s="281"/>
      <c r="AO91" s="281"/>
      <c r="AP91" s="281"/>
      <c r="AQ91" s="281"/>
      <c r="AR91" s="281"/>
      <c r="AS91" s="281"/>
      <c r="AT91" s="281"/>
      <c r="AU91" s="281"/>
      <c r="AV91" s="281"/>
      <c r="AW91" s="281"/>
      <c r="AX91" s="281"/>
      <c r="AY91" s="281"/>
      <c r="AZ91" s="281"/>
      <c r="BA91" s="281"/>
      <c r="BB91" s="281"/>
      <c r="BC91" s="281"/>
      <c r="BD91" s="281"/>
      <c r="BE91" s="281"/>
      <c r="BF91" s="281"/>
      <c r="BG91" s="281"/>
    </row>
    <row r="92" spans="1:59">
      <c r="A92" s="281"/>
      <c r="B92" s="281"/>
      <c r="C92" s="281"/>
      <c r="D92" s="281"/>
      <c r="E92" s="281"/>
      <c r="F92" s="281"/>
      <c r="G92" s="281"/>
      <c r="H92" s="281"/>
      <c r="I92" s="281"/>
      <c r="J92" s="281"/>
      <c r="K92" s="281"/>
      <c r="L92" s="281"/>
      <c r="M92" s="281"/>
      <c r="N92" s="281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  <c r="AF92" s="281"/>
      <c r="AG92" s="281"/>
      <c r="AH92" s="281"/>
      <c r="AI92" s="281"/>
      <c r="AJ92" s="281"/>
      <c r="AK92" s="281"/>
      <c r="AL92" s="281"/>
      <c r="AM92" s="281"/>
      <c r="AN92" s="281"/>
      <c r="AO92" s="281"/>
      <c r="AP92" s="281"/>
      <c r="AQ92" s="281"/>
      <c r="AR92" s="281"/>
      <c r="AS92" s="281"/>
      <c r="AT92" s="281"/>
      <c r="AU92" s="281"/>
      <c r="AV92" s="281"/>
      <c r="AW92" s="281"/>
      <c r="AX92" s="281"/>
      <c r="AY92" s="281"/>
      <c r="AZ92" s="281"/>
      <c r="BA92" s="281"/>
      <c r="BB92" s="281"/>
      <c r="BC92" s="281"/>
      <c r="BD92" s="281"/>
      <c r="BE92" s="281"/>
      <c r="BF92" s="281"/>
      <c r="BG92" s="281"/>
    </row>
    <row r="93" spans="1:59">
      <c r="A93" s="281"/>
      <c r="B93" s="281"/>
      <c r="C93" s="281"/>
      <c r="D93" s="281"/>
      <c r="E93" s="281"/>
      <c r="F93" s="281"/>
      <c r="G93" s="281"/>
      <c r="H93" s="281"/>
      <c r="I93" s="281"/>
      <c r="J93" s="281"/>
      <c r="K93" s="281"/>
      <c r="L93" s="281"/>
      <c r="M93" s="281"/>
      <c r="N93" s="281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  <c r="AF93" s="281"/>
      <c r="AG93" s="281"/>
      <c r="AH93" s="281"/>
      <c r="AI93" s="281"/>
      <c r="AJ93" s="281"/>
      <c r="AK93" s="281"/>
      <c r="AL93" s="281"/>
      <c r="AM93" s="281"/>
      <c r="AN93" s="281"/>
      <c r="AO93" s="281"/>
      <c r="AP93" s="281"/>
      <c r="AQ93" s="281"/>
      <c r="AR93" s="281"/>
      <c r="AS93" s="281"/>
      <c r="AT93" s="281"/>
      <c r="AU93" s="281"/>
      <c r="AV93" s="281"/>
      <c r="AW93" s="281"/>
      <c r="AX93" s="281"/>
      <c r="AY93" s="281"/>
      <c r="AZ93" s="281"/>
      <c r="BA93" s="281"/>
      <c r="BB93" s="281"/>
      <c r="BC93" s="281"/>
      <c r="BD93" s="281"/>
      <c r="BE93" s="281"/>
      <c r="BF93" s="281"/>
      <c r="BG93" s="281"/>
    </row>
    <row r="94" spans="1:59">
      <c r="A94" s="281"/>
      <c r="B94" s="281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  <c r="AF94" s="281"/>
      <c r="AG94" s="281"/>
      <c r="AH94" s="281"/>
      <c r="AI94" s="281"/>
      <c r="AJ94" s="281"/>
      <c r="AK94" s="281"/>
      <c r="AL94" s="281"/>
      <c r="AM94" s="281"/>
      <c r="AN94" s="281"/>
      <c r="AO94" s="281"/>
      <c r="AP94" s="281"/>
      <c r="AQ94" s="281"/>
      <c r="AR94" s="281"/>
      <c r="AS94" s="281"/>
      <c r="AT94" s="281"/>
      <c r="AU94" s="281"/>
      <c r="AV94" s="281"/>
      <c r="AW94" s="281"/>
      <c r="AX94" s="281"/>
      <c r="AY94" s="281"/>
      <c r="AZ94" s="281"/>
      <c r="BA94" s="281"/>
      <c r="BB94" s="281"/>
      <c r="BC94" s="281"/>
      <c r="BD94" s="281"/>
      <c r="BE94" s="281"/>
      <c r="BF94" s="281"/>
      <c r="BG94" s="281"/>
    </row>
    <row r="95" spans="1:59">
      <c r="A95" s="281"/>
      <c r="B95" s="281"/>
      <c r="C95" s="281"/>
      <c r="D95" s="281"/>
      <c r="E95" s="281"/>
      <c r="F95" s="281"/>
      <c r="G95" s="281"/>
      <c r="H95" s="281"/>
      <c r="I95" s="281"/>
      <c r="J95" s="281"/>
      <c r="K95" s="281"/>
      <c r="L95" s="281"/>
      <c r="M95" s="281"/>
      <c r="N95" s="281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  <c r="AF95" s="281"/>
      <c r="AG95" s="281"/>
      <c r="AH95" s="281"/>
      <c r="AI95" s="281"/>
      <c r="AJ95" s="281"/>
      <c r="AK95" s="281"/>
      <c r="AL95" s="281"/>
      <c r="AM95" s="281"/>
      <c r="AN95" s="281"/>
      <c r="AO95" s="281"/>
      <c r="AP95" s="281"/>
      <c r="AQ95" s="281"/>
      <c r="AR95" s="281"/>
      <c r="AS95" s="281"/>
      <c r="AT95" s="281"/>
      <c r="AU95" s="281"/>
      <c r="AV95" s="281"/>
      <c r="AW95" s="281"/>
      <c r="AX95" s="281"/>
      <c r="AY95" s="281"/>
      <c r="AZ95" s="281"/>
      <c r="BA95" s="281"/>
      <c r="BB95" s="281"/>
      <c r="BC95" s="281"/>
      <c r="BD95" s="281"/>
      <c r="BE95" s="281"/>
      <c r="BF95" s="281"/>
      <c r="BG95" s="281"/>
    </row>
    <row r="96" spans="1:59">
      <c r="A96" s="281"/>
      <c r="B96" s="281"/>
      <c r="C96" s="281"/>
      <c r="D96" s="281"/>
      <c r="E96" s="281"/>
      <c r="F96" s="281"/>
      <c r="G96" s="281"/>
      <c r="H96" s="281"/>
      <c r="I96" s="281"/>
      <c r="J96" s="281"/>
      <c r="K96" s="281"/>
      <c r="L96" s="281"/>
      <c r="M96" s="281"/>
      <c r="N96" s="281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  <c r="AF96" s="281"/>
      <c r="AG96" s="281"/>
      <c r="AH96" s="281"/>
      <c r="AI96" s="281"/>
      <c r="AJ96" s="281"/>
      <c r="AK96" s="281"/>
      <c r="AL96" s="281"/>
      <c r="AM96" s="281"/>
      <c r="AN96" s="281"/>
      <c r="AO96" s="281"/>
      <c r="AP96" s="281"/>
      <c r="AQ96" s="281"/>
      <c r="AR96" s="281"/>
      <c r="AS96" s="281"/>
      <c r="AT96" s="281"/>
      <c r="AU96" s="281"/>
      <c r="AV96" s="281"/>
      <c r="AW96" s="281"/>
      <c r="AX96" s="281"/>
      <c r="AY96" s="281"/>
      <c r="AZ96" s="281"/>
      <c r="BA96" s="281"/>
      <c r="BB96" s="281"/>
      <c r="BC96" s="281"/>
      <c r="BD96" s="281"/>
      <c r="BE96" s="281"/>
      <c r="BF96" s="281"/>
      <c r="BG96" s="281"/>
    </row>
    <row r="97" spans="1:59">
      <c r="A97" s="281"/>
      <c r="B97" s="281"/>
      <c r="C97" s="281"/>
      <c r="D97" s="281"/>
      <c r="E97" s="281"/>
      <c r="F97" s="281"/>
      <c r="G97" s="281"/>
      <c r="H97" s="281"/>
      <c r="I97" s="281"/>
      <c r="J97" s="281"/>
      <c r="K97" s="281"/>
      <c r="L97" s="281"/>
      <c r="M97" s="281"/>
      <c r="N97" s="281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  <c r="AI97" s="281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  <c r="BA97" s="281"/>
      <c r="BB97" s="281"/>
      <c r="BC97" s="281"/>
      <c r="BD97" s="281"/>
      <c r="BE97" s="281"/>
      <c r="BF97" s="281"/>
      <c r="BG97" s="281"/>
    </row>
    <row r="98" spans="1:59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  <c r="AF98" s="281"/>
      <c r="AG98" s="281"/>
      <c r="AH98" s="281"/>
      <c r="AI98" s="281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  <c r="BA98" s="281"/>
      <c r="BB98" s="281"/>
      <c r="BC98" s="281"/>
      <c r="BD98" s="281"/>
      <c r="BE98" s="281"/>
      <c r="BF98" s="281"/>
      <c r="BG98" s="281"/>
    </row>
    <row r="99" spans="1:59">
      <c r="A99" s="281"/>
      <c r="B99" s="281"/>
      <c r="C99" s="281"/>
      <c r="D99" s="281"/>
      <c r="E99" s="281"/>
      <c r="F99" s="281"/>
      <c r="G99" s="281"/>
      <c r="H99" s="281"/>
      <c r="I99" s="281"/>
      <c r="J99" s="281"/>
      <c r="K99" s="281"/>
      <c r="L99" s="281"/>
      <c r="M99" s="281"/>
      <c r="N99" s="281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  <c r="AI99" s="281"/>
      <c r="AJ99" s="281"/>
      <c r="AK99" s="281"/>
      <c r="AL99" s="281"/>
      <c r="AM99" s="281"/>
      <c r="AN99" s="281"/>
      <c r="AO99" s="281"/>
      <c r="AP99" s="281"/>
      <c r="AQ99" s="281"/>
      <c r="AR99" s="281"/>
      <c r="AS99" s="281"/>
      <c r="AT99" s="281"/>
      <c r="AU99" s="281"/>
      <c r="AV99" s="281"/>
      <c r="AW99" s="281"/>
      <c r="AX99" s="281"/>
      <c r="AY99" s="281"/>
      <c r="AZ99" s="281"/>
      <c r="BA99" s="281"/>
      <c r="BB99" s="281"/>
      <c r="BC99" s="281"/>
      <c r="BD99" s="281"/>
      <c r="BE99" s="281"/>
      <c r="BF99" s="281"/>
      <c r="BG99" s="281"/>
    </row>
    <row r="100" spans="1:59">
      <c r="A100" s="281"/>
      <c r="B100" s="281"/>
      <c r="C100" s="281"/>
      <c r="D100" s="281"/>
      <c r="E100" s="281"/>
      <c r="F100" s="281"/>
      <c r="G100" s="281"/>
      <c r="H100" s="281"/>
      <c r="I100" s="281"/>
      <c r="J100" s="281"/>
      <c r="K100" s="281"/>
      <c r="L100" s="281"/>
      <c r="M100" s="281"/>
      <c r="N100" s="281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  <c r="AI100" s="281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  <c r="BA100" s="281"/>
      <c r="BB100" s="281"/>
      <c r="BC100" s="281"/>
      <c r="BD100" s="281"/>
      <c r="BE100" s="281"/>
      <c r="BF100" s="281"/>
      <c r="BG100" s="281"/>
    </row>
    <row r="101" spans="1:59">
      <c r="A101" s="281"/>
      <c r="B101" s="281"/>
      <c r="C101" s="281"/>
      <c r="D101" s="281"/>
      <c r="E101" s="281"/>
      <c r="F101" s="281"/>
      <c r="G101" s="281"/>
      <c r="H101" s="281"/>
      <c r="I101" s="281"/>
      <c r="J101" s="281"/>
      <c r="K101" s="281"/>
      <c r="L101" s="281"/>
      <c r="M101" s="281"/>
      <c r="N101" s="281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  <c r="AI101" s="281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  <c r="BA101" s="281"/>
      <c r="BB101" s="281"/>
      <c r="BC101" s="281"/>
      <c r="BD101" s="281"/>
      <c r="BE101" s="281"/>
      <c r="BF101" s="281"/>
      <c r="BG101" s="281"/>
    </row>
    <row r="102" spans="1:59">
      <c r="A102" s="281"/>
      <c r="B102" s="281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  <c r="AF102" s="281"/>
      <c r="AG102" s="281"/>
      <c r="AH102" s="281"/>
      <c r="AI102" s="281"/>
      <c r="AJ102" s="281"/>
      <c r="AK102" s="281"/>
      <c r="AL102" s="281"/>
      <c r="AM102" s="281"/>
      <c r="AN102" s="281"/>
      <c r="AO102" s="281"/>
      <c r="AP102" s="281"/>
      <c r="AQ102" s="281"/>
      <c r="AR102" s="281"/>
      <c r="AS102" s="281"/>
      <c r="AT102" s="281"/>
      <c r="AU102" s="281"/>
      <c r="AV102" s="281"/>
      <c r="AW102" s="281"/>
      <c r="AX102" s="281"/>
      <c r="AY102" s="281"/>
      <c r="AZ102" s="281"/>
      <c r="BA102" s="281"/>
      <c r="BB102" s="281"/>
      <c r="BC102" s="281"/>
      <c r="BD102" s="281"/>
      <c r="BE102" s="281"/>
      <c r="BF102" s="281"/>
      <c r="BG102" s="281"/>
    </row>
    <row r="103" spans="1:59">
      <c r="A103" s="281"/>
      <c r="B103" s="281"/>
      <c r="C103" s="281"/>
      <c r="D103" s="281"/>
      <c r="E103" s="281"/>
      <c r="F103" s="281"/>
      <c r="G103" s="281"/>
      <c r="H103" s="281"/>
      <c r="I103" s="281"/>
      <c r="J103" s="281"/>
      <c r="K103" s="281"/>
      <c r="L103" s="281"/>
      <c r="M103" s="281"/>
      <c r="N103" s="281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  <c r="AF103" s="281"/>
      <c r="AG103" s="281"/>
      <c r="AH103" s="281"/>
      <c r="AI103" s="281"/>
      <c r="AJ103" s="281"/>
      <c r="AK103" s="281"/>
      <c r="AL103" s="281"/>
      <c r="AM103" s="281"/>
      <c r="AN103" s="281"/>
      <c r="AO103" s="281"/>
      <c r="AP103" s="281"/>
      <c r="AQ103" s="281"/>
      <c r="AR103" s="281"/>
      <c r="AS103" s="281"/>
      <c r="AT103" s="281"/>
      <c r="AU103" s="281"/>
      <c r="AV103" s="281"/>
      <c r="AW103" s="281"/>
      <c r="AX103" s="281"/>
      <c r="AY103" s="281"/>
      <c r="AZ103" s="281"/>
      <c r="BA103" s="281"/>
      <c r="BB103" s="281"/>
      <c r="BC103" s="281"/>
      <c r="BD103" s="281"/>
      <c r="BE103" s="281"/>
      <c r="BF103" s="281"/>
      <c r="BG103" s="281"/>
    </row>
    <row r="104" spans="1:59">
      <c r="A104" s="281"/>
      <c r="B104" s="281"/>
      <c r="C104" s="281"/>
      <c r="D104" s="281"/>
      <c r="E104" s="281"/>
      <c r="F104" s="281"/>
      <c r="G104" s="281"/>
      <c r="H104" s="281"/>
      <c r="I104" s="281"/>
      <c r="J104" s="281"/>
      <c r="K104" s="281"/>
      <c r="L104" s="281"/>
      <c r="M104" s="281"/>
      <c r="N104" s="281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  <c r="AF104" s="281"/>
      <c r="AG104" s="281"/>
      <c r="AH104" s="281"/>
      <c r="AI104" s="281"/>
      <c r="AJ104" s="281"/>
      <c r="AK104" s="281"/>
      <c r="AL104" s="281"/>
      <c r="AM104" s="281"/>
      <c r="AN104" s="281"/>
      <c r="AO104" s="281"/>
      <c r="AP104" s="281"/>
      <c r="AQ104" s="281"/>
      <c r="AR104" s="281"/>
      <c r="AS104" s="281"/>
      <c r="AT104" s="281"/>
      <c r="AU104" s="281"/>
      <c r="AV104" s="281"/>
      <c r="AW104" s="281"/>
      <c r="AX104" s="281"/>
      <c r="AY104" s="281"/>
      <c r="AZ104" s="281"/>
      <c r="BA104" s="281"/>
      <c r="BB104" s="281"/>
      <c r="BC104" s="281"/>
      <c r="BD104" s="281"/>
      <c r="BE104" s="281"/>
      <c r="BF104" s="281"/>
      <c r="BG104" s="281"/>
    </row>
    <row r="105" spans="1:59">
      <c r="A105" s="281"/>
      <c r="B105" s="281"/>
      <c r="C105" s="281"/>
      <c r="D105" s="281"/>
      <c r="E105" s="281"/>
      <c r="F105" s="281"/>
      <c r="G105" s="281"/>
      <c r="H105" s="281"/>
      <c r="I105" s="281"/>
      <c r="J105" s="281"/>
      <c r="K105" s="281"/>
      <c r="L105" s="281"/>
      <c r="M105" s="281"/>
      <c r="N105" s="281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  <c r="AF105" s="281"/>
      <c r="AG105" s="281"/>
      <c r="AH105" s="281"/>
      <c r="AI105" s="281"/>
      <c r="AJ105" s="281"/>
      <c r="AK105" s="281"/>
      <c r="AL105" s="281"/>
      <c r="AM105" s="281"/>
      <c r="AN105" s="281"/>
      <c r="AO105" s="281"/>
      <c r="AP105" s="281"/>
      <c r="AQ105" s="281"/>
      <c r="AR105" s="281"/>
      <c r="AS105" s="281"/>
      <c r="AT105" s="281"/>
      <c r="AU105" s="281"/>
      <c r="AV105" s="281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</row>
    <row r="106" spans="1:59">
      <c r="A106" s="281"/>
      <c r="B106" s="281"/>
      <c r="C106" s="281"/>
      <c r="D106" s="281"/>
      <c r="E106" s="281"/>
      <c r="F106" s="281"/>
      <c r="G106" s="281"/>
      <c r="H106" s="281"/>
      <c r="I106" s="281"/>
      <c r="J106" s="281"/>
      <c r="K106" s="281"/>
      <c r="L106" s="281"/>
      <c r="M106" s="281"/>
      <c r="N106" s="281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  <c r="AF106" s="281"/>
      <c r="AG106" s="281"/>
      <c r="AH106" s="281"/>
      <c r="AI106" s="281"/>
      <c r="AJ106" s="281"/>
      <c r="AK106" s="281"/>
      <c r="AL106" s="281"/>
      <c r="AM106" s="281"/>
      <c r="AN106" s="281"/>
      <c r="AO106" s="281"/>
      <c r="AP106" s="281"/>
      <c r="AQ106" s="281"/>
      <c r="AR106" s="281"/>
      <c r="AS106" s="281"/>
      <c r="AT106" s="281"/>
      <c r="AU106" s="281"/>
      <c r="AV106" s="281"/>
      <c r="AW106" s="281"/>
      <c r="AX106" s="281"/>
      <c r="AY106" s="281"/>
      <c r="AZ106" s="281"/>
      <c r="BA106" s="281"/>
      <c r="BB106" s="281"/>
      <c r="BC106" s="281"/>
      <c r="BD106" s="281"/>
      <c r="BE106" s="281"/>
      <c r="BF106" s="281"/>
      <c r="BG106" s="281"/>
    </row>
    <row r="107" spans="1:59">
      <c r="A107" s="281"/>
      <c r="B107" s="281"/>
      <c r="C107" s="281"/>
      <c r="D107" s="281"/>
      <c r="E107" s="281"/>
      <c r="F107" s="281"/>
      <c r="G107" s="281"/>
      <c r="H107" s="281"/>
      <c r="I107" s="281"/>
      <c r="J107" s="281"/>
      <c r="K107" s="281"/>
      <c r="L107" s="281"/>
      <c r="M107" s="281"/>
      <c r="N107" s="281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  <c r="AF107" s="281"/>
      <c r="AG107" s="281"/>
      <c r="AH107" s="281"/>
      <c r="AI107" s="281"/>
      <c r="AJ107" s="281"/>
      <c r="AK107" s="281"/>
      <c r="AL107" s="281"/>
      <c r="AM107" s="281"/>
      <c r="AN107" s="281"/>
      <c r="AO107" s="281"/>
      <c r="AP107" s="281"/>
      <c r="AQ107" s="281"/>
      <c r="AR107" s="281"/>
      <c r="AS107" s="281"/>
      <c r="AT107" s="281"/>
      <c r="AU107" s="281"/>
      <c r="AV107" s="281"/>
      <c r="AW107" s="281"/>
      <c r="AX107" s="281"/>
      <c r="AY107" s="281"/>
      <c r="AZ107" s="281"/>
      <c r="BA107" s="281"/>
      <c r="BB107" s="281"/>
      <c r="BC107" s="281"/>
      <c r="BD107" s="281"/>
      <c r="BE107" s="281"/>
      <c r="BF107" s="281"/>
      <c r="BG107" s="281"/>
    </row>
    <row r="108" spans="1:59">
      <c r="A108" s="281"/>
      <c r="B108" s="281"/>
      <c r="C108" s="281"/>
      <c r="D108" s="281"/>
      <c r="E108" s="281"/>
      <c r="F108" s="281"/>
      <c r="G108" s="281"/>
      <c r="H108" s="281"/>
      <c r="I108" s="281"/>
      <c r="J108" s="281"/>
      <c r="K108" s="281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  <c r="AF108" s="281"/>
      <c r="AG108" s="281"/>
      <c r="AH108" s="281"/>
      <c r="AI108" s="281"/>
      <c r="AJ108" s="281"/>
      <c r="AK108" s="281"/>
      <c r="AL108" s="281"/>
      <c r="AM108" s="281"/>
      <c r="AN108" s="281"/>
      <c r="AO108" s="281"/>
      <c r="AP108" s="281"/>
      <c r="AQ108" s="281"/>
      <c r="AR108" s="281"/>
      <c r="AS108" s="281"/>
      <c r="AT108" s="281"/>
      <c r="AU108" s="281"/>
      <c r="AV108" s="281"/>
      <c r="AW108" s="281"/>
      <c r="AX108" s="281"/>
      <c r="AY108" s="281"/>
      <c r="AZ108" s="281"/>
      <c r="BA108" s="281"/>
      <c r="BB108" s="281"/>
      <c r="BC108" s="281"/>
      <c r="BD108" s="281"/>
      <c r="BE108" s="281"/>
      <c r="BF108" s="281"/>
      <c r="BG108" s="281"/>
    </row>
  </sheetData>
  <sheetProtection algorithmName="SHA-512" hashValue="VDAhOYwntnHBWXxYVodubnDQ07P+JRpwyI355ir4hkr0/9K8JSEbvy4zCXKKMPrmOrl+ZiRaoaNVunWJWy6Dxg==" saltValue="80SrkfyMwrkZcCThvxNx0w==" spinCount="100000" sheet="1" objects="1" scenarios="1"/>
  <mergeCells count="40">
    <mergeCell ref="T16:U17"/>
    <mergeCell ref="V16:W17"/>
    <mergeCell ref="V10:W12"/>
    <mergeCell ref="V7:W9"/>
    <mergeCell ref="G15:K15"/>
    <mergeCell ref="N15:P15"/>
    <mergeCell ref="T13:U15"/>
    <mergeCell ref="V13:W15"/>
    <mergeCell ref="G17:K17"/>
    <mergeCell ref="T18:U19"/>
    <mergeCell ref="V18:W19"/>
    <mergeCell ref="J19:J22"/>
    <mergeCell ref="H19:I22"/>
    <mergeCell ref="S20:U22"/>
    <mergeCell ref="N19:O22"/>
    <mergeCell ref="P19:P22"/>
    <mergeCell ref="V20:W22"/>
    <mergeCell ref="N18:P18"/>
    <mergeCell ref="H24:I24"/>
    <mergeCell ref="H25:I25"/>
    <mergeCell ref="C20:D20"/>
    <mergeCell ref="C21:D21"/>
    <mergeCell ref="G23:Q23"/>
    <mergeCell ref="A22:E22"/>
    <mergeCell ref="A7:D10"/>
    <mergeCell ref="J7:J9"/>
    <mergeCell ref="G16:H16"/>
    <mergeCell ref="I16:K16"/>
    <mergeCell ref="D1:V1"/>
    <mergeCell ref="A11:D11"/>
    <mergeCell ref="A12:D14"/>
    <mergeCell ref="A15:D15"/>
    <mergeCell ref="G14:J14"/>
    <mergeCell ref="A1:C1"/>
    <mergeCell ref="A3:C5"/>
    <mergeCell ref="D3:W5"/>
    <mergeCell ref="G7:I9"/>
    <mergeCell ref="N7:P10"/>
    <mergeCell ref="T10:U12"/>
    <mergeCell ref="T7:U9"/>
  </mergeCells>
  <hyperlinks>
    <hyperlink ref="A1" location="DASHBOARD!A1" display="Back to Dashboard" xr:uid="{00000000-0004-0000-0200-000000000000}"/>
    <hyperlink ref="W1" location="TOTALS!A2" display="TOTALS" xr:uid="{00000000-0004-0000-0200-000001000000}"/>
  </hyperlinks>
  <printOptions horizontalCentered="1"/>
  <pageMargins left="0.25" right="0.25" top="0.75" bottom="0.75" header="0.3" footer="0.3"/>
  <pageSetup scale="6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LP522"/>
  <sheetViews>
    <sheetView zoomScale="113" zoomScaleNormal="113" zoomScaleSheetLayoutView="85" workbookViewId="0">
      <pane ySplit="1" topLeftCell="A126" activePane="bottomLeft" state="frozen"/>
      <selection pane="bottomLeft" activeCell="Q181" sqref="Q181"/>
    </sheetView>
  </sheetViews>
  <sheetFormatPr defaultRowHeight="15"/>
  <cols>
    <col min="1" max="1" width="1.85546875" style="405" customWidth="1"/>
    <col min="2" max="2" width="40.140625" bestFit="1" customWidth="1"/>
    <col min="3" max="3" width="12" customWidth="1"/>
    <col min="4" max="12" width="8.140625" customWidth="1"/>
    <col min="13" max="13" width="6.85546875" customWidth="1"/>
    <col min="14" max="14" width="9.42578125" customWidth="1"/>
    <col min="15" max="15" width="9.85546875" customWidth="1"/>
    <col min="25" max="136" width="8.7109375" style="405"/>
    <col min="137" max="138" width="8.7109375" style="405" customWidth="1"/>
    <col min="139" max="328" width="8.7109375" style="405"/>
  </cols>
  <sheetData>
    <row r="1" spans="1:24" ht="38.450000000000003" customHeight="1">
      <c r="A1" s="619" t="s">
        <v>313</v>
      </c>
      <c r="B1" s="620"/>
      <c r="C1" s="620"/>
      <c r="D1" s="620"/>
      <c r="E1" s="620"/>
      <c r="F1" s="620"/>
      <c r="G1" s="621"/>
      <c r="H1" s="624" t="s">
        <v>100</v>
      </c>
      <c r="I1" s="625"/>
      <c r="J1" s="625"/>
      <c r="K1" s="625"/>
      <c r="L1" s="625"/>
      <c r="M1" s="625"/>
      <c r="N1" s="625"/>
      <c r="O1" s="625"/>
      <c r="P1" s="625"/>
      <c r="Q1" s="625"/>
      <c r="R1" s="433"/>
      <c r="S1" s="433"/>
      <c r="T1" s="433"/>
      <c r="U1" s="433"/>
      <c r="V1" s="433"/>
      <c r="W1" s="433"/>
      <c r="X1" s="433"/>
    </row>
    <row r="2" spans="1:24" ht="33.75">
      <c r="A2" s="632" t="s">
        <v>1056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2"/>
      <c r="Q2" s="632"/>
      <c r="R2" s="632"/>
      <c r="S2" s="632"/>
      <c r="T2" s="632"/>
      <c r="U2" s="632"/>
      <c r="V2" s="632"/>
      <c r="W2" s="632"/>
      <c r="X2" s="632"/>
    </row>
    <row r="3" spans="1:24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5"/>
      <c r="V3" s="405"/>
      <c r="W3" s="405"/>
      <c r="X3" s="405"/>
    </row>
    <row r="4" spans="1:24"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5"/>
      <c r="U4" s="405"/>
      <c r="V4" s="405"/>
      <c r="W4" s="405"/>
      <c r="X4" s="405"/>
    </row>
    <row r="5" spans="1:24">
      <c r="B5" s="405"/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5"/>
      <c r="X5" s="405"/>
    </row>
    <row r="6" spans="1:24" ht="21">
      <c r="B6" s="629" t="s">
        <v>1039</v>
      </c>
      <c r="C6" s="629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29"/>
      <c r="P6" s="405"/>
      <c r="Q6" s="405"/>
      <c r="R6" s="405"/>
      <c r="S6" s="405"/>
      <c r="T6" s="405"/>
      <c r="U6" s="405"/>
      <c r="V6" s="405"/>
      <c r="W6" s="405"/>
      <c r="X6" s="405"/>
    </row>
    <row r="7" spans="1:24">
      <c r="B7" s="630" t="s">
        <v>538</v>
      </c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405"/>
      <c r="Q7" s="405"/>
      <c r="R7" s="405"/>
      <c r="S7" s="405"/>
      <c r="T7" s="405"/>
      <c r="U7" s="405"/>
      <c r="V7" s="405"/>
      <c r="W7" s="405"/>
      <c r="X7" s="405"/>
    </row>
    <row r="8" spans="1:24">
      <c r="B8" s="623" t="s">
        <v>545</v>
      </c>
      <c r="C8" s="623"/>
      <c r="D8" s="623"/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405"/>
      <c r="Q8" s="405"/>
      <c r="R8" s="405"/>
      <c r="S8" s="405"/>
      <c r="T8" s="405"/>
      <c r="U8" s="405"/>
      <c r="V8" s="405"/>
      <c r="W8" s="405"/>
      <c r="X8" s="405"/>
    </row>
    <row r="9" spans="1:24">
      <c r="B9" s="6"/>
      <c r="C9" s="6"/>
      <c r="D9" s="6"/>
      <c r="E9" s="6"/>
      <c r="F9" s="374" t="s">
        <v>480</v>
      </c>
      <c r="G9" s="449"/>
      <c r="H9" s="239">
        <f>'PM - RWP'!$H$49</f>
        <v>40</v>
      </c>
      <c r="I9" s="239"/>
      <c r="J9" s="239"/>
      <c r="K9" s="239"/>
      <c r="L9" s="239"/>
      <c r="M9" s="239"/>
      <c r="N9" s="239"/>
      <c r="O9" s="239"/>
      <c r="P9" s="405"/>
      <c r="Q9" s="405"/>
      <c r="R9" s="405"/>
      <c r="S9" s="405"/>
      <c r="T9" s="405"/>
      <c r="U9" s="405"/>
      <c r="V9" s="405"/>
      <c r="W9" s="405"/>
      <c r="X9" s="405"/>
    </row>
    <row r="10" spans="1:24">
      <c r="B10" s="6"/>
      <c r="C10" s="6"/>
      <c r="D10" s="6"/>
      <c r="E10" s="6"/>
      <c r="F10" s="374" t="s">
        <v>483</v>
      </c>
      <c r="G10" s="449"/>
      <c r="H10" s="239">
        <f>'Water - RWP'!$E$30</f>
        <v>182</v>
      </c>
      <c r="I10" s="239"/>
      <c r="J10" s="239"/>
      <c r="K10" s="239"/>
      <c r="L10" s="239"/>
      <c r="M10" s="239"/>
      <c r="N10" s="239"/>
      <c r="O10" s="239"/>
      <c r="P10" s="405"/>
      <c r="Q10" s="405"/>
      <c r="R10" s="405"/>
      <c r="S10" s="405"/>
      <c r="T10" s="405"/>
      <c r="U10" s="405"/>
      <c r="V10" s="405"/>
      <c r="W10" s="405"/>
      <c r="X10" s="405"/>
    </row>
    <row r="11" spans="1:24">
      <c r="B11" s="239"/>
      <c r="C11" s="239"/>
      <c r="D11" s="6"/>
      <c r="E11" s="6"/>
      <c r="F11" s="398" t="s">
        <v>1038</v>
      </c>
      <c r="G11" s="442"/>
      <c r="H11" s="403">
        <f>SUM(H9:H10)</f>
        <v>222</v>
      </c>
      <c r="I11" s="403"/>
      <c r="J11" s="239"/>
      <c r="K11" s="239"/>
      <c r="L11" s="239"/>
      <c r="M11" s="239"/>
      <c r="N11" s="239"/>
      <c r="O11" s="239"/>
      <c r="P11" s="405"/>
      <c r="Q11" s="405"/>
      <c r="R11" s="405"/>
      <c r="S11" s="405"/>
      <c r="T11" s="405"/>
      <c r="U11" s="405"/>
      <c r="V11" s="405"/>
      <c r="W11" s="405"/>
      <c r="X11" s="405"/>
    </row>
    <row r="12" spans="1:24"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405"/>
      <c r="Q12" s="405"/>
      <c r="R12" s="405"/>
      <c r="S12" s="405"/>
      <c r="T12" s="405"/>
      <c r="U12" s="405"/>
      <c r="V12" s="405"/>
      <c r="W12" s="405"/>
      <c r="X12" s="405"/>
    </row>
    <row r="13" spans="1:24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405"/>
      <c r="Q13" s="405"/>
      <c r="R13" s="405"/>
      <c r="S13" s="405"/>
      <c r="T13" s="405"/>
      <c r="U13" s="405"/>
      <c r="V13" s="405"/>
      <c r="W13" s="405"/>
      <c r="X13" s="405"/>
    </row>
    <row r="14" spans="1:24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405"/>
      <c r="Q14" s="405"/>
      <c r="R14" s="405"/>
      <c r="S14" s="405"/>
      <c r="T14" s="405"/>
      <c r="U14" s="405"/>
      <c r="V14" s="405"/>
      <c r="W14" s="405"/>
      <c r="X14" s="405"/>
    </row>
    <row r="15" spans="1:24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405"/>
      <c r="Q15" s="405"/>
      <c r="R15" s="405"/>
      <c r="S15" s="405"/>
      <c r="T15" s="405"/>
      <c r="U15" s="405"/>
      <c r="V15" s="405"/>
      <c r="W15" s="405"/>
      <c r="X15" s="405"/>
    </row>
    <row r="16" spans="1:24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05"/>
      <c r="Q16" s="405"/>
      <c r="R16" s="405"/>
      <c r="S16" s="405"/>
      <c r="T16" s="405"/>
      <c r="U16" s="405"/>
      <c r="V16" s="405"/>
      <c r="W16" s="405"/>
      <c r="X16" s="405"/>
    </row>
    <row r="17" spans="2:24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05"/>
      <c r="Q17" s="405"/>
      <c r="R17" s="405"/>
      <c r="S17" s="405"/>
      <c r="T17" s="405"/>
      <c r="U17" s="405"/>
      <c r="V17" s="405"/>
      <c r="W17" s="405"/>
      <c r="X17" s="405"/>
    </row>
    <row r="18" spans="2:24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405"/>
      <c r="Q18" s="405"/>
      <c r="R18" s="405"/>
      <c r="S18" s="405"/>
      <c r="T18" s="405"/>
      <c r="U18" s="405"/>
      <c r="V18" s="405"/>
      <c r="W18" s="405"/>
      <c r="X18" s="405"/>
    </row>
    <row r="19" spans="2:24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405"/>
      <c r="Q19" s="405"/>
      <c r="R19" s="405"/>
      <c r="S19" s="405"/>
      <c r="T19" s="405"/>
      <c r="U19" s="405"/>
      <c r="V19" s="405"/>
      <c r="W19" s="405"/>
      <c r="X19" s="405"/>
    </row>
    <row r="20" spans="2:24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405"/>
      <c r="Q20" s="405"/>
      <c r="R20" s="405"/>
      <c r="S20" s="405"/>
      <c r="T20" s="405"/>
      <c r="U20" s="405"/>
      <c r="V20" s="405"/>
      <c r="W20" s="405"/>
      <c r="X20" s="405"/>
    </row>
    <row r="21" spans="2:24">
      <c r="B21" s="405"/>
      <c r="C21" s="405"/>
      <c r="D21" s="405"/>
      <c r="E21" s="405"/>
      <c r="F21" s="405"/>
      <c r="G21" s="405"/>
      <c r="H21" s="405"/>
      <c r="I21" s="405"/>
      <c r="J21" s="405"/>
      <c r="K21" s="405"/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</row>
    <row r="22" spans="2:24">
      <c r="B22" s="405"/>
      <c r="C22" s="405"/>
      <c r="D22" s="405"/>
      <c r="E22" s="405"/>
      <c r="F22" s="405"/>
      <c r="G22" s="405"/>
      <c r="H22" s="405"/>
      <c r="I22" s="405"/>
      <c r="J22" s="405"/>
      <c r="K22" s="405"/>
      <c r="L22" s="405"/>
      <c r="M22" s="405"/>
      <c r="N22" s="405"/>
      <c r="O22" s="405"/>
      <c r="P22" s="405"/>
      <c r="Q22" s="405"/>
      <c r="R22" s="405"/>
      <c r="S22" s="405"/>
      <c r="T22" s="405"/>
      <c r="U22" s="405"/>
      <c r="V22" s="405"/>
      <c r="W22" s="405"/>
      <c r="X22" s="405"/>
    </row>
    <row r="23" spans="2:24">
      <c r="B23" s="405"/>
      <c r="C23" s="405"/>
      <c r="D23" s="405"/>
      <c r="E23" s="405"/>
      <c r="F23" s="405"/>
      <c r="G23" s="405"/>
      <c r="H23" s="405"/>
      <c r="I23" s="405"/>
      <c r="J23" s="405"/>
      <c r="K23" s="405"/>
      <c r="L23" s="405"/>
      <c r="M23" s="405"/>
      <c r="N23" s="405"/>
      <c r="O23" s="405"/>
      <c r="P23" s="405"/>
      <c r="Q23" s="405"/>
      <c r="R23" s="405"/>
      <c r="S23" s="405"/>
      <c r="T23" s="405"/>
      <c r="U23" s="405"/>
      <c r="V23" s="405"/>
      <c r="W23" s="405"/>
      <c r="X23" s="405"/>
    </row>
    <row r="24" spans="2:24">
      <c r="B24" s="405"/>
      <c r="C24" s="405"/>
      <c r="D24" s="405"/>
      <c r="E24" s="405"/>
      <c r="F24" s="405"/>
      <c r="G24" s="405"/>
      <c r="H24" s="405"/>
      <c r="I24" s="405"/>
      <c r="J24" s="405"/>
      <c r="K24" s="405"/>
      <c r="L24" s="405"/>
      <c r="M24" s="405"/>
      <c r="N24" s="405"/>
      <c r="O24" s="405"/>
      <c r="P24" s="405"/>
      <c r="Q24" s="405"/>
      <c r="R24" s="405"/>
      <c r="S24" s="405"/>
      <c r="T24" s="405"/>
      <c r="U24" s="405"/>
      <c r="V24" s="405"/>
      <c r="W24" s="405"/>
      <c r="X24" s="405"/>
    </row>
    <row r="25" spans="2:24" ht="21">
      <c r="B25" s="629" t="s">
        <v>1035</v>
      </c>
      <c r="C25" s="629"/>
      <c r="D25" s="629"/>
      <c r="E25" s="629"/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405"/>
      <c r="Q25" s="405"/>
      <c r="R25" s="405"/>
      <c r="S25" s="405"/>
      <c r="T25" s="405"/>
      <c r="U25" s="405"/>
      <c r="V25" s="405"/>
      <c r="W25" s="405"/>
      <c r="X25" s="405"/>
    </row>
    <row r="26" spans="2:24">
      <c r="B26" s="630" t="s">
        <v>538</v>
      </c>
      <c r="C26" s="630"/>
      <c r="D26" s="630"/>
      <c r="E26" s="630"/>
      <c r="F26" s="630"/>
      <c r="G26" s="630"/>
      <c r="H26" s="630"/>
      <c r="I26" s="630"/>
      <c r="J26" s="630"/>
      <c r="K26" s="630"/>
      <c r="L26" s="630"/>
      <c r="M26" s="630"/>
      <c r="N26" s="630"/>
      <c r="O26" s="630"/>
      <c r="P26" s="405"/>
      <c r="Q26" s="405"/>
      <c r="R26" s="405"/>
      <c r="S26" s="405"/>
      <c r="T26" s="405"/>
      <c r="U26" s="405"/>
      <c r="V26" s="405"/>
      <c r="W26" s="405"/>
      <c r="X26" s="405"/>
    </row>
    <row r="27" spans="2:24">
      <c r="B27" s="635" t="s">
        <v>1004</v>
      </c>
      <c r="C27" s="635"/>
      <c r="D27" s="635"/>
      <c r="E27" s="635"/>
      <c r="F27" s="635"/>
      <c r="G27" s="635"/>
      <c r="H27" s="635"/>
      <c r="I27" s="635"/>
      <c r="J27" s="635"/>
      <c r="K27" s="468"/>
      <c r="L27" s="239"/>
      <c r="M27" s="239"/>
      <c r="N27" s="239"/>
      <c r="O27" s="239"/>
      <c r="P27" s="405"/>
      <c r="Q27" s="405"/>
      <c r="R27" s="405"/>
      <c r="S27" s="405"/>
      <c r="T27" s="405"/>
      <c r="U27" s="405"/>
      <c r="V27" s="405"/>
      <c r="W27" s="405"/>
      <c r="X27" s="405"/>
    </row>
    <row r="28" spans="2:24">
      <c r="B28" s="636" t="s">
        <v>1037</v>
      </c>
      <c r="C28" s="636"/>
      <c r="D28" s="636"/>
      <c r="E28" s="448"/>
      <c r="F28" s="435" t="s">
        <v>350</v>
      </c>
      <c r="G28" s="462"/>
      <c r="H28" s="239"/>
      <c r="I28" s="239"/>
      <c r="J28" s="239"/>
      <c r="K28" s="239"/>
      <c r="L28" s="239"/>
      <c r="M28" s="239"/>
      <c r="N28" s="239"/>
      <c r="O28" s="239"/>
      <c r="P28" s="405"/>
      <c r="Q28" s="405"/>
      <c r="R28" s="405"/>
      <c r="S28" s="405"/>
      <c r="T28" s="405"/>
      <c r="U28" s="405"/>
      <c r="V28" s="405"/>
      <c r="W28" s="405"/>
      <c r="X28" s="405"/>
    </row>
    <row r="29" spans="2:24">
      <c r="B29" s="402"/>
      <c r="C29" s="402"/>
      <c r="D29" s="398">
        <f>COUNTIFS('Work Task_Log'!A3:A2115,"5/16/2020"-1,'Work Task_Log'!G3:G2115,"Y")</f>
        <v>0</v>
      </c>
      <c r="E29" s="442"/>
      <c r="F29" s="417">
        <v>1</v>
      </c>
      <c r="G29" s="463"/>
      <c r="H29" s="239"/>
      <c r="I29" s="239"/>
      <c r="J29" s="239"/>
      <c r="K29" s="239"/>
      <c r="L29" s="239"/>
      <c r="M29" s="239"/>
      <c r="N29" s="239"/>
      <c r="O29" s="239"/>
      <c r="P29" s="405"/>
      <c r="Q29" s="405"/>
      <c r="R29" s="405"/>
      <c r="S29" s="405"/>
      <c r="T29" s="405"/>
      <c r="U29" s="405"/>
      <c r="V29" s="405"/>
      <c r="W29" s="405"/>
      <c r="X29" s="405"/>
    </row>
    <row r="30" spans="2:24">
      <c r="B30" s="402"/>
      <c r="C30" s="402"/>
      <c r="D30" s="398">
        <f>COUNTIFS('Work Task_Log'!A3:A2115,"5/16/2020"-2,'Work Task_Log'!G3:G2115,"Y")</f>
        <v>0</v>
      </c>
      <c r="E30" s="442"/>
      <c r="F30" s="417">
        <v>2</v>
      </c>
      <c r="G30" s="463"/>
      <c r="H30" s="239"/>
      <c r="I30" s="239"/>
      <c r="J30" s="239"/>
      <c r="K30" s="239"/>
      <c r="L30" s="239"/>
      <c r="M30" s="239"/>
      <c r="N30" s="239"/>
      <c r="O30" s="239"/>
      <c r="P30" s="405"/>
      <c r="Q30" s="405"/>
      <c r="R30" s="405"/>
      <c r="S30" s="405"/>
      <c r="T30" s="405"/>
      <c r="U30" s="405"/>
      <c r="V30" s="405"/>
      <c r="W30" s="405"/>
      <c r="X30" s="405"/>
    </row>
    <row r="31" spans="2:24">
      <c r="B31" s="402"/>
      <c r="C31" s="402"/>
      <c r="D31" s="398">
        <f>COUNTIFS('Work Task_Log'!A3:A2115,"5/16/2020"-3,'Work Task_Log'!G3:G2115,"Y")</f>
        <v>0</v>
      </c>
      <c r="E31" s="442"/>
      <c r="F31" s="417">
        <v>3</v>
      </c>
      <c r="G31" s="463"/>
      <c r="H31" s="239"/>
      <c r="I31" s="239"/>
      <c r="J31" s="239"/>
      <c r="K31" s="239"/>
      <c r="L31" s="239"/>
      <c r="M31" s="239"/>
      <c r="N31" s="239"/>
      <c r="O31" s="239"/>
      <c r="P31" s="405"/>
      <c r="Q31" s="405"/>
      <c r="R31" s="405"/>
      <c r="S31" s="405"/>
      <c r="T31" s="405"/>
      <c r="U31" s="405"/>
      <c r="V31" s="405"/>
      <c r="W31" s="405"/>
      <c r="X31" s="405"/>
    </row>
    <row r="32" spans="2:24">
      <c r="B32" s="402"/>
      <c r="C32" s="402"/>
      <c r="D32" s="398">
        <f>COUNTIFS('Work Task_Log'!A3:A2115,"5/16/2020"-4,'Work Task_Log'!G3:G2115,"Y")</f>
        <v>0</v>
      </c>
      <c r="E32" s="442"/>
      <c r="F32" s="417">
        <v>4</v>
      </c>
      <c r="G32" s="463"/>
      <c r="H32" s="239"/>
      <c r="I32" s="239"/>
      <c r="J32" s="239"/>
      <c r="K32" s="239"/>
      <c r="L32" s="239"/>
      <c r="M32" s="239"/>
      <c r="N32" s="239"/>
      <c r="O32" s="239"/>
      <c r="P32" s="405"/>
      <c r="Q32" s="405"/>
      <c r="R32" s="405"/>
      <c r="S32" s="405"/>
      <c r="T32" s="405"/>
      <c r="U32" s="405"/>
      <c r="V32" s="405"/>
      <c r="W32" s="405"/>
      <c r="X32" s="405"/>
    </row>
    <row r="33" spans="2:24">
      <c r="B33" s="402"/>
      <c r="C33" s="402"/>
      <c r="D33" s="398">
        <f>COUNTIFS('Work Task_Log'!A3:A2115,"5/16/2020"-5,'Work Task_Log'!G3:G2115,"Y")</f>
        <v>4</v>
      </c>
      <c r="E33" s="442"/>
      <c r="F33" s="417">
        <v>5</v>
      </c>
      <c r="G33" s="463"/>
      <c r="H33" s="239"/>
      <c r="I33" s="239"/>
      <c r="J33" s="239"/>
      <c r="K33" s="239"/>
      <c r="L33" s="239"/>
      <c r="M33" s="239"/>
      <c r="N33" s="239"/>
      <c r="O33" s="239"/>
      <c r="P33" s="405"/>
      <c r="Q33" s="405"/>
      <c r="R33" s="405"/>
      <c r="S33" s="405"/>
      <c r="T33" s="405"/>
      <c r="U33" s="405"/>
      <c r="V33" s="405"/>
      <c r="W33" s="405"/>
      <c r="X33" s="405"/>
    </row>
    <row r="34" spans="2:24">
      <c r="B34" s="402"/>
      <c r="C34" s="402"/>
      <c r="D34" s="398">
        <f ca="1">COUNTIFS('Work Task_Log'!A3:A2115,TODAY()-6,'Work Task_Log'!G3:G2115,"Y")</f>
        <v>0</v>
      </c>
      <c r="E34" s="442"/>
      <c r="F34" s="417">
        <v>6</v>
      </c>
      <c r="G34" s="463"/>
      <c r="H34" s="239"/>
      <c r="I34" s="239"/>
      <c r="J34" s="239"/>
      <c r="K34" s="239"/>
      <c r="L34" s="239"/>
      <c r="M34" s="239"/>
      <c r="N34" s="239"/>
      <c r="O34" s="239"/>
      <c r="P34" s="405"/>
      <c r="Q34" s="405"/>
      <c r="R34" s="405"/>
      <c r="S34" s="405"/>
      <c r="T34" s="405"/>
      <c r="U34" s="405"/>
      <c r="V34" s="405"/>
      <c r="W34" s="405"/>
      <c r="X34" s="405"/>
    </row>
    <row r="35" spans="2:24" ht="15.75" thickBot="1">
      <c r="B35" s="402"/>
      <c r="C35" s="402"/>
      <c r="D35" s="434">
        <f>COUNTIFS('Work Task_Log'!A3:A2115,"5/16/2020"-7,'Work Task_Log'!G3:G2115,"Y")</f>
        <v>1</v>
      </c>
      <c r="E35" s="434"/>
      <c r="F35" s="436">
        <v>7</v>
      </c>
      <c r="G35" s="463"/>
      <c r="H35" s="239"/>
      <c r="I35" s="239"/>
      <c r="J35" s="239"/>
      <c r="K35" s="239"/>
      <c r="L35" s="239"/>
      <c r="M35" s="239"/>
      <c r="N35" s="239"/>
      <c r="O35" s="239"/>
      <c r="P35" s="405"/>
      <c r="Q35" s="405"/>
      <c r="R35" s="405"/>
      <c r="S35" s="405"/>
      <c r="T35" s="405"/>
      <c r="U35" s="405"/>
      <c r="V35" s="405"/>
      <c r="W35" s="405"/>
      <c r="X35" s="405"/>
    </row>
    <row r="36" spans="2:24" ht="15.75" thickTop="1">
      <c r="B36" s="6"/>
      <c r="C36" s="6"/>
      <c r="D36" s="400"/>
      <c r="E36" s="400"/>
      <c r="F36" s="397"/>
      <c r="G36" s="445"/>
      <c r="H36" s="239"/>
      <c r="I36" s="239"/>
      <c r="J36" s="239"/>
      <c r="K36" s="239"/>
      <c r="L36" s="239"/>
      <c r="M36" s="239"/>
      <c r="N36" s="239"/>
      <c r="O36" s="239"/>
      <c r="P36" s="405"/>
      <c r="Q36" s="405"/>
      <c r="R36" s="405"/>
      <c r="S36" s="405"/>
      <c r="T36" s="405"/>
      <c r="U36" s="405"/>
      <c r="V36" s="405"/>
      <c r="W36" s="405"/>
      <c r="X36" s="405"/>
    </row>
    <row r="37" spans="2:24">
      <c r="B37" s="633" t="s">
        <v>1034</v>
      </c>
      <c r="C37" s="446"/>
      <c r="D37" s="634">
        <f ca="1">SUM(D29:D35)</f>
        <v>5</v>
      </c>
      <c r="E37" s="447"/>
      <c r="F37" s="637" t="s">
        <v>1032</v>
      </c>
      <c r="G37" s="449"/>
      <c r="H37" s="239"/>
      <c r="I37" s="239"/>
      <c r="J37" s="239"/>
      <c r="K37" s="239"/>
      <c r="L37" s="239"/>
      <c r="M37" s="239"/>
      <c r="N37" s="239"/>
      <c r="O37" s="239"/>
      <c r="P37" s="405"/>
      <c r="Q37" s="405"/>
      <c r="R37" s="405"/>
      <c r="S37" s="405"/>
      <c r="T37" s="405"/>
      <c r="U37" s="405"/>
      <c r="V37" s="405"/>
      <c r="W37" s="405"/>
      <c r="X37" s="405"/>
    </row>
    <row r="38" spans="2:24" ht="12.6" customHeight="1">
      <c r="B38" s="633"/>
      <c r="C38" s="446"/>
      <c r="D38" s="634"/>
      <c r="E38" s="447"/>
      <c r="F38" s="637"/>
      <c r="G38" s="449"/>
      <c r="H38" s="6"/>
      <c r="I38" s="6"/>
      <c r="J38" s="6"/>
      <c r="K38" s="6"/>
      <c r="L38" s="6"/>
      <c r="M38" s="6"/>
      <c r="N38" s="6"/>
      <c r="O38" s="6"/>
      <c r="P38" s="405"/>
      <c r="Q38" s="405"/>
      <c r="R38" s="405"/>
      <c r="S38" s="405"/>
      <c r="T38" s="405"/>
      <c r="U38" s="405"/>
      <c r="V38" s="405"/>
      <c r="W38" s="405"/>
      <c r="X38" s="405"/>
    </row>
    <row r="39" spans="2:24">
      <c r="B39" s="399"/>
      <c r="C39" s="446"/>
      <c r="D39" s="386"/>
      <c r="E39" s="386"/>
      <c r="F39" s="240"/>
      <c r="G39" s="384"/>
      <c r="H39" s="6"/>
      <c r="I39" s="6"/>
      <c r="J39" s="6"/>
      <c r="K39" s="6"/>
      <c r="L39" s="6"/>
      <c r="M39" s="6"/>
      <c r="N39" s="6"/>
      <c r="O39" s="6"/>
      <c r="P39" s="405"/>
      <c r="Q39" s="405"/>
      <c r="R39" s="405"/>
      <c r="S39" s="405"/>
      <c r="T39" s="405"/>
      <c r="U39" s="405"/>
      <c r="V39" s="405"/>
      <c r="W39" s="405"/>
      <c r="X39" s="405"/>
    </row>
    <row r="40" spans="2:24">
      <c r="B40" s="405"/>
      <c r="C40" s="405"/>
      <c r="D40" s="405"/>
      <c r="E40" s="405"/>
      <c r="F40" s="405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5"/>
      <c r="V40" s="405"/>
      <c r="W40" s="405"/>
      <c r="X40" s="405"/>
    </row>
    <row r="41" spans="2:24"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5"/>
    </row>
    <row r="42" spans="2:24"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  <c r="P42" s="405"/>
      <c r="Q42" s="405"/>
      <c r="R42" s="405"/>
      <c r="S42" s="405"/>
      <c r="T42" s="405"/>
      <c r="U42" s="405"/>
      <c r="V42" s="405"/>
      <c r="W42" s="405"/>
      <c r="X42" s="405"/>
    </row>
    <row r="43" spans="2:24"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  <c r="M43" s="405"/>
      <c r="N43" s="405"/>
      <c r="O43" s="405"/>
      <c r="P43" s="405"/>
      <c r="Q43" s="405"/>
      <c r="R43" s="405"/>
      <c r="S43" s="405"/>
      <c r="T43" s="405"/>
      <c r="U43" s="405"/>
      <c r="V43" s="405"/>
      <c r="W43" s="405"/>
      <c r="X43" s="405"/>
    </row>
    <row r="44" spans="2:24" ht="21">
      <c r="B44" s="629" t="s">
        <v>1036</v>
      </c>
      <c r="C44" s="629"/>
      <c r="D44" s="629"/>
      <c r="E44" s="629"/>
      <c r="F44" s="629"/>
      <c r="G44" s="629"/>
      <c r="H44" s="629"/>
      <c r="I44" s="629"/>
      <c r="J44" s="629"/>
      <c r="K44" s="629"/>
      <c r="L44" s="629"/>
      <c r="M44" s="629"/>
      <c r="N44" s="629"/>
      <c r="O44" s="629"/>
      <c r="P44" s="405"/>
      <c r="Q44" s="405"/>
      <c r="R44" s="405"/>
      <c r="S44" s="405"/>
      <c r="T44" s="405"/>
      <c r="U44" s="405"/>
      <c r="V44" s="405"/>
      <c r="W44" s="405"/>
      <c r="X44" s="405"/>
    </row>
    <row r="45" spans="2:24">
      <c r="B45" s="630" t="s">
        <v>538</v>
      </c>
      <c r="C45" s="630"/>
      <c r="D45" s="630"/>
      <c r="E45" s="630"/>
      <c r="F45" s="630"/>
      <c r="G45" s="630"/>
      <c r="H45" s="630"/>
      <c r="I45" s="630"/>
      <c r="J45" s="630"/>
      <c r="K45" s="630"/>
      <c r="L45" s="630"/>
      <c r="M45" s="630"/>
      <c r="N45" s="630"/>
      <c r="O45" s="630"/>
      <c r="P45" s="405"/>
      <c r="Q45" s="405"/>
      <c r="R45" s="405"/>
      <c r="S45" s="405"/>
      <c r="T45" s="405"/>
      <c r="U45" s="405"/>
      <c r="V45" s="405"/>
      <c r="W45" s="405"/>
      <c r="X45" s="405"/>
    </row>
    <row r="46" spans="2:24" ht="15.75">
      <c r="B46" s="638" t="s">
        <v>472</v>
      </c>
      <c r="C46" s="638"/>
      <c r="D46" s="638"/>
      <c r="E46" s="638"/>
      <c r="F46" s="639"/>
      <c r="G46" s="464"/>
      <c r="H46" s="389"/>
      <c r="I46" s="389"/>
      <c r="J46" s="638" t="s">
        <v>473</v>
      </c>
      <c r="K46" s="638"/>
      <c r="L46" s="638"/>
      <c r="M46" s="638"/>
      <c r="N46" s="638"/>
      <c r="O46" s="638"/>
      <c r="P46" s="405"/>
      <c r="Q46" s="405"/>
      <c r="R46" s="405"/>
      <c r="S46" s="405"/>
      <c r="T46" s="405"/>
      <c r="U46" s="405"/>
      <c r="V46" s="405"/>
      <c r="W46" s="405"/>
      <c r="X46" s="405"/>
    </row>
    <row r="47" spans="2:24">
      <c r="B47" s="390" t="s">
        <v>1028</v>
      </c>
      <c r="C47" s="390"/>
      <c r="D47" s="390">
        <v>350000</v>
      </c>
      <c r="E47" s="390"/>
      <c r="F47" s="391"/>
      <c r="G47" s="390"/>
      <c r="H47" s="240"/>
      <c r="I47" s="384"/>
      <c r="J47" s="240" t="s">
        <v>1041</v>
      </c>
      <c r="K47" s="384"/>
      <c r="L47" s="240" t="s">
        <v>1031</v>
      </c>
      <c r="M47" s="384"/>
      <c r="N47" s="240" t="s">
        <v>475</v>
      </c>
      <c r="O47" s="240"/>
      <c r="P47" s="405"/>
      <c r="Q47" s="405"/>
      <c r="R47" s="405"/>
      <c r="S47" s="405"/>
      <c r="T47" s="405"/>
      <c r="U47" s="405"/>
      <c r="V47" s="405"/>
      <c r="W47" s="405"/>
      <c r="X47" s="405"/>
    </row>
    <row r="48" spans="2:24">
      <c r="B48" s="390" t="s">
        <v>1029</v>
      </c>
      <c r="C48" s="390"/>
      <c r="D48" s="392">
        <v>250000</v>
      </c>
      <c r="E48" s="392"/>
      <c r="F48" s="391"/>
      <c r="G48" s="390"/>
      <c r="H48" s="240"/>
      <c r="I48" s="384"/>
      <c r="J48" s="240">
        <v>20000</v>
      </c>
      <c r="K48" s="384"/>
      <c r="L48" s="240">
        <v>52000</v>
      </c>
      <c r="M48" s="384"/>
      <c r="N48" s="240">
        <v>1</v>
      </c>
      <c r="O48" s="240"/>
      <c r="P48" s="405"/>
      <c r="Q48" s="405"/>
      <c r="R48" s="405"/>
      <c r="S48" s="405"/>
      <c r="T48" s="405"/>
      <c r="U48" s="405"/>
      <c r="V48" s="405"/>
      <c r="W48" s="405"/>
      <c r="X48" s="405"/>
    </row>
    <row r="49" spans="2:24">
      <c r="B49" s="390" t="s">
        <v>1030</v>
      </c>
      <c r="C49" s="390"/>
      <c r="D49" s="393">
        <f>D48/D47</f>
        <v>0.7142857142857143</v>
      </c>
      <c r="E49" s="393"/>
      <c r="F49" s="394" t="s">
        <v>1032</v>
      </c>
      <c r="G49" s="465"/>
      <c r="H49" s="240"/>
      <c r="I49" s="384"/>
      <c r="J49" s="240">
        <v>20000</v>
      </c>
      <c r="K49" s="384"/>
      <c r="L49" s="240">
        <v>52000</v>
      </c>
      <c r="M49" s="384"/>
      <c r="N49" s="240">
        <v>2</v>
      </c>
      <c r="O49" s="240"/>
      <c r="P49" s="405"/>
      <c r="Q49" s="405"/>
      <c r="R49" s="405"/>
      <c r="S49" s="405"/>
      <c r="T49" s="405"/>
      <c r="U49" s="405"/>
      <c r="V49" s="405"/>
      <c r="W49" s="405"/>
      <c r="X49" s="405"/>
    </row>
    <row r="50" spans="2:24">
      <c r="B50" s="390"/>
      <c r="C50" s="390"/>
      <c r="D50" s="395" t="s">
        <v>2</v>
      </c>
      <c r="E50" s="395"/>
      <c r="F50" s="391"/>
      <c r="G50" s="390"/>
      <c r="H50" s="240"/>
      <c r="I50" s="384"/>
      <c r="J50" s="240">
        <v>40000</v>
      </c>
      <c r="K50" s="384"/>
      <c r="L50" s="240">
        <v>52000</v>
      </c>
      <c r="M50" s="384"/>
      <c r="N50" s="240">
        <v>3</v>
      </c>
      <c r="O50" s="240"/>
      <c r="P50" s="405"/>
      <c r="Q50" s="405"/>
      <c r="R50" s="405"/>
      <c r="S50" s="405"/>
      <c r="T50" s="405"/>
      <c r="U50" s="405"/>
      <c r="V50" s="405"/>
      <c r="W50" s="405"/>
      <c r="X50" s="405"/>
    </row>
    <row r="51" spans="2:24">
      <c r="B51" s="390"/>
      <c r="C51" s="390"/>
      <c r="D51" s="396" t="s">
        <v>2</v>
      </c>
      <c r="E51" s="396"/>
      <c r="F51" s="391"/>
      <c r="G51" s="390"/>
      <c r="H51" s="240"/>
      <c r="I51" s="384"/>
      <c r="J51" s="240">
        <v>30000</v>
      </c>
      <c r="K51" s="384"/>
      <c r="L51" s="240">
        <v>52000</v>
      </c>
      <c r="M51" s="384"/>
      <c r="N51" s="240">
        <v>4</v>
      </c>
      <c r="O51" s="240"/>
      <c r="P51" s="405"/>
      <c r="Q51" s="405"/>
      <c r="R51" s="405"/>
      <c r="S51" s="405"/>
      <c r="T51" s="405"/>
      <c r="U51" s="405"/>
      <c r="V51" s="405"/>
      <c r="W51" s="405"/>
      <c r="X51" s="405"/>
    </row>
    <row r="52" spans="2:24">
      <c r="B52" s="390"/>
      <c r="C52" s="390"/>
      <c r="D52" s="390"/>
      <c r="E52" s="390"/>
      <c r="F52" s="391"/>
      <c r="G52" s="390"/>
      <c r="H52" s="240"/>
      <c r="I52" s="384"/>
      <c r="J52" s="240">
        <v>20000</v>
      </c>
      <c r="K52" s="384"/>
      <c r="L52" s="240">
        <v>52000</v>
      </c>
      <c r="M52" s="384"/>
      <c r="N52" s="240">
        <v>5</v>
      </c>
      <c r="O52" s="240"/>
      <c r="P52" s="405"/>
      <c r="Q52" s="405"/>
      <c r="R52" s="405"/>
      <c r="S52" s="405"/>
      <c r="T52" s="405"/>
      <c r="U52" s="405"/>
      <c r="V52" s="405"/>
      <c r="W52" s="405"/>
      <c r="X52" s="405"/>
    </row>
    <row r="53" spans="2:24">
      <c r="B53" s="390"/>
      <c r="C53" s="390"/>
      <c r="D53" s="390"/>
      <c r="E53" s="390"/>
      <c r="F53" s="391"/>
      <c r="G53" s="390"/>
      <c r="H53" s="240"/>
      <c r="I53" s="384"/>
      <c r="J53" s="240">
        <v>1500</v>
      </c>
      <c r="K53" s="384"/>
      <c r="L53" s="240">
        <v>52000</v>
      </c>
      <c r="M53" s="384"/>
      <c r="N53" s="240">
        <v>6</v>
      </c>
      <c r="O53" s="240"/>
      <c r="P53" s="405"/>
      <c r="Q53" s="405"/>
      <c r="R53" s="405"/>
      <c r="S53" s="405"/>
      <c r="T53" s="405"/>
      <c r="U53" s="405"/>
      <c r="V53" s="405"/>
      <c r="W53" s="405"/>
      <c r="X53" s="405"/>
    </row>
    <row r="54" spans="2:24">
      <c r="B54" s="390"/>
      <c r="C54" s="390"/>
      <c r="D54" s="390"/>
      <c r="E54" s="390"/>
      <c r="F54" s="391"/>
      <c r="G54" s="390"/>
      <c r="H54" s="479" t="s">
        <v>2</v>
      </c>
      <c r="I54" s="479" t="s">
        <v>474</v>
      </c>
      <c r="J54" s="388">
        <f>SUM(J48:J53)</f>
        <v>131500</v>
      </c>
      <c r="K54" s="388"/>
      <c r="L54" s="388">
        <f>SUM(L48:L53)</f>
        <v>312000</v>
      </c>
      <c r="M54" s="388"/>
      <c r="N54" s="385"/>
      <c r="O54" s="385"/>
      <c r="P54" s="405"/>
      <c r="Q54" s="405"/>
      <c r="R54" s="405"/>
      <c r="S54" s="405"/>
      <c r="T54" s="405"/>
      <c r="U54" s="405"/>
      <c r="V54" s="405"/>
      <c r="W54" s="405"/>
      <c r="X54" s="405"/>
    </row>
    <row r="55" spans="2:24">
      <c r="B55" s="390"/>
      <c r="C55" s="390"/>
      <c r="D55" s="390"/>
      <c r="E55" s="390"/>
      <c r="F55" s="391"/>
      <c r="G55" s="390"/>
      <c r="H55" s="479" t="s">
        <v>2</v>
      </c>
      <c r="I55" s="479" t="s">
        <v>1033</v>
      </c>
      <c r="J55" s="387">
        <f>J54/L54</f>
        <v>0.42147435897435898</v>
      </c>
      <c r="K55" s="387"/>
      <c r="L55" s="374" t="s">
        <v>1032</v>
      </c>
      <c r="M55" s="449"/>
      <c r="N55" s="240"/>
      <c r="O55" s="240"/>
      <c r="P55" s="405"/>
      <c r="Q55" s="405"/>
      <c r="R55" s="405"/>
      <c r="S55" s="405"/>
      <c r="T55" s="405"/>
      <c r="U55" s="405"/>
      <c r="V55" s="405"/>
      <c r="W55" s="405"/>
      <c r="X55" s="405"/>
    </row>
    <row r="56" spans="2:24">
      <c r="B56" s="390"/>
      <c r="C56" s="390"/>
      <c r="D56" s="390"/>
      <c r="E56" s="390"/>
      <c r="F56" s="391"/>
      <c r="G56" s="390"/>
      <c r="H56" s="240"/>
      <c r="I56" s="384"/>
      <c r="J56" s="240"/>
      <c r="K56" s="384"/>
      <c r="L56" s="240"/>
      <c r="M56" s="384"/>
      <c r="N56" s="240"/>
      <c r="O56" s="240"/>
      <c r="P56" s="405"/>
      <c r="Q56" s="405"/>
      <c r="R56" s="405"/>
      <c r="S56" s="405"/>
      <c r="T56" s="405"/>
      <c r="U56" s="405"/>
      <c r="V56" s="405"/>
      <c r="W56" s="405"/>
      <c r="X56" s="405"/>
    </row>
    <row r="57" spans="2:24">
      <c r="B57" s="405"/>
      <c r="C57" s="405"/>
      <c r="D57" s="405"/>
      <c r="E57" s="405"/>
      <c r="F57" s="405"/>
      <c r="G57" s="405"/>
      <c r="H57" s="405"/>
      <c r="I57" s="405"/>
      <c r="J57" s="405"/>
      <c r="K57" s="405"/>
      <c r="L57" s="405"/>
      <c r="M57" s="405"/>
      <c r="N57" s="405"/>
      <c r="O57" s="405"/>
      <c r="P57" s="405"/>
      <c r="Q57" s="405"/>
      <c r="R57" s="405"/>
      <c r="S57" s="405"/>
      <c r="T57" s="405"/>
      <c r="U57" s="405"/>
      <c r="V57" s="405"/>
      <c r="W57" s="405"/>
      <c r="X57" s="405"/>
    </row>
    <row r="58" spans="2:24">
      <c r="B58" s="405"/>
      <c r="C58" s="405"/>
      <c r="D58" s="405"/>
      <c r="E58" s="405"/>
      <c r="F58" s="405"/>
      <c r="G58" s="405"/>
      <c r="H58" s="405"/>
      <c r="I58" s="405"/>
      <c r="J58" s="405"/>
      <c r="K58" s="405"/>
      <c r="L58" s="405"/>
      <c r="M58" s="405"/>
      <c r="N58" s="405"/>
      <c r="O58" s="405"/>
      <c r="P58" s="405"/>
      <c r="Q58" s="405"/>
      <c r="R58" s="405"/>
      <c r="S58" s="405"/>
      <c r="T58" s="405"/>
      <c r="U58" s="405"/>
      <c r="V58" s="405"/>
      <c r="W58" s="405"/>
      <c r="X58" s="405"/>
    </row>
    <row r="59" spans="2:24">
      <c r="B59" s="405"/>
      <c r="C59" s="405"/>
      <c r="D59" s="405"/>
      <c r="E59" s="405"/>
      <c r="F59" s="405"/>
      <c r="G59" s="405"/>
      <c r="H59" s="405"/>
      <c r="I59" s="405"/>
      <c r="J59" s="405"/>
      <c r="K59" s="405"/>
      <c r="L59" s="405"/>
      <c r="M59" s="405"/>
      <c r="N59" s="405"/>
      <c r="O59" s="405"/>
      <c r="P59" s="405"/>
      <c r="Q59" s="405"/>
      <c r="R59" s="405"/>
      <c r="S59" s="405"/>
      <c r="T59" s="405"/>
      <c r="U59" s="405"/>
      <c r="V59" s="405"/>
      <c r="W59" s="405"/>
      <c r="X59" s="405"/>
    </row>
    <row r="60" spans="2:24"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405"/>
      <c r="O60" s="405"/>
      <c r="P60" s="405"/>
      <c r="Q60" s="405"/>
      <c r="R60" s="405"/>
      <c r="S60" s="405"/>
      <c r="T60" s="405"/>
      <c r="U60" s="405"/>
      <c r="V60" s="405"/>
      <c r="W60" s="405"/>
      <c r="X60" s="405"/>
    </row>
    <row r="61" spans="2:24" ht="21">
      <c r="B61" s="629" t="s">
        <v>1045</v>
      </c>
      <c r="C61" s="629"/>
      <c r="D61" s="629"/>
      <c r="E61" s="629"/>
      <c r="F61" s="629"/>
      <c r="G61" s="629"/>
      <c r="H61" s="629"/>
      <c r="I61" s="629"/>
      <c r="J61" s="629"/>
      <c r="K61" s="629"/>
      <c r="L61" s="629"/>
      <c r="M61" s="629"/>
      <c r="N61" s="629"/>
      <c r="O61" s="629"/>
      <c r="P61" s="405"/>
      <c r="Q61" s="405"/>
      <c r="R61" s="405"/>
      <c r="S61" s="405"/>
      <c r="T61" s="405"/>
      <c r="U61" s="405"/>
      <c r="V61" s="405"/>
      <c r="W61" s="405"/>
      <c r="X61" s="405"/>
    </row>
    <row r="62" spans="2:24">
      <c r="B62" s="630" t="s">
        <v>538</v>
      </c>
      <c r="C62" s="630"/>
      <c r="D62" s="630"/>
      <c r="E62" s="630"/>
      <c r="F62" s="630"/>
      <c r="G62" s="630"/>
      <c r="H62" s="630"/>
      <c r="I62" s="630"/>
      <c r="J62" s="630"/>
      <c r="K62" s="630"/>
      <c r="L62" s="630"/>
      <c r="M62" s="630"/>
      <c r="N62" s="630"/>
      <c r="O62" s="630"/>
      <c r="P62" s="405"/>
      <c r="Q62" s="405"/>
      <c r="R62" s="405"/>
      <c r="S62" s="405"/>
      <c r="T62" s="405"/>
      <c r="U62" s="405"/>
      <c r="V62" s="405"/>
      <c r="W62" s="405"/>
      <c r="X62" s="405"/>
    </row>
    <row r="63" spans="2:24">
      <c r="B63" s="409"/>
      <c r="C63" s="409"/>
      <c r="D63" s="631" t="s">
        <v>1043</v>
      </c>
      <c r="E63" s="631"/>
      <c r="F63" s="631"/>
      <c r="G63" s="444"/>
      <c r="H63" s="631" t="s">
        <v>1044</v>
      </c>
      <c r="I63" s="631"/>
      <c r="J63" s="631"/>
      <c r="K63" s="469"/>
      <c r="L63" s="409"/>
      <c r="M63" s="409"/>
      <c r="N63" s="409"/>
      <c r="O63" s="6"/>
      <c r="P63" s="405"/>
      <c r="Q63" s="405"/>
      <c r="R63" s="405"/>
      <c r="S63" s="405"/>
      <c r="T63" s="405"/>
      <c r="U63" s="405"/>
      <c r="V63" s="405"/>
      <c r="W63" s="405"/>
      <c r="X63" s="405"/>
    </row>
    <row r="64" spans="2:24" ht="45">
      <c r="B64" s="6"/>
      <c r="C64" s="6"/>
      <c r="D64" s="411" t="s">
        <v>350</v>
      </c>
      <c r="E64" s="411"/>
      <c r="F64" s="413" t="s">
        <v>355</v>
      </c>
      <c r="G64" s="413"/>
      <c r="H64" s="411" t="s">
        <v>350</v>
      </c>
      <c r="I64" s="411"/>
      <c r="J64" s="413" t="s">
        <v>471</v>
      </c>
      <c r="K64" s="470"/>
      <c r="L64" s="6"/>
      <c r="M64" s="6"/>
      <c r="N64" s="6"/>
      <c r="O64" s="6"/>
      <c r="P64" s="405"/>
      <c r="Q64" s="405"/>
      <c r="R64" s="405"/>
      <c r="S64" s="405"/>
      <c r="T64" s="405"/>
      <c r="U64" s="405"/>
      <c r="V64" s="405"/>
      <c r="W64" s="405"/>
      <c r="X64" s="405"/>
    </row>
    <row r="65" spans="2:24">
      <c r="B65" s="6"/>
      <c r="C65" s="6"/>
      <c r="D65" s="410">
        <v>1</v>
      </c>
      <c r="E65" s="410"/>
      <c r="F65" s="412">
        <f>VLOOKUP("5/16/2020"-1,'Work Task_Compl'!B5:E96,2,0)</f>
        <v>2</v>
      </c>
      <c r="G65" s="412"/>
      <c r="H65" s="410">
        <v>1</v>
      </c>
      <c r="I65" s="410"/>
      <c r="J65" s="412">
        <f>VLOOKUP("5/16/2020"-1,'Work Task_Compl'!B5:E96,3,0)</f>
        <v>1.5</v>
      </c>
      <c r="K65" s="465"/>
      <c r="L65" s="6"/>
      <c r="M65" s="6"/>
      <c r="N65" s="6"/>
      <c r="O65" s="6"/>
      <c r="P65" s="405"/>
      <c r="Q65" s="405"/>
      <c r="R65" s="405"/>
      <c r="S65" s="405"/>
      <c r="T65" s="405"/>
      <c r="U65" s="405"/>
      <c r="V65" s="405"/>
      <c r="W65" s="405"/>
      <c r="X65" s="405"/>
    </row>
    <row r="66" spans="2:24">
      <c r="B66" s="6"/>
      <c r="C66" s="6"/>
      <c r="D66" s="410">
        <v>2</v>
      </c>
      <c r="E66" s="410"/>
      <c r="F66" s="412">
        <f>VLOOKUP("5/16/2020"-1,'Work Task_Compl'!B6:E97,2,0)</f>
        <v>2</v>
      </c>
      <c r="G66" s="412"/>
      <c r="H66" s="410">
        <v>2</v>
      </c>
      <c r="I66" s="410"/>
      <c r="J66" s="412">
        <f>VLOOKUP("5/16/2020"-1,'Work Task_Compl'!B6:E97,3,0)</f>
        <v>1.5</v>
      </c>
      <c r="K66" s="465"/>
      <c r="L66" s="6"/>
      <c r="M66" s="6"/>
      <c r="N66" s="6"/>
      <c r="O66" s="6"/>
      <c r="P66" s="405"/>
      <c r="Q66" s="405"/>
      <c r="R66" s="405"/>
      <c r="S66" s="405"/>
      <c r="T66" s="405"/>
      <c r="U66" s="405"/>
      <c r="V66" s="405"/>
      <c r="W66" s="405"/>
      <c r="X66" s="405"/>
    </row>
    <row r="67" spans="2:24">
      <c r="B67" s="6"/>
      <c r="C67" s="6"/>
      <c r="D67" s="410">
        <v>3</v>
      </c>
      <c r="E67" s="410"/>
      <c r="F67" s="412">
        <f>VLOOKUP("5/16/2020"-2,'Work Task_Compl'!B6:E97,2,0)</f>
        <v>8</v>
      </c>
      <c r="G67" s="412"/>
      <c r="H67" s="410">
        <v>3</v>
      </c>
      <c r="I67" s="410"/>
      <c r="J67" s="412">
        <f>VLOOKUP("5/16/2020"-2,'Work Task_Compl'!B6:E97,3,0)</f>
        <v>6.3</v>
      </c>
      <c r="K67" s="465"/>
      <c r="L67" s="6"/>
      <c r="M67" s="6"/>
      <c r="N67" s="6"/>
      <c r="O67" s="6"/>
      <c r="P67" s="405"/>
      <c r="Q67" s="405"/>
      <c r="R67" s="405"/>
      <c r="S67" s="405"/>
      <c r="T67" s="405"/>
      <c r="U67" s="405"/>
      <c r="V67" s="405"/>
      <c r="W67" s="405"/>
      <c r="X67" s="405"/>
    </row>
    <row r="68" spans="2:24">
      <c r="B68" s="6"/>
      <c r="C68" s="6"/>
      <c r="D68" s="410">
        <v>4</v>
      </c>
      <c r="E68" s="410"/>
      <c r="F68" s="412">
        <f>VLOOKUP("5/16/2020"-3,'Work Task_Compl'!B6:E97,2,0)</f>
        <v>6</v>
      </c>
      <c r="G68" s="412"/>
      <c r="H68" s="410">
        <v>4</v>
      </c>
      <c r="I68" s="410"/>
      <c r="J68" s="412">
        <f>VLOOKUP("5/16/2020"-3,'Work Task_Compl'!B6:E97,3,0)</f>
        <v>5.0999999999999996</v>
      </c>
      <c r="K68" s="465"/>
      <c r="L68" s="6"/>
      <c r="M68" s="6"/>
      <c r="N68" s="6"/>
      <c r="O68" s="6"/>
      <c r="P68" s="405"/>
      <c r="Q68" s="405"/>
      <c r="R68" s="405"/>
      <c r="S68" s="405"/>
      <c r="T68" s="405"/>
      <c r="U68" s="405"/>
      <c r="V68" s="405"/>
      <c r="W68" s="405"/>
      <c r="X68" s="405"/>
    </row>
    <row r="69" spans="2:24">
      <c r="B69" s="6"/>
      <c r="C69" s="6"/>
      <c r="D69" s="410">
        <v>5</v>
      </c>
      <c r="E69" s="410"/>
      <c r="F69" s="412">
        <f>VLOOKUP("5/16/2020"-4,'Work Task_Compl'!B6:E97,2,0)</f>
        <v>8</v>
      </c>
      <c r="G69" s="412"/>
      <c r="H69" s="410">
        <v>5</v>
      </c>
      <c r="I69" s="410"/>
      <c r="J69" s="412">
        <f>VLOOKUP("5/16/2020"-4,'Work Task_Compl'!B6:E97,3,0)</f>
        <v>9.5</v>
      </c>
      <c r="K69" s="465"/>
      <c r="L69" s="6"/>
      <c r="M69" s="6"/>
      <c r="N69" s="6"/>
      <c r="O69" s="6"/>
      <c r="P69" s="405"/>
      <c r="Q69" s="405"/>
      <c r="R69" s="405"/>
      <c r="S69" s="405"/>
      <c r="T69" s="405"/>
      <c r="U69" s="405"/>
      <c r="V69" s="405"/>
      <c r="W69" s="405"/>
      <c r="X69" s="405"/>
    </row>
    <row r="70" spans="2:24">
      <c r="B70" s="6"/>
      <c r="C70" s="6"/>
      <c r="D70" s="410">
        <v>6</v>
      </c>
      <c r="E70" s="410"/>
      <c r="F70" s="412">
        <f>VLOOKUP("5/16/2020"-5,'Work Task_Compl'!B6:E188,2,0)</f>
        <v>17</v>
      </c>
      <c r="G70" s="412"/>
      <c r="H70" s="410">
        <v>6</v>
      </c>
      <c r="I70" s="410"/>
      <c r="J70" s="412">
        <f>VLOOKUP("5/16/2020"-5,'Work Task_Compl'!B6:E188,3,0)</f>
        <v>13.899999999999999</v>
      </c>
      <c r="K70" s="465"/>
      <c r="L70" s="6"/>
      <c r="M70" s="6"/>
      <c r="N70" s="6"/>
      <c r="O70" s="6"/>
      <c r="P70" s="405"/>
      <c r="Q70" s="405"/>
      <c r="R70" s="405"/>
      <c r="S70" s="405"/>
      <c r="T70" s="405"/>
      <c r="U70" s="405"/>
      <c r="V70" s="405"/>
      <c r="W70" s="405"/>
      <c r="X70" s="405"/>
    </row>
    <row r="71" spans="2:24">
      <c r="B71" s="6"/>
      <c r="C71" s="6"/>
      <c r="D71" s="410">
        <v>7</v>
      </c>
      <c r="E71" s="410"/>
      <c r="F71" s="412">
        <f>VLOOKUP("5/16/2020"-6,'Work Task_Compl'!B6:D188,2,0)</f>
        <v>5</v>
      </c>
      <c r="G71" s="412"/>
      <c r="H71" s="410">
        <v>7</v>
      </c>
      <c r="I71" s="410"/>
      <c r="J71" s="412">
        <f>VLOOKUP("5/16/2020"-6,'Work Task_Compl'!B6:D188,3,0)</f>
        <v>4.5</v>
      </c>
      <c r="K71" s="465"/>
      <c r="L71" s="6"/>
      <c r="M71" s="6"/>
      <c r="N71" s="6"/>
      <c r="O71" s="6"/>
      <c r="P71" s="405"/>
      <c r="Q71" s="405"/>
      <c r="R71" s="405"/>
      <c r="S71" s="405"/>
      <c r="T71" s="405"/>
      <c r="U71" s="405"/>
      <c r="V71" s="405"/>
      <c r="W71" s="405"/>
      <c r="X71" s="405"/>
    </row>
    <row r="72" spans="2:24">
      <c r="B72" s="6"/>
      <c r="C72" s="6"/>
      <c r="D72" s="410" t="s">
        <v>356</v>
      </c>
      <c r="E72" s="410"/>
      <c r="F72" s="414">
        <f>SUM(F65:F71)</f>
        <v>48</v>
      </c>
      <c r="G72" s="414"/>
      <c r="H72" s="410" t="s">
        <v>356</v>
      </c>
      <c r="I72" s="410"/>
      <c r="J72" s="415">
        <f>SUM(J65:J71)</f>
        <v>42.3</v>
      </c>
      <c r="K72" s="471"/>
      <c r="L72" s="6"/>
      <c r="M72" s="6"/>
      <c r="N72" s="6"/>
      <c r="O72" s="6"/>
      <c r="P72" s="405"/>
      <c r="Q72" s="405"/>
      <c r="R72" s="405"/>
      <c r="S72" s="405"/>
      <c r="T72" s="405"/>
      <c r="U72" s="405"/>
      <c r="V72" s="405"/>
      <c r="W72" s="405"/>
      <c r="X72" s="405"/>
    </row>
    <row r="73" spans="2:24">
      <c r="B73" s="6"/>
      <c r="C73" s="6"/>
      <c r="D73" s="69"/>
      <c r="E73" s="69"/>
      <c r="F73" s="69"/>
      <c r="G73" s="69"/>
      <c r="H73" s="69"/>
      <c r="I73" s="69"/>
      <c r="J73" s="6"/>
      <c r="K73" s="6"/>
      <c r="L73" s="6"/>
      <c r="M73" s="6"/>
      <c r="N73" s="69"/>
      <c r="O73" s="6"/>
      <c r="P73" s="405"/>
      <c r="Q73" s="405"/>
      <c r="R73" s="405"/>
      <c r="S73" s="405"/>
      <c r="T73" s="405"/>
      <c r="U73" s="405"/>
      <c r="V73" s="405"/>
      <c r="W73" s="405"/>
      <c r="X73" s="405"/>
    </row>
    <row r="74" spans="2:24">
      <c r="B74" s="405"/>
      <c r="C74" s="405"/>
      <c r="D74" s="408"/>
      <c r="E74" s="408"/>
      <c r="F74" s="408"/>
      <c r="G74" s="408"/>
      <c r="H74" s="408"/>
      <c r="I74" s="408"/>
      <c r="J74" s="405"/>
      <c r="K74" s="405"/>
      <c r="L74" s="405"/>
      <c r="M74" s="405"/>
      <c r="N74" s="408"/>
      <c r="O74" s="405"/>
      <c r="P74" s="405"/>
      <c r="Q74" s="405"/>
      <c r="R74" s="405"/>
      <c r="S74" s="405"/>
      <c r="T74" s="405"/>
      <c r="U74" s="405"/>
      <c r="V74" s="405"/>
      <c r="W74" s="405"/>
      <c r="X74" s="405"/>
    </row>
    <row r="75" spans="2:24">
      <c r="B75" s="405"/>
      <c r="C75" s="405"/>
      <c r="D75" s="408"/>
      <c r="E75" s="408"/>
      <c r="F75" s="408"/>
      <c r="G75" s="408"/>
      <c r="H75" s="408"/>
      <c r="I75" s="408"/>
      <c r="J75" s="405"/>
      <c r="K75" s="405"/>
      <c r="L75" s="405"/>
      <c r="M75" s="405"/>
      <c r="N75" s="408"/>
      <c r="O75" s="405"/>
      <c r="P75" s="405"/>
      <c r="Q75" s="405"/>
      <c r="R75" s="405"/>
      <c r="S75" s="405"/>
      <c r="T75" s="405"/>
      <c r="U75" s="405"/>
      <c r="V75" s="405"/>
      <c r="W75" s="405"/>
      <c r="X75" s="405"/>
    </row>
    <row r="76" spans="2:24">
      <c r="B76" s="405"/>
      <c r="C76" s="405"/>
      <c r="D76" s="408"/>
      <c r="E76" s="408"/>
      <c r="F76" s="408"/>
      <c r="G76" s="408"/>
      <c r="H76" s="408"/>
      <c r="I76" s="408"/>
      <c r="J76" s="405"/>
      <c r="K76" s="405"/>
      <c r="L76" s="405"/>
      <c r="M76" s="405"/>
      <c r="N76" s="408"/>
      <c r="O76" s="405"/>
      <c r="P76" s="405"/>
      <c r="Q76" s="405"/>
      <c r="R76" s="405"/>
      <c r="S76" s="405"/>
      <c r="T76" s="405"/>
      <c r="U76" s="405"/>
      <c r="V76" s="405"/>
      <c r="W76" s="405"/>
      <c r="X76" s="405"/>
    </row>
    <row r="77" spans="2:24">
      <c r="B77" s="405"/>
      <c r="C77" s="405"/>
      <c r="D77" s="408"/>
      <c r="E77" s="408"/>
      <c r="F77" s="408"/>
      <c r="G77" s="408"/>
      <c r="H77" s="408"/>
      <c r="I77" s="408"/>
      <c r="J77" s="405"/>
      <c r="K77" s="405"/>
      <c r="L77" s="405"/>
      <c r="M77" s="405"/>
      <c r="N77" s="408"/>
      <c r="O77" s="405"/>
      <c r="P77" s="405"/>
      <c r="Q77" s="405"/>
      <c r="R77" s="405"/>
      <c r="S77" s="405"/>
      <c r="T77" s="405"/>
      <c r="U77" s="405"/>
      <c r="V77" s="405"/>
      <c r="W77" s="405"/>
      <c r="X77" s="405"/>
    </row>
    <row r="78" spans="2:24">
      <c r="B78" s="405"/>
      <c r="C78" s="405"/>
      <c r="D78" s="408"/>
      <c r="E78" s="408"/>
      <c r="F78" s="408"/>
      <c r="G78" s="408"/>
      <c r="H78" s="408"/>
      <c r="I78" s="408"/>
      <c r="J78" s="405"/>
      <c r="K78" s="405"/>
      <c r="L78" s="405"/>
      <c r="M78" s="405"/>
      <c r="N78" s="408"/>
      <c r="O78" s="405"/>
      <c r="P78" s="405"/>
      <c r="Q78" s="405"/>
      <c r="R78" s="405"/>
      <c r="S78" s="405"/>
      <c r="T78" s="405"/>
      <c r="U78" s="405"/>
      <c r="V78" s="405"/>
      <c r="W78" s="405"/>
      <c r="X78" s="405"/>
    </row>
    <row r="79" spans="2:24" ht="21">
      <c r="B79" s="629" t="s">
        <v>1050</v>
      </c>
      <c r="C79" s="629"/>
      <c r="D79" s="629"/>
      <c r="E79" s="629"/>
      <c r="F79" s="629"/>
      <c r="G79" s="629"/>
      <c r="H79" s="629"/>
      <c r="I79" s="629"/>
      <c r="J79" s="629"/>
      <c r="K79" s="629"/>
      <c r="L79" s="629"/>
      <c r="M79" s="629"/>
      <c r="N79" s="629"/>
      <c r="O79" s="629"/>
      <c r="P79" s="405"/>
      <c r="Q79" s="405"/>
      <c r="R79" s="405"/>
      <c r="S79" s="405"/>
      <c r="T79" s="405"/>
      <c r="U79" s="405"/>
      <c r="V79" s="405"/>
      <c r="W79" s="405"/>
      <c r="X79" s="405"/>
    </row>
    <row r="80" spans="2:24">
      <c r="B80" s="630" t="s">
        <v>538</v>
      </c>
      <c r="C80" s="630"/>
      <c r="D80" s="630"/>
      <c r="E80" s="630"/>
      <c r="F80" s="630"/>
      <c r="G80" s="630"/>
      <c r="H80" s="630"/>
      <c r="I80" s="630"/>
      <c r="J80" s="630"/>
      <c r="K80" s="630"/>
      <c r="L80" s="630"/>
      <c r="M80" s="630"/>
      <c r="N80" s="630"/>
      <c r="O80" s="630"/>
      <c r="P80" s="405"/>
      <c r="Q80" s="405"/>
      <c r="R80" s="405"/>
      <c r="S80" s="405"/>
      <c r="T80" s="405"/>
      <c r="U80" s="405"/>
      <c r="V80" s="405"/>
      <c r="W80" s="405"/>
      <c r="X80" s="405"/>
    </row>
    <row r="81" spans="2:24" ht="21.75" thickBot="1">
      <c r="B81" s="239"/>
      <c r="C81" s="239"/>
      <c r="D81" s="622" t="s">
        <v>1052</v>
      </c>
      <c r="E81" s="622"/>
      <c r="F81" s="622"/>
      <c r="G81" s="622"/>
      <c r="H81" s="622"/>
      <c r="I81" s="622"/>
      <c r="J81" s="622"/>
      <c r="K81" s="483"/>
      <c r="L81" s="483"/>
      <c r="M81" s="483"/>
      <c r="N81" s="483"/>
      <c r="O81" s="239"/>
      <c r="P81" s="405"/>
      <c r="Q81" s="405"/>
      <c r="R81" s="405"/>
      <c r="S81" s="405"/>
      <c r="T81" s="405"/>
      <c r="U81" s="405"/>
      <c r="V81" s="405"/>
      <c r="W81" s="405"/>
      <c r="X81" s="405"/>
    </row>
    <row r="82" spans="2:24" ht="15.75" thickBot="1">
      <c r="B82" s="239"/>
      <c r="C82" s="239"/>
      <c r="D82" s="239"/>
      <c r="E82" s="239"/>
      <c r="F82" s="481" t="s">
        <v>979</v>
      </c>
      <c r="G82" s="482"/>
      <c r="H82" s="626" t="s">
        <v>980</v>
      </c>
      <c r="I82" s="627"/>
      <c r="J82" s="628"/>
      <c r="K82" s="425"/>
      <c r="L82" s="6"/>
      <c r="M82" s="6"/>
      <c r="N82" s="6"/>
      <c r="O82" s="239"/>
      <c r="P82" s="405"/>
      <c r="Q82" s="405"/>
      <c r="R82" s="405"/>
      <c r="S82" s="405"/>
      <c r="T82" s="405"/>
      <c r="U82" s="405"/>
      <c r="V82" s="405"/>
      <c r="W82" s="405"/>
      <c r="X82" s="405"/>
    </row>
    <row r="83" spans="2:24">
      <c r="B83" s="239"/>
      <c r="C83" s="239"/>
      <c r="D83" s="239"/>
      <c r="E83" s="239"/>
      <c r="F83" s="419" t="s">
        <v>81</v>
      </c>
      <c r="G83" s="421" t="s">
        <v>981</v>
      </c>
      <c r="H83" s="426" t="s">
        <v>81</v>
      </c>
      <c r="I83" s="427" t="s">
        <v>981</v>
      </c>
      <c r="J83" s="6"/>
      <c r="K83" s="239"/>
      <c r="L83" s="6"/>
      <c r="M83" s="6"/>
      <c r="N83" s="6"/>
      <c r="O83" s="239"/>
      <c r="P83" s="405"/>
      <c r="Q83" s="405"/>
      <c r="R83" s="405"/>
      <c r="S83" s="405"/>
      <c r="T83" s="405"/>
      <c r="U83" s="405"/>
      <c r="V83" s="405"/>
      <c r="W83" s="405"/>
      <c r="X83" s="405"/>
    </row>
    <row r="84" spans="2:24">
      <c r="B84" s="239"/>
      <c r="C84" s="239"/>
      <c r="D84" s="6"/>
      <c r="E84" s="398" t="s">
        <v>357</v>
      </c>
      <c r="F84" s="428">
        <f>VLOOKUP("5/16/2020"-1,'Water Tm_Avg Gals'!B7:F163,2,0)</f>
        <v>8</v>
      </c>
      <c r="G84" s="428">
        <f>VLOOKUP("5/16/2020"-2,'Water Tm_Avg Gals'!B7:F163,3,0)</f>
        <v>1</v>
      </c>
      <c r="H84" s="428">
        <f>VLOOKUP("5/16/2020"-1,'Water Tm_Avg Gals'!B7:J163,7,0)</f>
        <v>12</v>
      </c>
      <c r="I84" s="428">
        <f>VLOOKUP("5/16/2020"-1,'Water Tm_Avg Gals'!B7:J163,8,0)</f>
        <v>0</v>
      </c>
      <c r="J84" s="6"/>
      <c r="K84" s="239"/>
      <c r="L84" s="6"/>
      <c r="M84" s="6"/>
      <c r="N84" s="6"/>
      <c r="O84" s="239"/>
      <c r="P84" s="405"/>
      <c r="Q84" s="405"/>
      <c r="R84" s="405"/>
      <c r="S84" s="405"/>
      <c r="T84" s="405"/>
      <c r="U84" s="405"/>
      <c r="V84" s="405"/>
      <c r="W84" s="405"/>
      <c r="X84" s="405"/>
    </row>
    <row r="85" spans="2:24">
      <c r="B85" s="239"/>
      <c r="C85" s="239"/>
      <c r="D85" s="6"/>
      <c r="E85" s="398" t="s">
        <v>985</v>
      </c>
      <c r="F85" s="428">
        <f>VLOOKUP("5/16/2020"-2,'Water Tm_Avg Gals'!B7:F163,2,0)</f>
        <v>8</v>
      </c>
      <c r="G85" s="428">
        <f>VLOOKUP("5/16/2020"-2,'Water Tm_Avg Gals'!B7:F163,3,0)</f>
        <v>1</v>
      </c>
      <c r="H85" s="428">
        <f>VLOOKUP("5/16/2020"-2,'Water Tm_Avg Gals'!B7:J163,7,0)</f>
        <v>11</v>
      </c>
      <c r="I85" s="428">
        <f>VLOOKUP("5/16/2020"-2,'Water Tm_Avg Gals'!B7:J163,8,0)</f>
        <v>1</v>
      </c>
      <c r="J85" s="6"/>
      <c r="K85" s="239"/>
      <c r="L85" s="6"/>
      <c r="M85" s="6"/>
      <c r="N85" s="6"/>
      <c r="O85" s="239"/>
      <c r="P85" s="405"/>
      <c r="Q85" s="405"/>
      <c r="R85" s="405"/>
      <c r="S85" s="405"/>
      <c r="T85" s="405"/>
      <c r="U85" s="405"/>
      <c r="V85" s="405"/>
      <c r="W85" s="405"/>
      <c r="X85" s="405"/>
    </row>
    <row r="86" spans="2:24">
      <c r="B86" s="442"/>
      <c r="C86" s="442"/>
      <c r="D86" s="6"/>
      <c r="E86" s="398"/>
      <c r="F86" s="426"/>
      <c r="G86" s="421"/>
      <c r="H86" s="426"/>
      <c r="I86" s="421"/>
      <c r="J86" s="6"/>
      <c r="K86" s="239"/>
      <c r="L86" s="6"/>
      <c r="M86" s="6"/>
      <c r="N86" s="6"/>
      <c r="O86" s="239"/>
      <c r="P86" s="405"/>
      <c r="Q86" s="405"/>
      <c r="R86" s="405"/>
      <c r="S86" s="405"/>
      <c r="T86" s="405"/>
      <c r="U86" s="405"/>
      <c r="V86" s="405"/>
      <c r="W86" s="405"/>
      <c r="X86" s="405"/>
    </row>
    <row r="87" spans="2:24">
      <c r="B87" s="6"/>
      <c r="C87" s="480"/>
      <c r="D87" s="6"/>
      <c r="E87" s="442" t="s">
        <v>982</v>
      </c>
      <c r="F87" s="428">
        <f>SUM(F84:I84)</f>
        <v>21</v>
      </c>
      <c r="G87" s="421"/>
      <c r="H87" s="428">
        <f>SUM(H84:I84)</f>
        <v>12</v>
      </c>
      <c r="I87" s="421"/>
      <c r="J87" s="6"/>
      <c r="K87" s="239"/>
      <c r="L87" s="6"/>
      <c r="M87" s="6"/>
      <c r="N87" s="6"/>
      <c r="O87" s="239"/>
      <c r="P87" s="405"/>
      <c r="Q87" s="405"/>
      <c r="R87" s="405"/>
      <c r="S87" s="405"/>
      <c r="T87" s="405"/>
      <c r="U87" s="405"/>
      <c r="V87" s="405"/>
      <c r="W87" s="405"/>
      <c r="X87" s="405"/>
    </row>
    <row r="88" spans="2:24" ht="15.75" thickBot="1">
      <c r="B88" s="6"/>
      <c r="C88" s="480"/>
      <c r="D88" s="6"/>
      <c r="E88" s="442" t="s">
        <v>1051</v>
      </c>
      <c r="F88" s="428">
        <f>SUM(F85:I85)</f>
        <v>21</v>
      </c>
      <c r="G88" s="424"/>
      <c r="H88" s="428">
        <f>SUM(H85:I85)</f>
        <v>12</v>
      </c>
      <c r="I88" s="424"/>
      <c r="J88" s="6"/>
      <c r="K88" s="239"/>
      <c r="L88" s="6"/>
      <c r="M88" s="6"/>
      <c r="N88" s="6"/>
      <c r="O88" s="239"/>
      <c r="P88" s="405"/>
      <c r="Q88" s="405"/>
      <c r="R88" s="405"/>
      <c r="S88" s="405"/>
      <c r="T88" s="405"/>
      <c r="U88" s="405"/>
      <c r="V88" s="405"/>
      <c r="W88" s="405"/>
      <c r="X88" s="405"/>
    </row>
    <row r="89" spans="2:24">
      <c r="B89" s="239"/>
      <c r="C89" s="239"/>
      <c r="D89" s="239"/>
      <c r="E89" s="239"/>
      <c r="F89" s="239"/>
      <c r="G89" s="239"/>
      <c r="H89" s="239"/>
      <c r="I89" s="239"/>
      <c r="J89" s="239"/>
      <c r="K89" s="239"/>
      <c r="L89" s="239"/>
      <c r="M89" s="239"/>
      <c r="N89" s="239"/>
      <c r="O89" s="239"/>
      <c r="P89" s="405"/>
      <c r="Q89" s="405"/>
      <c r="R89" s="405"/>
      <c r="S89" s="405"/>
      <c r="T89" s="405"/>
      <c r="U89" s="405"/>
      <c r="V89" s="405"/>
      <c r="W89" s="405"/>
      <c r="X89" s="405"/>
    </row>
    <row r="90" spans="2:24">
      <c r="B90" s="239"/>
      <c r="C90" s="239"/>
      <c r="D90" s="239"/>
      <c r="E90" s="239"/>
      <c r="F90" s="239"/>
      <c r="G90" s="239"/>
      <c r="H90" s="239"/>
      <c r="I90" s="239"/>
      <c r="J90" s="239"/>
      <c r="K90" s="239"/>
      <c r="L90" s="239"/>
      <c r="M90" s="239"/>
      <c r="N90" s="239"/>
      <c r="O90" s="239"/>
      <c r="P90" s="405"/>
      <c r="Q90" s="405"/>
      <c r="R90" s="405"/>
      <c r="S90" s="405"/>
      <c r="T90" s="405"/>
      <c r="U90" s="405"/>
      <c r="V90" s="405"/>
      <c r="W90" s="405"/>
      <c r="X90" s="405"/>
    </row>
    <row r="91" spans="2:24">
      <c r="B91" s="6"/>
      <c r="C91" s="6"/>
      <c r="D91" s="69"/>
      <c r="E91" s="69"/>
      <c r="F91" s="69"/>
      <c r="G91" s="69"/>
      <c r="H91" s="69"/>
      <c r="I91" s="69"/>
      <c r="J91" s="6"/>
      <c r="K91" s="6"/>
      <c r="L91" s="6"/>
      <c r="M91" s="6"/>
      <c r="N91" s="69"/>
      <c r="O91" s="6"/>
      <c r="P91" s="405"/>
      <c r="Q91" s="405"/>
      <c r="R91" s="405"/>
      <c r="S91" s="405"/>
      <c r="T91" s="405"/>
      <c r="U91" s="405"/>
      <c r="V91" s="405"/>
      <c r="W91" s="405"/>
      <c r="X91" s="405"/>
    </row>
    <row r="92" spans="2:24">
      <c r="B92" s="6"/>
      <c r="C92" s="6"/>
      <c r="D92" s="69"/>
      <c r="E92" s="69"/>
      <c r="F92" s="69"/>
      <c r="G92" s="69"/>
      <c r="H92" s="69"/>
      <c r="I92" s="69"/>
      <c r="J92" s="6"/>
      <c r="K92" s="6"/>
      <c r="L92" s="6"/>
      <c r="M92" s="6"/>
      <c r="N92" s="69"/>
      <c r="O92" s="6"/>
      <c r="P92" s="405"/>
      <c r="Q92" s="405"/>
      <c r="R92" s="405"/>
      <c r="S92" s="405"/>
      <c r="T92" s="405"/>
      <c r="U92" s="405"/>
      <c r="V92" s="405"/>
      <c r="W92" s="405"/>
      <c r="X92" s="405"/>
    </row>
    <row r="93" spans="2:24">
      <c r="B93" s="405"/>
      <c r="C93" s="405"/>
      <c r="D93" s="408"/>
      <c r="E93" s="408"/>
      <c r="F93" s="408"/>
      <c r="G93" s="408"/>
      <c r="H93" s="408"/>
      <c r="I93" s="408"/>
      <c r="J93" s="405"/>
      <c r="K93" s="405"/>
      <c r="L93" s="405"/>
      <c r="M93" s="405"/>
      <c r="N93" s="408"/>
      <c r="O93" s="405"/>
      <c r="P93" s="405"/>
      <c r="Q93" s="405"/>
      <c r="R93" s="405"/>
      <c r="S93" s="405"/>
      <c r="T93" s="405"/>
      <c r="U93" s="405"/>
      <c r="V93" s="405"/>
      <c r="W93" s="405"/>
      <c r="X93" s="405"/>
    </row>
    <row r="94" spans="2:24">
      <c r="B94" s="405"/>
      <c r="C94" s="405"/>
      <c r="D94" s="408"/>
      <c r="E94" s="408"/>
      <c r="F94" s="408"/>
      <c r="G94" s="408"/>
      <c r="H94" s="408"/>
      <c r="I94" s="408"/>
      <c r="J94" s="405"/>
      <c r="K94" s="405"/>
      <c r="L94" s="405"/>
      <c r="M94" s="405"/>
      <c r="N94" s="408"/>
      <c r="O94" s="405"/>
      <c r="P94" s="405"/>
      <c r="Q94" s="405"/>
      <c r="R94" s="405"/>
      <c r="S94" s="405"/>
      <c r="T94" s="405"/>
      <c r="U94" s="405"/>
      <c r="V94" s="405"/>
      <c r="W94" s="405"/>
      <c r="X94" s="405"/>
    </row>
    <row r="95" spans="2:24">
      <c r="B95" s="405"/>
      <c r="C95" s="405"/>
      <c r="D95" s="408"/>
      <c r="E95" s="408"/>
      <c r="F95" s="408"/>
      <c r="G95" s="408"/>
      <c r="H95" s="408"/>
      <c r="I95" s="408"/>
      <c r="J95" s="405"/>
      <c r="K95" s="405"/>
      <c r="L95" s="405"/>
      <c r="M95" s="405"/>
      <c r="N95" s="408"/>
      <c r="O95" s="405"/>
      <c r="P95" s="405"/>
      <c r="Q95" s="405"/>
      <c r="R95" s="405"/>
      <c r="S95" s="405"/>
      <c r="T95" s="405"/>
      <c r="U95" s="405"/>
      <c r="V95" s="405"/>
      <c r="W95" s="405"/>
      <c r="X95" s="405"/>
    </row>
    <row r="96" spans="2:24">
      <c r="B96" s="405"/>
      <c r="C96" s="405"/>
      <c r="D96" s="408"/>
      <c r="E96" s="408"/>
      <c r="F96" s="408"/>
      <c r="G96" s="408"/>
      <c r="H96" s="408"/>
      <c r="I96" s="408"/>
      <c r="J96" s="405"/>
      <c r="K96" s="405"/>
      <c r="L96" s="405"/>
      <c r="M96" s="405"/>
      <c r="N96" s="408"/>
      <c r="O96" s="405"/>
      <c r="P96" s="405"/>
      <c r="Q96" s="405"/>
      <c r="R96" s="405"/>
      <c r="S96" s="405"/>
      <c r="T96" s="405"/>
      <c r="U96" s="405"/>
      <c r="V96" s="405"/>
      <c r="W96" s="405"/>
      <c r="X96" s="405"/>
    </row>
    <row r="97" spans="2:24">
      <c r="B97" s="405"/>
      <c r="C97" s="405"/>
      <c r="D97" s="408"/>
      <c r="E97" s="408"/>
      <c r="F97" s="408"/>
      <c r="G97" s="408"/>
      <c r="H97" s="408"/>
      <c r="I97" s="408"/>
      <c r="J97" s="405"/>
      <c r="K97" s="405"/>
      <c r="L97" s="405"/>
      <c r="M97" s="405"/>
      <c r="N97" s="408"/>
      <c r="O97" s="405"/>
      <c r="P97" s="405"/>
      <c r="Q97" s="405"/>
      <c r="R97" s="405"/>
      <c r="S97" s="405"/>
      <c r="T97" s="405"/>
      <c r="U97" s="405"/>
      <c r="V97" s="405"/>
      <c r="W97" s="405"/>
      <c r="X97" s="405"/>
    </row>
    <row r="98" spans="2:24" ht="21">
      <c r="B98" s="629" t="s">
        <v>1050</v>
      </c>
      <c r="C98" s="629"/>
      <c r="D98" s="629"/>
      <c r="E98" s="629"/>
      <c r="F98" s="629"/>
      <c r="G98" s="629"/>
      <c r="H98" s="629"/>
      <c r="I98" s="629"/>
      <c r="J98" s="629"/>
      <c r="K98" s="629"/>
      <c r="L98" s="629"/>
      <c r="M98" s="629"/>
      <c r="N98" s="629"/>
      <c r="O98" s="629"/>
      <c r="P98" s="405"/>
      <c r="Q98" s="405"/>
      <c r="R98" s="405"/>
      <c r="S98" s="405"/>
      <c r="T98" s="405"/>
      <c r="U98" s="405"/>
      <c r="V98" s="405"/>
      <c r="W98" s="405"/>
      <c r="X98" s="405"/>
    </row>
    <row r="99" spans="2:24">
      <c r="B99" s="630" t="s">
        <v>538</v>
      </c>
      <c r="C99" s="630"/>
      <c r="D99" s="630"/>
      <c r="E99" s="630"/>
      <c r="F99" s="630"/>
      <c r="G99" s="630"/>
      <c r="H99" s="630"/>
      <c r="I99" s="630"/>
      <c r="J99" s="630"/>
      <c r="K99" s="630"/>
      <c r="L99" s="630"/>
      <c r="M99" s="630"/>
      <c r="N99" s="630"/>
      <c r="O99" s="630"/>
      <c r="P99" s="405"/>
      <c r="Q99" s="405"/>
      <c r="R99" s="405"/>
      <c r="S99" s="405"/>
      <c r="T99" s="405"/>
      <c r="U99" s="405"/>
      <c r="V99" s="405"/>
      <c r="W99" s="405"/>
      <c r="X99" s="405"/>
    </row>
    <row r="100" spans="2:24">
      <c r="B100" s="239"/>
      <c r="C100" s="239"/>
      <c r="D100" s="239"/>
      <c r="E100" s="239"/>
      <c r="F100" s="635" t="s">
        <v>1053</v>
      </c>
      <c r="G100" s="635"/>
      <c r="H100" s="635"/>
      <c r="I100" s="635"/>
      <c r="J100" s="635"/>
      <c r="K100" s="635"/>
      <c r="L100" s="635"/>
      <c r="M100" s="635"/>
      <c r="N100" s="635"/>
      <c r="O100" s="635"/>
      <c r="P100" s="405"/>
      <c r="Q100" s="405"/>
      <c r="R100" s="405"/>
      <c r="S100" s="405"/>
      <c r="T100" s="405"/>
      <c r="U100" s="405"/>
      <c r="V100" s="405"/>
      <c r="W100" s="405"/>
      <c r="X100" s="405"/>
    </row>
    <row r="101" spans="2:24">
      <c r="B101" s="239"/>
      <c r="C101" s="239"/>
      <c r="D101" s="419"/>
      <c r="E101" s="420"/>
      <c r="F101" s="420" t="s">
        <v>353</v>
      </c>
      <c r="G101" s="420"/>
      <c r="H101" s="420"/>
      <c r="I101" s="420"/>
      <c r="J101" s="420"/>
      <c r="K101" s="420"/>
      <c r="L101" s="420" t="s">
        <v>354</v>
      </c>
      <c r="M101" s="420"/>
      <c r="N101" s="420"/>
      <c r="O101" s="421"/>
      <c r="P101" s="405"/>
      <c r="Q101" s="405"/>
      <c r="R101" s="405"/>
      <c r="S101" s="405"/>
      <c r="T101" s="405"/>
      <c r="U101" s="405"/>
      <c r="V101" s="405"/>
      <c r="W101" s="405"/>
      <c r="X101" s="405"/>
    </row>
    <row r="102" spans="2:24">
      <c r="B102" s="239"/>
      <c r="C102" s="239"/>
      <c r="D102" s="419"/>
      <c r="E102" s="420"/>
      <c r="F102" s="410" t="s">
        <v>350</v>
      </c>
      <c r="G102" s="410"/>
      <c r="H102" s="429" t="s">
        <v>351</v>
      </c>
      <c r="I102" s="463"/>
      <c r="J102" s="420"/>
      <c r="K102" s="420"/>
      <c r="L102" s="410" t="s">
        <v>350</v>
      </c>
      <c r="M102" s="410"/>
      <c r="N102" s="429" t="s">
        <v>351</v>
      </c>
      <c r="O102" s="421"/>
      <c r="P102" s="405"/>
      <c r="Q102" s="405"/>
      <c r="R102" s="405"/>
      <c r="S102" s="405"/>
      <c r="T102" s="405"/>
      <c r="U102" s="405"/>
      <c r="V102" s="405"/>
      <c r="W102" s="405"/>
      <c r="X102" s="405"/>
    </row>
    <row r="103" spans="2:24">
      <c r="B103" s="239"/>
      <c r="C103" s="239"/>
      <c r="D103" s="419"/>
      <c r="E103" s="420"/>
      <c r="F103" s="430" t="s">
        <v>1008</v>
      </c>
      <c r="G103" s="466"/>
      <c r="H103" s="431">
        <f>VLOOKUP("5/16/2020"-1,'Water Tm_Avg Gals'!B6:F162,5,0)</f>
        <v>100100</v>
      </c>
      <c r="I103" s="463"/>
      <c r="J103" s="420"/>
      <c r="K103" s="420"/>
      <c r="L103" s="430" t="s">
        <v>357</v>
      </c>
      <c r="M103" s="466"/>
      <c r="N103" s="431">
        <f>VLOOKUP("5/16/2020"-1,'Water Tm_Avg Gals'!B7:K163,10,0)</f>
        <v>102000</v>
      </c>
      <c r="O103" s="421"/>
      <c r="P103" s="405"/>
      <c r="Q103" s="405"/>
      <c r="R103" s="405"/>
      <c r="S103" s="405"/>
      <c r="T103" s="405"/>
      <c r="U103" s="405"/>
      <c r="V103" s="405"/>
      <c r="W103" s="405"/>
      <c r="X103" s="405"/>
    </row>
    <row r="104" spans="2:24">
      <c r="B104" s="239"/>
      <c r="C104" s="239"/>
      <c r="D104" s="419"/>
      <c r="E104" s="420"/>
      <c r="F104" s="432">
        <v>1</v>
      </c>
      <c r="G104" s="467"/>
      <c r="H104" s="431">
        <f>VLOOKUP("5/16/2020"-1,'Water Tm_Avg Gals'!B7:F163,5,0)</f>
        <v>100100</v>
      </c>
      <c r="I104" s="463"/>
      <c r="J104" s="420"/>
      <c r="K104" s="420"/>
      <c r="L104" s="430">
        <v>1</v>
      </c>
      <c r="M104" s="466"/>
      <c r="N104" s="431">
        <f>VLOOKUP("5/16/2020"-2,'Water Tm_Avg Gals'!B7:K163,10,0)</f>
        <v>93500</v>
      </c>
      <c r="O104" s="421"/>
      <c r="P104" s="405"/>
      <c r="Q104" s="405"/>
      <c r="R104" s="405"/>
      <c r="S104" s="405"/>
      <c r="T104" s="405"/>
      <c r="U104" s="405"/>
      <c r="V104" s="405"/>
      <c r="W104" s="405"/>
      <c r="X104" s="405"/>
    </row>
    <row r="105" spans="2:24">
      <c r="B105" s="239"/>
      <c r="C105" s="239"/>
      <c r="D105" s="419"/>
      <c r="E105" s="420"/>
      <c r="F105" s="432">
        <v>2</v>
      </c>
      <c r="G105" s="467"/>
      <c r="H105" s="431">
        <f>VLOOKUP("5/16/2020"-2,'Water Tm_Avg Gals'!B40:F164,5,0)</f>
        <v>87900</v>
      </c>
      <c r="I105" s="463"/>
      <c r="J105" s="420"/>
      <c r="K105" s="420"/>
      <c r="L105" s="430">
        <v>2</v>
      </c>
      <c r="M105" s="466"/>
      <c r="N105" s="431">
        <f>VLOOKUP("5/16/2020"-3,'Water Tm_Avg Gals'!B40:K164,10,0)</f>
        <v>85000</v>
      </c>
      <c r="O105" s="421"/>
      <c r="P105" s="405"/>
      <c r="Q105" s="405"/>
      <c r="R105" s="405"/>
      <c r="S105" s="405"/>
      <c r="T105" s="405"/>
      <c r="U105" s="405"/>
      <c r="V105" s="405"/>
      <c r="W105" s="405"/>
      <c r="X105" s="405"/>
    </row>
    <row r="106" spans="2:24">
      <c r="B106" s="239"/>
      <c r="C106" s="239"/>
      <c r="D106" s="419"/>
      <c r="E106" s="420"/>
      <c r="F106" s="432">
        <v>3</v>
      </c>
      <c r="G106" s="467"/>
      <c r="H106" s="431">
        <f>VLOOKUP("5/16/2020"-3,'Water Tm_Avg Gals'!B41:F165,5,0)</f>
        <v>81600</v>
      </c>
      <c r="I106" s="463"/>
      <c r="J106" s="420"/>
      <c r="K106" s="420"/>
      <c r="L106" s="430">
        <v>3</v>
      </c>
      <c r="M106" s="466"/>
      <c r="N106" s="431">
        <f>VLOOKUP("5/16/2020"-4,'Water Tm_Avg Gals'!B41:K165,10,0)</f>
        <v>136000</v>
      </c>
      <c r="O106" s="421"/>
      <c r="P106" s="405"/>
      <c r="Q106" s="405"/>
      <c r="R106" s="405"/>
      <c r="S106" s="405"/>
      <c r="T106" s="405"/>
      <c r="U106" s="405"/>
      <c r="V106" s="405"/>
      <c r="W106" s="405"/>
      <c r="X106" s="405"/>
    </row>
    <row r="107" spans="2:24">
      <c r="B107" s="239"/>
      <c r="C107" s="239"/>
      <c r="D107" s="419"/>
      <c r="E107" s="420"/>
      <c r="F107" s="432">
        <v>4</v>
      </c>
      <c r="G107" s="467"/>
      <c r="H107" s="431">
        <f>VLOOKUP("5/16/2020"-4,'Water Tm_Avg Gals'!B42:F166,5,0)</f>
        <v>85000</v>
      </c>
      <c r="I107" s="463"/>
      <c r="J107" s="420"/>
      <c r="K107" s="420"/>
      <c r="L107" s="430">
        <v>4</v>
      </c>
      <c r="M107" s="466"/>
      <c r="N107" s="431">
        <f>VLOOKUP("5/16/2020"-5,'Water Tm_Avg Gals'!B42:K166,10,0)</f>
        <v>136000</v>
      </c>
      <c r="O107" s="421"/>
      <c r="P107" s="405"/>
      <c r="Q107" s="405"/>
      <c r="R107" s="405"/>
      <c r="S107" s="405"/>
      <c r="T107" s="405"/>
      <c r="U107" s="405"/>
      <c r="V107" s="405"/>
      <c r="W107" s="405"/>
      <c r="X107" s="405"/>
    </row>
    <row r="108" spans="2:24">
      <c r="B108" s="239"/>
      <c r="C108" s="239"/>
      <c r="D108" s="419"/>
      <c r="E108" s="420"/>
      <c r="F108" s="432">
        <v>5</v>
      </c>
      <c r="G108" s="467"/>
      <c r="H108" s="431">
        <f>VLOOKUP("5/16/2020"-5,'Water Tm_Avg Gals'!B43:F167,5,0)</f>
        <v>166500</v>
      </c>
      <c r="I108" s="463"/>
      <c r="J108" s="420"/>
      <c r="K108" s="420"/>
      <c r="L108" s="430">
        <v>5</v>
      </c>
      <c r="M108" s="466"/>
      <c r="N108" s="431">
        <f>VLOOKUP("5/16/2020"-6,'Water Tm_Avg Gals'!B43:K167,10,0)</f>
        <v>102000</v>
      </c>
      <c r="O108" s="421"/>
      <c r="P108" s="405"/>
      <c r="Q108" s="405"/>
      <c r="R108" s="405"/>
      <c r="S108" s="405"/>
      <c r="T108" s="405"/>
      <c r="U108" s="405"/>
      <c r="V108" s="405"/>
      <c r="W108" s="405"/>
      <c r="X108" s="405"/>
    </row>
    <row r="109" spans="2:24">
      <c r="B109" s="239"/>
      <c r="C109" s="239"/>
      <c r="D109" s="419"/>
      <c r="E109" s="420"/>
      <c r="F109" s="432">
        <v>6</v>
      </c>
      <c r="G109" s="467"/>
      <c r="H109" s="431">
        <f>VLOOKUP("5/16/2020"-6,'Water Tm_Avg Gals'!B44:F168,5,0)</f>
        <v>56000</v>
      </c>
      <c r="I109" s="463"/>
      <c r="J109" s="420"/>
      <c r="K109" s="420"/>
      <c r="L109" s="430">
        <v>6</v>
      </c>
      <c r="M109" s="466"/>
      <c r="N109" s="431">
        <f>VLOOKUP("5/16/2020"-7,'Water Tm_Avg Gals'!B44:K168,10,0)</f>
        <v>136000</v>
      </c>
      <c r="O109" s="421"/>
      <c r="P109" s="405"/>
      <c r="Q109" s="405"/>
      <c r="R109" s="405"/>
      <c r="S109" s="405"/>
      <c r="T109" s="405"/>
      <c r="U109" s="405"/>
      <c r="V109" s="405"/>
      <c r="W109" s="405"/>
      <c r="X109" s="405"/>
    </row>
    <row r="110" spans="2:24">
      <c r="B110" s="239"/>
      <c r="C110" s="239"/>
      <c r="D110" s="419"/>
      <c r="E110" s="420"/>
      <c r="F110" s="437"/>
      <c r="G110" s="467"/>
      <c r="H110" s="438"/>
      <c r="I110" s="463"/>
      <c r="J110" s="420"/>
      <c r="K110" s="420"/>
      <c r="L110" s="439"/>
      <c r="M110" s="466"/>
      <c r="N110" s="438" t="s">
        <v>2</v>
      </c>
      <c r="O110" s="421"/>
      <c r="P110" s="405"/>
      <c r="Q110" s="405"/>
      <c r="R110" s="405"/>
      <c r="S110" s="405"/>
      <c r="T110" s="405"/>
      <c r="U110" s="405"/>
      <c r="V110" s="405"/>
      <c r="W110" s="405"/>
      <c r="X110" s="405"/>
    </row>
    <row r="111" spans="2:24">
      <c r="B111" s="239"/>
      <c r="C111" s="239"/>
      <c r="D111" s="419"/>
      <c r="E111" s="420"/>
      <c r="F111" s="410" t="s">
        <v>352</v>
      </c>
      <c r="G111" s="410"/>
      <c r="H111" s="428">
        <f>AVERAGE(H103:H109)</f>
        <v>96742.857142857145</v>
      </c>
      <c r="I111" s="459"/>
      <c r="J111" s="420"/>
      <c r="K111" s="420"/>
      <c r="L111" s="410" t="s">
        <v>352</v>
      </c>
      <c r="M111" s="410"/>
      <c r="N111" s="428">
        <f>AVERAGE(N103:N109)</f>
        <v>112928.57142857143</v>
      </c>
      <c r="O111" s="421"/>
      <c r="P111" s="405"/>
      <c r="Q111" s="405"/>
      <c r="R111" s="405"/>
      <c r="S111" s="405"/>
      <c r="T111" s="405"/>
      <c r="U111" s="405"/>
      <c r="V111" s="405"/>
      <c r="W111" s="405"/>
      <c r="X111" s="405"/>
    </row>
    <row r="112" spans="2:24" ht="15.75" thickBot="1">
      <c r="B112" s="239"/>
      <c r="C112" s="239"/>
      <c r="D112" s="422"/>
      <c r="E112" s="423"/>
      <c r="F112" s="423"/>
      <c r="G112" s="423"/>
      <c r="H112" s="423"/>
      <c r="I112" s="423"/>
      <c r="J112" s="423"/>
      <c r="K112" s="423"/>
      <c r="L112" s="423"/>
      <c r="M112" s="423"/>
      <c r="N112" s="423"/>
      <c r="O112" s="424"/>
      <c r="P112" s="405"/>
      <c r="Q112" s="405"/>
      <c r="R112" s="405"/>
      <c r="S112" s="405"/>
      <c r="T112" s="405"/>
      <c r="U112" s="405"/>
      <c r="V112" s="405"/>
      <c r="W112" s="405"/>
      <c r="X112" s="405"/>
    </row>
    <row r="113" spans="2:24">
      <c r="B113" s="405"/>
      <c r="C113" s="405"/>
      <c r="D113" s="408"/>
      <c r="E113" s="408"/>
      <c r="F113" s="408"/>
      <c r="G113" s="408"/>
      <c r="H113" s="408"/>
      <c r="I113" s="408"/>
      <c r="J113" s="405"/>
      <c r="K113" s="405"/>
      <c r="L113" s="405"/>
      <c r="M113" s="405"/>
      <c r="N113" s="408"/>
      <c r="O113" s="405"/>
      <c r="P113" s="405"/>
      <c r="Q113" s="405"/>
      <c r="R113" s="405"/>
      <c r="S113" s="405"/>
      <c r="T113" s="405"/>
      <c r="U113" s="405"/>
      <c r="V113" s="405"/>
      <c r="W113" s="405"/>
      <c r="X113" s="405"/>
    </row>
    <row r="114" spans="2:24">
      <c r="B114" s="405"/>
      <c r="C114" s="405"/>
      <c r="D114" s="408"/>
      <c r="E114" s="408"/>
      <c r="F114" s="408"/>
      <c r="G114" s="408"/>
      <c r="H114" s="408"/>
      <c r="I114" s="408"/>
      <c r="J114" s="405"/>
      <c r="K114" s="405"/>
      <c r="L114" s="405"/>
      <c r="M114" s="405"/>
      <c r="N114" s="408"/>
      <c r="O114" s="405"/>
      <c r="P114" s="405"/>
      <c r="Q114" s="405"/>
      <c r="R114" s="405"/>
      <c r="S114" s="405"/>
      <c r="T114" s="405"/>
      <c r="U114" s="405"/>
      <c r="V114" s="405"/>
      <c r="W114" s="405"/>
      <c r="X114" s="405"/>
    </row>
    <row r="115" spans="2:24">
      <c r="B115" s="405"/>
      <c r="C115" s="405"/>
      <c r="D115" s="408"/>
      <c r="E115" s="408"/>
      <c r="F115" s="408"/>
      <c r="G115" s="408"/>
      <c r="H115" s="408"/>
      <c r="I115" s="408"/>
      <c r="J115" s="405"/>
      <c r="K115" s="405"/>
      <c r="L115" s="405"/>
      <c r="M115" s="405"/>
      <c r="N115" s="408"/>
      <c r="O115" s="405"/>
      <c r="P115" s="405"/>
      <c r="Q115" s="405"/>
      <c r="R115" s="405"/>
      <c r="S115" s="405"/>
      <c r="T115" s="405"/>
      <c r="U115" s="405"/>
      <c r="V115" s="405"/>
      <c r="W115" s="405"/>
      <c r="X115" s="405"/>
    </row>
    <row r="116" spans="2:24">
      <c r="B116" s="405"/>
      <c r="C116" s="405"/>
      <c r="D116" s="408"/>
      <c r="E116" s="408"/>
      <c r="F116" s="408"/>
      <c r="G116" s="408"/>
      <c r="H116" s="408"/>
      <c r="I116" s="408"/>
      <c r="J116" s="405"/>
      <c r="K116" s="405"/>
      <c r="L116" s="405"/>
      <c r="M116" s="405"/>
      <c r="N116" s="408"/>
      <c r="O116" s="405"/>
      <c r="P116" s="405"/>
      <c r="Q116" s="405"/>
      <c r="R116" s="405"/>
      <c r="S116" s="405"/>
      <c r="T116" s="405"/>
      <c r="U116" s="405"/>
      <c r="V116" s="405"/>
      <c r="W116" s="405"/>
      <c r="X116" s="405"/>
    </row>
    <row r="117" spans="2:24">
      <c r="B117" s="405"/>
      <c r="C117" s="405"/>
      <c r="D117" s="408"/>
      <c r="E117" s="408"/>
      <c r="F117" s="408"/>
      <c r="G117" s="408"/>
      <c r="H117" s="408"/>
      <c r="I117" s="408"/>
      <c r="J117" s="405"/>
      <c r="K117" s="405"/>
      <c r="L117" s="405"/>
      <c r="M117" s="405"/>
      <c r="N117" s="408"/>
      <c r="O117" s="405"/>
      <c r="P117" s="405"/>
      <c r="Q117" s="405"/>
      <c r="R117" s="405"/>
      <c r="S117" s="405"/>
      <c r="T117" s="405"/>
      <c r="U117" s="405"/>
      <c r="V117" s="405"/>
      <c r="W117" s="405"/>
      <c r="X117" s="405"/>
    </row>
    <row r="118" spans="2:24">
      <c r="B118" s="405"/>
      <c r="C118" s="405"/>
      <c r="D118" s="408"/>
      <c r="E118" s="408"/>
      <c r="F118" s="408"/>
      <c r="G118" s="408"/>
      <c r="H118" s="408"/>
      <c r="I118" s="408"/>
      <c r="J118" s="405"/>
      <c r="K118" s="405"/>
      <c r="L118" s="405"/>
      <c r="M118" s="405"/>
      <c r="N118" s="408"/>
      <c r="O118" s="405"/>
      <c r="P118" s="405"/>
      <c r="Q118" s="405"/>
      <c r="R118" s="405"/>
      <c r="S118" s="405"/>
      <c r="T118" s="405"/>
      <c r="U118" s="405"/>
      <c r="V118" s="405"/>
      <c r="W118" s="405"/>
      <c r="X118" s="405"/>
    </row>
    <row r="119" spans="2:24" ht="21">
      <c r="B119" s="629" t="s">
        <v>1049</v>
      </c>
      <c r="C119" s="629"/>
      <c r="D119" s="629"/>
      <c r="E119" s="629"/>
      <c r="F119" s="629"/>
      <c r="G119" s="629"/>
      <c r="H119" s="629"/>
      <c r="I119" s="629"/>
      <c r="J119" s="629"/>
      <c r="K119" s="629"/>
      <c r="L119" s="629"/>
      <c r="M119" s="629"/>
      <c r="N119" s="629"/>
      <c r="O119" s="629"/>
      <c r="P119" s="405"/>
      <c r="Q119" s="405"/>
      <c r="R119" s="405"/>
      <c r="S119" s="405"/>
      <c r="T119" s="405"/>
      <c r="U119" s="405"/>
      <c r="V119" s="405"/>
      <c r="W119" s="405"/>
      <c r="X119" s="405"/>
    </row>
    <row r="120" spans="2:24">
      <c r="B120" s="630" t="s">
        <v>538</v>
      </c>
      <c r="C120" s="630"/>
      <c r="D120" s="630"/>
      <c r="E120" s="630"/>
      <c r="F120" s="630"/>
      <c r="G120" s="630"/>
      <c r="H120" s="630"/>
      <c r="I120" s="630"/>
      <c r="J120" s="630"/>
      <c r="K120" s="630"/>
      <c r="L120" s="630"/>
      <c r="M120" s="630"/>
      <c r="N120" s="630"/>
      <c r="O120" s="630"/>
      <c r="P120" s="405"/>
      <c r="Q120" s="405"/>
      <c r="R120" s="405"/>
      <c r="S120" s="405"/>
      <c r="T120" s="405"/>
      <c r="U120" s="405"/>
      <c r="V120" s="405"/>
      <c r="W120" s="405"/>
      <c r="X120" s="405"/>
    </row>
    <row r="121" spans="2:24">
      <c r="B121" s="6"/>
      <c r="C121" s="6"/>
      <c r="D121" s="648" t="s">
        <v>1046</v>
      </c>
      <c r="E121" s="648"/>
      <c r="F121" s="648"/>
      <c r="G121" s="443"/>
      <c r="H121" s="416" t="s">
        <v>1047</v>
      </c>
      <c r="I121" s="454"/>
      <c r="J121" s="6"/>
      <c r="K121" s="6"/>
      <c r="L121" s="6"/>
      <c r="M121" s="6"/>
      <c r="N121" s="69"/>
      <c r="O121" s="6"/>
      <c r="P121" s="405"/>
      <c r="Q121" s="405"/>
      <c r="R121" s="405"/>
      <c r="S121" s="405"/>
      <c r="T121" s="405"/>
      <c r="U121" s="405"/>
      <c r="V121" s="405"/>
      <c r="W121" s="405"/>
      <c r="X121" s="405"/>
    </row>
    <row r="122" spans="2:24">
      <c r="B122" s="6"/>
      <c r="C122" s="6"/>
      <c r="D122" s="6"/>
      <c r="E122" s="6"/>
      <c r="F122" s="238">
        <v>43843</v>
      </c>
      <c r="G122" s="238"/>
      <c r="H122" s="642">
        <f ca="1">TODAY()</f>
        <v>44064</v>
      </c>
      <c r="I122" s="643"/>
      <c r="J122" s="6"/>
      <c r="K122" s="6"/>
      <c r="L122" s="6"/>
      <c r="M122" s="6"/>
      <c r="N122" s="69"/>
      <c r="O122" s="6"/>
      <c r="P122" s="405"/>
      <c r="Q122" s="405"/>
      <c r="R122" s="405"/>
      <c r="S122" s="405"/>
      <c r="T122" s="405"/>
      <c r="U122" s="405"/>
      <c r="V122" s="405"/>
      <c r="W122" s="405"/>
      <c r="X122" s="405"/>
    </row>
    <row r="123" spans="2:24">
      <c r="B123" s="6"/>
      <c r="C123" s="6"/>
      <c r="D123" s="6"/>
      <c r="E123" s="6"/>
      <c r="F123" s="398" t="s">
        <v>1048</v>
      </c>
      <c r="G123" s="442"/>
      <c r="H123" s="418">
        <f ca="1">H122-F122</f>
        <v>221</v>
      </c>
      <c r="I123" s="459"/>
      <c r="J123" s="6"/>
      <c r="K123" s="6"/>
      <c r="L123" s="6"/>
      <c r="M123" s="6"/>
      <c r="N123" s="69"/>
      <c r="O123" s="6"/>
      <c r="P123" s="405"/>
      <c r="Q123" s="405"/>
      <c r="R123" s="405"/>
      <c r="S123" s="405"/>
      <c r="T123" s="405"/>
      <c r="U123" s="405"/>
      <c r="V123" s="405"/>
      <c r="W123" s="405"/>
      <c r="X123" s="405"/>
    </row>
    <row r="124" spans="2:24">
      <c r="B124" s="239"/>
      <c r="C124" s="239"/>
      <c r="D124" s="384"/>
      <c r="E124" s="384"/>
      <c r="F124" s="69"/>
      <c r="G124" s="69"/>
      <c r="H124" s="69"/>
      <c r="I124" s="69"/>
      <c r="J124" s="6"/>
      <c r="K124" s="6"/>
      <c r="L124" s="6"/>
      <c r="M124" s="6"/>
      <c r="N124" s="69"/>
      <c r="O124" s="6"/>
      <c r="P124" s="405"/>
      <c r="Q124" s="405"/>
      <c r="R124" s="405"/>
      <c r="S124" s="405"/>
      <c r="T124" s="405"/>
      <c r="U124" s="405"/>
      <c r="V124" s="405"/>
      <c r="W124" s="405"/>
      <c r="X124" s="405"/>
    </row>
    <row r="125" spans="2:24">
      <c r="B125" s="239"/>
      <c r="C125" s="239"/>
      <c r="D125" s="384"/>
      <c r="E125" s="384"/>
      <c r="F125" s="69"/>
      <c r="G125" s="69"/>
      <c r="H125" s="69"/>
      <c r="I125" s="69"/>
      <c r="J125" s="6"/>
      <c r="K125" s="6"/>
      <c r="L125" s="6"/>
      <c r="M125" s="6"/>
      <c r="N125" s="69"/>
      <c r="O125" s="6"/>
      <c r="P125" s="405"/>
      <c r="Q125" s="405"/>
      <c r="R125" s="405"/>
      <c r="S125" s="405"/>
      <c r="T125" s="405"/>
      <c r="U125" s="405"/>
      <c r="V125" s="405"/>
      <c r="W125" s="405"/>
      <c r="X125" s="405"/>
    </row>
    <row r="126" spans="2:24">
      <c r="B126" s="239"/>
      <c r="C126" s="239"/>
      <c r="D126" s="384"/>
      <c r="E126" s="384"/>
      <c r="F126" s="69"/>
      <c r="G126" s="69"/>
      <c r="H126" s="69"/>
      <c r="I126" s="69"/>
      <c r="J126" s="6"/>
      <c r="K126" s="6"/>
      <c r="L126" s="6"/>
      <c r="M126" s="6"/>
      <c r="N126" s="69"/>
      <c r="O126" s="6"/>
      <c r="P126" s="405"/>
      <c r="Q126" s="405"/>
      <c r="R126" s="405"/>
      <c r="S126" s="405"/>
      <c r="T126" s="405"/>
      <c r="U126" s="405"/>
      <c r="V126" s="405"/>
      <c r="W126" s="405"/>
      <c r="X126" s="405"/>
    </row>
    <row r="127" spans="2:24">
      <c r="B127" s="239"/>
      <c r="C127" s="239"/>
      <c r="D127" s="384"/>
      <c r="E127" s="384"/>
      <c r="F127" s="69"/>
      <c r="G127" s="69"/>
      <c r="H127" s="69"/>
      <c r="I127" s="69"/>
      <c r="J127" s="6"/>
      <c r="K127" s="6"/>
      <c r="L127" s="6"/>
      <c r="M127" s="6"/>
      <c r="N127" s="69"/>
      <c r="O127" s="6"/>
      <c r="P127" s="405"/>
      <c r="Q127" s="405"/>
      <c r="R127" s="405"/>
      <c r="S127" s="405"/>
      <c r="T127" s="405"/>
      <c r="U127" s="405"/>
      <c r="V127" s="405"/>
      <c r="W127" s="405"/>
      <c r="X127" s="405"/>
    </row>
    <row r="128" spans="2:24">
      <c r="B128" s="450"/>
      <c r="C128" s="450"/>
      <c r="D128" s="451"/>
      <c r="E128" s="451"/>
      <c r="F128" s="452"/>
      <c r="G128" s="452"/>
      <c r="H128" s="452"/>
      <c r="I128" s="452"/>
      <c r="J128" s="453"/>
      <c r="K128" s="453"/>
      <c r="L128" s="453"/>
      <c r="M128" s="453"/>
      <c r="N128" s="452"/>
      <c r="O128" s="453"/>
      <c r="P128" s="405"/>
      <c r="Q128" s="405"/>
      <c r="R128" s="405"/>
      <c r="S128" s="405"/>
      <c r="T128" s="405"/>
      <c r="U128" s="405"/>
      <c r="V128" s="405"/>
      <c r="W128" s="405"/>
      <c r="X128" s="405"/>
    </row>
    <row r="129" spans="2:24">
      <c r="B129" s="450"/>
      <c r="C129" s="450"/>
      <c r="D129" s="451"/>
      <c r="E129" s="451"/>
      <c r="F129" s="452"/>
      <c r="G129" s="452"/>
      <c r="H129" s="452"/>
      <c r="I129" s="452"/>
      <c r="J129" s="453"/>
      <c r="K129" s="453"/>
      <c r="L129" s="453"/>
      <c r="M129" s="453"/>
      <c r="N129" s="452"/>
      <c r="O129" s="453"/>
      <c r="P129" s="405"/>
      <c r="Q129" s="405"/>
      <c r="R129" s="405"/>
      <c r="S129" s="405"/>
      <c r="T129" s="405"/>
      <c r="U129" s="405"/>
      <c r="V129" s="405"/>
      <c r="W129" s="405"/>
      <c r="X129" s="405"/>
    </row>
    <row r="130" spans="2:24">
      <c r="B130" s="450"/>
      <c r="C130" s="450"/>
      <c r="D130" s="451"/>
      <c r="E130" s="451"/>
      <c r="F130" s="452"/>
      <c r="G130" s="452"/>
      <c r="H130" s="452"/>
      <c r="I130" s="452"/>
      <c r="J130" s="453"/>
      <c r="K130" s="453"/>
      <c r="L130" s="453"/>
      <c r="M130" s="453"/>
      <c r="N130" s="452"/>
      <c r="O130" s="453"/>
      <c r="P130" s="405"/>
      <c r="Q130" s="405"/>
      <c r="R130" s="405"/>
      <c r="S130" s="405"/>
      <c r="T130" s="405"/>
      <c r="U130" s="405"/>
      <c r="V130" s="405"/>
      <c r="W130" s="405"/>
      <c r="X130" s="405"/>
    </row>
    <row r="131" spans="2:24">
      <c r="B131" s="406"/>
      <c r="C131" s="406"/>
      <c r="D131" s="407"/>
      <c r="E131" s="407"/>
      <c r="F131" s="408"/>
      <c r="G131" s="408"/>
      <c r="H131" s="408"/>
      <c r="I131" s="408"/>
      <c r="J131" s="405"/>
      <c r="K131" s="405"/>
      <c r="L131" s="405"/>
      <c r="M131" s="405"/>
      <c r="N131" s="408"/>
      <c r="O131" s="405"/>
      <c r="P131" s="405"/>
      <c r="Q131" s="405"/>
      <c r="R131" s="405"/>
      <c r="S131" s="405"/>
      <c r="T131" s="405"/>
      <c r="U131" s="405"/>
      <c r="V131" s="405"/>
      <c r="W131" s="405"/>
      <c r="X131" s="405"/>
    </row>
    <row r="132" spans="2:24" ht="21">
      <c r="B132" s="646" t="s">
        <v>1063</v>
      </c>
      <c r="C132" s="647"/>
      <c r="D132" s="647"/>
      <c r="E132" s="647"/>
      <c r="F132" s="647"/>
      <c r="G132" s="647"/>
      <c r="H132" s="647"/>
      <c r="I132" s="647"/>
      <c r="J132" s="647"/>
      <c r="K132" s="647"/>
      <c r="L132" s="647"/>
      <c r="M132" s="647"/>
      <c r="N132" s="647"/>
      <c r="O132" s="647"/>
      <c r="P132" s="647"/>
      <c r="Q132" s="405"/>
      <c r="R132" s="405"/>
      <c r="S132" s="405"/>
      <c r="T132" s="405"/>
      <c r="U132" s="405"/>
      <c r="V132" s="405"/>
      <c r="W132" s="405"/>
      <c r="X132" s="405"/>
    </row>
    <row r="133" spans="2:24" ht="15.75" thickBot="1">
      <c r="B133" s="644" t="s">
        <v>538</v>
      </c>
      <c r="C133" s="645"/>
      <c r="D133" s="645"/>
      <c r="E133" s="645"/>
      <c r="F133" s="645"/>
      <c r="G133" s="645"/>
      <c r="H133" s="645"/>
      <c r="I133" s="645"/>
      <c r="J133" s="645"/>
      <c r="K133" s="645"/>
      <c r="L133" s="645"/>
      <c r="M133" s="645"/>
      <c r="N133" s="645"/>
      <c r="O133" s="645"/>
      <c r="P133" s="645"/>
      <c r="Q133" s="405"/>
      <c r="R133" s="405"/>
      <c r="S133" s="405"/>
      <c r="T133" s="405"/>
      <c r="U133" s="405"/>
      <c r="V133" s="405"/>
      <c r="W133" s="405"/>
      <c r="X133" s="405"/>
    </row>
    <row r="134" spans="2:24">
      <c r="B134" s="472"/>
      <c r="C134" s="473"/>
      <c r="D134" s="473"/>
      <c r="E134" s="640" t="s">
        <v>2</v>
      </c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1"/>
      <c r="Q134" s="405"/>
      <c r="R134" s="405"/>
      <c r="S134" s="405"/>
      <c r="T134" s="405"/>
      <c r="U134" s="405"/>
      <c r="V134" s="405"/>
      <c r="W134" s="405"/>
      <c r="X134" s="405"/>
    </row>
    <row r="135" spans="2:24" ht="50.45" customHeight="1">
      <c r="B135" s="419"/>
      <c r="C135" s="475" t="s">
        <v>992</v>
      </c>
      <c r="D135" s="475" t="s">
        <v>995</v>
      </c>
      <c r="E135" s="475" t="s">
        <v>82</v>
      </c>
      <c r="F135" s="475" t="s">
        <v>358</v>
      </c>
      <c r="G135" s="475" t="s">
        <v>84</v>
      </c>
      <c r="H135" s="475" t="s">
        <v>85</v>
      </c>
      <c r="I135" s="475" t="s">
        <v>87</v>
      </c>
      <c r="J135" s="475" t="s">
        <v>88</v>
      </c>
      <c r="K135" s="475" t="s">
        <v>89</v>
      </c>
      <c r="L135" s="475" t="s">
        <v>91</v>
      </c>
      <c r="M135" s="475" t="s">
        <v>364</v>
      </c>
      <c r="N135" s="475" t="s">
        <v>365</v>
      </c>
      <c r="O135" s="475" t="s">
        <v>363</v>
      </c>
      <c r="P135" s="475" t="s">
        <v>359</v>
      </c>
      <c r="Q135" s="405"/>
      <c r="R135" s="405"/>
      <c r="S135" s="405"/>
      <c r="T135" s="405"/>
      <c r="U135" s="405"/>
      <c r="V135" s="405"/>
      <c r="W135" s="405"/>
      <c r="X135" s="405"/>
    </row>
    <row r="136" spans="2:24">
      <c r="B136" s="474" t="s">
        <v>360</v>
      </c>
      <c r="C136" s="476">
        <f ca="1">VLOOKUP(TODAY(),Chlorine_Readings!B10:P184,2,0)</f>
        <v>0.9</v>
      </c>
      <c r="D136" s="476">
        <f ca="1">VLOOKUP(TODAY(),Chlorine_Readings!B10:P184,3,0)</f>
        <v>3.3</v>
      </c>
      <c r="E136" s="477">
        <f ca="1">VLOOKUP(TODAY(),Chlorine_Readings!B10:P184,4,0)</f>
        <v>1.2</v>
      </c>
      <c r="F136" s="477">
        <f ca="1">VLOOKUP(TODAY(),Chlorine_Readings!B10:P184,5,0)</f>
        <v>4.0999999999999996</v>
      </c>
      <c r="G136" s="477">
        <f ca="1">VLOOKUP(TODAY(),Chlorine_Readings!B10:P184,6,0)</f>
        <v>2.5</v>
      </c>
      <c r="H136" s="477">
        <f ca="1">VLOOKUP(TODAY(),Chlorine_Readings!B10:P184,7,0)</f>
        <v>0.6</v>
      </c>
      <c r="I136" s="477">
        <f ca="1">VLOOKUP(TODAY(),Chlorine_Readings!B10:P184,8,0)</f>
        <v>1.3</v>
      </c>
      <c r="J136" s="477">
        <f ca="1">VLOOKUP(TODAY(),Chlorine_Readings!B10:P184,9,0)</f>
        <v>1.6</v>
      </c>
      <c r="K136" s="477">
        <f ca="1">VLOOKUP(TODAY(),Chlorine_Readings!B10:P184,10,0)</f>
        <v>0</v>
      </c>
      <c r="L136" s="477">
        <f ca="1">VLOOKUP(TODAY(),Chlorine_Readings!B10:P184,11,0)</f>
        <v>2.2000000000000002</v>
      </c>
      <c r="M136" s="477">
        <f ca="1">VLOOKUP(TODAY(),Chlorine_Readings!B10:P184,12,0)</f>
        <v>2.7</v>
      </c>
      <c r="N136" s="477">
        <f ca="1">VLOOKUP(TODAY(),Chlorine_Readings!B10:P184,13,0)</f>
        <v>1.2</v>
      </c>
      <c r="O136" s="478">
        <f ca="1">VLOOKUP(TODAY(),Chlorine_Readings!B10:P184,14,0)</f>
        <v>2.2000000000000002</v>
      </c>
      <c r="P136" s="478">
        <f ca="1">VLOOKUP(TODAY(),Chlorine_Readings!B10:P184,15,0)</f>
        <v>1.7</v>
      </c>
      <c r="Q136" s="405"/>
      <c r="R136" s="405"/>
      <c r="S136" s="405"/>
      <c r="T136" s="405"/>
      <c r="U136" s="405"/>
      <c r="V136" s="405"/>
      <c r="W136" s="405"/>
      <c r="X136" s="405"/>
    </row>
    <row r="137" spans="2:24">
      <c r="B137" s="474" t="s">
        <v>357</v>
      </c>
      <c r="C137" s="477">
        <f ca="1">VLOOKUP(TODAY()-1,Chlorine_Readings!B10:P184,2,0)</f>
        <v>1.8</v>
      </c>
      <c r="D137" s="477">
        <f ca="1">VLOOKUP(TODAY()-1,Chlorine_Readings!B10:P184,3,0)</f>
        <v>1.8</v>
      </c>
      <c r="E137" s="477">
        <f ca="1">VLOOKUP(TODAY()-1,Chlorine_Readings!B10:P184,4,0)</f>
        <v>1.7</v>
      </c>
      <c r="F137" s="477">
        <f ca="1">VLOOKUP(TODAY()-1,Chlorine_Readings!B10:P184,5,0)</f>
        <v>3</v>
      </c>
      <c r="G137" s="477">
        <f ca="1">VLOOKUP(TODAY()-1,Chlorine_Readings!B10:P184,6,0)</f>
        <v>2.7</v>
      </c>
      <c r="H137" s="477">
        <f ca="1">VLOOKUP(TODAY()-1,Chlorine_Readings!B10:P184,7,0)</f>
        <v>4.5</v>
      </c>
      <c r="I137" s="477">
        <f ca="1">VLOOKUP(TODAY()-1,Chlorine_Readings!B10:P184,8,0)</f>
        <v>1.5</v>
      </c>
      <c r="J137" s="477">
        <f ca="1">VLOOKUP(TODAY()-1,Chlorine_Readings!B10:P184,9,0)</f>
        <v>1</v>
      </c>
      <c r="K137" s="477">
        <f ca="1">VLOOKUP(TODAY()-1,Chlorine_Readings!B10:P184,10,0)</f>
        <v>0</v>
      </c>
      <c r="L137" s="477">
        <f ca="1">VLOOKUP(TODAY()-1,Chlorine_Readings!B10:P184,11,0)</f>
        <v>1.4</v>
      </c>
      <c r="M137" s="477">
        <f ca="1">VLOOKUP(TODAY()-1,Chlorine_Readings!B10:P184,12,0)</f>
        <v>0.6</v>
      </c>
      <c r="N137" s="477">
        <f ca="1">VLOOKUP(TODAY()-1,Chlorine_Readings!B10:P184,13,0)</f>
        <v>2.4</v>
      </c>
      <c r="O137" s="478">
        <f ca="1">VLOOKUP(TODAY()-1,Chlorine_Readings!B10:P184,14,0)</f>
        <v>2</v>
      </c>
      <c r="P137" s="478">
        <f ca="1">VLOOKUP(TODAY()-1,Chlorine_Readings!B10:P184,15,0)</f>
        <v>1.3</v>
      </c>
      <c r="Q137" s="405"/>
      <c r="R137" s="405"/>
      <c r="S137" s="405"/>
      <c r="T137" s="405"/>
      <c r="U137" s="405"/>
      <c r="V137" s="405"/>
      <c r="W137" s="405"/>
      <c r="X137" s="405"/>
    </row>
    <row r="138" spans="2:24" ht="15.75" thickBot="1">
      <c r="B138" s="422"/>
      <c r="C138" s="423"/>
      <c r="D138" s="423"/>
      <c r="E138" s="423"/>
      <c r="F138" s="423"/>
      <c r="G138" s="423"/>
      <c r="H138" s="423"/>
      <c r="I138" s="423"/>
      <c r="J138" s="423"/>
      <c r="K138" s="423"/>
      <c r="L138" s="423"/>
      <c r="M138" s="423"/>
      <c r="N138" s="423"/>
      <c r="O138" s="423"/>
      <c r="P138" s="424"/>
      <c r="Q138" s="405"/>
      <c r="R138" s="405"/>
      <c r="S138" s="405"/>
      <c r="T138" s="405"/>
      <c r="U138" s="405"/>
      <c r="V138" s="405"/>
      <c r="W138" s="405"/>
      <c r="X138" s="405"/>
    </row>
    <row r="139" spans="2:24" ht="15" customHeight="1">
      <c r="B139" s="239"/>
      <c r="C139" s="239"/>
      <c r="D139" s="384"/>
      <c r="E139" s="384"/>
      <c r="F139" s="69"/>
      <c r="G139" s="69"/>
      <c r="H139" s="69"/>
      <c r="I139" s="69"/>
      <c r="J139" s="6"/>
      <c r="K139" s="6"/>
      <c r="L139" s="6"/>
      <c r="M139" s="6"/>
      <c r="N139" s="69"/>
      <c r="O139" s="6"/>
      <c r="P139" s="6"/>
      <c r="Q139" s="405"/>
      <c r="R139" s="405"/>
      <c r="S139" s="405"/>
      <c r="T139" s="405"/>
      <c r="U139" s="405"/>
      <c r="V139" s="405"/>
      <c r="W139" s="405"/>
      <c r="X139" s="405"/>
    </row>
    <row r="140" spans="2:24" ht="14.45" customHeight="1">
      <c r="B140" s="239"/>
      <c r="C140" s="239"/>
      <c r="D140" s="384"/>
      <c r="E140" s="384"/>
      <c r="F140" s="69"/>
      <c r="G140" s="69"/>
      <c r="H140" s="69"/>
      <c r="I140" s="69"/>
      <c r="J140" s="6"/>
      <c r="K140" s="6"/>
      <c r="L140" s="6"/>
      <c r="M140" s="6"/>
      <c r="N140" s="69"/>
      <c r="O140" s="6"/>
      <c r="P140" s="6"/>
      <c r="Q140" s="405"/>
      <c r="R140" s="405"/>
      <c r="S140" s="405"/>
      <c r="T140" s="405"/>
      <c r="U140" s="405"/>
      <c r="V140" s="405"/>
      <c r="W140" s="405"/>
      <c r="X140" s="405"/>
    </row>
    <row r="141" spans="2:24" ht="14.45" customHeight="1">
      <c r="B141" s="406"/>
      <c r="C141" s="406"/>
      <c r="D141" s="407"/>
      <c r="E141" s="407"/>
      <c r="F141" s="408"/>
      <c r="G141" s="408"/>
      <c r="H141" s="408"/>
      <c r="I141" s="408"/>
      <c r="J141" s="405"/>
      <c r="K141" s="405"/>
      <c r="L141" s="405"/>
      <c r="M141" s="405"/>
      <c r="N141" s="408"/>
      <c r="O141" s="405"/>
      <c r="P141" s="405"/>
      <c r="Q141" s="405"/>
      <c r="R141" s="405"/>
      <c r="S141" s="405"/>
      <c r="T141" s="405"/>
      <c r="U141" s="405"/>
      <c r="V141" s="405"/>
      <c r="W141" s="405"/>
      <c r="X141" s="405"/>
    </row>
    <row r="142" spans="2:24">
      <c r="B142" s="406"/>
      <c r="C142" s="406"/>
      <c r="D142" s="407"/>
      <c r="E142" s="407"/>
      <c r="F142" s="408"/>
      <c r="G142" s="408"/>
      <c r="H142" s="408"/>
      <c r="I142" s="408"/>
      <c r="J142" s="405"/>
      <c r="K142" s="405"/>
      <c r="L142" s="405"/>
      <c r="M142" s="405"/>
      <c r="N142" s="408"/>
      <c r="O142" s="405"/>
      <c r="P142" s="405"/>
      <c r="Q142" s="405"/>
      <c r="R142" s="405"/>
      <c r="S142" s="405"/>
      <c r="T142" s="405"/>
      <c r="U142" s="405"/>
      <c r="V142" s="405"/>
      <c r="W142" s="405"/>
      <c r="X142" s="405"/>
    </row>
    <row r="143" spans="2:24">
      <c r="B143" s="406"/>
      <c r="C143" s="406"/>
      <c r="D143" s="407"/>
      <c r="E143" s="407"/>
      <c r="F143" s="408"/>
      <c r="G143" s="408"/>
      <c r="H143" s="408"/>
      <c r="I143" s="408"/>
      <c r="J143" s="405"/>
      <c r="K143" s="405"/>
      <c r="L143" s="405"/>
      <c r="M143" s="405"/>
      <c r="N143" s="408"/>
      <c r="O143" s="405"/>
      <c r="P143" s="405"/>
      <c r="Q143" s="405"/>
      <c r="R143" s="405"/>
      <c r="S143" s="405"/>
      <c r="T143" s="405"/>
      <c r="U143" s="405"/>
      <c r="V143" s="405"/>
      <c r="W143" s="405"/>
      <c r="X143" s="405"/>
    </row>
    <row r="144" spans="2:24">
      <c r="B144" s="406"/>
      <c r="C144" s="406"/>
      <c r="D144" s="407"/>
      <c r="E144" s="407"/>
      <c r="F144" s="408"/>
      <c r="G144" s="408"/>
      <c r="H144" s="408"/>
      <c r="I144" s="408"/>
      <c r="J144" s="405"/>
      <c r="K144" s="405"/>
      <c r="L144" s="405"/>
      <c r="M144" s="405"/>
      <c r="N144" s="408"/>
      <c r="O144" s="405"/>
      <c r="P144" s="405"/>
      <c r="Q144" s="405"/>
      <c r="R144" s="405"/>
      <c r="S144" s="405"/>
      <c r="T144" s="405"/>
      <c r="U144" s="405"/>
      <c r="V144" s="405"/>
      <c r="W144" s="405"/>
      <c r="X144" s="405"/>
    </row>
    <row r="145" spans="2:24" ht="21">
      <c r="B145" s="629" t="s">
        <v>1093</v>
      </c>
      <c r="C145" s="629"/>
      <c r="D145" s="629"/>
      <c r="E145" s="629"/>
      <c r="F145" s="629"/>
      <c r="G145" s="629"/>
      <c r="H145" s="629"/>
      <c r="I145" s="629"/>
      <c r="J145" s="629"/>
      <c r="K145" s="629"/>
      <c r="L145" s="629"/>
      <c r="M145" s="629"/>
      <c r="N145" s="629"/>
      <c r="O145" s="629"/>
      <c r="P145" s="405"/>
      <c r="Q145" s="405"/>
      <c r="R145" s="405"/>
      <c r="S145" s="405"/>
      <c r="T145" s="405"/>
      <c r="U145" s="405"/>
      <c r="V145" s="405"/>
      <c r="W145" s="405"/>
      <c r="X145" s="405"/>
    </row>
    <row r="146" spans="2:24">
      <c r="B146" s="630" t="s">
        <v>538</v>
      </c>
      <c r="C146" s="630"/>
      <c r="D146" s="630"/>
      <c r="E146" s="630"/>
      <c r="F146" s="630"/>
      <c r="G146" s="630"/>
      <c r="H146" s="630"/>
      <c r="I146" s="630"/>
      <c r="J146" s="630"/>
      <c r="K146" s="630"/>
      <c r="L146" s="630"/>
      <c r="M146" s="630"/>
      <c r="N146" s="630"/>
      <c r="O146" s="630"/>
      <c r="P146" s="405"/>
      <c r="Q146" s="405"/>
      <c r="R146" s="405"/>
      <c r="S146" s="405"/>
      <c r="T146" s="405"/>
      <c r="U146" s="405"/>
      <c r="V146" s="405"/>
      <c r="W146" s="405"/>
      <c r="X146" s="405"/>
    </row>
    <row r="147" spans="2:24">
      <c r="B147" s="6"/>
      <c r="C147" s="6"/>
      <c r="D147" s="6"/>
      <c r="E147" s="487"/>
      <c r="F147" s="487"/>
      <c r="G147" s="487"/>
      <c r="H147" s="487"/>
      <c r="I147" s="485" t="s">
        <v>1040</v>
      </c>
      <c r="J147" s="401">
        <f>COUNTIF('Work Task_Log'!G3:G1971,"Y")</f>
        <v>28</v>
      </c>
      <c r="K147" s="401"/>
      <c r="L147" s="239"/>
      <c r="M147" s="239"/>
      <c r="N147" s="239"/>
      <c r="O147" s="239"/>
      <c r="P147" s="405"/>
      <c r="Q147" s="405"/>
      <c r="R147" s="405"/>
      <c r="S147" s="405"/>
      <c r="T147" s="405"/>
      <c r="U147" s="405"/>
      <c r="V147" s="405"/>
      <c r="W147" s="405"/>
      <c r="X147" s="405"/>
    </row>
    <row r="148" spans="2:24" ht="28.5">
      <c r="B148" s="6"/>
      <c r="C148" s="6"/>
      <c r="D148" s="6"/>
      <c r="E148" s="480"/>
      <c r="F148" s="480"/>
      <c r="G148" s="480"/>
      <c r="H148" s="480"/>
      <c r="I148" s="486" t="s">
        <v>1091</v>
      </c>
      <c r="J148" s="401">
        <f>COUNTIF('Work Task_Log'!H3:H1971,"Y")</f>
        <v>106</v>
      </c>
      <c r="K148" s="401"/>
      <c r="L148" s="404"/>
      <c r="M148" s="404"/>
      <c r="N148" s="404"/>
      <c r="O148" s="239"/>
      <c r="P148" s="405"/>
      <c r="Q148" s="405"/>
      <c r="R148" s="405"/>
      <c r="S148" s="405"/>
      <c r="T148" s="405"/>
      <c r="U148" s="405"/>
      <c r="V148" s="405"/>
      <c r="W148" s="405"/>
      <c r="X148" s="405"/>
    </row>
    <row r="149" spans="2:24" ht="28.5">
      <c r="B149" s="6"/>
      <c r="C149" s="6"/>
      <c r="D149" s="6"/>
      <c r="E149" s="480"/>
      <c r="F149" s="480"/>
      <c r="G149" s="480"/>
      <c r="H149" s="480"/>
      <c r="I149" s="486" t="s">
        <v>1092</v>
      </c>
      <c r="J149" s="401">
        <f>COUNTIF('Work Task_Log'!H3:H1971,"N")</f>
        <v>142</v>
      </c>
      <c r="K149" s="401"/>
      <c r="L149" s="404"/>
      <c r="M149" s="404"/>
      <c r="N149" s="404"/>
      <c r="O149" s="239"/>
      <c r="P149" s="405"/>
      <c r="Q149" s="405"/>
      <c r="R149" s="405"/>
      <c r="S149" s="405"/>
      <c r="T149" s="405"/>
      <c r="U149" s="405"/>
      <c r="V149" s="405"/>
      <c r="W149" s="405"/>
      <c r="X149" s="405"/>
    </row>
    <row r="150" spans="2:24" ht="28.5">
      <c r="B150" s="6"/>
      <c r="C150" s="6"/>
      <c r="D150" s="6"/>
      <c r="E150" s="480"/>
      <c r="F150" s="480"/>
      <c r="G150" s="480"/>
      <c r="H150" s="480"/>
      <c r="I150" s="486" t="s">
        <v>1042</v>
      </c>
      <c r="J150" s="401">
        <f>SUM(J148:J149)</f>
        <v>248</v>
      </c>
      <c r="K150" s="401"/>
      <c r="L150" s="404"/>
      <c r="M150" s="404"/>
      <c r="N150" s="404"/>
      <c r="O150" s="239"/>
      <c r="P150" s="405"/>
      <c r="Q150" s="405"/>
      <c r="R150" s="405"/>
      <c r="S150" s="405"/>
      <c r="T150" s="405"/>
      <c r="U150" s="405"/>
      <c r="V150" s="405"/>
      <c r="W150" s="405"/>
      <c r="X150" s="405"/>
    </row>
    <row r="151" spans="2:24">
      <c r="B151" s="239"/>
      <c r="C151" s="239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39"/>
      <c r="P151" s="405"/>
      <c r="Q151" s="405"/>
      <c r="R151" s="405"/>
      <c r="S151" s="405"/>
      <c r="T151" s="405"/>
      <c r="U151" s="405"/>
      <c r="V151" s="405"/>
      <c r="W151" s="405"/>
      <c r="X151" s="405"/>
    </row>
    <row r="152" spans="2:24">
      <c r="B152" s="239"/>
      <c r="C152" s="239"/>
      <c r="D152" s="239"/>
      <c r="E152" s="239"/>
      <c r="F152" s="239"/>
      <c r="G152" s="239"/>
      <c r="H152" s="239"/>
      <c r="I152" s="239"/>
      <c r="J152" s="239"/>
      <c r="K152" s="239"/>
      <c r="L152" s="239"/>
      <c r="M152" s="239"/>
      <c r="N152" s="239"/>
      <c r="O152" s="239"/>
      <c r="P152" s="405"/>
      <c r="Q152" s="405"/>
      <c r="R152" s="405"/>
      <c r="S152" s="405"/>
      <c r="T152" s="405"/>
      <c r="U152" s="405"/>
      <c r="V152" s="405"/>
      <c r="W152" s="405"/>
      <c r="X152" s="405"/>
    </row>
    <row r="153" spans="2:24">
      <c r="B153" s="239"/>
      <c r="C153" s="23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39"/>
      <c r="P153" s="405"/>
      <c r="Q153" s="405"/>
      <c r="R153" s="405"/>
      <c r="S153" s="405"/>
      <c r="T153" s="405"/>
      <c r="U153" s="405"/>
      <c r="V153" s="405"/>
      <c r="W153" s="405"/>
      <c r="X153" s="405"/>
    </row>
    <row r="154" spans="2:24">
      <c r="B154" s="239"/>
      <c r="C154" s="239"/>
      <c r="D154" s="239"/>
      <c r="E154" s="239"/>
      <c r="F154" s="239"/>
      <c r="G154" s="239"/>
      <c r="H154" s="239"/>
      <c r="I154" s="239"/>
      <c r="J154" s="239"/>
      <c r="K154" s="239"/>
      <c r="L154" s="239"/>
      <c r="M154" s="239"/>
      <c r="N154" s="239"/>
      <c r="O154" s="239"/>
      <c r="P154" s="405"/>
      <c r="Q154" s="405"/>
      <c r="R154" s="405"/>
      <c r="S154" s="405"/>
      <c r="T154" s="405"/>
      <c r="U154" s="405"/>
      <c r="V154" s="405"/>
      <c r="W154" s="405"/>
      <c r="X154" s="405"/>
    </row>
    <row r="155" spans="2:24">
      <c r="B155" s="405"/>
      <c r="C155" s="405"/>
      <c r="D155" s="405"/>
      <c r="E155" s="405"/>
      <c r="F155" s="405"/>
      <c r="G155" s="405"/>
      <c r="H155" s="405"/>
      <c r="I155" s="405"/>
      <c r="J155" s="405"/>
      <c r="K155" s="405"/>
      <c r="L155" s="405"/>
      <c r="M155" s="405"/>
      <c r="N155" s="405"/>
      <c r="O155" s="405"/>
      <c r="P155" s="405"/>
      <c r="Q155" s="405"/>
      <c r="R155" s="405"/>
      <c r="S155" s="405"/>
      <c r="T155" s="405"/>
      <c r="U155" s="405"/>
      <c r="V155" s="405"/>
      <c r="W155" s="405"/>
      <c r="X155" s="405"/>
    </row>
    <row r="156" spans="2:24">
      <c r="B156" s="405"/>
      <c r="C156" s="405"/>
      <c r="D156" s="405"/>
      <c r="E156" s="405"/>
      <c r="F156" s="405"/>
      <c r="G156" s="405"/>
      <c r="H156" s="405"/>
      <c r="I156" s="405"/>
      <c r="J156" s="405"/>
      <c r="K156" s="405"/>
      <c r="L156" s="405"/>
      <c r="M156" s="405"/>
      <c r="N156" s="405"/>
      <c r="O156" s="405"/>
      <c r="P156" s="405"/>
      <c r="Q156" s="405"/>
      <c r="R156" s="405"/>
      <c r="S156" s="405"/>
      <c r="T156" s="405"/>
      <c r="U156" s="405"/>
      <c r="V156" s="405"/>
      <c r="W156" s="405"/>
      <c r="X156" s="405"/>
    </row>
    <row r="157" spans="2:24">
      <c r="B157" s="405"/>
      <c r="C157" s="405"/>
      <c r="D157" s="405"/>
      <c r="E157" s="405"/>
      <c r="F157" s="405"/>
      <c r="G157" s="405"/>
      <c r="H157" s="405"/>
      <c r="I157" s="405"/>
      <c r="J157" s="405"/>
      <c r="K157" s="405"/>
      <c r="L157" s="405"/>
      <c r="M157" s="405"/>
      <c r="N157" s="405"/>
      <c r="O157" s="405"/>
      <c r="P157" s="405"/>
      <c r="Q157" s="405"/>
      <c r="R157" s="405"/>
      <c r="S157" s="405"/>
      <c r="T157" s="405"/>
      <c r="U157" s="405"/>
      <c r="V157" s="405"/>
      <c r="W157" s="405"/>
      <c r="X157" s="405"/>
    </row>
    <row r="158" spans="2:24">
      <c r="B158" s="405"/>
      <c r="C158" s="405"/>
      <c r="D158" s="405"/>
      <c r="E158" s="405"/>
      <c r="F158" s="405"/>
      <c r="G158" s="405"/>
      <c r="H158" s="405"/>
      <c r="I158" s="405"/>
      <c r="J158" s="405"/>
      <c r="K158" s="405"/>
      <c r="L158" s="405"/>
      <c r="M158" s="405"/>
      <c r="N158" s="405"/>
      <c r="O158" s="405"/>
      <c r="P158" s="405"/>
      <c r="Q158" s="405"/>
      <c r="R158" s="405"/>
      <c r="S158" s="405"/>
      <c r="T158" s="405"/>
      <c r="U158" s="405"/>
      <c r="V158" s="405"/>
      <c r="W158" s="405"/>
      <c r="X158" s="405"/>
    </row>
    <row r="159" spans="2:24">
      <c r="B159" s="405"/>
      <c r="C159" s="405"/>
      <c r="D159" s="405"/>
      <c r="E159" s="405"/>
      <c r="F159" s="405"/>
      <c r="G159" s="405"/>
      <c r="H159" s="405"/>
      <c r="I159" s="405"/>
      <c r="J159" s="405"/>
      <c r="K159" s="405"/>
      <c r="L159" s="405"/>
      <c r="M159" s="405"/>
      <c r="N159" s="405"/>
      <c r="O159" s="405"/>
      <c r="P159" s="405"/>
      <c r="Q159" s="405"/>
      <c r="R159" s="405"/>
      <c r="S159" s="405"/>
      <c r="T159" s="405"/>
      <c r="U159" s="405"/>
      <c r="V159" s="405"/>
      <c r="W159" s="405"/>
      <c r="X159" s="405"/>
    </row>
    <row r="160" spans="2:24">
      <c r="B160" s="405"/>
      <c r="C160" s="405"/>
      <c r="D160" s="405"/>
      <c r="E160" s="405"/>
      <c r="F160" s="405"/>
      <c r="G160" s="405"/>
      <c r="H160" s="405"/>
      <c r="I160" s="405"/>
      <c r="J160" s="405"/>
      <c r="K160" s="405"/>
      <c r="L160" s="405"/>
      <c r="M160" s="405"/>
      <c r="N160" s="405"/>
      <c r="O160" s="405"/>
      <c r="P160" s="405"/>
      <c r="Q160" s="405"/>
      <c r="R160" s="405"/>
      <c r="S160" s="405"/>
      <c r="T160" s="405"/>
      <c r="U160" s="405"/>
      <c r="V160" s="405"/>
      <c r="W160" s="405"/>
      <c r="X160" s="405"/>
    </row>
    <row r="161" spans="2:24" ht="21">
      <c r="B161" s="629" t="s">
        <v>1054</v>
      </c>
      <c r="C161" s="629"/>
      <c r="D161" s="629"/>
      <c r="E161" s="629"/>
      <c r="F161" s="629"/>
      <c r="G161" s="629"/>
      <c r="H161" s="629"/>
      <c r="I161" s="629"/>
      <c r="J161" s="629"/>
      <c r="K161" s="629"/>
      <c r="L161" s="629"/>
      <c r="M161" s="629"/>
      <c r="N161" s="629"/>
      <c r="O161" s="629"/>
      <c r="P161" s="405"/>
      <c r="Q161" s="405"/>
      <c r="R161" s="405"/>
      <c r="S161" s="405"/>
      <c r="T161" s="405"/>
      <c r="U161" s="405"/>
      <c r="V161" s="405"/>
      <c r="W161" s="405"/>
      <c r="X161" s="405"/>
    </row>
    <row r="162" spans="2:24">
      <c r="B162" s="630" t="s">
        <v>538</v>
      </c>
      <c r="C162" s="630"/>
      <c r="D162" s="630"/>
      <c r="E162" s="630"/>
      <c r="F162" s="630"/>
      <c r="G162" s="630"/>
      <c r="H162" s="630"/>
      <c r="I162" s="630"/>
      <c r="J162" s="630"/>
      <c r="K162" s="630"/>
      <c r="L162" s="630"/>
      <c r="M162" s="630"/>
      <c r="N162" s="630"/>
      <c r="O162" s="630"/>
      <c r="P162" s="405"/>
      <c r="Q162" s="405"/>
      <c r="R162" s="405"/>
      <c r="S162" s="405"/>
      <c r="T162" s="405"/>
      <c r="U162" s="405"/>
      <c r="V162" s="405"/>
      <c r="W162" s="405"/>
      <c r="X162" s="405"/>
    </row>
    <row r="163" spans="2:24">
      <c r="B163" s="651" t="s">
        <v>477</v>
      </c>
      <c r="C163" s="651"/>
      <c r="D163" s="651"/>
      <c r="E163" s="651"/>
      <c r="F163" s="651"/>
      <c r="G163" s="651"/>
      <c r="H163" s="651"/>
      <c r="I163" s="651"/>
      <c r="J163" s="651"/>
      <c r="K163" s="651"/>
      <c r="L163" s="651"/>
      <c r="M163" s="651"/>
      <c r="N163" s="651"/>
      <c r="O163" s="651"/>
      <c r="P163" s="405"/>
      <c r="Q163" s="405"/>
      <c r="R163" s="405"/>
      <c r="S163" s="405"/>
      <c r="T163" s="405"/>
      <c r="U163" s="405"/>
      <c r="V163" s="405"/>
      <c r="W163" s="405"/>
      <c r="X163" s="405"/>
    </row>
    <row r="164" spans="2:24">
      <c r="B164" s="239"/>
      <c r="C164" s="239"/>
      <c r="D164" s="239"/>
      <c r="E164" s="239"/>
      <c r="F164" s="623" t="s">
        <v>479</v>
      </c>
      <c r="G164" s="623"/>
      <c r="H164" s="623"/>
      <c r="I164" s="441"/>
      <c r="J164" s="239"/>
      <c r="K164" s="239"/>
      <c r="L164" s="239"/>
      <c r="M164" s="239"/>
      <c r="N164" s="239"/>
      <c r="O164" s="239"/>
      <c r="P164" s="405"/>
      <c r="Q164" s="405"/>
      <c r="R164" s="405"/>
      <c r="S164" s="405"/>
      <c r="T164" s="405"/>
      <c r="U164" s="405"/>
      <c r="V164" s="405"/>
      <c r="W164" s="405"/>
      <c r="X164" s="405"/>
    </row>
    <row r="165" spans="2:24">
      <c r="B165" s="239"/>
      <c r="C165" s="239"/>
      <c r="D165" s="239"/>
      <c r="E165" s="239"/>
      <c r="F165" s="239" t="s">
        <v>478</v>
      </c>
      <c r="G165" s="239"/>
      <c r="H165" s="239">
        <f>'Water - RWP'!$F$29*7</f>
        <v>406</v>
      </c>
      <c r="I165" s="239"/>
      <c r="J165" s="239"/>
      <c r="K165" s="239"/>
      <c r="L165" s="239"/>
      <c r="M165" s="239"/>
      <c r="N165" s="239"/>
      <c r="O165" s="239"/>
      <c r="P165" s="405"/>
      <c r="Q165" s="405"/>
      <c r="R165" s="405"/>
      <c r="S165" s="405"/>
      <c r="T165" s="405"/>
      <c r="U165" s="405"/>
      <c r="V165" s="405"/>
      <c r="W165" s="405"/>
      <c r="X165" s="405"/>
    </row>
    <row r="166" spans="2:24">
      <c r="B166" s="239"/>
      <c r="C166" s="239"/>
      <c r="D166" s="239"/>
      <c r="E166" s="239"/>
      <c r="F166" s="239" t="s">
        <v>480</v>
      </c>
      <c r="G166" s="239"/>
      <c r="H166" s="239">
        <f>'PM - RWP'!$D$3</f>
        <v>243</v>
      </c>
      <c r="I166" s="239"/>
      <c r="J166" s="239"/>
      <c r="K166" s="239"/>
      <c r="L166" s="239"/>
      <c r="M166" s="239"/>
      <c r="N166" s="239"/>
      <c r="O166" s="239"/>
      <c r="P166" s="405"/>
      <c r="Q166" s="405"/>
      <c r="R166" s="405"/>
      <c r="S166" s="405"/>
      <c r="T166" s="405"/>
      <c r="U166" s="405"/>
      <c r="V166" s="405"/>
      <c r="W166" s="405"/>
      <c r="X166" s="405"/>
    </row>
    <row r="167" spans="2:24">
      <c r="B167" s="239"/>
      <c r="C167" s="239"/>
      <c r="D167" s="239"/>
      <c r="E167" s="239"/>
      <c r="F167" s="239" t="s">
        <v>481</v>
      </c>
      <c r="G167" s="239"/>
      <c r="H167" s="239">
        <v>168</v>
      </c>
      <c r="I167" s="239"/>
      <c r="J167" s="239"/>
      <c r="K167" s="239"/>
      <c r="L167" s="239"/>
      <c r="M167" s="239"/>
      <c r="N167" s="239"/>
      <c r="O167" s="239"/>
      <c r="P167" s="405"/>
      <c r="Q167" s="405"/>
      <c r="R167" s="405"/>
      <c r="S167" s="405"/>
      <c r="T167" s="405"/>
      <c r="U167" s="405"/>
      <c r="V167" s="405"/>
      <c r="W167" s="405"/>
      <c r="X167" s="405"/>
    </row>
    <row r="168" spans="2:24"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405"/>
      <c r="Q168" s="405"/>
      <c r="R168" s="405"/>
      <c r="S168" s="405"/>
      <c r="T168" s="405"/>
      <c r="U168" s="405"/>
      <c r="V168" s="405"/>
      <c r="W168" s="405"/>
      <c r="X168" s="405"/>
    </row>
    <row r="169" spans="2:24">
      <c r="B169" s="239"/>
      <c r="C169" s="239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39"/>
      <c r="P169" s="405"/>
      <c r="Q169" s="405"/>
      <c r="R169" s="405"/>
      <c r="S169" s="405"/>
      <c r="T169" s="405"/>
      <c r="U169" s="405"/>
      <c r="V169" s="405"/>
      <c r="W169" s="405"/>
      <c r="X169" s="405"/>
    </row>
    <row r="170" spans="2:24">
      <c r="B170" s="239"/>
      <c r="C170" s="239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39"/>
      <c r="P170" s="405"/>
      <c r="Q170" s="405"/>
      <c r="R170" s="405"/>
      <c r="S170" s="405"/>
      <c r="T170" s="405"/>
      <c r="U170" s="405"/>
      <c r="V170" s="405"/>
      <c r="W170" s="405"/>
      <c r="X170" s="405"/>
    </row>
    <row r="171" spans="2:24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405"/>
      <c r="Q171" s="405"/>
      <c r="R171" s="405"/>
      <c r="S171" s="405"/>
      <c r="T171" s="405"/>
      <c r="U171" s="405"/>
      <c r="V171" s="405"/>
      <c r="W171" s="405"/>
      <c r="X171" s="405"/>
    </row>
    <row r="172" spans="2:24">
      <c r="B172" s="405"/>
      <c r="C172" s="405"/>
      <c r="D172" s="405"/>
      <c r="E172" s="405"/>
      <c r="F172" s="405"/>
      <c r="G172" s="405"/>
      <c r="H172" s="405"/>
      <c r="I172" s="405"/>
      <c r="J172" s="405"/>
      <c r="K172" s="405"/>
      <c r="L172" s="405"/>
      <c r="M172" s="405"/>
      <c r="N172" s="405"/>
      <c r="O172" s="405"/>
      <c r="P172" s="405"/>
      <c r="Q172" s="405"/>
      <c r="R172" s="405"/>
      <c r="S172" s="405"/>
      <c r="T172" s="405"/>
      <c r="U172" s="405"/>
      <c r="V172" s="405"/>
      <c r="W172" s="405"/>
      <c r="X172" s="405"/>
    </row>
    <row r="173" spans="2:24">
      <c r="B173" s="405"/>
      <c r="C173" s="405"/>
      <c r="D173" s="405"/>
      <c r="E173" s="405"/>
      <c r="F173" s="405"/>
      <c r="G173" s="405"/>
      <c r="H173" s="405"/>
      <c r="I173" s="405"/>
      <c r="J173" s="405"/>
      <c r="K173" s="405"/>
      <c r="L173" s="405"/>
      <c r="M173" s="405"/>
      <c r="N173" s="405"/>
      <c r="O173" s="405"/>
      <c r="P173" s="405"/>
      <c r="Q173" s="405"/>
      <c r="R173" s="405"/>
      <c r="S173" s="405"/>
      <c r="T173" s="405"/>
      <c r="U173" s="405"/>
      <c r="V173" s="405"/>
      <c r="W173" s="405"/>
      <c r="X173" s="405"/>
    </row>
    <row r="174" spans="2:24">
      <c r="B174" s="405"/>
      <c r="C174" s="405"/>
      <c r="D174" s="405"/>
      <c r="E174" s="405"/>
      <c r="F174" s="405"/>
      <c r="G174" s="405"/>
      <c r="H174" s="405"/>
      <c r="I174" s="405"/>
      <c r="J174" s="405"/>
      <c r="K174" s="405"/>
      <c r="L174" s="405"/>
      <c r="M174" s="405"/>
      <c r="N174" s="405"/>
      <c r="O174" s="405"/>
      <c r="P174" s="405"/>
      <c r="Q174" s="405"/>
      <c r="R174" s="405"/>
      <c r="S174" s="405"/>
      <c r="T174" s="405"/>
      <c r="U174" s="405"/>
      <c r="V174" s="405"/>
      <c r="W174" s="405"/>
      <c r="X174" s="405"/>
    </row>
    <row r="175" spans="2:24">
      <c r="B175" s="405"/>
      <c r="C175" s="405"/>
      <c r="D175" s="405"/>
      <c r="E175" s="405"/>
      <c r="F175" s="405"/>
      <c r="G175" s="405"/>
      <c r="H175" s="405"/>
      <c r="I175" s="405"/>
      <c r="J175" s="405"/>
      <c r="K175" s="405"/>
      <c r="L175" s="405"/>
      <c r="M175" s="405"/>
      <c r="N175" s="405"/>
      <c r="O175" s="405"/>
      <c r="P175" s="405"/>
      <c r="Q175" s="405"/>
      <c r="R175" s="405"/>
      <c r="S175" s="405"/>
      <c r="T175" s="405"/>
      <c r="U175" s="405"/>
      <c r="V175" s="405"/>
      <c r="W175" s="405"/>
      <c r="X175" s="405"/>
    </row>
    <row r="176" spans="2:24">
      <c r="B176" s="405"/>
      <c r="C176" s="405"/>
      <c r="D176" s="405"/>
      <c r="E176" s="405"/>
      <c r="F176" s="405"/>
      <c r="G176" s="405"/>
      <c r="H176" s="405"/>
      <c r="I176" s="405"/>
      <c r="J176" s="405"/>
      <c r="K176" s="405"/>
      <c r="L176" s="405"/>
      <c r="M176" s="405"/>
      <c r="N176" s="405"/>
      <c r="O176" s="405"/>
      <c r="P176" s="405"/>
      <c r="Q176" s="405"/>
      <c r="R176" s="405"/>
      <c r="S176" s="405"/>
      <c r="T176" s="405"/>
      <c r="U176" s="405"/>
      <c r="V176" s="405"/>
      <c r="W176" s="405"/>
      <c r="X176" s="405"/>
    </row>
    <row r="177" spans="2:328" ht="21">
      <c r="B177" s="646" t="s">
        <v>1932</v>
      </c>
      <c r="C177" s="647"/>
      <c r="D177" s="647"/>
      <c r="E177" s="647"/>
      <c r="F177" s="647"/>
      <c r="G177" s="647"/>
      <c r="H177" s="647"/>
      <c r="I177" s="647"/>
      <c r="J177" s="647"/>
      <c r="K177" s="647"/>
      <c r="L177" s="647"/>
      <c r="M177" s="647"/>
      <c r="N177" s="647"/>
      <c r="O177" s="647"/>
      <c r="P177" s="647"/>
      <c r="Q177" s="647"/>
      <c r="R177" s="647"/>
      <c r="S177" s="405"/>
      <c r="T177" s="405"/>
      <c r="U177" s="405"/>
      <c r="V177" s="405"/>
      <c r="W177" s="405"/>
      <c r="X177" s="405"/>
      <c r="LO177"/>
      <c r="LP177"/>
    </row>
    <row r="178" spans="2:328">
      <c r="B178" s="652" t="s">
        <v>538</v>
      </c>
      <c r="C178" s="653"/>
      <c r="D178" s="653"/>
      <c r="E178" s="653"/>
      <c r="F178" s="653"/>
      <c r="G178" s="653"/>
      <c r="H178" s="653"/>
      <c r="I178" s="653"/>
      <c r="J178" s="653"/>
      <c r="K178" s="653"/>
      <c r="L178" s="653"/>
      <c r="M178" s="653"/>
      <c r="N178" s="653"/>
      <c r="O178" s="653"/>
      <c r="P178" s="653"/>
      <c r="Q178" s="653"/>
      <c r="R178" s="653"/>
      <c r="S178" s="405"/>
      <c r="T178" s="405"/>
      <c r="U178" s="405"/>
      <c r="V178" s="405"/>
      <c r="W178" s="405"/>
      <c r="X178" s="405"/>
      <c r="LO178"/>
      <c r="LP178"/>
    </row>
    <row r="179" spans="2:328">
      <c r="B179" s="486" t="s">
        <v>2</v>
      </c>
      <c r="C179" s="649" t="s">
        <v>360</v>
      </c>
      <c r="D179" s="650"/>
      <c r="E179" s="649" t="s">
        <v>357</v>
      </c>
      <c r="F179" s="650"/>
      <c r="G179" s="649" t="s">
        <v>2074</v>
      </c>
      <c r="H179" s="650"/>
      <c r="I179" s="649" t="s">
        <v>2075</v>
      </c>
      <c r="J179" s="650"/>
      <c r="K179" s="649" t="s">
        <v>2076</v>
      </c>
      <c r="L179" s="650"/>
      <c r="M179" s="649" t="s">
        <v>2077</v>
      </c>
      <c r="N179" s="650"/>
      <c r="O179" s="649" t="s">
        <v>2078</v>
      </c>
      <c r="P179" s="650"/>
      <c r="Q179" s="649"/>
      <c r="R179" s="650"/>
      <c r="S179" s="405"/>
      <c r="T179" s="405"/>
      <c r="U179" s="405"/>
      <c r="V179" s="405"/>
      <c r="W179" s="405"/>
      <c r="X179" s="405"/>
      <c r="LO179"/>
      <c r="LP179"/>
    </row>
    <row r="180" spans="2:328" ht="60">
      <c r="B180" s="486" t="s">
        <v>2079</v>
      </c>
      <c r="C180" s="548" t="s">
        <v>2080</v>
      </c>
      <c r="D180" s="549" t="s">
        <v>2081</v>
      </c>
      <c r="E180" s="548" t="s">
        <v>2080</v>
      </c>
      <c r="F180" s="549" t="s">
        <v>2081</v>
      </c>
      <c r="G180" s="548" t="s">
        <v>2080</v>
      </c>
      <c r="H180" s="549" t="s">
        <v>2081</v>
      </c>
      <c r="I180" s="548" t="s">
        <v>2080</v>
      </c>
      <c r="J180" s="549" t="s">
        <v>2081</v>
      </c>
      <c r="K180" s="548" t="s">
        <v>2080</v>
      </c>
      <c r="L180" s="549" t="s">
        <v>2081</v>
      </c>
      <c r="M180" s="548" t="s">
        <v>2080</v>
      </c>
      <c r="N180" s="549" t="s">
        <v>2081</v>
      </c>
      <c r="O180" s="548" t="s">
        <v>2080</v>
      </c>
      <c r="P180" s="549" t="s">
        <v>2081</v>
      </c>
      <c r="Q180" s="548" t="s">
        <v>2082</v>
      </c>
      <c r="R180" s="549" t="s">
        <v>2083</v>
      </c>
      <c r="S180" s="405"/>
      <c r="T180" s="405"/>
      <c r="U180" s="405"/>
      <c r="V180" s="405"/>
      <c r="W180" s="405"/>
      <c r="X180" s="405"/>
      <c r="LO180"/>
      <c r="LP180"/>
    </row>
    <row r="181" spans="2:328">
      <c r="B181" s="486" t="s">
        <v>2084</v>
      </c>
      <c r="C181" s="550">
        <f>VLOOKUP("5/16/2020"-1,'Porta Cooler RWP'!A5:Z60,3,0)-VLOOKUP("5/16/2020"-1,'Porta Cooler RWP'!A5:Z60,2,0)</f>
        <v>2.0138888888888928E-2</v>
      </c>
      <c r="D181" s="551"/>
      <c r="E181" s="550">
        <f t="shared" ref="E181:E190" si="0">C181</f>
        <v>2.0138888888888928E-2</v>
      </c>
      <c r="F181" s="881">
        <f t="shared" ref="F181:F190" si="1">D181</f>
        <v>0</v>
      </c>
      <c r="G181" s="550">
        <f t="shared" ref="G181:G190" si="2">C181</f>
        <v>2.0138888888888928E-2</v>
      </c>
      <c r="H181" s="881">
        <f t="shared" ref="H181:H190" si="3">D181</f>
        <v>0</v>
      </c>
      <c r="I181" s="550">
        <f t="shared" ref="I181:I190" si="4">C181</f>
        <v>2.0138888888888928E-2</v>
      </c>
      <c r="J181" s="881">
        <f t="shared" ref="J181:J190" si="5">D181</f>
        <v>0</v>
      </c>
      <c r="K181" s="550">
        <f t="shared" ref="K181:K190" si="6">C181</f>
        <v>2.0138888888888928E-2</v>
      </c>
      <c r="L181" s="881">
        <f t="shared" ref="L181:L190" si="7">D181</f>
        <v>0</v>
      </c>
      <c r="M181" s="550">
        <f t="shared" ref="M181:M190" si="8">C181</f>
        <v>2.0138888888888928E-2</v>
      </c>
      <c r="N181" s="881">
        <f t="shared" ref="N181:N190" si="9">D181</f>
        <v>0</v>
      </c>
      <c r="O181" s="550">
        <f t="shared" ref="O181:O190" si="10">C181</f>
        <v>2.0138888888888928E-2</v>
      </c>
      <c r="P181" s="881">
        <f t="shared" ref="P181:P190" si="11">D181</f>
        <v>0</v>
      </c>
      <c r="Q181" s="550">
        <f t="shared" ref="Q181:Q189" si="12">(O181+M181+K181+I181+G181+E181+C181)</f>
        <v>0.1409722222222225</v>
      </c>
      <c r="R181" s="552"/>
      <c r="S181" s="405"/>
      <c r="T181" s="405"/>
      <c r="U181" s="405"/>
      <c r="V181" s="405"/>
      <c r="W181" s="405"/>
      <c r="X181" s="405"/>
      <c r="LO181"/>
      <c r="LP181"/>
    </row>
    <row r="182" spans="2:328">
      <c r="B182" s="486" t="s">
        <v>2085</v>
      </c>
      <c r="C182" s="550">
        <f>VLOOKUP("5/16/2020"-1,'Porta Cooler RWP'!A4:Z61,6,0)-VLOOKUP("5/16/2020"-1,'Porta Cooler RWP'!A6:Z61,3,0)</f>
        <v>6.9444444444444198E-4</v>
      </c>
      <c r="D182" s="551">
        <f>VLOOKUP("5/16/2020"-1,'Porta Cooler RWP'!A6:Z61,5,0)*75-VLOOKUP("5/16/2020"-1,'Porta Cooler RWP'!A6:Z61,4,0)*75</f>
        <v>75</v>
      </c>
      <c r="E182" s="550">
        <f t="shared" si="0"/>
        <v>6.9444444444444198E-4</v>
      </c>
      <c r="F182" s="881">
        <f t="shared" si="1"/>
        <v>75</v>
      </c>
      <c r="G182" s="550">
        <f t="shared" si="2"/>
        <v>6.9444444444444198E-4</v>
      </c>
      <c r="H182" s="881">
        <f t="shared" si="3"/>
        <v>75</v>
      </c>
      <c r="I182" s="550">
        <f t="shared" si="4"/>
        <v>6.9444444444444198E-4</v>
      </c>
      <c r="J182" s="881">
        <f t="shared" si="5"/>
        <v>75</v>
      </c>
      <c r="K182" s="550">
        <f t="shared" si="6"/>
        <v>6.9444444444444198E-4</v>
      </c>
      <c r="L182" s="881">
        <f t="shared" si="7"/>
        <v>75</v>
      </c>
      <c r="M182" s="550">
        <f t="shared" si="8"/>
        <v>6.9444444444444198E-4</v>
      </c>
      <c r="N182" s="881">
        <f t="shared" si="9"/>
        <v>75</v>
      </c>
      <c r="O182" s="550">
        <f t="shared" si="10"/>
        <v>6.9444444444444198E-4</v>
      </c>
      <c r="P182" s="881">
        <f t="shared" si="11"/>
        <v>75</v>
      </c>
      <c r="Q182" s="550">
        <f t="shared" si="12"/>
        <v>4.8611111111110938E-3</v>
      </c>
      <c r="R182" s="552">
        <f t="shared" ref="R182:R189" si="13">P182+N182+L182+J182+H182+F182+D182</f>
        <v>525</v>
      </c>
      <c r="S182" s="405"/>
      <c r="T182" s="405"/>
      <c r="U182" s="405"/>
      <c r="V182" s="405"/>
      <c r="W182" s="405"/>
      <c r="X182" s="405"/>
      <c r="LO182"/>
      <c r="LP182"/>
    </row>
    <row r="183" spans="2:328">
      <c r="B183" s="486" t="s">
        <v>2086</v>
      </c>
      <c r="C183" s="550">
        <f>VLOOKUP("5/16/2020"-1,'Porta Cooler RWP'!A5:Z60,9,0)-VLOOKUP("5/16/2020"-1,'Porta Cooler RWP'!A5:Z60,6,0)</f>
        <v>3.4722222222220989E-3</v>
      </c>
      <c r="D183" s="551">
        <f>VLOOKUP("5/16/2020"-1,'Porta Cooler RWP'!A5:Z60,8,0)*75-VLOOKUP("5/16/2020"-1,'Porta Cooler RWP'!A5:Z60,7,0)*75</f>
        <v>0</v>
      </c>
      <c r="E183" s="550">
        <f t="shared" si="0"/>
        <v>3.4722222222220989E-3</v>
      </c>
      <c r="F183" s="881">
        <f t="shared" si="1"/>
        <v>0</v>
      </c>
      <c r="G183" s="550">
        <f t="shared" si="2"/>
        <v>3.4722222222220989E-3</v>
      </c>
      <c r="H183" s="881">
        <f t="shared" si="3"/>
        <v>0</v>
      </c>
      <c r="I183" s="550">
        <f t="shared" si="4"/>
        <v>3.4722222222220989E-3</v>
      </c>
      <c r="J183" s="881">
        <f t="shared" si="5"/>
        <v>0</v>
      </c>
      <c r="K183" s="550">
        <f t="shared" si="6"/>
        <v>3.4722222222220989E-3</v>
      </c>
      <c r="L183" s="881">
        <f t="shared" si="7"/>
        <v>0</v>
      </c>
      <c r="M183" s="550">
        <f t="shared" si="8"/>
        <v>3.4722222222220989E-3</v>
      </c>
      <c r="N183" s="881">
        <f t="shared" si="9"/>
        <v>0</v>
      </c>
      <c r="O183" s="550">
        <f t="shared" si="10"/>
        <v>3.4722222222220989E-3</v>
      </c>
      <c r="P183" s="881">
        <f t="shared" si="11"/>
        <v>0</v>
      </c>
      <c r="Q183" s="550">
        <f t="shared" si="12"/>
        <v>2.4305555555554692E-2</v>
      </c>
      <c r="R183" s="552">
        <f t="shared" si="13"/>
        <v>0</v>
      </c>
      <c r="S183" s="405"/>
      <c r="T183" s="405"/>
      <c r="U183" s="405"/>
      <c r="V183" s="405"/>
      <c r="W183" s="405"/>
      <c r="X183" s="405"/>
      <c r="LO183"/>
      <c r="LP183"/>
    </row>
    <row r="184" spans="2:328">
      <c r="B184" s="486" t="s">
        <v>1925</v>
      </c>
      <c r="C184" s="550">
        <f>VLOOKUP("5/16/2020"-1,'Porta Cooler RWP'!A5:Z60,12,0)-VLOOKUP("5/16/2020"-1,'Porta Cooler RWP'!A5:Z60,9,0)</f>
        <v>1.388888888888995E-3</v>
      </c>
      <c r="D184" s="551">
        <f>VLOOKUP("5/16/2020"-1,'Porta Cooler RWP'!A5:Z60,11,0)*75-VLOOKUP("5/16/2020"-1,'Porta Cooler RWP'!A5:Z60,10,0)*75</f>
        <v>30</v>
      </c>
      <c r="E184" s="550">
        <f t="shared" si="0"/>
        <v>1.388888888888995E-3</v>
      </c>
      <c r="F184" s="881">
        <f t="shared" si="1"/>
        <v>30</v>
      </c>
      <c r="G184" s="550">
        <f t="shared" si="2"/>
        <v>1.388888888888995E-3</v>
      </c>
      <c r="H184" s="881">
        <f t="shared" si="3"/>
        <v>30</v>
      </c>
      <c r="I184" s="550">
        <f t="shared" si="4"/>
        <v>1.388888888888995E-3</v>
      </c>
      <c r="J184" s="881">
        <f t="shared" si="5"/>
        <v>30</v>
      </c>
      <c r="K184" s="550">
        <f t="shared" si="6"/>
        <v>1.388888888888995E-3</v>
      </c>
      <c r="L184" s="881">
        <f t="shared" si="7"/>
        <v>30</v>
      </c>
      <c r="M184" s="550">
        <f t="shared" si="8"/>
        <v>1.388888888888995E-3</v>
      </c>
      <c r="N184" s="881">
        <f t="shared" si="9"/>
        <v>30</v>
      </c>
      <c r="O184" s="550">
        <f t="shared" si="10"/>
        <v>1.388888888888995E-3</v>
      </c>
      <c r="P184" s="881">
        <f t="shared" si="11"/>
        <v>30</v>
      </c>
      <c r="Q184" s="550">
        <f t="shared" si="12"/>
        <v>9.7222222222229648E-3</v>
      </c>
      <c r="R184" s="552">
        <f t="shared" si="13"/>
        <v>210</v>
      </c>
      <c r="S184" s="405"/>
      <c r="T184" s="405"/>
      <c r="U184" s="405"/>
      <c r="V184" s="405"/>
      <c r="W184" s="405"/>
      <c r="X184" s="405"/>
      <c r="LO184"/>
      <c r="LP184"/>
    </row>
    <row r="185" spans="2:328">
      <c r="B185" s="486" t="s">
        <v>1926</v>
      </c>
      <c r="C185" s="550">
        <f>VLOOKUP("5/16/2020"-1,'Porta Cooler RWP'!A5:Z60,15,0)-VLOOKUP("5/16/2020"-1,'Porta Cooler RWP'!A5:Z60,12,0)</f>
        <v>2.0833333333333259E-3</v>
      </c>
      <c r="D185" s="551">
        <f>VLOOKUP("5/16/2020"-1,'Porta Cooler RWP'!A5:Z60,14,0)*75-VLOOKUP("5/16/2020"-1,'Porta Cooler RWP'!A5:Z60,13,0)*75</f>
        <v>30</v>
      </c>
      <c r="E185" s="550">
        <f t="shared" si="0"/>
        <v>2.0833333333333259E-3</v>
      </c>
      <c r="F185" s="881">
        <f t="shared" si="1"/>
        <v>30</v>
      </c>
      <c r="G185" s="550">
        <f t="shared" si="2"/>
        <v>2.0833333333333259E-3</v>
      </c>
      <c r="H185" s="881">
        <f t="shared" si="3"/>
        <v>30</v>
      </c>
      <c r="I185" s="550">
        <f t="shared" si="4"/>
        <v>2.0833333333333259E-3</v>
      </c>
      <c r="J185" s="881">
        <f t="shared" si="5"/>
        <v>30</v>
      </c>
      <c r="K185" s="550">
        <f t="shared" si="6"/>
        <v>2.0833333333333259E-3</v>
      </c>
      <c r="L185" s="881">
        <f t="shared" si="7"/>
        <v>30</v>
      </c>
      <c r="M185" s="550">
        <f t="shared" si="8"/>
        <v>2.0833333333333259E-3</v>
      </c>
      <c r="N185" s="881">
        <f t="shared" si="9"/>
        <v>30</v>
      </c>
      <c r="O185" s="550">
        <f t="shared" si="10"/>
        <v>2.0833333333333259E-3</v>
      </c>
      <c r="P185" s="881">
        <f t="shared" si="11"/>
        <v>30</v>
      </c>
      <c r="Q185" s="550">
        <f t="shared" si="12"/>
        <v>1.4583333333333282E-2</v>
      </c>
      <c r="R185" s="552">
        <f t="shared" si="13"/>
        <v>210</v>
      </c>
      <c r="S185" s="405"/>
      <c r="T185" s="405"/>
      <c r="U185" s="405"/>
      <c r="V185" s="405"/>
      <c r="W185" s="405"/>
      <c r="X185" s="405"/>
      <c r="LO185"/>
      <c r="LP185"/>
    </row>
    <row r="186" spans="2:328">
      <c r="B186" s="486" t="s">
        <v>1927</v>
      </c>
      <c r="C186" s="550">
        <f>VLOOKUP("5/16/2020"-1,'Porta Cooler RWP'!A5:Z60,18,0)-VLOOKUP("5/16/2020"-1,'Porta Cooler RWP'!A5:Z60,15,0)</f>
        <v>1.388888888888884E-3</v>
      </c>
      <c r="D186" s="551">
        <f>VLOOKUP("5/16/2020"-1,'Porta Cooler RWP'!A5:Z60,17,0)*75-VLOOKUP("5/16/2020"-1,'Porta Cooler RWP'!A5:Z60,16,0)*75</f>
        <v>22.5</v>
      </c>
      <c r="E186" s="550">
        <f t="shared" si="0"/>
        <v>1.388888888888884E-3</v>
      </c>
      <c r="F186" s="881">
        <f t="shared" si="1"/>
        <v>22.5</v>
      </c>
      <c r="G186" s="550">
        <f t="shared" si="2"/>
        <v>1.388888888888884E-3</v>
      </c>
      <c r="H186" s="881">
        <f t="shared" si="3"/>
        <v>22.5</v>
      </c>
      <c r="I186" s="550">
        <f t="shared" si="4"/>
        <v>1.388888888888884E-3</v>
      </c>
      <c r="J186" s="881">
        <f t="shared" si="5"/>
        <v>22.5</v>
      </c>
      <c r="K186" s="550">
        <f t="shared" si="6"/>
        <v>1.388888888888884E-3</v>
      </c>
      <c r="L186" s="881">
        <f t="shared" si="7"/>
        <v>22.5</v>
      </c>
      <c r="M186" s="550">
        <f t="shared" si="8"/>
        <v>1.388888888888884E-3</v>
      </c>
      <c r="N186" s="881">
        <f t="shared" si="9"/>
        <v>22.5</v>
      </c>
      <c r="O186" s="550">
        <f t="shared" si="10"/>
        <v>1.388888888888884E-3</v>
      </c>
      <c r="P186" s="881">
        <f t="shared" si="11"/>
        <v>22.5</v>
      </c>
      <c r="Q186" s="550">
        <f t="shared" si="12"/>
        <v>9.7222222222221877E-3</v>
      </c>
      <c r="R186" s="552">
        <f t="shared" si="13"/>
        <v>157.5</v>
      </c>
      <c r="S186" s="405"/>
      <c r="T186" s="405"/>
      <c r="U186" s="405"/>
      <c r="V186" s="405"/>
      <c r="W186" s="405"/>
      <c r="X186" s="405"/>
      <c r="LO186"/>
      <c r="LP186"/>
    </row>
    <row r="187" spans="2:328">
      <c r="B187" s="486" t="s">
        <v>1928</v>
      </c>
      <c r="C187" s="550">
        <f>VLOOKUP("5/16/2020"-1,'Porta Cooler RWP'!A5:Z60,21,0)-VLOOKUP("5/16/2020"-1,'Porta Cooler RWP'!A5:Z60,18,0)</f>
        <v>2.0833333333333259E-3</v>
      </c>
      <c r="D187" s="551">
        <f>VLOOKUP("5/16/2020"-1,'Porta Cooler RWP'!A5:Z60,20,0)*75-VLOOKUP("5/16/2020"-1,'Porta Cooler RWP'!A5:Z60,19,0)*75</f>
        <v>22.5</v>
      </c>
      <c r="E187" s="550">
        <f t="shared" si="0"/>
        <v>2.0833333333333259E-3</v>
      </c>
      <c r="F187" s="881">
        <f t="shared" si="1"/>
        <v>22.5</v>
      </c>
      <c r="G187" s="550">
        <f t="shared" si="2"/>
        <v>2.0833333333333259E-3</v>
      </c>
      <c r="H187" s="881">
        <f t="shared" si="3"/>
        <v>22.5</v>
      </c>
      <c r="I187" s="550">
        <f t="shared" si="4"/>
        <v>2.0833333333333259E-3</v>
      </c>
      <c r="J187" s="881">
        <f t="shared" si="5"/>
        <v>22.5</v>
      </c>
      <c r="K187" s="550">
        <f t="shared" si="6"/>
        <v>2.0833333333333259E-3</v>
      </c>
      <c r="L187" s="881">
        <f t="shared" si="7"/>
        <v>22.5</v>
      </c>
      <c r="M187" s="550">
        <f t="shared" si="8"/>
        <v>2.0833333333333259E-3</v>
      </c>
      <c r="N187" s="881">
        <f t="shared" si="9"/>
        <v>22.5</v>
      </c>
      <c r="O187" s="550">
        <f t="shared" si="10"/>
        <v>2.0833333333333259E-3</v>
      </c>
      <c r="P187" s="881">
        <f t="shared" si="11"/>
        <v>22.5</v>
      </c>
      <c r="Q187" s="550">
        <f t="shared" si="12"/>
        <v>1.4583333333333282E-2</v>
      </c>
      <c r="R187" s="552">
        <f t="shared" si="13"/>
        <v>157.5</v>
      </c>
      <c r="S187" s="405"/>
      <c r="T187" s="405"/>
      <c r="U187" s="405"/>
      <c r="V187" s="405"/>
      <c r="W187" s="405"/>
      <c r="X187" s="405"/>
      <c r="LO187"/>
      <c r="LP187"/>
    </row>
    <row r="188" spans="2:328">
      <c r="B188" s="486" t="s">
        <v>1929</v>
      </c>
      <c r="C188" s="550">
        <f>VLOOKUP("5/16/2020"-1,'Porta Cooler RWP'!A5:Z60,24,0)-VLOOKUP("5/16/2020"-1,'Porta Cooler RWP'!A5:Z60,21,0)</f>
        <v>1.388888888888995E-3</v>
      </c>
      <c r="D188" s="551">
        <f>VLOOKUP("5/16/2020"-1,'Porta Cooler RWP'!A5:Z60,23,0)*75-VLOOKUP("5/16/2020"-1,'Porta Cooler RWP'!A5:Z60,22,0)*75</f>
        <v>75</v>
      </c>
      <c r="E188" s="550">
        <f t="shared" si="0"/>
        <v>1.388888888888995E-3</v>
      </c>
      <c r="F188" s="881">
        <f t="shared" si="1"/>
        <v>75</v>
      </c>
      <c r="G188" s="550">
        <f t="shared" si="2"/>
        <v>1.388888888888995E-3</v>
      </c>
      <c r="H188" s="881">
        <f t="shared" si="3"/>
        <v>75</v>
      </c>
      <c r="I188" s="550">
        <f t="shared" si="4"/>
        <v>1.388888888888995E-3</v>
      </c>
      <c r="J188" s="881">
        <f t="shared" si="5"/>
        <v>75</v>
      </c>
      <c r="K188" s="550">
        <f t="shared" si="6"/>
        <v>1.388888888888995E-3</v>
      </c>
      <c r="L188" s="881">
        <f t="shared" si="7"/>
        <v>75</v>
      </c>
      <c r="M188" s="550">
        <f t="shared" si="8"/>
        <v>1.388888888888995E-3</v>
      </c>
      <c r="N188" s="881">
        <f t="shared" si="9"/>
        <v>75</v>
      </c>
      <c r="O188" s="550">
        <f t="shared" si="10"/>
        <v>1.388888888888995E-3</v>
      </c>
      <c r="P188" s="881">
        <f t="shared" si="11"/>
        <v>75</v>
      </c>
      <c r="Q188" s="550">
        <f t="shared" si="12"/>
        <v>9.7222222222229648E-3</v>
      </c>
      <c r="R188" s="552">
        <f t="shared" si="13"/>
        <v>525</v>
      </c>
      <c r="S188" s="405"/>
      <c r="T188" s="405"/>
      <c r="U188" s="405"/>
      <c r="V188" s="405"/>
      <c r="W188" s="405"/>
      <c r="X188" s="405"/>
      <c r="LO188"/>
      <c r="LP188"/>
    </row>
    <row r="189" spans="2:328">
      <c r="B189" s="486" t="s">
        <v>2087</v>
      </c>
      <c r="C189" s="550">
        <f>VLOOKUP("5/16/2020"-1,'Porta Cooler RWP'!A5:AA20,27,0)-VLOOKUP("5/16/2020"-1,'Porta Cooler RWP'!A5:AA20,24,0)</f>
        <v>2.4305555555555469E-2</v>
      </c>
      <c r="D189" s="551">
        <f>VLOOKUP("5/16/2020"-1,'Porta Cooler RWP'!A5:AA60,26,0)*75-VLOOKUP("5/16/2020"-1,'Porta Cooler RWP'!A5:AA60,25,0)*75</f>
        <v>0</v>
      </c>
      <c r="E189" s="550">
        <f t="shared" si="0"/>
        <v>2.4305555555555469E-2</v>
      </c>
      <c r="F189" s="881">
        <f t="shared" si="1"/>
        <v>0</v>
      </c>
      <c r="G189" s="550">
        <f t="shared" si="2"/>
        <v>2.4305555555555469E-2</v>
      </c>
      <c r="H189" s="881">
        <f t="shared" si="3"/>
        <v>0</v>
      </c>
      <c r="I189" s="550">
        <f t="shared" si="4"/>
        <v>2.4305555555555469E-2</v>
      </c>
      <c r="J189" s="881">
        <f t="shared" si="5"/>
        <v>0</v>
      </c>
      <c r="K189" s="550">
        <f t="shared" si="6"/>
        <v>2.4305555555555469E-2</v>
      </c>
      <c r="L189" s="881">
        <f t="shared" si="7"/>
        <v>0</v>
      </c>
      <c r="M189" s="550">
        <f t="shared" si="8"/>
        <v>2.4305555555555469E-2</v>
      </c>
      <c r="N189" s="881">
        <f t="shared" si="9"/>
        <v>0</v>
      </c>
      <c r="O189" s="550">
        <f t="shared" si="10"/>
        <v>2.4305555555555469E-2</v>
      </c>
      <c r="P189" s="881">
        <f t="shared" si="11"/>
        <v>0</v>
      </c>
      <c r="Q189" s="550">
        <f t="shared" si="12"/>
        <v>0.17013888888888828</v>
      </c>
      <c r="R189" s="552">
        <f t="shared" si="13"/>
        <v>0</v>
      </c>
      <c r="S189" s="405"/>
      <c r="T189" s="405"/>
      <c r="U189" s="405"/>
      <c r="V189" s="405"/>
      <c r="W189" s="405"/>
      <c r="X189" s="405"/>
      <c r="LO189"/>
      <c r="LP189"/>
    </row>
    <row r="190" spans="2:328">
      <c r="B190" s="486" t="s">
        <v>2088</v>
      </c>
      <c r="C190" s="559">
        <f>SUM(C181:C188)</f>
        <v>3.2638888888888995E-2</v>
      </c>
      <c r="D190" s="560">
        <f>D189+D188+D187+D186+D185+D184+D183+D181</f>
        <v>180</v>
      </c>
      <c r="E190" s="559">
        <f t="shared" si="0"/>
        <v>3.2638888888888995E-2</v>
      </c>
      <c r="F190" s="882">
        <f t="shared" si="1"/>
        <v>180</v>
      </c>
      <c r="G190" s="559">
        <f t="shared" si="2"/>
        <v>3.2638888888888995E-2</v>
      </c>
      <c r="H190" s="882">
        <f t="shared" si="3"/>
        <v>180</v>
      </c>
      <c r="I190" s="559">
        <f t="shared" si="4"/>
        <v>3.2638888888888995E-2</v>
      </c>
      <c r="J190" s="882">
        <f t="shared" si="5"/>
        <v>180</v>
      </c>
      <c r="K190" s="559">
        <f t="shared" si="6"/>
        <v>3.2638888888888995E-2</v>
      </c>
      <c r="L190" s="882">
        <f t="shared" si="7"/>
        <v>180</v>
      </c>
      <c r="M190" s="559">
        <f t="shared" si="8"/>
        <v>3.2638888888888995E-2</v>
      </c>
      <c r="N190" s="882">
        <f t="shared" si="9"/>
        <v>180</v>
      </c>
      <c r="O190" s="559">
        <f t="shared" si="10"/>
        <v>3.2638888888888995E-2</v>
      </c>
      <c r="P190" s="882">
        <f t="shared" si="11"/>
        <v>180</v>
      </c>
      <c r="Q190" s="550">
        <f t="shared" ref="Q190:R190" si="14">Q189+Q188+Q187+Q186+Q185+Q184+Q183+Q181</f>
        <v>0.39375000000000016</v>
      </c>
      <c r="R190" s="551">
        <f t="shared" si="14"/>
        <v>1260</v>
      </c>
      <c r="S190" s="405"/>
      <c r="T190" s="405"/>
      <c r="U190" s="405"/>
      <c r="V190" s="405"/>
      <c r="W190" s="405"/>
      <c r="X190" s="405"/>
      <c r="LO190"/>
      <c r="LP190"/>
    </row>
    <row r="191" spans="2:328">
      <c r="B191" s="486"/>
      <c r="C191" s="552"/>
      <c r="D191" s="551"/>
      <c r="E191" s="552"/>
      <c r="F191" s="551"/>
      <c r="G191" s="552"/>
      <c r="H191" s="551"/>
      <c r="I191" s="552"/>
      <c r="J191" s="551"/>
      <c r="K191" s="552"/>
      <c r="L191" s="551"/>
      <c r="M191" s="552"/>
      <c r="N191" s="551"/>
      <c r="O191" s="552"/>
      <c r="P191" s="551"/>
      <c r="Q191" s="552"/>
      <c r="R191" s="551"/>
      <c r="S191" s="405"/>
      <c r="T191" s="405"/>
      <c r="U191" s="405"/>
      <c r="V191" s="405"/>
      <c r="W191" s="405"/>
      <c r="X191" s="405"/>
      <c r="LO191"/>
      <c r="LP191"/>
    </row>
    <row r="192" spans="2:328">
      <c r="B192" s="486" t="s">
        <v>2092</v>
      </c>
      <c r="C192" s="552"/>
      <c r="D192" s="551"/>
      <c r="E192" s="552"/>
      <c r="F192" s="551"/>
      <c r="G192" s="552"/>
      <c r="H192" s="551"/>
      <c r="I192" s="552"/>
      <c r="J192" s="551"/>
      <c r="K192" s="552"/>
      <c r="L192" s="551"/>
      <c r="M192" s="552"/>
      <c r="N192" s="551"/>
      <c r="O192" s="552"/>
      <c r="P192" s="551"/>
      <c r="Q192" s="552"/>
      <c r="R192" s="551"/>
      <c r="S192" s="405"/>
      <c r="T192" s="405"/>
      <c r="U192" s="405"/>
      <c r="V192" s="405"/>
      <c r="W192" s="405"/>
      <c r="X192" s="405"/>
      <c r="LO192"/>
      <c r="LP192"/>
    </row>
    <row r="193" spans="2:328">
      <c r="B193" s="486" t="s">
        <v>2089</v>
      </c>
      <c r="C193" s="559">
        <f>AVERAGE(C190,E190,G190,I190,K190,M190,O190)</f>
        <v>3.2638888888888995E-2</v>
      </c>
      <c r="D193" s="551"/>
      <c r="E193" s="552"/>
      <c r="F193" s="551"/>
      <c r="G193" s="552"/>
      <c r="H193" s="551"/>
      <c r="I193" s="552"/>
      <c r="J193" s="551"/>
      <c r="K193" s="552"/>
      <c r="L193" s="551"/>
      <c r="M193" s="552"/>
      <c r="N193" s="551"/>
      <c r="O193" s="552"/>
      <c r="P193" s="551"/>
      <c r="Q193" s="552"/>
      <c r="R193" s="551"/>
      <c r="S193" s="405"/>
      <c r="T193" s="405"/>
      <c r="U193" s="405"/>
      <c r="V193" s="405"/>
      <c r="W193" s="405"/>
      <c r="X193" s="405"/>
      <c r="LO193"/>
      <c r="LP193"/>
    </row>
    <row r="194" spans="2:328">
      <c r="B194" s="486" t="s">
        <v>2090</v>
      </c>
      <c r="C194" s="561">
        <f>AVERAGE(D190,F190,H190,J190,L190,N190,P190)</f>
        <v>180</v>
      </c>
      <c r="D194" s="551"/>
      <c r="E194" s="552"/>
      <c r="F194" s="551"/>
      <c r="G194" s="552"/>
      <c r="H194" s="551"/>
      <c r="I194" s="552"/>
      <c r="J194" s="551"/>
      <c r="K194" s="552"/>
      <c r="L194" s="551"/>
      <c r="M194" s="552"/>
      <c r="N194" s="551"/>
      <c r="O194" s="552"/>
      <c r="P194" s="551"/>
      <c r="Q194" s="552"/>
      <c r="R194" s="551"/>
      <c r="S194" s="405"/>
      <c r="T194" s="405"/>
      <c r="U194" s="405"/>
      <c r="V194" s="405"/>
      <c r="W194" s="405"/>
      <c r="X194" s="405"/>
      <c r="LO194"/>
      <c r="LP194"/>
    </row>
    <row r="195" spans="2:328">
      <c r="B195" s="486"/>
      <c r="C195" s="552"/>
      <c r="D195" s="551"/>
      <c r="E195" s="552"/>
      <c r="F195" s="551"/>
      <c r="G195" s="552"/>
      <c r="H195" s="551"/>
      <c r="I195" s="552"/>
      <c r="J195" s="551"/>
      <c r="K195" s="552"/>
      <c r="L195" s="551"/>
      <c r="M195" s="552"/>
      <c r="N195" s="551"/>
      <c r="O195" s="552"/>
      <c r="P195" s="551"/>
      <c r="Q195" s="552"/>
      <c r="R195" s="551"/>
      <c r="S195" s="405"/>
      <c r="T195" s="405"/>
      <c r="U195" s="405"/>
      <c r="V195" s="405"/>
      <c r="W195" s="405"/>
      <c r="X195" s="405"/>
      <c r="LO195"/>
      <c r="LP195"/>
    </row>
    <row r="196" spans="2:328">
      <c r="B196" s="486" t="s">
        <v>2091</v>
      </c>
      <c r="C196" s="552"/>
      <c r="D196" s="551"/>
      <c r="E196" s="552"/>
      <c r="F196" s="551"/>
      <c r="G196" s="552"/>
      <c r="H196" s="551"/>
      <c r="I196" s="552"/>
      <c r="J196" s="551"/>
      <c r="K196" s="552"/>
      <c r="L196" s="551"/>
      <c r="M196" s="552"/>
      <c r="N196" s="551"/>
      <c r="O196" s="552"/>
      <c r="P196" s="551"/>
      <c r="Q196" s="552"/>
      <c r="R196" s="551"/>
      <c r="S196" s="405"/>
      <c r="T196" s="405"/>
      <c r="U196" s="405"/>
      <c r="V196" s="405"/>
      <c r="W196" s="405"/>
      <c r="X196" s="405"/>
      <c r="LO196"/>
      <c r="LP196"/>
    </row>
    <row r="197" spans="2:328">
      <c r="B197" s="486" t="s">
        <v>2089</v>
      </c>
      <c r="C197" s="550">
        <f>Q190</f>
        <v>0.39375000000000016</v>
      </c>
      <c r="D197" s="551"/>
      <c r="E197" s="552"/>
      <c r="F197" s="551"/>
      <c r="G197" s="552"/>
      <c r="H197" s="551"/>
      <c r="I197" s="552"/>
      <c r="J197" s="551"/>
      <c r="K197" s="552"/>
      <c r="L197" s="551"/>
      <c r="M197" s="552"/>
      <c r="N197" s="551"/>
      <c r="O197" s="552"/>
      <c r="P197" s="551"/>
      <c r="Q197" s="552"/>
      <c r="R197" s="551"/>
      <c r="S197" s="405"/>
      <c r="T197" s="405"/>
      <c r="U197" s="405"/>
      <c r="V197" s="405"/>
      <c r="W197" s="405"/>
      <c r="X197" s="405"/>
      <c r="LO197"/>
      <c r="LP197"/>
    </row>
    <row r="198" spans="2:328">
      <c r="B198" s="486" t="s">
        <v>2090</v>
      </c>
      <c r="C198" s="552">
        <f>R190</f>
        <v>1260</v>
      </c>
      <c r="D198" s="551"/>
      <c r="E198" s="552"/>
      <c r="F198" s="551"/>
      <c r="G198" s="552"/>
      <c r="H198" s="551"/>
      <c r="I198" s="552"/>
      <c r="J198" s="551"/>
      <c r="K198" s="552"/>
      <c r="L198" s="551"/>
      <c r="M198" s="552"/>
      <c r="N198" s="551"/>
      <c r="O198" s="552"/>
      <c r="P198" s="551"/>
      <c r="Q198" s="552"/>
      <c r="R198" s="551"/>
      <c r="S198" s="405"/>
      <c r="T198" s="405"/>
      <c r="U198" s="405"/>
      <c r="V198" s="405"/>
      <c r="W198" s="405"/>
      <c r="X198" s="405"/>
      <c r="LO198"/>
      <c r="LP198"/>
    </row>
    <row r="199" spans="2:328">
      <c r="B199" s="486" t="s">
        <v>2120</v>
      </c>
      <c r="C199" s="552"/>
      <c r="D199" s="551"/>
      <c r="E199" s="552"/>
      <c r="F199" s="551"/>
      <c r="G199" s="552"/>
      <c r="H199" s="551"/>
      <c r="I199" s="552"/>
      <c r="J199" s="551"/>
      <c r="K199" s="552"/>
      <c r="L199" s="551"/>
      <c r="M199" s="552"/>
      <c r="N199" s="551"/>
      <c r="O199" s="552"/>
      <c r="P199" s="551"/>
      <c r="Q199" s="552"/>
      <c r="R199" s="551"/>
      <c r="S199" s="405"/>
      <c r="T199" s="405"/>
      <c r="U199" s="405"/>
      <c r="V199" s="405"/>
      <c r="W199" s="405"/>
      <c r="X199" s="405"/>
      <c r="LO199"/>
      <c r="LP199"/>
    </row>
    <row r="200" spans="2:328">
      <c r="B200" s="486"/>
      <c r="C200" s="552"/>
      <c r="D200" s="551"/>
      <c r="E200" s="552"/>
      <c r="F200" s="551"/>
      <c r="G200" s="552"/>
      <c r="H200" s="551"/>
      <c r="I200" s="552"/>
      <c r="J200" s="551"/>
      <c r="K200" s="552"/>
      <c r="L200" s="551"/>
      <c r="M200" s="552"/>
      <c r="N200" s="551"/>
      <c r="O200" s="552"/>
      <c r="P200" s="551"/>
      <c r="Q200" s="552"/>
      <c r="R200" s="551"/>
      <c r="S200" s="405"/>
      <c r="T200" s="405"/>
      <c r="U200" s="405"/>
      <c r="V200" s="405"/>
      <c r="W200" s="405"/>
      <c r="X200" s="405"/>
      <c r="LO200"/>
      <c r="LP200"/>
    </row>
    <row r="201" spans="2:328">
      <c r="B201" s="486" t="s">
        <v>2113</v>
      </c>
      <c r="C201" s="552"/>
      <c r="D201" s="551"/>
      <c r="E201" s="552"/>
      <c r="F201" s="551"/>
      <c r="G201" s="552"/>
      <c r="H201" s="551"/>
      <c r="I201" s="552"/>
      <c r="J201" s="551"/>
      <c r="K201" s="552"/>
      <c r="L201" s="551"/>
      <c r="M201" s="552"/>
      <c r="N201" s="551"/>
      <c r="O201" s="552"/>
      <c r="P201" s="551"/>
      <c r="Q201" s="552"/>
      <c r="R201" s="551"/>
      <c r="S201" s="405"/>
      <c r="T201" s="405"/>
      <c r="U201" s="405"/>
      <c r="V201" s="405"/>
      <c r="W201" s="405"/>
      <c r="X201" s="405"/>
      <c r="LO201"/>
      <c r="LP201"/>
    </row>
    <row r="202" spans="2:328">
      <c r="B202" s="486" t="s">
        <v>2110</v>
      </c>
      <c r="C202" s="552">
        <f>MIN(D182,75)/2</f>
        <v>37.5</v>
      </c>
      <c r="D202" s="551">
        <f>D182</f>
        <v>75</v>
      </c>
      <c r="E202" s="552">
        <f>MIN(D183,75)/2</f>
        <v>0</v>
      </c>
      <c r="F202" s="551">
        <f>D183</f>
        <v>0</v>
      </c>
      <c r="G202" s="552">
        <f>MIN(D184,75)/2</f>
        <v>15</v>
      </c>
      <c r="H202" s="551">
        <f>D184</f>
        <v>30</v>
      </c>
      <c r="I202" s="552">
        <f>MIN(D185,75)/2</f>
        <v>15</v>
      </c>
      <c r="J202" s="551">
        <f>D185</f>
        <v>30</v>
      </c>
      <c r="K202" s="552">
        <f>MIN(D186,75)/2</f>
        <v>11.25</v>
      </c>
      <c r="L202" s="551">
        <f>D186</f>
        <v>22.5</v>
      </c>
      <c r="M202" s="552">
        <f>MIN(D187,75)/2</f>
        <v>11.25</v>
      </c>
      <c r="N202" s="551">
        <f>D187</f>
        <v>22.5</v>
      </c>
      <c r="O202" s="552">
        <f>MIN(D188,75)/2</f>
        <v>37.5</v>
      </c>
      <c r="P202" s="551">
        <f>D188</f>
        <v>75</v>
      </c>
      <c r="Q202" s="552">
        <f>MIN(D189,75)/2</f>
        <v>0</v>
      </c>
      <c r="R202" s="551">
        <f>D189</f>
        <v>0</v>
      </c>
      <c r="S202" s="405"/>
      <c r="T202" s="405"/>
      <c r="U202" s="405"/>
      <c r="V202" s="405"/>
      <c r="W202" s="405"/>
      <c r="X202" s="405"/>
      <c r="LO202"/>
      <c r="LP202"/>
    </row>
    <row r="203" spans="2:328">
      <c r="B203" s="486" t="s">
        <v>2111</v>
      </c>
      <c r="C203" s="552">
        <f>C204-C202</f>
        <v>0</v>
      </c>
      <c r="D203" s="551"/>
      <c r="E203" s="552">
        <f>E204-E202</f>
        <v>37.5</v>
      </c>
      <c r="F203" s="551"/>
      <c r="G203" s="552">
        <f>G204-G202</f>
        <v>22.5</v>
      </c>
      <c r="H203" s="551"/>
      <c r="I203" s="552">
        <f>I204-I202</f>
        <v>22.5</v>
      </c>
      <c r="J203" s="551"/>
      <c r="K203" s="552">
        <f>K204-K202</f>
        <v>26.25</v>
      </c>
      <c r="L203" s="551"/>
      <c r="M203" s="552">
        <f>M204-M202</f>
        <v>26.25</v>
      </c>
      <c r="N203" s="551"/>
      <c r="O203" s="552">
        <f>O204-O202</f>
        <v>0</v>
      </c>
      <c r="P203" s="551"/>
      <c r="Q203" s="552">
        <f>Q204-Q202</f>
        <v>37.5</v>
      </c>
      <c r="R203" s="551"/>
      <c r="S203" s="405"/>
      <c r="T203" s="405"/>
      <c r="U203" s="405"/>
      <c r="V203" s="405"/>
      <c r="W203" s="405"/>
      <c r="X203" s="405"/>
      <c r="LO203"/>
      <c r="LP203"/>
    </row>
    <row r="204" spans="2:328">
      <c r="B204" s="486" t="s">
        <v>2112</v>
      </c>
      <c r="C204" s="552">
        <v>37.5</v>
      </c>
      <c r="D204" s="551"/>
      <c r="E204" s="552">
        <v>37.5</v>
      </c>
      <c r="F204" s="551"/>
      <c r="G204" s="552">
        <v>37.5</v>
      </c>
      <c r="H204" s="551"/>
      <c r="I204" s="552">
        <v>37.5</v>
      </c>
      <c r="J204" s="551"/>
      <c r="K204" s="552">
        <v>37.5</v>
      </c>
      <c r="L204" s="551"/>
      <c r="M204" s="552">
        <v>37.5</v>
      </c>
      <c r="N204" s="551"/>
      <c r="O204" s="552">
        <v>37.5</v>
      </c>
      <c r="P204" s="551"/>
      <c r="Q204" s="552">
        <v>37.5</v>
      </c>
      <c r="R204" s="551"/>
      <c r="S204" s="405"/>
      <c r="T204" s="405"/>
      <c r="U204" s="405"/>
      <c r="V204" s="405"/>
      <c r="W204" s="405"/>
      <c r="X204" s="405"/>
      <c r="LO204"/>
      <c r="LP204"/>
    </row>
    <row r="205" spans="2:328">
      <c r="B205" s="486"/>
      <c r="C205" s="552"/>
      <c r="D205" s="551"/>
      <c r="E205" s="552"/>
      <c r="F205" s="551"/>
      <c r="G205" s="552"/>
      <c r="H205" s="551"/>
      <c r="I205" s="552"/>
      <c r="J205" s="551"/>
      <c r="K205" s="552"/>
      <c r="L205" s="551"/>
      <c r="M205" s="552"/>
      <c r="N205" s="551"/>
      <c r="O205" s="552"/>
      <c r="P205" s="551"/>
      <c r="Q205" s="552"/>
      <c r="R205" s="551"/>
      <c r="S205" s="405"/>
      <c r="T205" s="405"/>
      <c r="U205" s="405"/>
      <c r="V205" s="405"/>
      <c r="W205" s="405"/>
      <c r="X205" s="405"/>
      <c r="LO205"/>
      <c r="LP205"/>
    </row>
    <row r="206" spans="2:328">
      <c r="B206" s="486"/>
      <c r="C206" s="552"/>
      <c r="D206" s="551"/>
      <c r="E206" s="552"/>
      <c r="F206" s="551"/>
      <c r="G206" s="552"/>
      <c r="H206" s="551"/>
      <c r="I206" s="552"/>
      <c r="J206" s="551"/>
      <c r="K206" s="552"/>
      <c r="L206" s="551"/>
      <c r="M206" s="552"/>
      <c r="N206" s="551"/>
      <c r="O206" s="552"/>
      <c r="P206" s="551"/>
      <c r="Q206" s="552"/>
      <c r="R206" s="551"/>
      <c r="S206" s="405"/>
      <c r="T206" s="405"/>
      <c r="U206" s="405"/>
      <c r="V206" s="405"/>
      <c r="W206" s="405"/>
      <c r="X206" s="405"/>
      <c r="LO206"/>
      <c r="LP206"/>
    </row>
    <row r="207" spans="2:328">
      <c r="B207" s="562" t="s">
        <v>2114</v>
      </c>
      <c r="C207" s="552"/>
      <c r="D207" s="551"/>
      <c r="E207" s="552"/>
      <c r="F207" s="551"/>
      <c r="G207" s="552"/>
      <c r="H207" s="551"/>
      <c r="I207" s="552"/>
      <c r="J207" s="551"/>
      <c r="K207" s="552"/>
      <c r="L207" s="551"/>
      <c r="M207" s="552"/>
      <c r="N207" s="551"/>
      <c r="O207" s="552"/>
      <c r="P207" s="551"/>
      <c r="Q207" s="552"/>
      <c r="R207" s="551"/>
      <c r="S207" s="405"/>
      <c r="T207" s="405"/>
      <c r="U207" s="405"/>
      <c r="V207" s="405"/>
      <c r="W207" s="405"/>
      <c r="X207" s="405"/>
      <c r="LO207"/>
      <c r="LP207"/>
    </row>
    <row r="208" spans="2:328">
      <c r="B208" s="486">
        <v>37.5</v>
      </c>
      <c r="C208" s="552"/>
      <c r="D208" s="551"/>
      <c r="E208" s="552"/>
      <c r="F208" s="551"/>
      <c r="G208" s="552"/>
      <c r="H208" s="551"/>
      <c r="I208" s="552"/>
      <c r="J208" s="551"/>
      <c r="K208" s="552"/>
      <c r="L208" s="551"/>
      <c r="M208" s="552"/>
      <c r="N208" s="551"/>
      <c r="O208" s="552"/>
      <c r="P208" s="551"/>
      <c r="Q208" s="552"/>
      <c r="R208" s="551"/>
      <c r="S208" s="405"/>
      <c r="T208" s="405"/>
      <c r="U208" s="405"/>
      <c r="V208" s="405"/>
      <c r="W208" s="405"/>
      <c r="X208" s="405"/>
      <c r="LO208"/>
      <c r="LP208"/>
    </row>
    <row r="209" spans="2:328">
      <c r="B209" s="486">
        <v>2.5</v>
      </c>
      <c r="C209" s="552"/>
      <c r="D209" s="551"/>
      <c r="E209" s="552"/>
      <c r="F209" s="551"/>
      <c r="G209" s="552"/>
      <c r="H209" s="551"/>
      <c r="I209" s="552"/>
      <c r="J209" s="551"/>
      <c r="K209" s="552"/>
      <c r="L209" s="551"/>
      <c r="M209" s="552"/>
      <c r="N209" s="551"/>
      <c r="O209" s="552"/>
      <c r="P209" s="551"/>
      <c r="Q209" s="552"/>
      <c r="R209" s="551"/>
      <c r="S209" s="405"/>
      <c r="T209" s="405"/>
      <c r="U209" s="405"/>
      <c r="V209" s="405"/>
      <c r="W209" s="405"/>
      <c r="X209" s="405"/>
      <c r="LO209"/>
      <c r="LP209"/>
    </row>
    <row r="210" spans="2:328">
      <c r="B210" s="486">
        <v>2.5</v>
      </c>
      <c r="C210" s="552"/>
      <c r="D210" s="551"/>
      <c r="E210" s="552"/>
      <c r="F210" s="551"/>
      <c r="G210" s="552"/>
      <c r="H210" s="551"/>
      <c r="I210" s="552"/>
      <c r="J210" s="551"/>
      <c r="K210" s="552"/>
      <c r="L210" s="551"/>
      <c r="M210" s="552"/>
      <c r="N210" s="551"/>
      <c r="O210" s="552"/>
      <c r="P210" s="551"/>
      <c r="Q210" s="552"/>
      <c r="R210" s="551"/>
      <c r="S210" s="405"/>
      <c r="T210" s="405"/>
      <c r="U210" s="405"/>
      <c r="V210" s="405"/>
      <c r="W210" s="405"/>
      <c r="X210" s="405"/>
      <c r="LO210"/>
      <c r="LP210"/>
    </row>
    <row r="211" spans="2:328">
      <c r="B211" s="486">
        <v>2.5</v>
      </c>
      <c r="C211" s="552"/>
      <c r="D211" s="551"/>
      <c r="E211" s="552"/>
      <c r="F211" s="551"/>
      <c r="G211" s="552"/>
      <c r="H211" s="551"/>
      <c r="I211" s="552"/>
      <c r="J211" s="551"/>
      <c r="K211" s="552"/>
      <c r="L211" s="551"/>
      <c r="M211" s="552"/>
      <c r="N211" s="551"/>
      <c r="O211" s="552"/>
      <c r="P211" s="551"/>
      <c r="Q211" s="552"/>
      <c r="R211" s="551"/>
      <c r="S211" s="405"/>
      <c r="T211" s="405"/>
      <c r="U211" s="405"/>
      <c r="V211" s="405"/>
      <c r="W211" s="405"/>
      <c r="X211" s="405"/>
      <c r="LO211"/>
      <c r="LP211"/>
    </row>
    <row r="212" spans="2:328">
      <c r="B212" s="486">
        <v>2.5</v>
      </c>
      <c r="C212" s="552"/>
      <c r="D212" s="551"/>
      <c r="E212" s="552"/>
      <c r="F212" s="551"/>
      <c r="G212" s="552"/>
      <c r="H212" s="551"/>
      <c r="I212" s="552"/>
      <c r="J212" s="551"/>
      <c r="K212" s="552"/>
      <c r="L212" s="551"/>
      <c r="M212" s="552"/>
      <c r="N212" s="551"/>
      <c r="O212" s="552"/>
      <c r="P212" s="551"/>
      <c r="Q212" s="552"/>
      <c r="R212" s="551"/>
      <c r="S212" s="405"/>
      <c r="T212" s="405"/>
      <c r="U212" s="405"/>
      <c r="V212" s="405"/>
      <c r="W212" s="405"/>
      <c r="X212" s="405"/>
      <c r="LO212"/>
      <c r="LP212"/>
    </row>
    <row r="213" spans="2:328">
      <c r="B213" s="486">
        <v>2.5</v>
      </c>
      <c r="C213" s="552"/>
      <c r="D213" s="551"/>
      <c r="E213" s="552"/>
      <c r="F213" s="551"/>
      <c r="G213" s="552"/>
      <c r="H213" s="551"/>
      <c r="I213" s="552"/>
      <c r="J213" s="551"/>
      <c r="K213" s="552"/>
      <c r="L213" s="551"/>
      <c r="M213" s="552"/>
      <c r="N213" s="551"/>
      <c r="O213" s="552"/>
      <c r="P213" s="551"/>
      <c r="Q213" s="552"/>
      <c r="R213" s="551"/>
      <c r="S213" s="405"/>
      <c r="T213" s="405"/>
      <c r="U213" s="405"/>
      <c r="V213" s="405"/>
      <c r="W213" s="405"/>
      <c r="X213" s="405"/>
      <c r="LO213"/>
      <c r="LP213"/>
    </row>
    <row r="214" spans="2:328">
      <c r="B214" s="486">
        <v>2.5</v>
      </c>
      <c r="C214" s="552"/>
      <c r="D214" s="551"/>
      <c r="E214" s="552"/>
      <c r="F214" s="551"/>
      <c r="G214" s="552"/>
      <c r="H214" s="551"/>
      <c r="I214" s="552"/>
      <c r="J214" s="551"/>
      <c r="K214" s="552"/>
      <c r="L214" s="551"/>
      <c r="M214" s="552"/>
      <c r="N214" s="551"/>
      <c r="O214" s="552"/>
      <c r="P214" s="551"/>
      <c r="Q214" s="552"/>
      <c r="R214" s="551"/>
      <c r="S214" s="405"/>
      <c r="T214" s="405"/>
      <c r="U214" s="405"/>
      <c r="V214" s="405"/>
      <c r="W214" s="405"/>
      <c r="X214" s="405"/>
      <c r="LO214"/>
      <c r="LP214"/>
    </row>
    <row r="215" spans="2:328">
      <c r="B215" s="486">
        <v>2.5</v>
      </c>
      <c r="C215" s="552"/>
      <c r="D215" s="551"/>
      <c r="E215" s="552"/>
      <c r="F215" s="551"/>
      <c r="G215" s="552"/>
      <c r="H215" s="551"/>
      <c r="I215" s="552"/>
      <c r="J215" s="551"/>
      <c r="K215" s="552"/>
      <c r="L215" s="551"/>
      <c r="M215" s="552"/>
      <c r="N215" s="551"/>
      <c r="O215" s="552"/>
      <c r="P215" s="551"/>
      <c r="Q215" s="552"/>
      <c r="R215" s="551"/>
      <c r="S215" s="405"/>
      <c r="T215" s="405"/>
      <c r="U215" s="405"/>
      <c r="V215" s="405"/>
      <c r="W215" s="405"/>
      <c r="X215" s="405"/>
      <c r="LO215"/>
      <c r="LP215"/>
    </row>
    <row r="216" spans="2:328">
      <c r="B216" s="486">
        <v>2.5</v>
      </c>
      <c r="C216" s="552"/>
      <c r="D216" s="551"/>
      <c r="E216" s="552"/>
      <c r="F216" s="551"/>
      <c r="G216" s="552"/>
      <c r="H216" s="551"/>
      <c r="I216" s="552"/>
      <c r="J216" s="551"/>
      <c r="K216" s="552"/>
      <c r="L216" s="551"/>
      <c r="M216" s="552"/>
      <c r="N216" s="551"/>
      <c r="O216" s="552"/>
      <c r="P216" s="551"/>
      <c r="Q216" s="552"/>
      <c r="R216" s="551"/>
      <c r="S216" s="405"/>
      <c r="T216" s="405"/>
      <c r="U216" s="405"/>
      <c r="V216" s="405"/>
      <c r="W216" s="405"/>
      <c r="X216" s="405"/>
      <c r="LO216"/>
      <c r="LP216"/>
    </row>
    <row r="217" spans="2:328">
      <c r="B217" s="486">
        <v>2.5</v>
      </c>
      <c r="C217" s="552"/>
      <c r="D217" s="551"/>
      <c r="E217" s="552"/>
      <c r="F217" s="551"/>
      <c r="G217" s="552"/>
      <c r="H217" s="551"/>
      <c r="I217" s="552"/>
      <c r="J217" s="551"/>
      <c r="K217" s="552"/>
      <c r="L217" s="551"/>
      <c r="M217" s="552"/>
      <c r="N217" s="551"/>
      <c r="O217" s="552"/>
      <c r="P217" s="551"/>
      <c r="Q217" s="552"/>
      <c r="R217" s="551"/>
      <c r="S217" s="405"/>
      <c r="T217" s="405"/>
      <c r="U217" s="405"/>
      <c r="V217" s="405"/>
      <c r="W217" s="405"/>
      <c r="X217" s="405"/>
      <c r="LO217"/>
      <c r="LP217"/>
    </row>
    <row r="218" spans="2:328">
      <c r="B218" s="486">
        <v>2.5</v>
      </c>
      <c r="C218" s="552"/>
      <c r="D218" s="551"/>
      <c r="E218" s="552"/>
      <c r="F218" s="551"/>
      <c r="G218" s="552"/>
      <c r="H218" s="551"/>
      <c r="I218" s="552"/>
      <c r="J218" s="551"/>
      <c r="K218" s="552"/>
      <c r="L218" s="551"/>
      <c r="M218" s="552"/>
      <c r="N218" s="551"/>
      <c r="O218" s="552"/>
      <c r="P218" s="551"/>
      <c r="Q218" s="552"/>
      <c r="R218" s="551"/>
      <c r="S218" s="405"/>
      <c r="T218" s="405"/>
      <c r="U218" s="405"/>
      <c r="V218" s="405"/>
      <c r="W218" s="405"/>
      <c r="X218" s="405"/>
      <c r="LO218"/>
      <c r="LP218"/>
    </row>
    <row r="219" spans="2:328">
      <c r="B219" s="486">
        <v>2.5</v>
      </c>
      <c r="C219" s="552"/>
      <c r="D219" s="551"/>
      <c r="E219" s="552"/>
      <c r="F219" s="551"/>
      <c r="G219" s="552"/>
      <c r="H219" s="551"/>
      <c r="I219" s="552"/>
      <c r="J219" s="551"/>
      <c r="K219" s="552"/>
      <c r="L219" s="551"/>
      <c r="M219" s="552"/>
      <c r="N219" s="551"/>
      <c r="O219" s="552"/>
      <c r="P219" s="551"/>
      <c r="Q219" s="552"/>
      <c r="R219" s="551"/>
      <c r="S219" s="405"/>
      <c r="T219" s="405"/>
      <c r="U219" s="405"/>
      <c r="V219" s="405"/>
      <c r="W219" s="405"/>
      <c r="X219" s="405"/>
      <c r="LO219"/>
      <c r="LP219"/>
    </row>
    <row r="220" spans="2:328">
      <c r="B220" s="486">
        <v>2.5</v>
      </c>
      <c r="C220" s="552"/>
      <c r="D220" s="551"/>
      <c r="E220" s="552"/>
      <c r="F220" s="551"/>
      <c r="G220" s="552"/>
      <c r="H220" s="551"/>
      <c r="I220" s="552"/>
      <c r="J220" s="551"/>
      <c r="K220" s="552"/>
      <c r="L220" s="551"/>
      <c r="M220" s="552"/>
      <c r="N220" s="551"/>
      <c r="O220" s="552"/>
      <c r="P220" s="551"/>
      <c r="Q220" s="552"/>
      <c r="R220" s="551"/>
      <c r="S220" s="405"/>
      <c r="T220" s="405"/>
      <c r="U220" s="405"/>
      <c r="V220" s="405"/>
      <c r="W220" s="405"/>
      <c r="X220" s="405"/>
      <c r="LO220"/>
      <c r="LP220"/>
    </row>
    <row r="221" spans="2:328">
      <c r="B221" s="486">
        <v>2.5</v>
      </c>
      <c r="C221" s="552"/>
      <c r="D221" s="551"/>
      <c r="E221" s="552"/>
      <c r="F221" s="551"/>
      <c r="G221" s="552"/>
      <c r="H221" s="551"/>
      <c r="I221" s="552"/>
      <c r="J221" s="551"/>
      <c r="K221" s="552"/>
      <c r="L221" s="551"/>
      <c r="M221" s="552"/>
      <c r="N221" s="551"/>
      <c r="O221" s="552"/>
      <c r="P221" s="551"/>
      <c r="Q221" s="552"/>
      <c r="R221" s="551"/>
      <c r="S221" s="405"/>
      <c r="T221" s="405"/>
      <c r="U221" s="405"/>
      <c r="V221" s="405"/>
      <c r="W221" s="405"/>
      <c r="X221" s="405"/>
      <c r="LO221"/>
      <c r="LP221"/>
    </row>
    <row r="222" spans="2:328">
      <c r="B222" s="486">
        <v>2.5</v>
      </c>
      <c r="C222" s="552"/>
      <c r="D222" s="551"/>
      <c r="E222" s="552"/>
      <c r="F222" s="551"/>
      <c r="G222" s="552"/>
      <c r="H222" s="551"/>
      <c r="I222" s="552"/>
      <c r="J222" s="551"/>
      <c r="K222" s="552"/>
      <c r="L222" s="551"/>
      <c r="M222" s="552"/>
      <c r="N222" s="551"/>
      <c r="O222" s="552"/>
      <c r="P222" s="551"/>
      <c r="Q222" s="552"/>
      <c r="R222" s="551"/>
      <c r="S222" s="405"/>
      <c r="T222" s="405"/>
      <c r="U222" s="405"/>
      <c r="V222" s="405"/>
      <c r="W222" s="405"/>
      <c r="X222" s="405"/>
      <c r="LO222"/>
      <c r="LP222"/>
    </row>
    <row r="223" spans="2:328">
      <c r="B223" s="486">
        <v>2.5</v>
      </c>
      <c r="C223" s="552"/>
      <c r="D223" s="551"/>
      <c r="E223" s="552"/>
      <c r="F223" s="551"/>
      <c r="G223" s="552"/>
      <c r="H223" s="551"/>
      <c r="I223" s="552"/>
      <c r="J223" s="551"/>
      <c r="K223" s="552"/>
      <c r="L223" s="551"/>
      <c r="M223" s="552"/>
      <c r="N223" s="551"/>
      <c r="O223" s="552"/>
      <c r="P223" s="551"/>
      <c r="Q223" s="552"/>
      <c r="R223" s="551"/>
      <c r="S223" s="405"/>
      <c r="T223" s="405"/>
      <c r="U223" s="405"/>
      <c r="V223" s="405"/>
      <c r="W223" s="405"/>
      <c r="X223" s="405"/>
      <c r="LO223"/>
      <c r="LP223"/>
    </row>
    <row r="224" spans="2:328">
      <c r="B224" s="486"/>
      <c r="C224" s="552"/>
      <c r="D224" s="551"/>
      <c r="E224" s="552"/>
      <c r="F224" s="551"/>
      <c r="G224" s="552"/>
      <c r="H224" s="551"/>
      <c r="I224" s="552"/>
      <c r="J224" s="551"/>
      <c r="K224" s="552"/>
      <c r="L224" s="551"/>
      <c r="M224" s="552"/>
      <c r="N224" s="551"/>
      <c r="O224" s="552"/>
      <c r="P224" s="551"/>
      <c r="Q224" s="552"/>
      <c r="R224" s="551"/>
      <c r="S224" s="405"/>
      <c r="T224" s="405"/>
      <c r="U224" s="405"/>
      <c r="V224" s="405"/>
      <c r="W224" s="405"/>
      <c r="X224" s="405"/>
      <c r="LO224"/>
      <c r="LP224"/>
    </row>
    <row r="225" spans="2:328">
      <c r="B225" s="486"/>
      <c r="C225" s="552"/>
      <c r="D225" s="551"/>
      <c r="E225" s="552"/>
      <c r="F225" s="551"/>
      <c r="G225" s="552"/>
      <c r="H225" s="551"/>
      <c r="I225" s="552"/>
      <c r="J225" s="551"/>
      <c r="K225" s="552"/>
      <c r="L225" s="551"/>
      <c r="M225" s="552"/>
      <c r="N225" s="551"/>
      <c r="O225" s="552"/>
      <c r="P225" s="551"/>
      <c r="Q225" s="552"/>
      <c r="R225" s="551"/>
      <c r="S225" s="405"/>
      <c r="T225" s="405"/>
      <c r="U225" s="405"/>
      <c r="V225" s="405"/>
      <c r="W225" s="405"/>
      <c r="X225" s="405"/>
      <c r="LO225"/>
      <c r="LP225"/>
    </row>
    <row r="226" spans="2:328">
      <c r="B226" s="486"/>
      <c r="C226" s="552"/>
      <c r="D226" s="551"/>
      <c r="E226" s="552"/>
      <c r="F226" s="551"/>
      <c r="G226" s="552"/>
      <c r="H226" s="551"/>
      <c r="I226" s="552"/>
      <c r="J226" s="551"/>
      <c r="K226" s="552"/>
      <c r="L226" s="551"/>
      <c r="M226" s="552"/>
      <c r="N226" s="551"/>
      <c r="O226" s="552"/>
      <c r="P226" s="551"/>
      <c r="Q226" s="552"/>
      <c r="R226" s="551"/>
      <c r="S226" s="405"/>
      <c r="T226" s="405"/>
      <c r="U226" s="405"/>
      <c r="V226" s="405"/>
      <c r="W226" s="405"/>
      <c r="X226" s="405"/>
      <c r="LO226"/>
      <c r="LP226"/>
    </row>
    <row r="227" spans="2:328">
      <c r="B227" s="486"/>
      <c r="C227" s="552"/>
      <c r="D227" s="551"/>
      <c r="E227" s="552"/>
      <c r="F227" s="551"/>
      <c r="G227" s="552"/>
      <c r="H227" s="551"/>
      <c r="I227" s="552"/>
      <c r="J227" s="551"/>
      <c r="K227" s="552"/>
      <c r="L227" s="551"/>
      <c r="M227" s="552"/>
      <c r="N227" s="551"/>
      <c r="O227" s="552"/>
      <c r="P227" s="551"/>
      <c r="Q227" s="552"/>
      <c r="R227" s="551"/>
      <c r="S227" s="405"/>
      <c r="T227" s="405"/>
      <c r="U227" s="405"/>
      <c r="V227" s="405"/>
      <c r="W227" s="405"/>
      <c r="X227" s="405"/>
      <c r="LO227"/>
      <c r="LP227"/>
    </row>
    <row r="228" spans="2:328">
      <c r="B228" s="486"/>
      <c r="C228" s="552"/>
      <c r="D228" s="551"/>
      <c r="E228" s="552"/>
      <c r="F228" s="551"/>
      <c r="G228" s="552"/>
      <c r="H228" s="551"/>
      <c r="I228" s="552"/>
      <c r="J228" s="551"/>
      <c r="K228" s="552"/>
      <c r="L228" s="551"/>
      <c r="M228" s="552"/>
      <c r="N228" s="551"/>
      <c r="O228" s="552"/>
      <c r="P228" s="551"/>
      <c r="Q228" s="552"/>
      <c r="R228" s="551"/>
      <c r="S228" s="405"/>
      <c r="T228" s="405"/>
      <c r="U228" s="405"/>
      <c r="V228" s="405"/>
      <c r="W228" s="405"/>
      <c r="X228" s="405"/>
      <c r="LO228"/>
      <c r="LP228"/>
    </row>
    <row r="229" spans="2:328">
      <c r="B229" s="486" t="s">
        <v>2</v>
      </c>
      <c r="C229" s="552"/>
      <c r="D229" s="551"/>
      <c r="E229" s="552"/>
      <c r="F229" s="551"/>
      <c r="G229" s="552"/>
      <c r="H229" s="551"/>
      <c r="I229" s="552"/>
      <c r="J229" s="551"/>
      <c r="K229" s="552"/>
      <c r="L229" s="551"/>
      <c r="M229" s="552"/>
      <c r="N229" s="551"/>
      <c r="O229" s="552"/>
      <c r="P229" s="551"/>
      <c r="Q229" s="552"/>
      <c r="R229" s="551"/>
      <c r="S229" s="405"/>
      <c r="T229" s="405"/>
      <c r="U229" s="405"/>
      <c r="V229" s="405"/>
      <c r="W229" s="405"/>
      <c r="X229" s="405"/>
      <c r="LO229"/>
      <c r="LP229"/>
    </row>
    <row r="230" spans="2:328">
      <c r="B230" s="405"/>
      <c r="C230" s="405"/>
      <c r="D230" s="405"/>
      <c r="E230" s="405"/>
      <c r="F230" s="405"/>
      <c r="G230" s="405"/>
      <c r="H230" s="405"/>
      <c r="I230" s="405"/>
      <c r="J230" s="405"/>
      <c r="K230" s="405"/>
      <c r="L230" s="405"/>
      <c r="M230" s="405"/>
      <c r="N230" s="405"/>
      <c r="O230" s="405"/>
      <c r="P230" s="405"/>
      <c r="Q230" s="405"/>
      <c r="R230" s="405"/>
      <c r="S230" s="405"/>
      <c r="T230" s="405"/>
      <c r="U230" s="405"/>
      <c r="V230" s="405"/>
      <c r="W230" s="405"/>
      <c r="X230" s="405"/>
    </row>
    <row r="231" spans="2:328">
      <c r="B231" s="405"/>
      <c r="C231" s="405"/>
      <c r="D231" s="405"/>
      <c r="E231" s="405"/>
      <c r="F231" s="405"/>
      <c r="G231" s="405"/>
      <c r="H231" s="405"/>
      <c r="I231" s="405"/>
      <c r="J231" s="405"/>
      <c r="K231" s="405"/>
      <c r="L231" s="405"/>
      <c r="M231" s="405"/>
      <c r="N231" s="405"/>
      <c r="O231" s="405"/>
      <c r="P231" s="405"/>
      <c r="Q231" s="405"/>
      <c r="R231" s="405"/>
      <c r="S231" s="405"/>
      <c r="T231" s="405"/>
      <c r="U231" s="405"/>
      <c r="V231" s="405"/>
      <c r="W231" s="405"/>
      <c r="X231" s="405"/>
    </row>
    <row r="232" spans="2:328">
      <c r="B232" s="405"/>
      <c r="C232" s="405"/>
      <c r="D232" s="405"/>
      <c r="E232" s="405"/>
      <c r="F232" s="405"/>
      <c r="G232" s="405"/>
      <c r="H232" s="405"/>
      <c r="I232" s="405"/>
      <c r="J232" s="405"/>
      <c r="K232" s="405"/>
      <c r="L232" s="405"/>
      <c r="M232" s="405"/>
      <c r="N232" s="405"/>
      <c r="O232" s="405"/>
      <c r="P232" s="405"/>
      <c r="Q232" s="405"/>
      <c r="R232" s="405"/>
      <c r="S232" s="405"/>
      <c r="T232" s="405"/>
      <c r="U232" s="405"/>
      <c r="V232" s="405"/>
      <c r="W232" s="405"/>
      <c r="X232" s="405"/>
    </row>
    <row r="233" spans="2:328" ht="21">
      <c r="B233" s="629" t="s">
        <v>2</v>
      </c>
      <c r="C233" s="629"/>
      <c r="D233" s="629"/>
      <c r="E233" s="629"/>
      <c r="F233" s="629"/>
      <c r="G233" s="629"/>
      <c r="H233" s="629"/>
      <c r="I233" s="629"/>
      <c r="J233" s="629"/>
      <c r="K233" s="629"/>
      <c r="L233" s="629"/>
      <c r="M233" s="629"/>
      <c r="N233" s="629"/>
      <c r="O233" s="629"/>
      <c r="P233" s="405"/>
      <c r="Q233" s="405"/>
      <c r="R233" s="405"/>
      <c r="S233" s="405"/>
      <c r="T233" s="405"/>
      <c r="U233" s="405"/>
      <c r="V233" s="405"/>
      <c r="W233" s="405"/>
      <c r="X233" s="405"/>
    </row>
    <row r="234" spans="2:328">
      <c r="B234" s="630" t="s">
        <v>538</v>
      </c>
      <c r="C234" s="654"/>
      <c r="D234" s="654"/>
      <c r="E234" s="654"/>
      <c r="F234" s="654"/>
      <c r="G234" s="654"/>
      <c r="H234" s="654"/>
      <c r="I234" s="654"/>
      <c r="J234" s="630"/>
      <c r="K234" s="630"/>
      <c r="L234" s="630"/>
      <c r="M234" s="630"/>
      <c r="N234" s="630"/>
      <c r="O234" s="630"/>
      <c r="P234" s="405"/>
      <c r="Q234" s="405"/>
      <c r="R234" s="405"/>
      <c r="S234" s="405"/>
      <c r="T234" s="405"/>
      <c r="U234" s="405"/>
      <c r="V234" s="405"/>
      <c r="W234" s="405"/>
      <c r="X234" s="405"/>
    </row>
    <row r="235" spans="2:328">
      <c r="B235" s="6"/>
      <c r="C235" s="6"/>
      <c r="D235" s="655"/>
      <c r="E235" s="655"/>
      <c r="F235" s="655"/>
      <c r="G235" s="540"/>
      <c r="H235" s="454"/>
      <c r="I235" s="454"/>
      <c r="J235" s="6"/>
      <c r="K235" s="6"/>
      <c r="L235" s="6"/>
      <c r="M235" s="6"/>
      <c r="N235" s="69"/>
      <c r="O235" s="6"/>
      <c r="P235" s="405"/>
      <c r="Q235" s="405"/>
      <c r="R235" s="405"/>
      <c r="S235" s="405"/>
      <c r="T235" s="405"/>
      <c r="U235" s="405"/>
      <c r="V235" s="405"/>
      <c r="W235" s="405"/>
      <c r="X235" s="405"/>
    </row>
    <row r="236" spans="2:328">
      <c r="B236" s="6"/>
      <c r="C236" s="6"/>
      <c r="D236" s="455"/>
      <c r="E236" s="455"/>
      <c r="F236" s="456"/>
      <c r="G236" s="456"/>
      <c r="H236" s="457"/>
      <c r="I236" s="457"/>
      <c r="J236" s="6"/>
      <c r="K236" s="6"/>
      <c r="L236" s="6"/>
      <c r="M236" s="6"/>
      <c r="N236" s="69"/>
      <c r="O236" s="6"/>
      <c r="P236" s="405"/>
      <c r="Q236" s="405"/>
      <c r="R236" s="405"/>
      <c r="S236" s="405"/>
      <c r="T236" s="405"/>
      <c r="U236" s="405"/>
      <c r="V236" s="405"/>
      <c r="W236" s="405"/>
      <c r="X236" s="405"/>
    </row>
    <row r="237" spans="2:328">
      <c r="B237" s="6"/>
      <c r="C237" s="6"/>
      <c r="D237" s="455"/>
      <c r="E237" s="455"/>
      <c r="F237" s="458"/>
      <c r="G237" s="458"/>
      <c r="H237" s="461"/>
      <c r="I237" s="461"/>
      <c r="J237" s="6"/>
      <c r="K237" s="6"/>
      <c r="L237" s="6"/>
      <c r="M237" s="6"/>
      <c r="N237" s="69"/>
      <c r="O237" s="6"/>
      <c r="P237" s="405"/>
      <c r="Q237" s="405"/>
      <c r="R237" s="405"/>
      <c r="S237" s="405"/>
      <c r="T237" s="405"/>
      <c r="U237" s="405"/>
      <c r="V237" s="405"/>
      <c r="W237" s="405"/>
      <c r="X237" s="405"/>
    </row>
    <row r="238" spans="2:328">
      <c r="B238" s="239"/>
      <c r="C238" s="239"/>
      <c r="D238" s="390"/>
      <c r="E238" s="390"/>
      <c r="F238" s="460"/>
      <c r="G238" s="460"/>
      <c r="H238" s="460"/>
      <c r="I238" s="460"/>
      <c r="J238" s="6"/>
      <c r="K238" s="6"/>
      <c r="L238" s="6"/>
      <c r="M238" s="6"/>
      <c r="N238" s="69"/>
      <c r="O238" s="6"/>
      <c r="P238" s="405"/>
      <c r="Q238" s="405"/>
      <c r="R238" s="405"/>
      <c r="S238" s="405"/>
      <c r="T238" s="405"/>
      <c r="U238" s="405"/>
      <c r="V238" s="405"/>
      <c r="W238" s="405"/>
      <c r="X238" s="405"/>
    </row>
    <row r="239" spans="2:328">
      <c r="B239" s="239"/>
      <c r="C239" s="239"/>
      <c r="D239" s="384"/>
      <c r="E239" s="384"/>
      <c r="F239" s="69"/>
      <c r="G239" s="69"/>
      <c r="H239" s="69"/>
      <c r="I239" s="69"/>
      <c r="J239" s="6"/>
      <c r="K239" s="6"/>
      <c r="L239" s="6"/>
      <c r="M239" s="6"/>
      <c r="N239" s="69"/>
      <c r="O239" s="6"/>
      <c r="P239" s="405"/>
      <c r="Q239" s="405"/>
      <c r="R239" s="405"/>
      <c r="S239" s="405"/>
      <c r="T239" s="405"/>
      <c r="U239" s="405"/>
      <c r="V239" s="405"/>
      <c r="W239" s="405"/>
      <c r="X239" s="405"/>
    </row>
    <row r="240" spans="2:328">
      <c r="B240" s="239"/>
      <c r="C240" s="239"/>
      <c r="D240" s="384"/>
      <c r="E240" s="384"/>
      <c r="F240" s="69"/>
      <c r="G240" s="69"/>
      <c r="H240" s="69"/>
      <c r="I240" s="69"/>
      <c r="J240" s="6"/>
      <c r="K240" s="6"/>
      <c r="L240" s="6"/>
      <c r="M240" s="6"/>
      <c r="N240" s="69"/>
      <c r="O240" s="6"/>
      <c r="P240" s="405"/>
      <c r="Q240" s="405"/>
      <c r="R240" s="405"/>
      <c r="S240" s="405"/>
      <c r="T240" s="405"/>
      <c r="U240" s="405"/>
      <c r="V240" s="405"/>
      <c r="W240" s="405"/>
      <c r="X240" s="405"/>
    </row>
    <row r="241" spans="2:24">
      <c r="B241" s="239"/>
      <c r="C241" s="239"/>
      <c r="D241" s="384"/>
      <c r="E241" s="384"/>
      <c r="F241" s="69"/>
      <c r="G241" s="69"/>
      <c r="H241" s="69"/>
      <c r="I241" s="69"/>
      <c r="J241" s="6"/>
      <c r="K241" s="6"/>
      <c r="L241" s="6"/>
      <c r="M241" s="6"/>
      <c r="N241" s="69"/>
      <c r="O241" s="6"/>
      <c r="P241" s="405"/>
      <c r="Q241" s="405"/>
      <c r="R241" s="405"/>
      <c r="S241" s="405"/>
      <c r="T241" s="405"/>
      <c r="U241" s="405"/>
      <c r="V241" s="405"/>
      <c r="W241" s="405"/>
      <c r="X241" s="405"/>
    </row>
    <row r="242" spans="2:24">
      <c r="B242" s="405"/>
      <c r="C242" s="405"/>
      <c r="D242" s="405"/>
      <c r="E242" s="405"/>
      <c r="F242" s="405"/>
      <c r="G242" s="405"/>
      <c r="H242" s="405"/>
      <c r="I242" s="405"/>
      <c r="J242" s="405"/>
      <c r="K242" s="405"/>
      <c r="L242" s="405"/>
      <c r="M242" s="405"/>
      <c r="N242" s="405"/>
      <c r="O242" s="405"/>
      <c r="P242" s="405"/>
      <c r="Q242" s="405"/>
      <c r="R242" s="405"/>
      <c r="S242" s="405"/>
      <c r="T242" s="405"/>
      <c r="U242" s="405"/>
      <c r="V242" s="405"/>
      <c r="W242" s="405"/>
      <c r="X242" s="405"/>
    </row>
    <row r="243" spans="2:24">
      <c r="B243" s="405"/>
      <c r="C243" s="405"/>
      <c r="D243" s="405"/>
      <c r="E243" s="405"/>
      <c r="F243" s="405"/>
      <c r="G243" s="405"/>
      <c r="H243" s="405"/>
      <c r="I243" s="405"/>
      <c r="J243" s="405"/>
      <c r="K243" s="405"/>
      <c r="L243" s="405"/>
      <c r="M243" s="405"/>
      <c r="N243" s="405"/>
      <c r="O243" s="405"/>
      <c r="P243" s="405"/>
      <c r="Q243" s="405"/>
      <c r="R243" s="405"/>
      <c r="S243" s="405"/>
      <c r="T243" s="405"/>
      <c r="U243" s="405"/>
      <c r="V243" s="405"/>
      <c r="W243" s="405"/>
      <c r="X243" s="405"/>
    </row>
    <row r="244" spans="2:24">
      <c r="B244" s="405"/>
      <c r="C244" s="405"/>
      <c r="D244" s="405"/>
      <c r="E244" s="405"/>
      <c r="F244" s="405"/>
      <c r="G244" s="405"/>
      <c r="H244" s="405"/>
      <c r="I244" s="405"/>
      <c r="J244" s="405"/>
      <c r="K244" s="405"/>
      <c r="L244" s="405"/>
      <c r="M244" s="405"/>
      <c r="N244" s="405"/>
      <c r="O244" s="405"/>
      <c r="P244" s="405"/>
      <c r="Q244" s="405"/>
      <c r="R244" s="405"/>
      <c r="S244" s="405"/>
      <c r="T244" s="405"/>
      <c r="U244" s="405"/>
      <c r="V244" s="405"/>
      <c r="W244" s="405"/>
      <c r="X244" s="405"/>
    </row>
    <row r="245" spans="2:24">
      <c r="B245" s="405"/>
      <c r="C245" s="405"/>
      <c r="D245" s="405"/>
      <c r="E245" s="405"/>
      <c r="F245" s="405"/>
      <c r="G245" s="405"/>
      <c r="H245" s="405"/>
      <c r="I245" s="405"/>
      <c r="J245" s="405"/>
      <c r="K245" s="405"/>
      <c r="L245" s="405"/>
      <c r="M245" s="405"/>
      <c r="N245" s="405"/>
      <c r="O245" s="405"/>
      <c r="P245" s="405"/>
      <c r="Q245" s="405"/>
      <c r="R245" s="405"/>
      <c r="S245" s="405"/>
      <c r="T245" s="405"/>
      <c r="U245" s="405"/>
      <c r="V245" s="405"/>
      <c r="W245" s="405"/>
      <c r="X245" s="405"/>
    </row>
    <row r="246" spans="2:24">
      <c r="B246" s="405"/>
      <c r="C246" s="405"/>
      <c r="D246" s="405"/>
      <c r="E246" s="405"/>
      <c r="F246" s="405"/>
      <c r="G246" s="405"/>
      <c r="H246" s="405"/>
      <c r="I246" s="405"/>
      <c r="J246" s="405"/>
      <c r="K246" s="405"/>
      <c r="L246" s="405"/>
      <c r="M246" s="405"/>
      <c r="N246" s="405"/>
      <c r="O246" s="405"/>
      <c r="P246" s="405"/>
      <c r="Q246" s="405"/>
      <c r="R246" s="405"/>
      <c r="S246" s="405"/>
      <c r="T246" s="405"/>
      <c r="U246" s="405"/>
      <c r="V246" s="405"/>
      <c r="W246" s="405"/>
      <c r="X246" s="405"/>
    </row>
    <row r="247" spans="2:24">
      <c r="B247" s="405"/>
      <c r="C247" s="405"/>
      <c r="D247" s="405"/>
      <c r="E247" s="405"/>
      <c r="F247" s="405"/>
      <c r="G247" s="405"/>
      <c r="H247" s="405"/>
      <c r="I247" s="405"/>
      <c r="J247" s="405"/>
      <c r="K247" s="405"/>
      <c r="L247" s="405"/>
      <c r="M247" s="405"/>
      <c r="N247" s="405"/>
      <c r="O247" s="405"/>
      <c r="P247" s="405"/>
      <c r="Q247" s="405"/>
      <c r="R247" s="405"/>
      <c r="S247" s="405"/>
      <c r="T247" s="405"/>
      <c r="U247" s="405"/>
      <c r="V247" s="405"/>
      <c r="W247" s="405"/>
      <c r="X247" s="405"/>
    </row>
    <row r="248" spans="2:24">
      <c r="B248" s="405"/>
      <c r="C248" s="405"/>
      <c r="D248" s="405"/>
      <c r="E248" s="405"/>
      <c r="F248" s="405"/>
      <c r="G248" s="405"/>
      <c r="H248" s="405"/>
      <c r="I248" s="405"/>
      <c r="J248" s="405"/>
      <c r="K248" s="405"/>
      <c r="L248" s="405"/>
      <c r="M248" s="405"/>
      <c r="N248" s="405"/>
      <c r="O248" s="405"/>
      <c r="P248" s="405"/>
      <c r="Q248" s="405"/>
      <c r="R248" s="405"/>
      <c r="S248" s="405"/>
      <c r="T248" s="405"/>
      <c r="U248" s="405"/>
      <c r="V248" s="405"/>
      <c r="W248" s="405"/>
      <c r="X248" s="405"/>
    </row>
    <row r="249" spans="2:24">
      <c r="B249" s="405"/>
      <c r="C249" s="405"/>
      <c r="D249" s="405"/>
      <c r="E249" s="405"/>
      <c r="F249" s="405"/>
      <c r="G249" s="405"/>
      <c r="H249" s="405"/>
      <c r="I249" s="405"/>
      <c r="J249" s="405"/>
      <c r="K249" s="405"/>
      <c r="L249" s="405"/>
      <c r="M249" s="405"/>
      <c r="N249" s="405"/>
      <c r="O249" s="405"/>
      <c r="P249" s="405"/>
      <c r="Q249" s="405"/>
      <c r="R249" s="405"/>
      <c r="S249" s="405"/>
      <c r="T249" s="405"/>
      <c r="U249" s="405"/>
      <c r="V249" s="405"/>
      <c r="W249" s="405"/>
      <c r="X249" s="405"/>
    </row>
    <row r="250" spans="2:24">
      <c r="B250" s="405"/>
      <c r="C250" s="405"/>
      <c r="D250" s="405"/>
      <c r="E250" s="405"/>
      <c r="F250" s="405"/>
      <c r="G250" s="405"/>
      <c r="H250" s="405"/>
      <c r="I250" s="405"/>
      <c r="J250" s="405"/>
      <c r="K250" s="405"/>
      <c r="L250" s="405"/>
      <c r="M250" s="405"/>
      <c r="N250" s="405"/>
      <c r="O250" s="405"/>
      <c r="P250" s="405"/>
      <c r="Q250" s="405"/>
      <c r="R250" s="405"/>
      <c r="S250" s="405"/>
      <c r="T250" s="405"/>
      <c r="U250" s="405"/>
      <c r="V250" s="405"/>
      <c r="W250" s="405"/>
      <c r="X250" s="405"/>
    </row>
    <row r="251" spans="2:24">
      <c r="B251" s="405"/>
      <c r="C251" s="405"/>
      <c r="D251" s="405"/>
      <c r="E251" s="405"/>
      <c r="F251" s="405"/>
      <c r="G251" s="405"/>
      <c r="H251" s="405"/>
      <c r="I251" s="405"/>
      <c r="J251" s="405"/>
      <c r="K251" s="405"/>
      <c r="L251" s="405"/>
      <c r="M251" s="405"/>
      <c r="N251" s="405"/>
      <c r="O251" s="405"/>
      <c r="P251" s="405"/>
      <c r="Q251" s="405"/>
      <c r="R251" s="405"/>
      <c r="S251" s="405"/>
      <c r="T251" s="405"/>
      <c r="U251" s="405"/>
      <c r="V251" s="405"/>
      <c r="W251" s="405"/>
      <c r="X251" s="405"/>
    </row>
    <row r="252" spans="2:24">
      <c r="B252" s="405"/>
      <c r="C252" s="405"/>
      <c r="D252" s="405"/>
      <c r="E252" s="405"/>
      <c r="F252" s="405"/>
      <c r="G252" s="405"/>
      <c r="H252" s="405"/>
      <c r="I252" s="405"/>
      <c r="J252" s="405"/>
      <c r="K252" s="405"/>
      <c r="L252" s="405"/>
      <c r="M252" s="405"/>
      <c r="N252" s="405"/>
      <c r="O252" s="405"/>
      <c r="P252" s="405"/>
      <c r="Q252" s="405"/>
      <c r="R252" s="405"/>
      <c r="S252" s="405"/>
      <c r="T252" s="405"/>
      <c r="U252" s="405"/>
      <c r="V252" s="405"/>
      <c r="W252" s="405"/>
      <c r="X252" s="405"/>
    </row>
    <row r="253" spans="2:24">
      <c r="B253" s="405"/>
      <c r="C253" s="405"/>
      <c r="D253" s="405"/>
      <c r="E253" s="405"/>
      <c r="F253" s="405"/>
      <c r="G253" s="405"/>
      <c r="H253" s="405"/>
      <c r="I253" s="405"/>
      <c r="J253" s="405"/>
      <c r="K253" s="405"/>
      <c r="L253" s="405"/>
      <c r="M253" s="405"/>
      <c r="N253" s="405"/>
      <c r="O253" s="405"/>
      <c r="P253" s="405"/>
      <c r="Q253" s="405"/>
      <c r="R253" s="405"/>
      <c r="S253" s="405"/>
      <c r="T253" s="405"/>
      <c r="U253" s="405"/>
      <c r="V253" s="405"/>
      <c r="W253" s="405"/>
      <c r="X253" s="405"/>
    </row>
    <row r="254" spans="2:24">
      <c r="B254" s="405"/>
      <c r="C254" s="405"/>
      <c r="D254" s="405"/>
      <c r="E254" s="405"/>
      <c r="F254" s="405"/>
      <c r="G254" s="405"/>
      <c r="H254" s="405"/>
      <c r="I254" s="405"/>
      <c r="J254" s="405"/>
      <c r="K254" s="405"/>
      <c r="L254" s="405"/>
      <c r="M254" s="405"/>
      <c r="N254" s="405"/>
      <c r="O254" s="405"/>
      <c r="P254" s="405"/>
      <c r="Q254" s="405"/>
      <c r="R254" s="405"/>
      <c r="S254" s="405"/>
      <c r="T254" s="405"/>
      <c r="U254" s="405"/>
      <c r="V254" s="405"/>
      <c r="W254" s="405"/>
      <c r="X254" s="405"/>
    </row>
    <row r="255" spans="2:24">
      <c r="B255" s="405"/>
      <c r="C255" s="405"/>
      <c r="D255" s="405"/>
      <c r="E255" s="405"/>
      <c r="F255" s="405"/>
      <c r="G255" s="405"/>
      <c r="H255" s="405"/>
      <c r="I255" s="405"/>
      <c r="J255" s="405"/>
      <c r="K255" s="405"/>
      <c r="L255" s="405"/>
      <c r="M255" s="405"/>
      <c r="N255" s="405"/>
      <c r="O255" s="405"/>
      <c r="P255" s="405"/>
      <c r="Q255" s="405"/>
      <c r="R255" s="405"/>
      <c r="S255" s="405"/>
      <c r="T255" s="405"/>
      <c r="U255" s="405"/>
      <c r="V255" s="405"/>
      <c r="W255" s="405"/>
      <c r="X255" s="405"/>
    </row>
    <row r="256" spans="2:24">
      <c r="B256" s="405"/>
      <c r="C256" s="405"/>
      <c r="D256" s="405"/>
      <c r="E256" s="405"/>
      <c r="F256" s="405"/>
      <c r="G256" s="405"/>
      <c r="H256" s="405"/>
      <c r="I256" s="405"/>
      <c r="J256" s="405"/>
      <c r="K256" s="405"/>
      <c r="L256" s="405"/>
      <c r="M256" s="405"/>
      <c r="N256" s="405"/>
      <c r="O256" s="405"/>
      <c r="P256" s="405"/>
      <c r="Q256" s="405"/>
      <c r="R256" s="405"/>
      <c r="S256" s="405"/>
      <c r="T256" s="405"/>
      <c r="U256" s="405"/>
      <c r="V256" s="405"/>
      <c r="W256" s="405"/>
      <c r="X256" s="405"/>
    </row>
    <row r="257" spans="2:24">
      <c r="B257" s="405"/>
      <c r="C257" s="405"/>
      <c r="D257" s="405"/>
      <c r="E257" s="405"/>
      <c r="F257" s="405"/>
      <c r="G257" s="405"/>
      <c r="H257" s="405"/>
      <c r="I257" s="405"/>
      <c r="J257" s="405"/>
      <c r="K257" s="405"/>
      <c r="L257" s="405"/>
      <c r="M257" s="405"/>
      <c r="N257" s="405"/>
      <c r="O257" s="405"/>
      <c r="P257" s="405"/>
      <c r="Q257" s="405"/>
      <c r="R257" s="405"/>
      <c r="S257" s="405"/>
      <c r="T257" s="405"/>
      <c r="U257" s="405"/>
      <c r="V257" s="405"/>
      <c r="W257" s="405"/>
      <c r="X257" s="405"/>
    </row>
    <row r="258" spans="2:24">
      <c r="B258" s="405"/>
      <c r="C258" s="405"/>
      <c r="D258" s="405"/>
      <c r="E258" s="405"/>
      <c r="F258" s="405"/>
      <c r="G258" s="405"/>
      <c r="H258" s="405"/>
      <c r="I258" s="405"/>
      <c r="J258" s="405"/>
      <c r="K258" s="405"/>
      <c r="L258" s="405"/>
      <c r="M258" s="405"/>
      <c r="N258" s="405"/>
      <c r="O258" s="405"/>
      <c r="P258" s="405"/>
      <c r="Q258" s="405"/>
      <c r="R258" s="405"/>
      <c r="S258" s="405"/>
      <c r="T258" s="405"/>
      <c r="U258" s="405"/>
      <c r="V258" s="405"/>
      <c r="W258" s="405"/>
      <c r="X258" s="405"/>
    </row>
    <row r="259" spans="2:24">
      <c r="B259" s="405"/>
      <c r="C259" s="405"/>
      <c r="D259" s="405"/>
      <c r="E259" s="405"/>
      <c r="F259" s="405"/>
      <c r="G259" s="405"/>
      <c r="H259" s="405"/>
      <c r="I259" s="405"/>
      <c r="J259" s="405"/>
      <c r="K259" s="405"/>
      <c r="L259" s="405"/>
      <c r="M259" s="405"/>
      <c r="N259" s="405"/>
      <c r="O259" s="405"/>
      <c r="P259" s="405"/>
      <c r="Q259" s="405"/>
      <c r="R259" s="405"/>
      <c r="S259" s="405"/>
      <c r="T259" s="405"/>
      <c r="U259" s="405"/>
      <c r="V259" s="405"/>
      <c r="W259" s="405"/>
      <c r="X259" s="405"/>
    </row>
    <row r="260" spans="2:24">
      <c r="B260" s="405"/>
      <c r="C260" s="405"/>
      <c r="D260" s="405"/>
      <c r="E260" s="405"/>
      <c r="F260" s="405"/>
      <c r="G260" s="405"/>
      <c r="H260" s="405"/>
      <c r="I260" s="405"/>
      <c r="J260" s="405"/>
      <c r="K260" s="405"/>
      <c r="L260" s="405"/>
      <c r="M260" s="405"/>
      <c r="N260" s="405"/>
      <c r="O260" s="405"/>
      <c r="P260" s="405"/>
      <c r="Q260" s="405"/>
      <c r="R260" s="405"/>
      <c r="S260" s="405"/>
      <c r="T260" s="405"/>
      <c r="U260" s="405"/>
      <c r="V260" s="405"/>
      <c r="W260" s="405"/>
      <c r="X260" s="405"/>
    </row>
    <row r="261" spans="2:24">
      <c r="B261" s="405"/>
      <c r="C261" s="405"/>
      <c r="D261" s="405"/>
      <c r="E261" s="405"/>
      <c r="F261" s="405"/>
      <c r="G261" s="405"/>
      <c r="H261" s="405"/>
      <c r="I261" s="405"/>
      <c r="J261" s="405"/>
      <c r="K261" s="405"/>
      <c r="L261" s="405"/>
      <c r="M261" s="405"/>
      <c r="N261" s="405"/>
      <c r="O261" s="405"/>
      <c r="P261" s="405"/>
      <c r="Q261" s="405"/>
      <c r="R261" s="405"/>
      <c r="S261" s="405"/>
      <c r="T261" s="405"/>
      <c r="U261" s="405"/>
      <c r="V261" s="405"/>
      <c r="W261" s="405"/>
      <c r="X261" s="405"/>
    </row>
    <row r="262" spans="2:24">
      <c r="B262" s="405"/>
      <c r="C262" s="405"/>
      <c r="D262" s="405"/>
      <c r="E262" s="405"/>
      <c r="F262" s="405"/>
      <c r="G262" s="405"/>
      <c r="H262" s="405"/>
      <c r="I262" s="405"/>
      <c r="J262" s="405"/>
      <c r="K262" s="405"/>
      <c r="L262" s="405"/>
      <c r="M262" s="405"/>
      <c r="N262" s="405"/>
      <c r="O262" s="405"/>
      <c r="P262" s="405"/>
      <c r="Q262" s="405"/>
      <c r="R262" s="405"/>
      <c r="S262" s="405"/>
      <c r="T262" s="405"/>
      <c r="U262" s="405"/>
      <c r="V262" s="405"/>
      <c r="W262" s="405"/>
      <c r="X262" s="405"/>
    </row>
    <row r="263" spans="2:24">
      <c r="B263" s="405"/>
      <c r="C263" s="405"/>
      <c r="D263" s="405"/>
      <c r="E263" s="405"/>
      <c r="F263" s="405"/>
      <c r="G263" s="405"/>
      <c r="H263" s="405"/>
      <c r="I263" s="405"/>
      <c r="J263" s="405"/>
      <c r="K263" s="405"/>
      <c r="L263" s="405"/>
      <c r="M263" s="405"/>
      <c r="N263" s="405"/>
      <c r="O263" s="405"/>
      <c r="P263" s="405"/>
      <c r="Q263" s="405"/>
      <c r="R263" s="405"/>
      <c r="S263" s="405"/>
      <c r="T263" s="405"/>
      <c r="U263" s="405"/>
      <c r="V263" s="405"/>
      <c r="W263" s="405"/>
      <c r="X263" s="405"/>
    </row>
    <row r="264" spans="2:24">
      <c r="B264" s="405"/>
      <c r="C264" s="405"/>
      <c r="D264" s="405"/>
      <c r="E264" s="405"/>
      <c r="F264" s="405"/>
      <c r="G264" s="405"/>
      <c r="H264" s="405"/>
      <c r="I264" s="405"/>
      <c r="J264" s="405"/>
      <c r="K264" s="405"/>
      <c r="L264" s="405"/>
      <c r="M264" s="405"/>
      <c r="N264" s="405"/>
      <c r="O264" s="405"/>
      <c r="P264" s="405"/>
      <c r="Q264" s="405"/>
      <c r="R264" s="405"/>
      <c r="S264" s="405"/>
      <c r="T264" s="405"/>
      <c r="U264" s="405"/>
      <c r="V264" s="405"/>
      <c r="W264" s="405"/>
      <c r="X264" s="405"/>
    </row>
    <row r="265" spans="2:24">
      <c r="B265" s="405"/>
      <c r="C265" s="405"/>
      <c r="D265" s="405"/>
      <c r="E265" s="405"/>
      <c r="F265" s="405"/>
      <c r="G265" s="405"/>
      <c r="H265" s="405"/>
      <c r="I265" s="405"/>
      <c r="J265" s="405"/>
      <c r="K265" s="405"/>
      <c r="L265" s="405"/>
      <c r="M265" s="405"/>
      <c r="N265" s="405"/>
      <c r="O265" s="405"/>
      <c r="P265" s="405"/>
      <c r="Q265" s="405"/>
      <c r="R265" s="405"/>
      <c r="S265" s="405"/>
      <c r="T265" s="405"/>
      <c r="U265" s="405"/>
      <c r="V265" s="405"/>
      <c r="W265" s="405"/>
      <c r="X265" s="405"/>
    </row>
    <row r="266" spans="2:24">
      <c r="B266" s="405"/>
      <c r="C266" s="405"/>
      <c r="D266" s="405"/>
      <c r="E266" s="405"/>
      <c r="F266" s="405"/>
      <c r="G266" s="405"/>
      <c r="H266" s="405"/>
      <c r="I266" s="405"/>
      <c r="J266" s="405"/>
      <c r="K266" s="405"/>
      <c r="L266" s="405"/>
      <c r="M266" s="405"/>
      <c r="N266" s="405"/>
      <c r="O266" s="405"/>
      <c r="P266" s="405"/>
      <c r="Q266" s="405"/>
      <c r="R266" s="405"/>
      <c r="S266" s="405"/>
      <c r="T266" s="405"/>
      <c r="U266" s="405"/>
      <c r="V266" s="405"/>
      <c r="W266" s="405"/>
      <c r="X266" s="405"/>
    </row>
    <row r="267" spans="2:24">
      <c r="B267" s="405"/>
      <c r="C267" s="405"/>
      <c r="D267" s="405"/>
      <c r="E267" s="405"/>
      <c r="F267" s="405"/>
      <c r="G267" s="405"/>
      <c r="H267" s="405"/>
      <c r="I267" s="405"/>
      <c r="J267" s="405"/>
      <c r="K267" s="405"/>
      <c r="L267" s="405"/>
      <c r="M267" s="405"/>
      <c r="N267" s="405"/>
      <c r="O267" s="405"/>
      <c r="P267" s="405"/>
      <c r="Q267" s="405"/>
      <c r="R267" s="405"/>
      <c r="S267" s="405"/>
      <c r="T267" s="405"/>
      <c r="U267" s="405"/>
      <c r="V267" s="405"/>
      <c r="W267" s="405"/>
      <c r="X267" s="405"/>
    </row>
    <row r="268" spans="2:24">
      <c r="B268" s="405"/>
      <c r="C268" s="405"/>
      <c r="D268" s="405"/>
      <c r="E268" s="405"/>
      <c r="F268" s="405"/>
      <c r="G268" s="405"/>
      <c r="H268" s="405"/>
      <c r="I268" s="405"/>
      <c r="J268" s="405"/>
      <c r="K268" s="405"/>
      <c r="L268" s="405"/>
      <c r="M268" s="405"/>
      <c r="N268" s="405"/>
      <c r="O268" s="405"/>
      <c r="P268" s="405"/>
      <c r="Q268" s="405"/>
      <c r="R268" s="405"/>
      <c r="S268" s="405"/>
      <c r="T268" s="405"/>
      <c r="U268" s="405"/>
      <c r="V268" s="405"/>
      <c r="W268" s="405"/>
      <c r="X268" s="405"/>
    </row>
    <row r="269" spans="2:24">
      <c r="B269" s="405"/>
      <c r="C269" s="405"/>
      <c r="D269" s="405"/>
      <c r="E269" s="405"/>
      <c r="F269" s="405"/>
      <c r="G269" s="405"/>
      <c r="H269" s="405"/>
      <c r="I269" s="405"/>
      <c r="J269" s="405"/>
      <c r="K269" s="405"/>
      <c r="L269" s="405"/>
      <c r="M269" s="405"/>
      <c r="N269" s="405"/>
      <c r="O269" s="405"/>
      <c r="P269" s="405"/>
      <c r="Q269" s="405"/>
      <c r="R269" s="405"/>
      <c r="S269" s="405"/>
      <c r="T269" s="405"/>
      <c r="U269" s="405"/>
      <c r="V269" s="405"/>
      <c r="W269" s="405"/>
      <c r="X269" s="405"/>
    </row>
    <row r="270" spans="2:24">
      <c r="B270" s="405"/>
      <c r="C270" s="405"/>
      <c r="D270" s="405"/>
      <c r="E270" s="405"/>
      <c r="F270" s="405"/>
      <c r="G270" s="405"/>
      <c r="H270" s="405"/>
      <c r="I270" s="405"/>
      <c r="J270" s="405"/>
      <c r="K270" s="405"/>
      <c r="L270" s="405"/>
      <c r="M270" s="405"/>
      <c r="N270" s="405"/>
      <c r="O270" s="405"/>
      <c r="P270" s="405"/>
      <c r="Q270" s="405"/>
      <c r="R270" s="405"/>
      <c r="S270" s="405"/>
      <c r="T270" s="405"/>
      <c r="U270" s="405"/>
      <c r="V270" s="405"/>
      <c r="W270" s="405"/>
      <c r="X270" s="405"/>
    </row>
    <row r="271" spans="2:24">
      <c r="B271" s="405"/>
      <c r="C271" s="405"/>
      <c r="D271" s="405"/>
      <c r="E271" s="405"/>
      <c r="F271" s="405"/>
      <c r="G271" s="405"/>
      <c r="H271" s="405"/>
      <c r="I271" s="405"/>
      <c r="J271" s="405"/>
      <c r="K271" s="405"/>
      <c r="L271" s="405"/>
      <c r="M271" s="405"/>
      <c r="N271" s="405"/>
      <c r="O271" s="405"/>
      <c r="P271" s="405"/>
      <c r="Q271" s="405"/>
      <c r="R271" s="405"/>
      <c r="S271" s="405"/>
      <c r="T271" s="405"/>
      <c r="U271" s="405"/>
      <c r="V271" s="405"/>
      <c r="W271" s="405"/>
      <c r="X271" s="405"/>
    </row>
    <row r="272" spans="2:24">
      <c r="B272" s="405"/>
      <c r="C272" s="405"/>
      <c r="D272" s="405"/>
      <c r="E272" s="405"/>
      <c r="F272" s="405"/>
      <c r="G272" s="405"/>
      <c r="H272" s="405"/>
      <c r="I272" s="405"/>
      <c r="J272" s="405"/>
      <c r="K272" s="405"/>
      <c r="L272" s="405"/>
      <c r="M272" s="405"/>
      <c r="N272" s="405"/>
      <c r="O272" s="405"/>
      <c r="P272" s="405"/>
      <c r="Q272" s="405"/>
      <c r="R272" s="405"/>
      <c r="S272" s="405"/>
      <c r="T272" s="405"/>
      <c r="U272" s="405"/>
      <c r="V272" s="405"/>
      <c r="W272" s="405"/>
      <c r="X272" s="405"/>
    </row>
    <row r="273" spans="2:24">
      <c r="B273" s="405"/>
      <c r="C273" s="405"/>
      <c r="D273" s="405"/>
      <c r="E273" s="405"/>
      <c r="F273" s="405"/>
      <c r="G273" s="405"/>
      <c r="H273" s="405"/>
      <c r="I273" s="405"/>
      <c r="J273" s="405"/>
      <c r="K273" s="405"/>
      <c r="L273" s="405"/>
      <c r="M273" s="405"/>
      <c r="N273" s="405"/>
      <c r="O273" s="405"/>
      <c r="P273" s="405"/>
      <c r="Q273" s="405"/>
      <c r="R273" s="405"/>
      <c r="S273" s="405"/>
      <c r="T273" s="405"/>
      <c r="U273" s="405"/>
      <c r="V273" s="405"/>
      <c r="W273" s="405"/>
      <c r="X273" s="405"/>
    </row>
    <row r="274" spans="2:24">
      <c r="B274" s="405"/>
      <c r="C274" s="405"/>
      <c r="D274" s="405"/>
      <c r="E274" s="405"/>
      <c r="F274" s="405"/>
      <c r="G274" s="405"/>
      <c r="H274" s="405"/>
      <c r="I274" s="405"/>
      <c r="J274" s="405"/>
      <c r="K274" s="405"/>
      <c r="L274" s="405"/>
      <c r="M274" s="405"/>
      <c r="N274" s="405"/>
      <c r="O274" s="405"/>
      <c r="P274" s="405"/>
      <c r="Q274" s="405"/>
      <c r="R274" s="405"/>
      <c r="S274" s="405"/>
      <c r="T274" s="405"/>
      <c r="U274" s="405"/>
      <c r="V274" s="405"/>
      <c r="W274" s="405"/>
      <c r="X274" s="405"/>
    </row>
    <row r="275" spans="2:24">
      <c r="B275" s="405"/>
      <c r="C275" s="405"/>
      <c r="D275" s="405"/>
      <c r="E275" s="405"/>
      <c r="F275" s="405"/>
      <c r="G275" s="405"/>
      <c r="H275" s="405"/>
      <c r="I275" s="405"/>
      <c r="J275" s="405"/>
      <c r="K275" s="405"/>
      <c r="L275" s="405"/>
      <c r="M275" s="405"/>
      <c r="N275" s="405"/>
      <c r="O275" s="405"/>
      <c r="P275" s="405"/>
      <c r="Q275" s="405"/>
      <c r="R275" s="405"/>
      <c r="S275" s="405"/>
      <c r="T275" s="405"/>
      <c r="U275" s="405"/>
      <c r="V275" s="405"/>
      <c r="W275" s="405"/>
      <c r="X275" s="405"/>
    </row>
    <row r="276" spans="2:24">
      <c r="B276" s="405"/>
      <c r="C276" s="405"/>
      <c r="D276" s="405"/>
      <c r="E276" s="405"/>
      <c r="F276" s="405"/>
      <c r="G276" s="405"/>
      <c r="H276" s="405"/>
      <c r="I276" s="405"/>
      <c r="J276" s="405"/>
      <c r="K276" s="405"/>
      <c r="L276" s="405"/>
      <c r="M276" s="405"/>
      <c r="N276" s="405"/>
      <c r="O276" s="405"/>
      <c r="P276" s="405"/>
      <c r="Q276" s="405"/>
      <c r="R276" s="405"/>
      <c r="S276" s="405"/>
      <c r="T276" s="405"/>
      <c r="U276" s="405"/>
      <c r="V276" s="405"/>
      <c r="W276" s="405"/>
      <c r="X276" s="405"/>
    </row>
    <row r="277" spans="2:24">
      <c r="B277" s="405"/>
      <c r="C277" s="405"/>
      <c r="D277" s="405"/>
      <c r="E277" s="405"/>
      <c r="F277" s="405"/>
      <c r="G277" s="405"/>
      <c r="H277" s="405"/>
      <c r="I277" s="405"/>
      <c r="J277" s="405"/>
      <c r="K277" s="405"/>
      <c r="L277" s="405"/>
      <c r="M277" s="405"/>
      <c r="N277" s="405"/>
      <c r="O277" s="405"/>
      <c r="P277" s="405"/>
      <c r="Q277" s="405"/>
      <c r="R277" s="405"/>
      <c r="S277" s="405"/>
      <c r="T277" s="405"/>
      <c r="U277" s="405"/>
      <c r="V277" s="405"/>
      <c r="W277" s="405"/>
      <c r="X277" s="405"/>
    </row>
    <row r="278" spans="2:24">
      <c r="B278" s="405"/>
      <c r="C278" s="405"/>
      <c r="D278" s="405"/>
      <c r="E278" s="405"/>
      <c r="F278" s="405"/>
      <c r="G278" s="405"/>
      <c r="H278" s="405"/>
      <c r="I278" s="405"/>
      <c r="J278" s="405"/>
      <c r="K278" s="405"/>
      <c r="L278" s="405"/>
      <c r="M278" s="405"/>
      <c r="N278" s="405"/>
      <c r="O278" s="405"/>
      <c r="P278" s="405"/>
      <c r="Q278" s="405"/>
      <c r="R278" s="405"/>
      <c r="S278" s="405"/>
      <c r="T278" s="405"/>
      <c r="U278" s="405"/>
      <c r="V278" s="405"/>
      <c r="W278" s="405"/>
      <c r="X278" s="405"/>
    </row>
    <row r="279" spans="2:24">
      <c r="B279" s="405"/>
      <c r="C279" s="405"/>
      <c r="D279" s="405"/>
      <c r="E279" s="405"/>
      <c r="F279" s="405"/>
      <c r="G279" s="405"/>
      <c r="H279" s="405"/>
      <c r="I279" s="405"/>
      <c r="J279" s="405"/>
      <c r="K279" s="405"/>
      <c r="L279" s="405"/>
      <c r="M279" s="405"/>
      <c r="N279" s="405"/>
      <c r="O279" s="405"/>
      <c r="P279" s="405"/>
      <c r="Q279" s="405"/>
      <c r="R279" s="405"/>
      <c r="S279" s="405"/>
      <c r="T279" s="405"/>
      <c r="U279" s="405"/>
      <c r="V279" s="405"/>
      <c r="W279" s="405"/>
      <c r="X279" s="405"/>
    </row>
    <row r="280" spans="2:24">
      <c r="B280" s="405"/>
      <c r="C280" s="405"/>
      <c r="D280" s="405"/>
      <c r="E280" s="405"/>
      <c r="F280" s="405"/>
      <c r="G280" s="405"/>
      <c r="H280" s="405"/>
      <c r="I280" s="405"/>
      <c r="J280" s="405"/>
      <c r="K280" s="405"/>
      <c r="L280" s="405"/>
      <c r="M280" s="405"/>
      <c r="N280" s="405"/>
      <c r="O280" s="405"/>
      <c r="P280" s="405"/>
      <c r="Q280" s="405"/>
      <c r="R280" s="405"/>
      <c r="S280" s="405"/>
      <c r="T280" s="405"/>
      <c r="U280" s="405"/>
      <c r="V280" s="405"/>
      <c r="W280" s="405"/>
      <c r="X280" s="405"/>
    </row>
    <row r="281" spans="2:24">
      <c r="B281" s="405"/>
      <c r="C281" s="405"/>
      <c r="D281" s="405"/>
      <c r="E281" s="405"/>
      <c r="F281" s="405"/>
      <c r="G281" s="405"/>
      <c r="H281" s="405"/>
      <c r="I281" s="405"/>
      <c r="J281" s="405"/>
      <c r="K281" s="405"/>
      <c r="L281" s="405"/>
      <c r="M281" s="405"/>
      <c r="N281" s="405"/>
      <c r="O281" s="405"/>
      <c r="P281" s="405"/>
      <c r="Q281" s="405"/>
      <c r="R281" s="405"/>
      <c r="S281" s="405"/>
      <c r="T281" s="405"/>
      <c r="U281" s="405"/>
      <c r="V281" s="405"/>
      <c r="W281" s="405"/>
      <c r="X281" s="405"/>
    </row>
    <row r="282" spans="2:24">
      <c r="B282" s="405"/>
      <c r="C282" s="405"/>
      <c r="D282" s="405"/>
      <c r="E282" s="405"/>
      <c r="F282" s="405"/>
      <c r="G282" s="405"/>
      <c r="H282" s="405"/>
      <c r="I282" s="405"/>
      <c r="J282" s="405"/>
      <c r="K282" s="405"/>
      <c r="L282" s="405"/>
      <c r="M282" s="405"/>
      <c r="N282" s="405"/>
      <c r="O282" s="405"/>
      <c r="P282" s="405"/>
      <c r="Q282" s="405"/>
      <c r="R282" s="405"/>
      <c r="S282" s="405"/>
      <c r="T282" s="405"/>
      <c r="U282" s="405"/>
      <c r="V282" s="405"/>
      <c r="W282" s="405"/>
      <c r="X282" s="405"/>
    </row>
    <row r="283" spans="2:24">
      <c r="B283" s="405"/>
      <c r="C283" s="405"/>
      <c r="D283" s="405"/>
      <c r="E283" s="405"/>
      <c r="F283" s="405"/>
      <c r="G283" s="405"/>
      <c r="H283" s="405"/>
      <c r="I283" s="405"/>
      <c r="J283" s="405"/>
      <c r="K283" s="405"/>
      <c r="L283" s="405"/>
      <c r="M283" s="405"/>
      <c r="N283" s="405"/>
      <c r="O283" s="405"/>
      <c r="P283" s="405"/>
      <c r="Q283" s="405"/>
      <c r="R283" s="405"/>
      <c r="S283" s="405"/>
      <c r="T283" s="405"/>
      <c r="U283" s="405"/>
      <c r="V283" s="405"/>
      <c r="W283" s="405"/>
      <c r="X283" s="405"/>
    </row>
    <row r="284" spans="2:24">
      <c r="B284" s="405"/>
      <c r="C284" s="405"/>
      <c r="D284" s="405"/>
      <c r="E284" s="405"/>
      <c r="F284" s="405"/>
      <c r="G284" s="405"/>
      <c r="H284" s="405"/>
      <c r="I284" s="405"/>
      <c r="J284" s="405"/>
      <c r="K284" s="405"/>
      <c r="L284" s="405"/>
      <c r="M284" s="405"/>
      <c r="N284" s="405"/>
      <c r="O284" s="405"/>
      <c r="P284" s="405"/>
      <c r="Q284" s="405"/>
      <c r="R284" s="405"/>
      <c r="S284" s="405"/>
      <c r="T284" s="405"/>
      <c r="U284" s="405"/>
      <c r="V284" s="405"/>
      <c r="W284" s="405"/>
      <c r="X284" s="405"/>
    </row>
    <row r="285" spans="2:24">
      <c r="B285" s="405"/>
      <c r="C285" s="405"/>
      <c r="D285" s="405"/>
      <c r="E285" s="405"/>
      <c r="F285" s="405"/>
      <c r="G285" s="405"/>
      <c r="H285" s="405"/>
      <c r="I285" s="405"/>
      <c r="J285" s="405"/>
      <c r="K285" s="405"/>
      <c r="L285" s="405"/>
      <c r="M285" s="405"/>
      <c r="N285" s="405"/>
      <c r="O285" s="405"/>
      <c r="P285" s="405"/>
      <c r="Q285" s="405"/>
      <c r="R285" s="405"/>
      <c r="S285" s="405"/>
      <c r="T285" s="405"/>
      <c r="U285" s="405"/>
      <c r="V285" s="405"/>
      <c r="W285" s="405"/>
      <c r="X285" s="405"/>
    </row>
    <row r="286" spans="2:24">
      <c r="B286" s="405"/>
      <c r="C286" s="405"/>
      <c r="D286" s="405"/>
      <c r="E286" s="405"/>
      <c r="F286" s="405"/>
      <c r="G286" s="405"/>
      <c r="H286" s="405"/>
      <c r="I286" s="405"/>
      <c r="J286" s="405"/>
      <c r="K286" s="405"/>
      <c r="L286" s="405"/>
      <c r="M286" s="405"/>
      <c r="N286" s="405"/>
      <c r="O286" s="405"/>
      <c r="P286" s="405"/>
      <c r="Q286" s="405"/>
      <c r="R286" s="405"/>
      <c r="S286" s="405"/>
      <c r="T286" s="405"/>
      <c r="U286" s="405"/>
      <c r="V286" s="405"/>
      <c r="W286" s="405"/>
      <c r="X286" s="405"/>
    </row>
    <row r="287" spans="2:24">
      <c r="B287" s="405"/>
      <c r="C287" s="405"/>
      <c r="D287" s="405"/>
      <c r="E287" s="405"/>
      <c r="F287" s="405"/>
      <c r="G287" s="405"/>
      <c r="H287" s="405"/>
      <c r="I287" s="405"/>
      <c r="J287" s="405"/>
      <c r="K287" s="405"/>
      <c r="L287" s="405"/>
      <c r="M287" s="405"/>
      <c r="N287" s="405"/>
      <c r="O287" s="405"/>
      <c r="P287" s="405"/>
      <c r="Q287" s="405"/>
      <c r="R287" s="405"/>
      <c r="S287" s="405"/>
      <c r="T287" s="405"/>
      <c r="U287" s="405"/>
      <c r="V287" s="405"/>
      <c r="W287" s="405"/>
      <c r="X287" s="405"/>
    </row>
    <row r="288" spans="2:24">
      <c r="B288" s="405"/>
      <c r="C288" s="405"/>
      <c r="D288" s="405"/>
      <c r="E288" s="405"/>
      <c r="F288" s="405"/>
      <c r="G288" s="405"/>
      <c r="H288" s="405"/>
      <c r="I288" s="405"/>
      <c r="J288" s="405"/>
      <c r="K288" s="405"/>
      <c r="L288" s="405"/>
      <c r="M288" s="405"/>
      <c r="N288" s="405"/>
      <c r="O288" s="405"/>
      <c r="P288" s="405"/>
      <c r="Q288" s="405"/>
      <c r="R288" s="405"/>
      <c r="S288" s="405"/>
      <c r="T288" s="405"/>
      <c r="U288" s="405"/>
      <c r="V288" s="405"/>
      <c r="W288" s="405"/>
      <c r="X288" s="405"/>
    </row>
    <row r="289" spans="2:24">
      <c r="B289" s="405"/>
      <c r="C289" s="405"/>
      <c r="D289" s="405"/>
      <c r="E289" s="405"/>
      <c r="F289" s="405"/>
      <c r="G289" s="405"/>
      <c r="H289" s="405"/>
      <c r="I289" s="405"/>
      <c r="J289" s="405"/>
      <c r="K289" s="405"/>
      <c r="L289" s="405"/>
      <c r="M289" s="405"/>
      <c r="N289" s="405"/>
      <c r="O289" s="405"/>
      <c r="P289" s="405"/>
      <c r="Q289" s="405"/>
      <c r="R289" s="405"/>
      <c r="S289" s="405"/>
      <c r="T289" s="405"/>
      <c r="U289" s="405"/>
      <c r="V289" s="405"/>
      <c r="W289" s="405"/>
      <c r="X289" s="405"/>
    </row>
    <row r="290" spans="2:24">
      <c r="B290" s="405"/>
      <c r="C290" s="405"/>
      <c r="D290" s="405"/>
      <c r="E290" s="405"/>
      <c r="F290" s="405"/>
      <c r="G290" s="405"/>
      <c r="H290" s="405"/>
      <c r="I290" s="405"/>
      <c r="J290" s="405"/>
      <c r="K290" s="405"/>
      <c r="L290" s="405"/>
      <c r="M290" s="405"/>
      <c r="N290" s="405"/>
      <c r="O290" s="405"/>
      <c r="P290" s="405"/>
      <c r="Q290" s="405"/>
      <c r="R290" s="405"/>
      <c r="S290" s="405"/>
      <c r="T290" s="405"/>
      <c r="U290" s="405"/>
      <c r="V290" s="405"/>
      <c r="W290" s="405"/>
      <c r="X290" s="405"/>
    </row>
    <row r="291" spans="2:24">
      <c r="B291" s="405"/>
      <c r="C291" s="405"/>
      <c r="D291" s="405"/>
      <c r="E291" s="405"/>
      <c r="F291" s="405"/>
      <c r="G291" s="405"/>
      <c r="H291" s="405"/>
      <c r="I291" s="405"/>
      <c r="J291" s="405"/>
      <c r="K291" s="405"/>
      <c r="L291" s="405"/>
      <c r="M291" s="405"/>
      <c r="N291" s="405"/>
      <c r="O291" s="405"/>
      <c r="P291" s="405"/>
      <c r="Q291" s="405"/>
      <c r="R291" s="405"/>
      <c r="S291" s="405"/>
      <c r="T291" s="405"/>
      <c r="U291" s="405"/>
      <c r="V291" s="405"/>
      <c r="W291" s="405"/>
      <c r="X291" s="405"/>
    </row>
    <row r="292" spans="2:24">
      <c r="B292" s="405"/>
      <c r="C292" s="405"/>
      <c r="D292" s="405"/>
      <c r="E292" s="405"/>
      <c r="F292" s="405"/>
      <c r="G292" s="405"/>
      <c r="H292" s="405"/>
      <c r="I292" s="405"/>
      <c r="J292" s="405"/>
      <c r="K292" s="405"/>
      <c r="L292" s="405"/>
      <c r="M292" s="405"/>
      <c r="N292" s="405"/>
      <c r="O292" s="405"/>
      <c r="P292" s="405"/>
      <c r="Q292" s="405"/>
      <c r="R292" s="405"/>
      <c r="S292" s="405"/>
      <c r="T292" s="405"/>
      <c r="U292" s="405"/>
      <c r="V292" s="405"/>
      <c r="W292" s="405"/>
      <c r="X292" s="405"/>
    </row>
    <row r="293" spans="2:24">
      <c r="B293" s="405"/>
      <c r="C293" s="405"/>
      <c r="D293" s="405"/>
      <c r="E293" s="405"/>
      <c r="F293" s="405"/>
      <c r="G293" s="405"/>
      <c r="H293" s="405"/>
      <c r="I293" s="405"/>
      <c r="J293" s="405"/>
      <c r="K293" s="405"/>
      <c r="L293" s="405"/>
      <c r="M293" s="405"/>
      <c r="N293" s="405"/>
      <c r="O293" s="405"/>
      <c r="P293" s="405"/>
      <c r="Q293" s="405"/>
      <c r="R293" s="405"/>
      <c r="S293" s="405"/>
      <c r="T293" s="405"/>
      <c r="U293" s="405"/>
      <c r="V293" s="405"/>
      <c r="W293" s="405"/>
      <c r="X293" s="405"/>
    </row>
    <row r="294" spans="2:24">
      <c r="B294" s="405"/>
      <c r="C294" s="405"/>
      <c r="D294" s="405"/>
      <c r="E294" s="405"/>
      <c r="F294" s="405"/>
      <c r="G294" s="405"/>
      <c r="H294" s="405"/>
      <c r="I294" s="405"/>
      <c r="J294" s="405"/>
      <c r="K294" s="405"/>
      <c r="L294" s="405"/>
      <c r="M294" s="405"/>
      <c r="N294" s="405"/>
      <c r="O294" s="405"/>
      <c r="P294" s="405"/>
      <c r="Q294" s="405"/>
      <c r="R294" s="405"/>
      <c r="S294" s="405"/>
      <c r="T294" s="405"/>
      <c r="U294" s="405"/>
      <c r="V294" s="405"/>
      <c r="W294" s="405"/>
      <c r="X294" s="405"/>
    </row>
    <row r="295" spans="2:24">
      <c r="B295" s="405"/>
      <c r="C295" s="405"/>
      <c r="D295" s="405"/>
      <c r="E295" s="405"/>
      <c r="F295" s="405"/>
      <c r="G295" s="405"/>
      <c r="H295" s="405"/>
      <c r="I295" s="405"/>
      <c r="J295" s="405"/>
      <c r="K295" s="405"/>
      <c r="L295" s="405"/>
      <c r="M295" s="405"/>
      <c r="N295" s="405"/>
      <c r="O295" s="405"/>
      <c r="P295" s="405"/>
      <c r="Q295" s="405"/>
      <c r="R295" s="405"/>
      <c r="S295" s="405"/>
      <c r="T295" s="405"/>
      <c r="U295" s="405"/>
      <c r="V295" s="405"/>
      <c r="W295" s="405"/>
      <c r="X295" s="405"/>
    </row>
    <row r="296" spans="2:24">
      <c r="B296" s="405"/>
      <c r="C296" s="405"/>
      <c r="D296" s="405"/>
      <c r="E296" s="405"/>
      <c r="F296" s="405"/>
      <c r="G296" s="405"/>
      <c r="H296" s="405"/>
      <c r="I296" s="405"/>
      <c r="J296" s="405"/>
      <c r="K296" s="405"/>
      <c r="L296" s="405"/>
      <c r="M296" s="405"/>
      <c r="N296" s="405"/>
      <c r="O296" s="405"/>
      <c r="P296" s="405"/>
      <c r="Q296" s="405"/>
      <c r="R296" s="405"/>
      <c r="S296" s="405"/>
      <c r="T296" s="405"/>
      <c r="U296" s="405"/>
      <c r="V296" s="405"/>
      <c r="W296" s="405"/>
      <c r="X296" s="405"/>
    </row>
    <row r="297" spans="2:24">
      <c r="B297" s="405"/>
      <c r="C297" s="405"/>
      <c r="D297" s="405"/>
      <c r="E297" s="405"/>
      <c r="F297" s="405"/>
      <c r="G297" s="405"/>
      <c r="H297" s="405"/>
      <c r="I297" s="405"/>
      <c r="J297" s="405"/>
      <c r="K297" s="405"/>
      <c r="L297" s="405"/>
      <c r="M297" s="405"/>
      <c r="N297" s="405"/>
      <c r="O297" s="405"/>
      <c r="P297" s="405"/>
      <c r="Q297" s="405"/>
      <c r="R297" s="405"/>
      <c r="S297" s="405"/>
      <c r="T297" s="405"/>
      <c r="U297" s="405"/>
      <c r="V297" s="405"/>
      <c r="W297" s="405"/>
      <c r="X297" s="405"/>
    </row>
    <row r="298" spans="2:24">
      <c r="B298" s="405"/>
      <c r="C298" s="405"/>
      <c r="D298" s="405"/>
      <c r="E298" s="405"/>
      <c r="F298" s="405"/>
      <c r="G298" s="405"/>
      <c r="H298" s="405"/>
      <c r="I298" s="405"/>
      <c r="J298" s="405"/>
      <c r="K298" s="405"/>
      <c r="L298" s="405"/>
      <c r="M298" s="405"/>
      <c r="N298" s="405"/>
      <c r="O298" s="405"/>
      <c r="P298" s="405"/>
      <c r="Q298" s="405"/>
      <c r="R298" s="405"/>
      <c r="S298" s="405"/>
      <c r="T298" s="405"/>
      <c r="U298" s="405"/>
      <c r="V298" s="405"/>
      <c r="W298" s="405"/>
      <c r="X298" s="405"/>
    </row>
    <row r="299" spans="2:24">
      <c r="B299" s="405"/>
      <c r="C299" s="405"/>
      <c r="D299" s="405"/>
      <c r="E299" s="405"/>
      <c r="F299" s="405"/>
      <c r="G299" s="405"/>
      <c r="H299" s="405"/>
      <c r="I299" s="405"/>
      <c r="J299" s="405"/>
      <c r="K299" s="405"/>
      <c r="L299" s="405"/>
      <c r="M299" s="405"/>
      <c r="N299" s="405"/>
      <c r="O299" s="405"/>
      <c r="P299" s="405"/>
      <c r="Q299" s="405"/>
      <c r="R299" s="405"/>
      <c r="S299" s="405"/>
      <c r="T299" s="405"/>
      <c r="U299" s="405"/>
      <c r="V299" s="405"/>
      <c r="W299" s="405"/>
      <c r="X299" s="405"/>
    </row>
    <row r="300" spans="2:24">
      <c r="B300" s="405"/>
      <c r="C300" s="405"/>
      <c r="D300" s="405"/>
      <c r="E300" s="405"/>
      <c r="F300" s="405"/>
      <c r="G300" s="405"/>
      <c r="H300" s="405"/>
      <c r="I300" s="405"/>
      <c r="J300" s="405"/>
      <c r="K300" s="405"/>
      <c r="L300" s="405"/>
      <c r="M300" s="405"/>
      <c r="N300" s="405"/>
      <c r="O300" s="405"/>
      <c r="P300" s="405"/>
      <c r="Q300" s="405"/>
      <c r="R300" s="405"/>
      <c r="S300" s="405"/>
      <c r="T300" s="405"/>
      <c r="U300" s="405"/>
      <c r="V300" s="405"/>
      <c r="W300" s="405"/>
      <c r="X300" s="405"/>
    </row>
    <row r="301" spans="2:24">
      <c r="B301" s="405"/>
      <c r="C301" s="405"/>
      <c r="D301" s="405"/>
      <c r="E301" s="405"/>
      <c r="F301" s="405"/>
      <c r="G301" s="405"/>
      <c r="H301" s="405"/>
      <c r="I301" s="405"/>
      <c r="J301" s="405"/>
      <c r="K301" s="405"/>
      <c r="L301" s="405"/>
      <c r="M301" s="405"/>
      <c r="N301" s="405"/>
      <c r="O301" s="405"/>
      <c r="P301" s="405"/>
      <c r="Q301" s="405"/>
      <c r="R301" s="405"/>
      <c r="S301" s="405"/>
      <c r="T301" s="405"/>
      <c r="U301" s="405"/>
      <c r="V301" s="405"/>
      <c r="W301" s="405"/>
      <c r="X301" s="405"/>
    </row>
    <row r="302" spans="2:24">
      <c r="B302" s="405"/>
      <c r="C302" s="405"/>
      <c r="D302" s="405"/>
      <c r="E302" s="405"/>
      <c r="F302" s="405"/>
      <c r="G302" s="405"/>
      <c r="H302" s="405"/>
      <c r="I302" s="405"/>
      <c r="J302" s="405"/>
      <c r="K302" s="405"/>
      <c r="L302" s="405"/>
      <c r="M302" s="405"/>
      <c r="N302" s="405"/>
      <c r="O302" s="405"/>
      <c r="P302" s="405"/>
      <c r="Q302" s="405"/>
      <c r="R302" s="405"/>
      <c r="S302" s="405"/>
      <c r="T302" s="405"/>
      <c r="U302" s="405"/>
      <c r="V302" s="405"/>
      <c r="W302" s="405"/>
      <c r="X302" s="405"/>
    </row>
    <row r="303" spans="2:24">
      <c r="B303" s="405"/>
      <c r="C303" s="405"/>
      <c r="D303" s="405"/>
      <c r="E303" s="405"/>
      <c r="F303" s="405"/>
      <c r="G303" s="405"/>
      <c r="H303" s="405"/>
      <c r="I303" s="405"/>
      <c r="J303" s="405"/>
      <c r="K303" s="405"/>
      <c r="L303" s="405"/>
      <c r="M303" s="405"/>
      <c r="N303" s="405"/>
      <c r="O303" s="405"/>
      <c r="P303" s="405"/>
      <c r="Q303" s="405"/>
      <c r="R303" s="405"/>
      <c r="S303" s="405"/>
      <c r="T303" s="405"/>
      <c r="U303" s="405"/>
      <c r="V303" s="405"/>
      <c r="W303" s="405"/>
      <c r="X303" s="405"/>
    </row>
    <row r="304" spans="2:24">
      <c r="B304" s="405"/>
      <c r="C304" s="405"/>
      <c r="D304" s="405"/>
      <c r="E304" s="405"/>
      <c r="F304" s="405"/>
      <c r="G304" s="405"/>
      <c r="H304" s="405"/>
      <c r="I304" s="405"/>
      <c r="J304" s="405"/>
      <c r="K304" s="405"/>
      <c r="L304" s="405"/>
      <c r="M304" s="405"/>
      <c r="N304" s="405"/>
      <c r="O304" s="405"/>
      <c r="P304" s="405"/>
      <c r="Q304" s="405"/>
      <c r="R304" s="405"/>
      <c r="S304" s="405"/>
      <c r="T304" s="405"/>
      <c r="U304" s="405"/>
      <c r="V304" s="405"/>
      <c r="W304" s="405"/>
      <c r="X304" s="405"/>
    </row>
    <row r="305" spans="2:24">
      <c r="B305" s="405"/>
      <c r="C305" s="405"/>
      <c r="D305" s="405"/>
      <c r="E305" s="405"/>
      <c r="F305" s="405"/>
      <c r="G305" s="405"/>
      <c r="H305" s="405"/>
      <c r="I305" s="405"/>
      <c r="J305" s="405"/>
      <c r="K305" s="405"/>
      <c r="L305" s="405"/>
      <c r="M305" s="405"/>
      <c r="N305" s="405"/>
      <c r="O305" s="405"/>
      <c r="P305" s="405"/>
      <c r="Q305" s="405"/>
      <c r="R305" s="405"/>
      <c r="S305" s="405"/>
      <c r="T305" s="405"/>
      <c r="U305" s="405"/>
      <c r="V305" s="405"/>
      <c r="W305" s="405"/>
      <c r="X305" s="405"/>
    </row>
    <row r="306" spans="2:24">
      <c r="B306" s="405"/>
      <c r="C306" s="405"/>
      <c r="D306" s="405"/>
      <c r="E306" s="405"/>
      <c r="F306" s="405"/>
      <c r="G306" s="405"/>
      <c r="H306" s="405"/>
      <c r="I306" s="405"/>
      <c r="J306" s="405"/>
      <c r="K306" s="405"/>
      <c r="L306" s="405"/>
      <c r="M306" s="405"/>
      <c r="N306" s="405"/>
      <c r="O306" s="405"/>
      <c r="P306" s="405"/>
      <c r="Q306" s="405"/>
      <c r="R306" s="405"/>
      <c r="S306" s="405"/>
      <c r="T306" s="405"/>
      <c r="U306" s="405"/>
      <c r="V306" s="405"/>
      <c r="W306" s="405"/>
      <c r="X306" s="405"/>
    </row>
    <row r="307" spans="2:24">
      <c r="B307" s="405"/>
      <c r="C307" s="405"/>
      <c r="D307" s="405"/>
      <c r="E307" s="405"/>
      <c r="F307" s="405"/>
      <c r="G307" s="405"/>
      <c r="H307" s="405"/>
      <c r="I307" s="405"/>
      <c r="J307" s="405"/>
      <c r="K307" s="405"/>
      <c r="L307" s="405"/>
      <c r="M307" s="405"/>
      <c r="N307" s="405"/>
      <c r="O307" s="405"/>
      <c r="P307" s="405"/>
      <c r="Q307" s="405"/>
      <c r="R307" s="405"/>
      <c r="S307" s="405"/>
      <c r="T307" s="405"/>
      <c r="U307" s="405"/>
      <c r="V307" s="405"/>
      <c r="W307" s="405"/>
      <c r="X307" s="405"/>
    </row>
    <row r="308" spans="2:24">
      <c r="B308" s="405"/>
      <c r="C308" s="405"/>
      <c r="D308" s="405"/>
      <c r="E308" s="405"/>
      <c r="F308" s="405"/>
      <c r="G308" s="405"/>
      <c r="H308" s="405"/>
      <c r="I308" s="405"/>
      <c r="J308" s="405"/>
      <c r="K308" s="405"/>
      <c r="L308" s="405"/>
      <c r="M308" s="405"/>
      <c r="N308" s="405"/>
      <c r="O308" s="405"/>
      <c r="P308" s="405"/>
      <c r="Q308" s="405"/>
      <c r="R308" s="405"/>
      <c r="S308" s="405"/>
      <c r="T308" s="405"/>
      <c r="U308" s="405"/>
      <c r="V308" s="405"/>
      <c r="W308" s="405"/>
      <c r="X308" s="405"/>
    </row>
    <row r="309" spans="2:24">
      <c r="B309" s="405"/>
      <c r="C309" s="405"/>
      <c r="D309" s="405"/>
      <c r="E309" s="405"/>
      <c r="F309" s="405"/>
      <c r="G309" s="405"/>
      <c r="H309" s="405"/>
      <c r="I309" s="405"/>
      <c r="J309" s="405"/>
      <c r="K309" s="405"/>
      <c r="L309" s="405"/>
      <c r="M309" s="405"/>
      <c r="N309" s="405"/>
      <c r="O309" s="405"/>
      <c r="P309" s="405"/>
      <c r="Q309" s="405"/>
      <c r="R309" s="405"/>
      <c r="S309" s="405"/>
      <c r="T309" s="405"/>
      <c r="U309" s="405"/>
      <c r="V309" s="405"/>
      <c r="W309" s="405"/>
      <c r="X309" s="405"/>
    </row>
    <row r="310" spans="2:24">
      <c r="B310" s="405"/>
      <c r="C310" s="405"/>
      <c r="D310" s="405"/>
      <c r="E310" s="405"/>
      <c r="F310" s="405"/>
      <c r="G310" s="405"/>
      <c r="H310" s="405"/>
      <c r="I310" s="405"/>
      <c r="J310" s="405"/>
      <c r="K310" s="405"/>
      <c r="L310" s="405"/>
      <c r="M310" s="405"/>
      <c r="N310" s="405"/>
      <c r="O310" s="405"/>
      <c r="P310" s="405"/>
      <c r="Q310" s="405"/>
      <c r="R310" s="405"/>
      <c r="S310" s="405"/>
      <c r="T310" s="405"/>
      <c r="U310" s="405"/>
      <c r="V310" s="405"/>
      <c r="W310" s="405"/>
      <c r="X310" s="405"/>
    </row>
    <row r="311" spans="2:24">
      <c r="B311" s="405"/>
      <c r="C311" s="405"/>
      <c r="D311" s="405"/>
      <c r="E311" s="405"/>
      <c r="F311" s="405"/>
      <c r="G311" s="405"/>
      <c r="H311" s="405"/>
      <c r="I311" s="405"/>
      <c r="J311" s="405"/>
      <c r="K311" s="405"/>
      <c r="L311" s="405"/>
      <c r="M311" s="405"/>
      <c r="N311" s="405"/>
      <c r="O311" s="405"/>
      <c r="P311" s="405"/>
      <c r="Q311" s="405"/>
      <c r="R311" s="405"/>
      <c r="S311" s="405"/>
      <c r="T311" s="405"/>
      <c r="U311" s="405"/>
      <c r="V311" s="405"/>
      <c r="W311" s="405"/>
      <c r="X311" s="405"/>
    </row>
    <row r="312" spans="2:24">
      <c r="B312" s="405"/>
      <c r="C312" s="405"/>
      <c r="D312" s="405"/>
      <c r="E312" s="405"/>
      <c r="F312" s="405"/>
      <c r="G312" s="405"/>
      <c r="H312" s="405"/>
      <c r="I312" s="405"/>
      <c r="J312" s="405"/>
      <c r="K312" s="405"/>
      <c r="L312" s="405"/>
      <c r="M312" s="405"/>
      <c r="N312" s="405"/>
      <c r="O312" s="405"/>
      <c r="P312" s="405"/>
      <c r="Q312" s="405"/>
      <c r="R312" s="405"/>
      <c r="S312" s="405"/>
      <c r="T312" s="405"/>
      <c r="U312" s="405"/>
      <c r="V312" s="405"/>
      <c r="W312" s="405"/>
      <c r="X312" s="405"/>
    </row>
    <row r="313" spans="2:24">
      <c r="B313" s="405"/>
      <c r="C313" s="405"/>
      <c r="D313" s="405"/>
      <c r="E313" s="405"/>
      <c r="F313" s="405"/>
      <c r="G313" s="405"/>
      <c r="H313" s="405"/>
      <c r="I313" s="405"/>
      <c r="J313" s="405"/>
      <c r="K313" s="405"/>
      <c r="L313" s="405"/>
      <c r="M313" s="405"/>
      <c r="N313" s="405"/>
      <c r="O313" s="405"/>
      <c r="P313" s="405"/>
      <c r="Q313" s="405"/>
      <c r="R313" s="405"/>
      <c r="S313" s="405"/>
      <c r="T313" s="405"/>
      <c r="U313" s="405"/>
      <c r="V313" s="405"/>
      <c r="W313" s="405"/>
      <c r="X313" s="405"/>
    </row>
    <row r="314" spans="2:24">
      <c r="B314" s="405"/>
      <c r="C314" s="405"/>
      <c r="D314" s="405"/>
      <c r="E314" s="405"/>
      <c r="F314" s="405"/>
      <c r="G314" s="405"/>
      <c r="H314" s="405"/>
      <c r="I314" s="405"/>
      <c r="J314" s="405"/>
      <c r="K314" s="405"/>
      <c r="L314" s="405"/>
      <c r="M314" s="405"/>
      <c r="N314" s="405"/>
      <c r="O314" s="405"/>
      <c r="P314" s="405"/>
      <c r="Q314" s="405"/>
      <c r="R314" s="405"/>
      <c r="S314" s="405"/>
      <c r="T314" s="405"/>
      <c r="U314" s="405"/>
      <c r="V314" s="405"/>
      <c r="W314" s="405"/>
      <c r="X314" s="405"/>
    </row>
    <row r="315" spans="2:24">
      <c r="B315" s="405"/>
      <c r="C315" s="405"/>
      <c r="D315" s="405"/>
      <c r="E315" s="405"/>
      <c r="F315" s="405"/>
      <c r="G315" s="405"/>
      <c r="H315" s="405"/>
      <c r="I315" s="405"/>
      <c r="J315" s="405"/>
      <c r="K315" s="405"/>
      <c r="L315" s="405"/>
      <c r="M315" s="405"/>
      <c r="N315" s="405"/>
      <c r="O315" s="405"/>
      <c r="P315" s="405"/>
      <c r="Q315" s="405"/>
      <c r="R315" s="405"/>
      <c r="S315" s="405"/>
      <c r="T315" s="405"/>
      <c r="U315" s="405"/>
      <c r="V315" s="405"/>
      <c r="W315" s="405"/>
      <c r="X315" s="405"/>
    </row>
    <row r="316" spans="2:24">
      <c r="B316" s="405"/>
      <c r="C316" s="405"/>
      <c r="D316" s="405"/>
      <c r="E316" s="405"/>
      <c r="F316" s="405"/>
      <c r="G316" s="405"/>
      <c r="H316" s="405"/>
      <c r="I316" s="405"/>
      <c r="J316" s="405"/>
      <c r="K316" s="405"/>
      <c r="L316" s="405"/>
      <c r="M316" s="405"/>
      <c r="N316" s="405"/>
      <c r="O316" s="405"/>
      <c r="P316" s="405"/>
      <c r="Q316" s="405"/>
      <c r="R316" s="405"/>
      <c r="S316" s="405"/>
      <c r="T316" s="405"/>
      <c r="U316" s="405"/>
      <c r="V316" s="405"/>
      <c r="W316" s="405"/>
      <c r="X316" s="405"/>
    </row>
    <row r="317" spans="2:24">
      <c r="B317" s="405"/>
      <c r="C317" s="405"/>
      <c r="D317" s="405"/>
      <c r="E317" s="405"/>
      <c r="F317" s="405"/>
      <c r="G317" s="405"/>
      <c r="H317" s="405"/>
      <c r="I317" s="405"/>
      <c r="J317" s="405"/>
      <c r="K317" s="405"/>
      <c r="L317" s="405"/>
      <c r="M317" s="405"/>
      <c r="N317" s="405"/>
      <c r="O317" s="405"/>
      <c r="P317" s="405"/>
      <c r="Q317" s="405"/>
      <c r="R317" s="405"/>
      <c r="S317" s="405"/>
      <c r="T317" s="405"/>
      <c r="U317" s="405"/>
      <c r="V317" s="405"/>
      <c r="W317" s="405"/>
      <c r="X317" s="405"/>
    </row>
    <row r="318" spans="2:24">
      <c r="B318" s="405"/>
      <c r="C318" s="405"/>
      <c r="D318" s="405"/>
      <c r="E318" s="405"/>
      <c r="F318" s="405"/>
      <c r="G318" s="405"/>
      <c r="H318" s="405"/>
      <c r="I318" s="405"/>
      <c r="J318" s="405"/>
      <c r="K318" s="405"/>
      <c r="L318" s="405"/>
      <c r="M318" s="405"/>
      <c r="N318" s="405"/>
      <c r="O318" s="405"/>
      <c r="P318" s="405"/>
      <c r="Q318" s="405"/>
      <c r="R318" s="405"/>
      <c r="S318" s="405"/>
      <c r="T318" s="405"/>
      <c r="U318" s="405"/>
      <c r="V318" s="405"/>
      <c r="W318" s="405"/>
      <c r="X318" s="405"/>
    </row>
    <row r="319" spans="2:24">
      <c r="B319" s="405"/>
      <c r="C319" s="405"/>
      <c r="D319" s="405"/>
      <c r="E319" s="405"/>
      <c r="F319" s="405"/>
      <c r="G319" s="405"/>
      <c r="H319" s="405"/>
      <c r="I319" s="405"/>
      <c r="J319" s="405"/>
      <c r="K319" s="405"/>
      <c r="L319" s="405"/>
      <c r="M319" s="405"/>
      <c r="N319" s="405"/>
      <c r="O319" s="405"/>
      <c r="P319" s="405"/>
      <c r="Q319" s="405"/>
      <c r="R319" s="405"/>
      <c r="S319" s="405"/>
      <c r="T319" s="405"/>
      <c r="U319" s="405"/>
      <c r="V319" s="405"/>
      <c r="W319" s="405"/>
      <c r="X319" s="405"/>
    </row>
    <row r="320" spans="2:24">
      <c r="B320" s="405"/>
      <c r="C320" s="405"/>
      <c r="D320" s="405"/>
      <c r="E320" s="405"/>
      <c r="F320" s="405"/>
      <c r="G320" s="405"/>
      <c r="H320" s="405"/>
      <c r="I320" s="405"/>
      <c r="J320" s="405"/>
      <c r="K320" s="405"/>
      <c r="L320" s="405"/>
      <c r="M320" s="405"/>
      <c r="N320" s="405"/>
      <c r="O320" s="405"/>
      <c r="P320" s="405"/>
      <c r="Q320" s="405"/>
      <c r="R320" s="405"/>
      <c r="S320" s="405"/>
      <c r="T320" s="405"/>
      <c r="U320" s="405"/>
      <c r="V320" s="405"/>
      <c r="W320" s="405"/>
      <c r="X320" s="405"/>
    </row>
    <row r="321" spans="2:24">
      <c r="B321" s="405"/>
      <c r="C321" s="405"/>
      <c r="D321" s="405"/>
      <c r="E321" s="405"/>
      <c r="F321" s="405"/>
      <c r="G321" s="405"/>
      <c r="H321" s="405"/>
      <c r="I321" s="405"/>
      <c r="J321" s="405"/>
      <c r="K321" s="405"/>
      <c r="L321" s="405"/>
      <c r="M321" s="405"/>
      <c r="N321" s="405"/>
      <c r="O321" s="405"/>
      <c r="P321" s="405"/>
      <c r="Q321" s="405"/>
      <c r="R321" s="405"/>
      <c r="S321" s="405"/>
      <c r="T321" s="405"/>
      <c r="U321" s="405"/>
      <c r="V321" s="405"/>
      <c r="W321" s="405"/>
      <c r="X321" s="405"/>
    </row>
    <row r="322" spans="2:24">
      <c r="B322" s="405"/>
      <c r="C322" s="405"/>
      <c r="D322" s="405"/>
      <c r="E322" s="405"/>
      <c r="F322" s="405"/>
      <c r="G322" s="405"/>
      <c r="H322" s="405"/>
      <c r="I322" s="405"/>
      <c r="J322" s="405"/>
      <c r="K322" s="405"/>
      <c r="L322" s="405"/>
      <c r="M322" s="405"/>
      <c r="N322" s="405"/>
      <c r="O322" s="405"/>
      <c r="P322" s="405"/>
      <c r="Q322" s="405"/>
      <c r="R322" s="405"/>
      <c r="S322" s="405"/>
      <c r="T322" s="405"/>
      <c r="U322" s="405"/>
      <c r="V322" s="405"/>
      <c r="W322" s="405"/>
      <c r="X322" s="405"/>
    </row>
    <row r="323" spans="2:24">
      <c r="B323" s="405"/>
      <c r="C323" s="405"/>
      <c r="D323" s="405"/>
      <c r="E323" s="405"/>
      <c r="F323" s="405"/>
      <c r="G323" s="405"/>
      <c r="H323" s="405"/>
      <c r="I323" s="405"/>
      <c r="J323" s="405"/>
      <c r="K323" s="405"/>
      <c r="L323" s="405"/>
      <c r="M323" s="405"/>
      <c r="N323" s="405"/>
      <c r="O323" s="405"/>
      <c r="P323" s="405"/>
      <c r="Q323" s="405"/>
      <c r="R323" s="405"/>
      <c r="S323" s="405"/>
      <c r="T323" s="405"/>
      <c r="U323" s="405"/>
      <c r="V323" s="405"/>
      <c r="W323" s="405"/>
      <c r="X323" s="405"/>
    </row>
    <row r="324" spans="2:24">
      <c r="B324" s="405"/>
      <c r="C324" s="405"/>
      <c r="D324" s="405"/>
      <c r="E324" s="405"/>
      <c r="F324" s="405"/>
      <c r="G324" s="405"/>
      <c r="H324" s="405"/>
      <c r="I324" s="405"/>
      <c r="J324" s="405"/>
      <c r="K324" s="405"/>
      <c r="L324" s="405"/>
      <c r="M324" s="405"/>
      <c r="N324" s="405"/>
      <c r="O324" s="405"/>
      <c r="P324" s="405"/>
      <c r="Q324" s="405"/>
      <c r="R324" s="405"/>
      <c r="S324" s="405"/>
      <c r="T324" s="405"/>
      <c r="U324" s="405"/>
      <c r="V324" s="405"/>
      <c r="W324" s="405"/>
      <c r="X324" s="405"/>
    </row>
    <row r="325" spans="2:24">
      <c r="B325" s="405"/>
      <c r="C325" s="405"/>
      <c r="D325" s="405"/>
      <c r="E325" s="405"/>
      <c r="F325" s="405"/>
      <c r="G325" s="405"/>
      <c r="H325" s="405"/>
      <c r="I325" s="405"/>
      <c r="J325" s="405"/>
      <c r="K325" s="405"/>
      <c r="L325" s="405"/>
      <c r="M325" s="405"/>
      <c r="N325" s="405"/>
      <c r="O325" s="405"/>
      <c r="P325" s="405"/>
      <c r="Q325" s="405"/>
      <c r="R325" s="405"/>
      <c r="S325" s="405"/>
      <c r="T325" s="405"/>
      <c r="U325" s="405"/>
      <c r="V325" s="405"/>
      <c r="W325" s="405"/>
      <c r="X325" s="405"/>
    </row>
    <row r="326" spans="2:24">
      <c r="B326" s="405"/>
      <c r="C326" s="405"/>
      <c r="D326" s="405"/>
      <c r="E326" s="405"/>
      <c r="F326" s="405"/>
      <c r="G326" s="405"/>
      <c r="H326" s="405"/>
      <c r="I326" s="405"/>
      <c r="J326" s="405"/>
      <c r="K326" s="405"/>
      <c r="L326" s="405"/>
      <c r="M326" s="405"/>
      <c r="N326" s="405"/>
      <c r="O326" s="405"/>
      <c r="P326" s="405"/>
      <c r="Q326" s="405"/>
      <c r="R326" s="405"/>
      <c r="S326" s="405"/>
      <c r="T326" s="405"/>
      <c r="U326" s="405"/>
      <c r="V326" s="405"/>
      <c r="W326" s="405"/>
      <c r="X326" s="405"/>
    </row>
    <row r="327" spans="2:24">
      <c r="B327" s="405"/>
      <c r="C327" s="405"/>
      <c r="D327" s="405"/>
      <c r="E327" s="405"/>
      <c r="F327" s="405"/>
      <c r="G327" s="405"/>
      <c r="H327" s="405"/>
      <c r="I327" s="405"/>
      <c r="J327" s="405"/>
      <c r="K327" s="405"/>
      <c r="L327" s="405"/>
      <c r="M327" s="405"/>
      <c r="N327" s="405"/>
      <c r="O327" s="405"/>
      <c r="P327" s="405"/>
      <c r="Q327" s="405"/>
      <c r="R327" s="405"/>
      <c r="S327" s="405"/>
      <c r="T327" s="405"/>
      <c r="U327" s="405"/>
      <c r="V327" s="405"/>
      <c r="W327" s="405"/>
      <c r="X327" s="405"/>
    </row>
    <row r="328" spans="2:24">
      <c r="B328" s="405"/>
      <c r="C328" s="405"/>
      <c r="D328" s="405"/>
      <c r="E328" s="405"/>
      <c r="F328" s="405"/>
      <c r="G328" s="405"/>
      <c r="H328" s="405"/>
      <c r="I328" s="405"/>
      <c r="J328" s="405"/>
      <c r="K328" s="405"/>
      <c r="L328" s="405"/>
      <c r="M328" s="405"/>
      <c r="N328" s="405"/>
      <c r="O328" s="405"/>
      <c r="P328" s="405"/>
      <c r="Q328" s="405"/>
      <c r="R328" s="405"/>
      <c r="S328" s="405"/>
      <c r="T328" s="405"/>
      <c r="U328" s="405"/>
      <c r="V328" s="405"/>
      <c r="W328" s="405"/>
      <c r="X328" s="405"/>
    </row>
    <row r="329" spans="2:24">
      <c r="B329" s="405"/>
      <c r="C329" s="405"/>
      <c r="D329" s="405"/>
      <c r="E329" s="405"/>
      <c r="F329" s="405"/>
      <c r="G329" s="405"/>
      <c r="H329" s="405"/>
      <c r="I329" s="405"/>
      <c r="J329" s="405"/>
      <c r="K329" s="405"/>
      <c r="L329" s="405"/>
      <c r="M329" s="405"/>
      <c r="N329" s="405"/>
      <c r="O329" s="405"/>
      <c r="P329" s="405"/>
      <c r="Q329" s="405"/>
      <c r="R329" s="405"/>
      <c r="S329" s="405"/>
      <c r="T329" s="405"/>
      <c r="U329" s="405"/>
      <c r="V329" s="405"/>
      <c r="W329" s="405"/>
      <c r="X329" s="405"/>
    </row>
    <row r="330" spans="2:24">
      <c r="B330" s="405"/>
      <c r="C330" s="405"/>
      <c r="D330" s="405"/>
      <c r="E330" s="405"/>
      <c r="F330" s="405"/>
      <c r="G330" s="405"/>
      <c r="H330" s="405"/>
      <c r="I330" s="405"/>
      <c r="J330" s="405"/>
      <c r="K330" s="405"/>
      <c r="L330" s="405"/>
      <c r="M330" s="405"/>
      <c r="N330" s="405"/>
      <c r="O330" s="405"/>
      <c r="P330" s="405"/>
      <c r="Q330" s="405"/>
      <c r="R330" s="405"/>
      <c r="S330" s="405"/>
      <c r="T330" s="405"/>
      <c r="U330" s="405"/>
      <c r="V330" s="405"/>
      <c r="W330" s="405"/>
      <c r="X330" s="405"/>
    </row>
    <row r="331" spans="2:24">
      <c r="B331" s="405"/>
      <c r="C331" s="405"/>
      <c r="D331" s="405"/>
      <c r="E331" s="405"/>
      <c r="F331" s="405"/>
      <c r="G331" s="405"/>
      <c r="H331" s="405"/>
      <c r="I331" s="405"/>
      <c r="J331" s="405"/>
      <c r="K331" s="405"/>
      <c r="L331" s="405"/>
      <c r="M331" s="405"/>
      <c r="N331" s="405"/>
      <c r="O331" s="405"/>
      <c r="P331" s="405"/>
      <c r="Q331" s="405"/>
      <c r="R331" s="405"/>
      <c r="S331" s="405"/>
      <c r="T331" s="405"/>
      <c r="U331" s="405"/>
      <c r="V331" s="405"/>
      <c r="W331" s="405"/>
      <c r="X331" s="405"/>
    </row>
    <row r="332" spans="2:24">
      <c r="B332" s="405"/>
      <c r="C332" s="405"/>
      <c r="D332" s="405"/>
      <c r="E332" s="405"/>
      <c r="F332" s="405"/>
      <c r="G332" s="405"/>
      <c r="H332" s="405"/>
      <c r="I332" s="405"/>
      <c r="J332" s="405"/>
      <c r="K332" s="405"/>
      <c r="L332" s="405"/>
      <c r="M332" s="405"/>
      <c r="N332" s="405"/>
      <c r="O332" s="405"/>
      <c r="P332" s="405"/>
      <c r="Q332" s="405"/>
      <c r="R332" s="405"/>
      <c r="S332" s="405"/>
      <c r="T332" s="405"/>
      <c r="U332" s="405"/>
      <c r="V332" s="405"/>
      <c r="W332" s="405"/>
      <c r="X332" s="405"/>
    </row>
    <row r="333" spans="2:24">
      <c r="B333" s="405"/>
      <c r="C333" s="405"/>
      <c r="D333" s="405"/>
      <c r="E333" s="405"/>
      <c r="F333" s="405"/>
      <c r="G333" s="405"/>
      <c r="H333" s="405"/>
      <c r="I333" s="405"/>
      <c r="J333" s="405"/>
      <c r="K333" s="405"/>
      <c r="L333" s="405"/>
      <c r="M333" s="405"/>
      <c r="N333" s="405"/>
      <c r="O333" s="405"/>
      <c r="P333" s="405"/>
      <c r="Q333" s="405"/>
      <c r="R333" s="405"/>
      <c r="S333" s="405"/>
      <c r="T333" s="405"/>
      <c r="U333" s="405"/>
      <c r="V333" s="405"/>
      <c r="W333" s="405"/>
      <c r="X333" s="405"/>
    </row>
    <row r="334" spans="2:24">
      <c r="B334" s="405"/>
      <c r="C334" s="405"/>
      <c r="D334" s="405"/>
      <c r="E334" s="405"/>
      <c r="F334" s="405"/>
      <c r="G334" s="405"/>
      <c r="H334" s="405"/>
      <c r="I334" s="405"/>
      <c r="J334" s="405"/>
      <c r="K334" s="405"/>
      <c r="L334" s="405"/>
      <c r="M334" s="405"/>
      <c r="N334" s="405"/>
      <c r="O334" s="405"/>
      <c r="P334" s="405"/>
      <c r="Q334" s="405"/>
      <c r="R334" s="405"/>
      <c r="S334" s="405"/>
      <c r="T334" s="405"/>
      <c r="U334" s="405"/>
      <c r="V334" s="405"/>
      <c r="W334" s="405"/>
      <c r="X334" s="405"/>
    </row>
    <row r="335" spans="2:24">
      <c r="B335" s="405"/>
      <c r="C335" s="405"/>
      <c r="D335" s="405"/>
      <c r="E335" s="405"/>
      <c r="F335" s="405"/>
      <c r="G335" s="405"/>
      <c r="H335" s="405"/>
      <c r="I335" s="405"/>
      <c r="J335" s="405"/>
      <c r="K335" s="405"/>
      <c r="L335" s="405"/>
      <c r="M335" s="405"/>
      <c r="N335" s="405"/>
      <c r="O335" s="405"/>
      <c r="P335" s="405"/>
      <c r="Q335" s="405"/>
      <c r="R335" s="405"/>
      <c r="S335" s="405"/>
      <c r="T335" s="405"/>
      <c r="U335" s="405"/>
      <c r="V335" s="405"/>
      <c r="W335" s="405"/>
      <c r="X335" s="405"/>
    </row>
    <row r="336" spans="2:24">
      <c r="B336" s="405"/>
      <c r="C336" s="405"/>
      <c r="D336" s="405"/>
      <c r="E336" s="405"/>
      <c r="F336" s="405"/>
      <c r="G336" s="405"/>
      <c r="H336" s="405"/>
      <c r="I336" s="405"/>
      <c r="J336" s="405"/>
      <c r="K336" s="405"/>
      <c r="L336" s="405"/>
      <c r="M336" s="405"/>
      <c r="N336" s="405"/>
      <c r="O336" s="405"/>
      <c r="P336" s="405"/>
      <c r="Q336" s="405"/>
      <c r="R336" s="405"/>
      <c r="S336" s="405"/>
      <c r="T336" s="405"/>
      <c r="U336" s="405"/>
      <c r="V336" s="405"/>
      <c r="W336" s="405"/>
      <c r="X336" s="405"/>
    </row>
    <row r="337" spans="2:24">
      <c r="B337" s="405"/>
      <c r="C337" s="405"/>
      <c r="D337" s="405"/>
      <c r="E337" s="405"/>
      <c r="F337" s="405"/>
      <c r="G337" s="405"/>
      <c r="H337" s="405"/>
      <c r="I337" s="405"/>
      <c r="J337" s="405"/>
      <c r="K337" s="405"/>
      <c r="L337" s="405"/>
      <c r="M337" s="405"/>
      <c r="N337" s="405"/>
      <c r="O337" s="405"/>
      <c r="P337" s="405"/>
      <c r="Q337" s="405"/>
      <c r="R337" s="405"/>
      <c r="S337" s="405"/>
      <c r="T337" s="405"/>
      <c r="U337" s="405"/>
      <c r="V337" s="405"/>
      <c r="W337" s="405"/>
      <c r="X337" s="405"/>
    </row>
    <row r="338" spans="2:24">
      <c r="B338" s="405"/>
      <c r="C338" s="405"/>
      <c r="D338" s="405"/>
      <c r="E338" s="405"/>
      <c r="F338" s="405"/>
      <c r="G338" s="405"/>
      <c r="H338" s="405"/>
      <c r="I338" s="405"/>
      <c r="J338" s="405"/>
      <c r="K338" s="405"/>
      <c r="L338" s="405"/>
      <c r="M338" s="405"/>
      <c r="N338" s="405"/>
      <c r="O338" s="405"/>
      <c r="P338" s="405"/>
      <c r="Q338" s="405"/>
      <c r="R338" s="405"/>
      <c r="S338" s="405"/>
      <c r="T338" s="405"/>
      <c r="U338" s="405"/>
      <c r="V338" s="405"/>
      <c r="W338" s="405"/>
      <c r="X338" s="405"/>
    </row>
    <row r="339" spans="2:24">
      <c r="B339" s="405"/>
      <c r="C339" s="405"/>
      <c r="D339" s="405"/>
      <c r="E339" s="405"/>
      <c r="F339" s="405"/>
      <c r="G339" s="405"/>
      <c r="H339" s="405"/>
      <c r="I339" s="405"/>
      <c r="J339" s="405"/>
      <c r="K339" s="405"/>
      <c r="L339" s="405"/>
      <c r="M339" s="405"/>
      <c r="N339" s="405"/>
      <c r="O339" s="405"/>
      <c r="P339" s="405"/>
      <c r="Q339" s="405"/>
      <c r="R339" s="405"/>
      <c r="S339" s="405"/>
      <c r="T339" s="405"/>
      <c r="U339" s="405"/>
      <c r="V339" s="405"/>
      <c r="W339" s="405"/>
      <c r="X339" s="405"/>
    </row>
    <row r="340" spans="2:24">
      <c r="B340" s="405"/>
      <c r="C340" s="405"/>
      <c r="D340" s="405"/>
      <c r="E340" s="405"/>
      <c r="F340" s="405"/>
      <c r="G340" s="405"/>
      <c r="H340" s="405"/>
      <c r="I340" s="405"/>
      <c r="J340" s="405"/>
      <c r="K340" s="405"/>
      <c r="L340" s="405"/>
      <c r="M340" s="405"/>
      <c r="N340" s="405"/>
      <c r="O340" s="405"/>
      <c r="P340" s="405"/>
      <c r="Q340" s="405"/>
      <c r="R340" s="405"/>
      <c r="S340" s="405"/>
      <c r="T340" s="405"/>
      <c r="U340" s="405"/>
      <c r="V340" s="405"/>
      <c r="W340" s="405"/>
      <c r="X340" s="405"/>
    </row>
    <row r="341" spans="2:24">
      <c r="B341" s="405"/>
      <c r="C341" s="405"/>
      <c r="D341" s="405"/>
      <c r="E341" s="405"/>
      <c r="F341" s="405"/>
      <c r="G341" s="405"/>
      <c r="H341" s="405"/>
      <c r="I341" s="405"/>
      <c r="J341" s="405"/>
      <c r="K341" s="405"/>
      <c r="L341" s="405"/>
      <c r="M341" s="405"/>
      <c r="N341" s="405"/>
      <c r="O341" s="405"/>
      <c r="P341" s="405"/>
      <c r="Q341" s="405"/>
      <c r="R341" s="405"/>
      <c r="S341" s="405"/>
      <c r="T341" s="405"/>
      <c r="U341" s="405"/>
      <c r="V341" s="405"/>
      <c r="W341" s="405"/>
      <c r="X341" s="405"/>
    </row>
    <row r="342" spans="2:24">
      <c r="B342" s="405"/>
      <c r="C342" s="405"/>
      <c r="D342" s="405"/>
      <c r="E342" s="405"/>
      <c r="F342" s="405"/>
      <c r="G342" s="405"/>
      <c r="H342" s="405"/>
      <c r="I342" s="405"/>
      <c r="J342" s="405"/>
      <c r="K342" s="405"/>
      <c r="L342" s="405"/>
      <c r="M342" s="405"/>
      <c r="N342" s="405"/>
      <c r="O342" s="405"/>
      <c r="P342" s="405"/>
      <c r="Q342" s="405"/>
      <c r="R342" s="405"/>
      <c r="S342" s="405"/>
      <c r="T342" s="405"/>
      <c r="U342" s="405"/>
      <c r="V342" s="405"/>
      <c r="W342" s="405"/>
      <c r="X342" s="405"/>
    </row>
    <row r="343" spans="2:24">
      <c r="B343" s="405"/>
      <c r="C343" s="405"/>
      <c r="D343" s="405"/>
      <c r="E343" s="405"/>
      <c r="F343" s="405"/>
      <c r="G343" s="405"/>
      <c r="H343" s="405"/>
      <c r="I343" s="405"/>
      <c r="J343" s="405"/>
      <c r="K343" s="405"/>
      <c r="L343" s="405"/>
      <c r="M343" s="405"/>
      <c r="N343" s="405"/>
      <c r="O343" s="405"/>
      <c r="P343" s="405"/>
      <c r="Q343" s="405"/>
      <c r="R343" s="405"/>
      <c r="S343" s="405"/>
      <c r="T343" s="405"/>
      <c r="U343" s="405"/>
      <c r="V343" s="405"/>
      <c r="W343" s="405"/>
      <c r="X343" s="405"/>
    </row>
    <row r="344" spans="2:24">
      <c r="B344" s="405"/>
      <c r="C344" s="405"/>
      <c r="D344" s="405"/>
      <c r="E344" s="405"/>
      <c r="F344" s="405"/>
      <c r="G344" s="405"/>
      <c r="H344" s="405"/>
      <c r="I344" s="405"/>
      <c r="J344" s="405"/>
      <c r="K344" s="405"/>
      <c r="L344" s="405"/>
      <c r="M344" s="405"/>
      <c r="N344" s="405"/>
      <c r="O344" s="405"/>
      <c r="P344" s="405"/>
      <c r="Q344" s="405"/>
      <c r="R344" s="405"/>
      <c r="S344" s="405"/>
      <c r="T344" s="405"/>
      <c r="U344" s="405"/>
      <c r="V344" s="405"/>
      <c r="W344" s="405"/>
      <c r="X344" s="405"/>
    </row>
    <row r="345" spans="2:24">
      <c r="B345" s="405"/>
      <c r="C345" s="405"/>
      <c r="D345" s="405"/>
      <c r="E345" s="405"/>
      <c r="F345" s="405"/>
      <c r="G345" s="405"/>
      <c r="H345" s="405"/>
      <c r="I345" s="405"/>
      <c r="J345" s="405"/>
      <c r="K345" s="405"/>
      <c r="L345" s="405"/>
      <c r="M345" s="405"/>
      <c r="N345" s="405"/>
      <c r="O345" s="405"/>
      <c r="P345" s="405"/>
      <c r="Q345" s="405"/>
      <c r="R345" s="405"/>
      <c r="S345" s="405"/>
      <c r="T345" s="405"/>
      <c r="U345" s="405"/>
      <c r="V345" s="405"/>
      <c r="W345" s="405"/>
      <c r="X345" s="405"/>
    </row>
    <row r="346" spans="2:24">
      <c r="B346" s="405"/>
      <c r="C346" s="405"/>
      <c r="D346" s="405"/>
      <c r="E346" s="405"/>
      <c r="F346" s="405"/>
      <c r="G346" s="405"/>
      <c r="H346" s="405"/>
      <c r="I346" s="405"/>
      <c r="J346" s="405"/>
      <c r="K346" s="405"/>
      <c r="L346" s="405"/>
      <c r="M346" s="405"/>
      <c r="N346" s="405"/>
      <c r="O346" s="405"/>
      <c r="P346" s="405"/>
      <c r="Q346" s="405"/>
      <c r="R346" s="405"/>
      <c r="S346" s="405"/>
      <c r="T346" s="405"/>
      <c r="U346" s="405"/>
      <c r="V346" s="405"/>
      <c r="W346" s="405"/>
      <c r="X346" s="405"/>
    </row>
    <row r="347" spans="2:24"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  <c r="N347" s="405"/>
      <c r="O347" s="405"/>
      <c r="P347" s="405"/>
      <c r="Q347" s="405"/>
      <c r="R347" s="405"/>
      <c r="S347" s="405"/>
      <c r="T347" s="405"/>
      <c r="U347" s="405"/>
      <c r="V347" s="405"/>
      <c r="W347" s="405"/>
      <c r="X347" s="405"/>
    </row>
    <row r="348" spans="2:24">
      <c r="B348" s="405"/>
      <c r="C348" s="405"/>
      <c r="D348" s="405"/>
      <c r="E348" s="405"/>
      <c r="F348" s="405"/>
      <c r="G348" s="405"/>
      <c r="H348" s="405"/>
      <c r="I348" s="405"/>
      <c r="J348" s="405"/>
      <c r="K348" s="405"/>
      <c r="L348" s="405"/>
      <c r="M348" s="405"/>
      <c r="N348" s="405"/>
      <c r="O348" s="405"/>
      <c r="P348" s="405"/>
      <c r="Q348" s="405"/>
      <c r="R348" s="405"/>
      <c r="S348" s="405"/>
      <c r="T348" s="405"/>
      <c r="U348" s="405"/>
      <c r="V348" s="405"/>
      <c r="W348" s="405"/>
      <c r="X348" s="405"/>
    </row>
    <row r="349" spans="2:24">
      <c r="B349" s="405"/>
      <c r="C349" s="405"/>
      <c r="D349" s="405"/>
      <c r="E349" s="405"/>
      <c r="F349" s="405"/>
      <c r="G349" s="405"/>
      <c r="H349" s="405"/>
      <c r="I349" s="405"/>
      <c r="J349" s="405"/>
      <c r="K349" s="405"/>
      <c r="L349" s="405"/>
      <c r="M349" s="405"/>
      <c r="N349" s="405"/>
      <c r="O349" s="405"/>
      <c r="P349" s="405"/>
      <c r="Q349" s="405"/>
      <c r="R349" s="405"/>
      <c r="S349" s="405"/>
      <c r="T349" s="405"/>
      <c r="U349" s="405"/>
      <c r="V349" s="405"/>
      <c r="W349" s="405"/>
      <c r="X349" s="405"/>
    </row>
    <row r="350" spans="2:24">
      <c r="B350" s="405"/>
      <c r="C350" s="405"/>
      <c r="D350" s="405"/>
      <c r="E350" s="405"/>
      <c r="F350" s="405"/>
      <c r="G350" s="405"/>
      <c r="H350" s="405"/>
      <c r="I350" s="405"/>
      <c r="J350" s="405"/>
      <c r="K350" s="405"/>
      <c r="L350" s="405"/>
      <c r="M350" s="405"/>
      <c r="N350" s="405"/>
      <c r="O350" s="405"/>
      <c r="P350" s="405"/>
      <c r="Q350" s="405"/>
      <c r="R350" s="405"/>
      <c r="S350" s="405"/>
      <c r="T350" s="405"/>
      <c r="U350" s="405"/>
      <c r="V350" s="405"/>
      <c r="W350" s="405"/>
      <c r="X350" s="405"/>
    </row>
    <row r="351" spans="2:24">
      <c r="B351" s="405"/>
      <c r="C351" s="405"/>
      <c r="D351" s="405"/>
      <c r="E351" s="405"/>
      <c r="F351" s="405"/>
      <c r="G351" s="405"/>
      <c r="H351" s="405"/>
      <c r="I351" s="405"/>
      <c r="J351" s="405"/>
      <c r="K351" s="405"/>
      <c r="L351" s="405"/>
      <c r="M351" s="405"/>
      <c r="N351" s="405"/>
      <c r="O351" s="405"/>
      <c r="P351" s="405"/>
      <c r="Q351" s="405"/>
      <c r="R351" s="405"/>
      <c r="S351" s="405"/>
      <c r="T351" s="405"/>
      <c r="U351" s="405"/>
      <c r="V351" s="405"/>
      <c r="W351" s="405"/>
      <c r="X351" s="405"/>
    </row>
    <row r="352" spans="2:24">
      <c r="B352" s="405"/>
      <c r="C352" s="405"/>
      <c r="D352" s="405"/>
      <c r="E352" s="405"/>
      <c r="F352" s="405"/>
      <c r="G352" s="405"/>
      <c r="H352" s="405"/>
      <c r="I352" s="405"/>
      <c r="J352" s="405"/>
      <c r="K352" s="405"/>
      <c r="L352" s="405"/>
      <c r="M352" s="405"/>
      <c r="N352" s="405"/>
      <c r="O352" s="405"/>
      <c r="P352" s="405"/>
      <c r="Q352" s="405"/>
      <c r="R352" s="405"/>
      <c r="S352" s="405"/>
      <c r="T352" s="405"/>
      <c r="U352" s="405"/>
      <c r="V352" s="405"/>
      <c r="W352" s="405"/>
      <c r="X352" s="405"/>
    </row>
    <row r="353" spans="2:24">
      <c r="B353" s="405"/>
      <c r="C353" s="405"/>
      <c r="D353" s="405"/>
      <c r="E353" s="405"/>
      <c r="F353" s="405"/>
      <c r="G353" s="405"/>
      <c r="H353" s="405"/>
      <c r="I353" s="405"/>
      <c r="J353" s="405"/>
      <c r="K353" s="405"/>
      <c r="L353" s="405"/>
      <c r="M353" s="405"/>
      <c r="N353" s="405"/>
      <c r="O353" s="405"/>
      <c r="P353" s="405"/>
      <c r="Q353" s="405"/>
      <c r="R353" s="405"/>
      <c r="S353" s="405"/>
      <c r="T353" s="405"/>
      <c r="U353" s="405"/>
      <c r="V353" s="405"/>
      <c r="W353" s="405"/>
      <c r="X353" s="405"/>
    </row>
    <row r="354" spans="2:24">
      <c r="B354" s="405"/>
      <c r="C354" s="405"/>
      <c r="D354" s="405"/>
      <c r="E354" s="405"/>
      <c r="F354" s="405"/>
      <c r="G354" s="405"/>
      <c r="H354" s="405"/>
      <c r="I354" s="405"/>
      <c r="J354" s="405"/>
      <c r="K354" s="405"/>
      <c r="L354" s="405"/>
      <c r="M354" s="405"/>
      <c r="N354" s="405"/>
      <c r="O354" s="405"/>
      <c r="P354" s="405"/>
      <c r="Q354" s="405"/>
      <c r="R354" s="405"/>
      <c r="S354" s="405"/>
      <c r="T354" s="405"/>
      <c r="U354" s="405"/>
      <c r="V354" s="405"/>
      <c r="W354" s="405"/>
      <c r="X354" s="405"/>
    </row>
    <row r="355" spans="2:24">
      <c r="B355" s="405"/>
      <c r="C355" s="405"/>
      <c r="D355" s="405"/>
      <c r="E355" s="405"/>
      <c r="F355" s="405"/>
      <c r="G355" s="405"/>
      <c r="H355" s="405"/>
      <c r="I355" s="405"/>
      <c r="J355" s="405"/>
      <c r="K355" s="405"/>
      <c r="L355" s="405"/>
      <c r="M355" s="405"/>
      <c r="N355" s="405"/>
      <c r="O355" s="405"/>
      <c r="P355" s="405"/>
      <c r="Q355" s="405"/>
      <c r="R355" s="405"/>
      <c r="S355" s="405"/>
      <c r="T355" s="405"/>
      <c r="U355" s="405"/>
      <c r="V355" s="405"/>
      <c r="W355" s="405"/>
      <c r="X355" s="405"/>
    </row>
    <row r="356" spans="2:24">
      <c r="B356" s="405"/>
      <c r="C356" s="405"/>
      <c r="D356" s="405"/>
      <c r="E356" s="405"/>
      <c r="F356" s="405"/>
      <c r="G356" s="405"/>
      <c r="H356" s="405"/>
      <c r="I356" s="405"/>
      <c r="J356" s="405"/>
      <c r="K356" s="405"/>
      <c r="L356" s="405"/>
      <c r="M356" s="405"/>
      <c r="N356" s="405"/>
      <c r="O356" s="405"/>
      <c r="P356" s="405"/>
      <c r="Q356" s="405"/>
      <c r="R356" s="405"/>
      <c r="S356" s="405"/>
      <c r="T356" s="405"/>
      <c r="U356" s="405"/>
      <c r="V356" s="405"/>
      <c r="W356" s="405"/>
      <c r="X356" s="405"/>
    </row>
    <row r="357" spans="2:24">
      <c r="B357" s="405"/>
      <c r="C357" s="405"/>
      <c r="D357" s="405"/>
      <c r="E357" s="405"/>
      <c r="F357" s="405"/>
      <c r="G357" s="405"/>
      <c r="H357" s="405"/>
      <c r="I357" s="405"/>
      <c r="J357" s="405"/>
      <c r="K357" s="405"/>
      <c r="L357" s="405"/>
      <c r="M357" s="405"/>
      <c r="N357" s="405"/>
      <c r="O357" s="405"/>
      <c r="P357" s="405"/>
      <c r="Q357" s="405"/>
      <c r="R357" s="405"/>
      <c r="S357" s="405"/>
      <c r="T357" s="405"/>
      <c r="U357" s="405"/>
      <c r="V357" s="405"/>
      <c r="W357" s="405"/>
      <c r="X357" s="405"/>
    </row>
    <row r="358" spans="2:24">
      <c r="B358" s="405"/>
      <c r="C358" s="405"/>
      <c r="D358" s="405"/>
      <c r="E358" s="405"/>
      <c r="F358" s="405"/>
      <c r="G358" s="405"/>
      <c r="H358" s="405"/>
      <c r="I358" s="405"/>
      <c r="J358" s="405"/>
      <c r="K358" s="405"/>
      <c r="L358" s="405"/>
      <c r="M358" s="405"/>
      <c r="N358" s="405"/>
      <c r="O358" s="405"/>
      <c r="P358" s="405"/>
      <c r="Q358" s="405"/>
      <c r="R358" s="405"/>
      <c r="S358" s="405"/>
      <c r="T358" s="405"/>
      <c r="U358" s="405"/>
      <c r="V358" s="405"/>
      <c r="W358" s="405"/>
      <c r="X358" s="405"/>
    </row>
    <row r="359" spans="2:24">
      <c r="B359" s="405"/>
      <c r="C359" s="405"/>
      <c r="D359" s="405"/>
      <c r="E359" s="405"/>
      <c r="F359" s="405"/>
      <c r="G359" s="405"/>
      <c r="H359" s="405"/>
      <c r="I359" s="405"/>
      <c r="J359" s="405"/>
      <c r="K359" s="405"/>
      <c r="L359" s="405"/>
      <c r="M359" s="405"/>
      <c r="N359" s="405"/>
      <c r="O359" s="405"/>
      <c r="P359" s="405"/>
      <c r="Q359" s="405"/>
      <c r="R359" s="405"/>
      <c r="S359" s="405"/>
      <c r="T359" s="405"/>
      <c r="U359" s="405"/>
      <c r="V359" s="405"/>
      <c r="W359" s="405"/>
      <c r="X359" s="405"/>
    </row>
    <row r="360" spans="2:24">
      <c r="B360" s="405"/>
      <c r="C360" s="405"/>
      <c r="D360" s="405"/>
      <c r="E360" s="405"/>
      <c r="F360" s="405"/>
      <c r="G360" s="405"/>
      <c r="H360" s="405"/>
      <c r="I360" s="405"/>
      <c r="J360" s="405"/>
      <c r="K360" s="405"/>
      <c r="L360" s="405"/>
      <c r="M360" s="405"/>
      <c r="N360" s="405"/>
      <c r="O360" s="405"/>
      <c r="P360" s="405"/>
      <c r="Q360" s="405"/>
      <c r="R360" s="405"/>
      <c r="S360" s="405"/>
      <c r="T360" s="405"/>
      <c r="U360" s="405"/>
      <c r="V360" s="405"/>
      <c r="W360" s="405"/>
      <c r="X360" s="405"/>
    </row>
    <row r="361" spans="2:24">
      <c r="B361" s="405"/>
      <c r="C361" s="405"/>
      <c r="D361" s="405"/>
      <c r="E361" s="405"/>
      <c r="F361" s="405"/>
      <c r="G361" s="405"/>
      <c r="H361" s="405"/>
      <c r="I361" s="405"/>
      <c r="J361" s="405"/>
      <c r="K361" s="405"/>
      <c r="L361" s="405"/>
      <c r="M361" s="405"/>
      <c r="N361" s="405"/>
      <c r="O361" s="405"/>
      <c r="P361" s="405"/>
      <c r="Q361" s="405"/>
      <c r="R361" s="405"/>
      <c r="S361" s="405"/>
      <c r="T361" s="405"/>
      <c r="U361" s="405"/>
      <c r="V361" s="405"/>
      <c r="W361" s="405"/>
      <c r="X361" s="405"/>
    </row>
    <row r="362" spans="2:24">
      <c r="B362" s="405"/>
      <c r="C362" s="405"/>
      <c r="D362" s="405"/>
      <c r="E362" s="405"/>
      <c r="F362" s="405"/>
      <c r="G362" s="405"/>
      <c r="H362" s="405"/>
      <c r="I362" s="405"/>
      <c r="J362" s="405"/>
      <c r="K362" s="405"/>
      <c r="L362" s="405"/>
      <c r="M362" s="405"/>
      <c r="N362" s="405"/>
      <c r="O362" s="405"/>
      <c r="P362" s="405"/>
      <c r="Q362" s="405"/>
      <c r="R362" s="405"/>
      <c r="S362" s="405"/>
      <c r="T362" s="405"/>
      <c r="U362" s="405"/>
      <c r="V362" s="405"/>
      <c r="W362" s="405"/>
      <c r="X362" s="405"/>
    </row>
    <row r="363" spans="2:24">
      <c r="B363" s="405"/>
      <c r="C363" s="405"/>
      <c r="D363" s="405"/>
      <c r="E363" s="405"/>
      <c r="F363" s="405"/>
      <c r="G363" s="405"/>
      <c r="H363" s="405"/>
      <c r="I363" s="405"/>
      <c r="J363" s="405"/>
      <c r="K363" s="405"/>
      <c r="L363" s="405"/>
      <c r="M363" s="405"/>
      <c r="N363" s="405"/>
      <c r="O363" s="405"/>
      <c r="P363" s="405"/>
      <c r="Q363" s="405"/>
      <c r="R363" s="405"/>
      <c r="S363" s="405"/>
      <c r="T363" s="405"/>
      <c r="U363" s="405"/>
      <c r="V363" s="405"/>
      <c r="W363" s="405"/>
      <c r="X363" s="405"/>
    </row>
    <row r="364" spans="2:24">
      <c r="B364" s="405"/>
      <c r="C364" s="405"/>
      <c r="D364" s="405"/>
      <c r="E364" s="405"/>
      <c r="F364" s="405"/>
      <c r="G364" s="405"/>
      <c r="H364" s="405"/>
      <c r="I364" s="405"/>
      <c r="J364" s="405"/>
      <c r="K364" s="405"/>
      <c r="L364" s="405"/>
      <c r="M364" s="405"/>
      <c r="N364" s="405"/>
      <c r="O364" s="405"/>
      <c r="P364" s="405"/>
      <c r="Q364" s="405"/>
      <c r="R364" s="405"/>
      <c r="S364" s="405"/>
      <c r="T364" s="405"/>
      <c r="U364" s="405"/>
      <c r="V364" s="405"/>
      <c r="W364" s="405"/>
      <c r="X364" s="405"/>
    </row>
    <row r="365" spans="2:24">
      <c r="B365" s="405"/>
      <c r="C365" s="405"/>
      <c r="D365" s="405"/>
      <c r="E365" s="405"/>
      <c r="F365" s="405"/>
      <c r="G365" s="405"/>
      <c r="H365" s="405"/>
      <c r="I365" s="405"/>
      <c r="J365" s="405"/>
      <c r="K365" s="405"/>
      <c r="L365" s="405"/>
      <c r="M365" s="405"/>
      <c r="N365" s="405"/>
      <c r="O365" s="405"/>
      <c r="P365" s="405"/>
      <c r="Q365" s="405"/>
      <c r="R365" s="405"/>
      <c r="S365" s="405"/>
      <c r="T365" s="405"/>
      <c r="U365" s="405"/>
      <c r="V365" s="405"/>
      <c r="W365" s="405"/>
      <c r="X365" s="405"/>
    </row>
    <row r="366" spans="2:24">
      <c r="B366" s="405"/>
      <c r="C366" s="405"/>
      <c r="D366" s="405"/>
      <c r="E366" s="405"/>
      <c r="F366" s="405"/>
      <c r="G366" s="405"/>
      <c r="H366" s="405"/>
      <c r="I366" s="405"/>
      <c r="J366" s="405"/>
      <c r="K366" s="405"/>
      <c r="L366" s="405"/>
      <c r="M366" s="405"/>
      <c r="N366" s="405"/>
      <c r="O366" s="405"/>
      <c r="P366" s="405"/>
      <c r="Q366" s="405"/>
      <c r="R366" s="405"/>
      <c r="S366" s="405"/>
      <c r="T366" s="405"/>
      <c r="U366" s="405"/>
      <c r="V366" s="405"/>
      <c r="W366" s="405"/>
      <c r="X366" s="405"/>
    </row>
    <row r="367" spans="2:24">
      <c r="B367" s="405"/>
      <c r="C367" s="405"/>
      <c r="D367" s="405"/>
      <c r="E367" s="405"/>
      <c r="F367" s="405"/>
      <c r="G367" s="405"/>
      <c r="H367" s="405"/>
      <c r="I367" s="405"/>
      <c r="J367" s="405"/>
      <c r="K367" s="405"/>
      <c r="L367" s="405"/>
      <c r="M367" s="405"/>
      <c r="N367" s="405"/>
      <c r="O367" s="405"/>
      <c r="P367" s="405"/>
      <c r="Q367" s="405"/>
      <c r="R367" s="405"/>
      <c r="S367" s="405"/>
      <c r="T367" s="405"/>
      <c r="U367" s="405"/>
      <c r="V367" s="405"/>
      <c r="W367" s="405"/>
      <c r="X367" s="405"/>
    </row>
    <row r="368" spans="2:24">
      <c r="B368" s="405"/>
      <c r="C368" s="405"/>
      <c r="D368" s="405"/>
      <c r="E368" s="405"/>
      <c r="F368" s="405"/>
      <c r="G368" s="405"/>
      <c r="H368" s="405"/>
      <c r="I368" s="405"/>
      <c r="J368" s="405"/>
      <c r="K368" s="405"/>
      <c r="L368" s="405"/>
      <c r="M368" s="405"/>
      <c r="N368" s="405"/>
      <c r="O368" s="405"/>
      <c r="P368" s="405"/>
      <c r="Q368" s="405"/>
      <c r="R368" s="405"/>
      <c r="S368" s="405"/>
      <c r="T368" s="405"/>
      <c r="U368" s="405"/>
      <c r="V368" s="405"/>
      <c r="W368" s="405"/>
      <c r="X368" s="405"/>
    </row>
    <row r="369" spans="2:24">
      <c r="B369" s="405"/>
      <c r="C369" s="405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405"/>
      <c r="Q369" s="405"/>
      <c r="R369" s="405"/>
      <c r="S369" s="405"/>
      <c r="T369" s="405"/>
      <c r="U369" s="405"/>
      <c r="V369" s="405"/>
      <c r="W369" s="405"/>
      <c r="X369" s="405"/>
    </row>
    <row r="370" spans="2:24">
      <c r="B370" s="405"/>
      <c r="C370" s="405"/>
      <c r="D370" s="405"/>
      <c r="E370" s="405"/>
      <c r="F370" s="405"/>
      <c r="G370" s="405"/>
      <c r="H370" s="405"/>
      <c r="I370" s="405"/>
      <c r="J370" s="405"/>
      <c r="K370" s="405"/>
      <c r="L370" s="405"/>
      <c r="M370" s="405"/>
      <c r="N370" s="405"/>
      <c r="O370" s="405"/>
      <c r="P370" s="405"/>
      <c r="Q370" s="405"/>
      <c r="R370" s="405"/>
      <c r="S370" s="405"/>
      <c r="T370" s="405"/>
      <c r="U370" s="405"/>
      <c r="V370" s="405"/>
      <c r="W370" s="405"/>
      <c r="X370" s="405"/>
    </row>
    <row r="371" spans="2:24">
      <c r="B371" s="405"/>
      <c r="C371" s="405"/>
      <c r="D371" s="405"/>
      <c r="E371" s="405"/>
      <c r="F371" s="405"/>
      <c r="G371" s="405"/>
      <c r="H371" s="405"/>
      <c r="I371" s="405"/>
      <c r="J371" s="405"/>
      <c r="K371" s="405"/>
      <c r="L371" s="405"/>
      <c r="M371" s="405"/>
      <c r="N371" s="405"/>
      <c r="O371" s="405"/>
      <c r="P371" s="405"/>
      <c r="Q371" s="405"/>
      <c r="R371" s="405"/>
      <c r="S371" s="405"/>
      <c r="T371" s="405"/>
      <c r="U371" s="405"/>
      <c r="V371" s="405"/>
      <c r="W371" s="405"/>
      <c r="X371" s="405"/>
    </row>
    <row r="372" spans="2:24">
      <c r="B372" s="405"/>
      <c r="C372" s="405"/>
      <c r="D372" s="405"/>
      <c r="E372" s="405"/>
      <c r="F372" s="405"/>
      <c r="G372" s="405"/>
      <c r="H372" s="405"/>
      <c r="I372" s="405"/>
      <c r="J372" s="405"/>
      <c r="K372" s="405"/>
      <c r="L372" s="405"/>
      <c r="M372" s="405"/>
      <c r="N372" s="405"/>
      <c r="O372" s="405"/>
      <c r="P372" s="405"/>
      <c r="Q372" s="405"/>
      <c r="R372" s="405"/>
      <c r="S372" s="405"/>
      <c r="T372" s="405"/>
      <c r="U372" s="405"/>
      <c r="V372" s="405"/>
      <c r="W372" s="405"/>
      <c r="X372" s="405"/>
    </row>
    <row r="373" spans="2:24">
      <c r="B373" s="405"/>
      <c r="C373" s="405"/>
      <c r="D373" s="405"/>
      <c r="E373" s="405"/>
      <c r="F373" s="405"/>
      <c r="G373" s="405"/>
      <c r="H373" s="405"/>
      <c r="I373" s="405"/>
      <c r="J373" s="405"/>
      <c r="K373" s="405"/>
      <c r="L373" s="405"/>
      <c r="M373" s="405"/>
      <c r="N373" s="405"/>
      <c r="O373" s="405"/>
      <c r="P373" s="405"/>
      <c r="Q373" s="405"/>
      <c r="R373" s="405"/>
      <c r="S373" s="405"/>
      <c r="T373" s="405"/>
      <c r="U373" s="405"/>
      <c r="V373" s="405"/>
      <c r="W373" s="405"/>
      <c r="X373" s="405"/>
    </row>
    <row r="374" spans="2:24">
      <c r="B374" s="405"/>
      <c r="C374" s="405"/>
      <c r="D374" s="405"/>
      <c r="E374" s="405"/>
      <c r="F374" s="405"/>
      <c r="G374" s="405"/>
      <c r="H374" s="405"/>
      <c r="I374" s="405"/>
      <c r="J374" s="405"/>
      <c r="K374" s="405"/>
      <c r="L374" s="405"/>
      <c r="M374" s="405"/>
      <c r="N374" s="405"/>
      <c r="O374" s="405"/>
      <c r="P374" s="405"/>
      <c r="Q374" s="405"/>
      <c r="R374" s="405"/>
      <c r="S374" s="405"/>
      <c r="T374" s="405"/>
      <c r="U374" s="405"/>
      <c r="V374" s="405"/>
      <c r="W374" s="405"/>
      <c r="X374" s="405"/>
    </row>
    <row r="375" spans="2:24">
      <c r="B375" s="405"/>
      <c r="C375" s="405"/>
      <c r="D375" s="405"/>
      <c r="E375" s="405"/>
      <c r="F375" s="405"/>
      <c r="G375" s="405"/>
      <c r="H375" s="405"/>
      <c r="I375" s="405"/>
      <c r="J375" s="405"/>
      <c r="K375" s="405"/>
      <c r="L375" s="405"/>
      <c r="M375" s="405"/>
      <c r="N375" s="405"/>
      <c r="O375" s="405"/>
      <c r="P375" s="405"/>
      <c r="Q375" s="405"/>
      <c r="R375" s="405"/>
      <c r="S375" s="405"/>
      <c r="T375" s="405"/>
      <c r="U375" s="405"/>
      <c r="V375" s="405"/>
      <c r="W375" s="405"/>
      <c r="X375" s="405"/>
    </row>
    <row r="376" spans="2:24">
      <c r="B376" s="405"/>
      <c r="C376" s="405"/>
      <c r="D376" s="405"/>
      <c r="E376" s="405"/>
      <c r="F376" s="405"/>
      <c r="G376" s="405"/>
      <c r="H376" s="405"/>
      <c r="I376" s="405"/>
      <c r="J376" s="405"/>
      <c r="K376" s="405"/>
      <c r="L376" s="405"/>
      <c r="M376" s="405"/>
      <c r="N376" s="405"/>
      <c r="O376" s="405"/>
      <c r="P376" s="405"/>
      <c r="Q376" s="405"/>
      <c r="R376" s="405"/>
      <c r="S376" s="405"/>
      <c r="T376" s="405"/>
      <c r="U376" s="405"/>
      <c r="V376" s="405"/>
      <c r="W376" s="405"/>
      <c r="X376" s="405"/>
    </row>
    <row r="377" spans="2:24">
      <c r="B377" s="405"/>
      <c r="C377" s="405"/>
      <c r="D377" s="405"/>
      <c r="E377" s="405"/>
      <c r="F377" s="405"/>
      <c r="G377" s="405"/>
      <c r="H377" s="405"/>
      <c r="I377" s="405"/>
      <c r="J377" s="405"/>
      <c r="K377" s="405"/>
      <c r="L377" s="405"/>
      <c r="M377" s="405"/>
      <c r="N377" s="405"/>
      <c r="O377" s="405"/>
      <c r="P377" s="405"/>
      <c r="Q377" s="405"/>
      <c r="R377" s="405"/>
      <c r="S377" s="405"/>
      <c r="T377" s="405"/>
      <c r="U377" s="405"/>
      <c r="V377" s="405"/>
      <c r="W377" s="405"/>
      <c r="X377" s="405"/>
    </row>
    <row r="378" spans="2:24">
      <c r="B378" s="405"/>
      <c r="C378" s="405"/>
      <c r="D378" s="405"/>
      <c r="E378" s="405"/>
      <c r="F378" s="405"/>
      <c r="G378" s="405"/>
      <c r="H378" s="405"/>
      <c r="I378" s="405"/>
      <c r="J378" s="405"/>
      <c r="K378" s="405"/>
      <c r="L378" s="405"/>
      <c r="M378" s="405"/>
      <c r="N378" s="405"/>
      <c r="O378" s="405"/>
      <c r="P378" s="405"/>
      <c r="Q378" s="405"/>
      <c r="R378" s="405"/>
      <c r="S378" s="405"/>
      <c r="T378" s="405"/>
      <c r="U378" s="405"/>
      <c r="V378" s="405"/>
      <c r="W378" s="405"/>
      <c r="X378" s="405"/>
    </row>
    <row r="379" spans="2:24">
      <c r="B379" s="405"/>
      <c r="C379" s="405"/>
      <c r="D379" s="405"/>
      <c r="E379" s="405"/>
      <c r="F379" s="405"/>
      <c r="G379" s="405"/>
      <c r="H379" s="405"/>
      <c r="I379" s="405"/>
      <c r="J379" s="405"/>
      <c r="K379" s="405"/>
      <c r="L379" s="405"/>
      <c r="M379" s="405"/>
      <c r="N379" s="405"/>
      <c r="O379" s="405"/>
      <c r="P379" s="405"/>
      <c r="Q379" s="405"/>
      <c r="R379" s="405"/>
      <c r="S379" s="405"/>
      <c r="T379" s="405"/>
      <c r="U379" s="405"/>
      <c r="V379" s="405"/>
      <c r="W379" s="405"/>
      <c r="X379" s="405"/>
    </row>
    <row r="380" spans="2:24">
      <c r="B380" s="405"/>
      <c r="C380" s="405"/>
      <c r="D380" s="405"/>
      <c r="E380" s="405"/>
      <c r="F380" s="405"/>
      <c r="G380" s="405"/>
      <c r="H380" s="405"/>
      <c r="I380" s="405"/>
      <c r="J380" s="405"/>
      <c r="K380" s="405"/>
      <c r="L380" s="405"/>
      <c r="M380" s="405"/>
      <c r="N380" s="405"/>
      <c r="O380" s="405"/>
      <c r="P380" s="405"/>
      <c r="Q380" s="405"/>
      <c r="R380" s="405"/>
      <c r="S380" s="405"/>
      <c r="T380" s="405"/>
      <c r="U380" s="405"/>
      <c r="V380" s="405"/>
      <c r="W380" s="405"/>
      <c r="X380" s="405"/>
    </row>
    <row r="381" spans="2:24">
      <c r="B381" s="405"/>
      <c r="C381" s="405"/>
      <c r="D381" s="405"/>
      <c r="E381" s="405"/>
      <c r="F381" s="405"/>
      <c r="G381" s="405"/>
      <c r="H381" s="405"/>
      <c r="I381" s="405"/>
      <c r="J381" s="405"/>
      <c r="K381" s="405"/>
      <c r="L381" s="405"/>
      <c r="M381" s="405"/>
      <c r="N381" s="405"/>
      <c r="O381" s="405"/>
      <c r="P381" s="405"/>
      <c r="Q381" s="405"/>
      <c r="R381" s="405"/>
      <c r="S381" s="405"/>
      <c r="T381" s="405"/>
      <c r="U381" s="405"/>
      <c r="V381" s="405"/>
      <c r="W381" s="405"/>
      <c r="X381" s="405"/>
    </row>
    <row r="382" spans="2:24">
      <c r="B382" s="405"/>
      <c r="C382" s="405"/>
      <c r="D382" s="405"/>
      <c r="E382" s="405"/>
      <c r="F382" s="405"/>
      <c r="G382" s="405"/>
      <c r="H382" s="405"/>
      <c r="I382" s="405"/>
      <c r="J382" s="405"/>
      <c r="K382" s="405"/>
      <c r="L382" s="405"/>
      <c r="M382" s="405"/>
      <c r="N382" s="405"/>
      <c r="O382" s="405"/>
      <c r="P382" s="405"/>
      <c r="Q382" s="405"/>
      <c r="R382" s="405"/>
      <c r="S382" s="405"/>
      <c r="T382" s="405"/>
      <c r="U382" s="405"/>
      <c r="V382" s="405"/>
      <c r="W382" s="405"/>
      <c r="X382" s="405"/>
    </row>
    <row r="383" spans="2:24">
      <c r="B383" s="405"/>
      <c r="C383" s="405"/>
      <c r="D383" s="405"/>
      <c r="E383" s="405"/>
      <c r="F383" s="405"/>
      <c r="G383" s="405"/>
      <c r="H383" s="405"/>
      <c r="I383" s="405"/>
      <c r="J383" s="405"/>
      <c r="K383" s="405"/>
      <c r="L383" s="405"/>
      <c r="M383" s="405"/>
      <c r="N383" s="405"/>
      <c r="O383" s="405"/>
      <c r="P383" s="405"/>
      <c r="Q383" s="405"/>
      <c r="R383" s="405"/>
      <c r="S383" s="405"/>
      <c r="T383" s="405"/>
      <c r="U383" s="405"/>
      <c r="V383" s="405"/>
      <c r="W383" s="405"/>
      <c r="X383" s="405"/>
    </row>
    <row r="384" spans="2:24">
      <c r="B384" s="405"/>
      <c r="C384" s="405"/>
      <c r="D384" s="405"/>
      <c r="E384" s="405"/>
      <c r="F384" s="405"/>
      <c r="G384" s="405"/>
      <c r="H384" s="405"/>
      <c r="I384" s="405"/>
      <c r="J384" s="405"/>
      <c r="K384" s="405"/>
      <c r="L384" s="405"/>
      <c r="M384" s="405"/>
      <c r="N384" s="405"/>
      <c r="O384" s="405"/>
      <c r="P384" s="405"/>
      <c r="Q384" s="405"/>
      <c r="R384" s="405"/>
      <c r="S384" s="405"/>
      <c r="T384" s="405"/>
      <c r="U384" s="405"/>
      <c r="V384" s="405"/>
      <c r="W384" s="405"/>
      <c r="X384" s="405"/>
    </row>
    <row r="385" spans="2:24">
      <c r="B385" s="405"/>
      <c r="C385" s="405"/>
      <c r="D385" s="405"/>
      <c r="E385" s="405"/>
      <c r="F385" s="405"/>
      <c r="G385" s="405"/>
      <c r="H385" s="405"/>
      <c r="I385" s="405"/>
      <c r="J385" s="405"/>
      <c r="K385" s="405"/>
      <c r="L385" s="405"/>
      <c r="M385" s="405"/>
      <c r="N385" s="405"/>
      <c r="O385" s="405"/>
      <c r="P385" s="405"/>
      <c r="Q385" s="405"/>
      <c r="R385" s="405"/>
      <c r="S385" s="405"/>
      <c r="T385" s="405"/>
      <c r="U385" s="405"/>
      <c r="V385" s="405"/>
      <c r="W385" s="405"/>
      <c r="X385" s="405"/>
    </row>
    <row r="386" spans="2:24">
      <c r="B386" s="405"/>
      <c r="C386" s="405"/>
      <c r="D386" s="405"/>
      <c r="E386" s="405"/>
      <c r="F386" s="405"/>
      <c r="G386" s="405"/>
      <c r="H386" s="405"/>
      <c r="I386" s="405"/>
      <c r="J386" s="405"/>
      <c r="K386" s="405"/>
      <c r="L386" s="405"/>
      <c r="M386" s="405"/>
      <c r="N386" s="405"/>
      <c r="O386" s="405"/>
      <c r="P386" s="405"/>
      <c r="Q386" s="405"/>
      <c r="R386" s="405"/>
      <c r="S386" s="405"/>
      <c r="T386" s="405"/>
      <c r="U386" s="405"/>
      <c r="V386" s="405"/>
      <c r="W386" s="405"/>
      <c r="X386" s="405"/>
    </row>
    <row r="387" spans="2:24">
      <c r="B387" s="405"/>
      <c r="C387" s="405"/>
      <c r="D387" s="405"/>
      <c r="E387" s="405"/>
      <c r="F387" s="405"/>
      <c r="G387" s="405"/>
      <c r="H387" s="405"/>
      <c r="I387" s="405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</row>
    <row r="388" spans="2:24">
      <c r="B388" s="405"/>
      <c r="C388" s="405"/>
      <c r="D388" s="405"/>
      <c r="E388" s="405"/>
      <c r="F388" s="405"/>
      <c r="G388" s="405"/>
      <c r="H388" s="405"/>
      <c r="I388" s="405"/>
      <c r="J388" s="405"/>
      <c r="K388" s="405"/>
      <c r="L388" s="405"/>
      <c r="M388" s="405"/>
      <c r="N388" s="405"/>
      <c r="O388" s="405"/>
      <c r="P388" s="405"/>
      <c r="Q388" s="405"/>
      <c r="R388" s="405"/>
      <c r="S388" s="405"/>
      <c r="T388" s="405"/>
      <c r="U388" s="405"/>
      <c r="V388" s="405"/>
      <c r="W388" s="405"/>
      <c r="X388" s="405"/>
    </row>
    <row r="389" spans="2:24">
      <c r="B389" s="405"/>
      <c r="C389" s="405"/>
      <c r="D389" s="405"/>
      <c r="E389" s="405"/>
      <c r="F389" s="405"/>
      <c r="G389" s="405"/>
      <c r="H389" s="405"/>
      <c r="I389" s="405"/>
      <c r="J389" s="405"/>
      <c r="K389" s="405"/>
      <c r="L389" s="405"/>
      <c r="M389" s="405"/>
      <c r="N389" s="405"/>
      <c r="O389" s="405"/>
      <c r="P389" s="405"/>
      <c r="Q389" s="405"/>
      <c r="R389" s="405"/>
      <c r="S389" s="405"/>
      <c r="T389" s="405"/>
      <c r="U389" s="405"/>
      <c r="V389" s="405"/>
      <c r="W389" s="405"/>
      <c r="X389" s="405"/>
    </row>
    <row r="390" spans="2:24">
      <c r="B390" s="405"/>
      <c r="C390" s="405"/>
      <c r="D390" s="405"/>
      <c r="E390" s="405"/>
      <c r="F390" s="405"/>
      <c r="G390" s="405"/>
      <c r="H390" s="405"/>
      <c r="I390" s="405"/>
      <c r="J390" s="405"/>
      <c r="K390" s="405"/>
      <c r="L390" s="405"/>
      <c r="M390" s="405"/>
      <c r="N390" s="405"/>
      <c r="O390" s="405"/>
      <c r="P390" s="405"/>
      <c r="Q390" s="405"/>
      <c r="R390" s="405"/>
      <c r="S390" s="405"/>
      <c r="T390" s="405"/>
      <c r="U390" s="405"/>
      <c r="V390" s="405"/>
      <c r="W390" s="405"/>
      <c r="X390" s="405"/>
    </row>
    <row r="391" spans="2:24">
      <c r="B391" s="405"/>
      <c r="C391" s="405"/>
      <c r="D391" s="405"/>
      <c r="E391" s="405"/>
      <c r="F391" s="405"/>
      <c r="G391" s="405"/>
      <c r="H391" s="405"/>
      <c r="I391" s="405"/>
      <c r="J391" s="405"/>
      <c r="K391" s="405"/>
      <c r="L391" s="405"/>
      <c r="M391" s="405"/>
      <c r="N391" s="405"/>
      <c r="O391" s="405"/>
      <c r="P391" s="405"/>
      <c r="Q391" s="405"/>
      <c r="R391" s="405"/>
      <c r="S391" s="405"/>
      <c r="T391" s="405"/>
      <c r="U391" s="405"/>
      <c r="V391" s="405"/>
      <c r="W391" s="405"/>
      <c r="X391" s="405"/>
    </row>
    <row r="392" spans="2:24">
      <c r="B392" s="405"/>
      <c r="C392" s="405"/>
      <c r="D392" s="405"/>
      <c r="E392" s="405"/>
      <c r="F392" s="405"/>
      <c r="G392" s="405"/>
      <c r="H392" s="405"/>
      <c r="I392" s="405"/>
      <c r="J392" s="405"/>
      <c r="K392" s="405"/>
      <c r="L392" s="405"/>
      <c r="M392" s="405"/>
      <c r="N392" s="405"/>
      <c r="O392" s="405"/>
      <c r="P392" s="405"/>
      <c r="Q392" s="405"/>
      <c r="R392" s="405"/>
      <c r="S392" s="405"/>
      <c r="T392" s="405"/>
      <c r="U392" s="405"/>
      <c r="V392" s="405"/>
      <c r="W392" s="405"/>
      <c r="X392" s="405"/>
    </row>
    <row r="393" spans="2:24">
      <c r="B393" s="405"/>
      <c r="C393" s="405"/>
      <c r="D393" s="405"/>
      <c r="E393" s="405"/>
      <c r="F393" s="405"/>
      <c r="G393" s="405"/>
      <c r="H393" s="405"/>
      <c r="I393" s="405"/>
      <c r="J393" s="405"/>
      <c r="K393" s="405"/>
      <c r="L393" s="405"/>
      <c r="M393" s="405"/>
      <c r="N393" s="405"/>
      <c r="O393" s="405"/>
      <c r="P393" s="405"/>
      <c r="Q393" s="405"/>
      <c r="R393" s="405"/>
      <c r="S393" s="405"/>
      <c r="T393" s="405"/>
      <c r="U393" s="405"/>
      <c r="V393" s="405"/>
      <c r="W393" s="405"/>
      <c r="X393" s="405"/>
    </row>
    <row r="394" spans="2:24">
      <c r="B394" s="405"/>
      <c r="C394" s="405"/>
      <c r="D394" s="405"/>
      <c r="E394" s="405"/>
      <c r="F394" s="405"/>
      <c r="G394" s="405"/>
      <c r="H394" s="405"/>
      <c r="I394" s="405"/>
      <c r="J394" s="405"/>
      <c r="K394" s="405"/>
      <c r="L394" s="405"/>
      <c r="M394" s="405"/>
      <c r="N394" s="405"/>
      <c r="O394" s="405"/>
      <c r="P394" s="405"/>
      <c r="Q394" s="405"/>
      <c r="R394" s="405"/>
      <c r="S394" s="405"/>
      <c r="T394" s="405"/>
      <c r="U394" s="405"/>
      <c r="V394" s="405"/>
      <c r="W394" s="405"/>
      <c r="X394" s="405"/>
    </row>
    <row r="395" spans="2:24">
      <c r="B395" s="405"/>
      <c r="C395" s="405"/>
      <c r="D395" s="405"/>
      <c r="E395" s="405"/>
      <c r="F395" s="405"/>
      <c r="G395" s="405"/>
      <c r="H395" s="405"/>
      <c r="I395" s="405"/>
      <c r="J395" s="405"/>
      <c r="K395" s="405"/>
      <c r="L395" s="405"/>
      <c r="M395" s="405"/>
      <c r="N395" s="405"/>
      <c r="O395" s="405"/>
      <c r="P395" s="405"/>
      <c r="Q395" s="405"/>
      <c r="R395" s="405"/>
      <c r="S395" s="405"/>
      <c r="T395" s="405"/>
      <c r="U395" s="405"/>
      <c r="V395" s="405"/>
      <c r="W395" s="405"/>
      <c r="X395" s="405"/>
    </row>
    <row r="396" spans="2:24">
      <c r="B396" s="405"/>
      <c r="C396" s="405"/>
      <c r="D396" s="405"/>
      <c r="E396" s="405"/>
      <c r="F396" s="405"/>
      <c r="G396" s="405"/>
      <c r="H396" s="405"/>
      <c r="I396" s="405"/>
      <c r="J396" s="405"/>
      <c r="K396" s="405"/>
      <c r="L396" s="405"/>
      <c r="M396" s="405"/>
      <c r="N396" s="405"/>
      <c r="O396" s="405"/>
      <c r="P396" s="405"/>
      <c r="Q396" s="405"/>
      <c r="R396" s="405"/>
      <c r="S396" s="405"/>
      <c r="T396" s="405"/>
      <c r="U396" s="405"/>
      <c r="V396" s="405"/>
      <c r="W396" s="405"/>
      <c r="X396" s="405"/>
    </row>
    <row r="397" spans="2:24">
      <c r="B397" s="405"/>
      <c r="C397" s="405"/>
      <c r="D397" s="405"/>
      <c r="E397" s="405"/>
      <c r="F397" s="405"/>
      <c r="G397" s="405"/>
      <c r="H397" s="405"/>
      <c r="I397" s="405"/>
      <c r="J397" s="405"/>
      <c r="K397" s="405"/>
      <c r="L397" s="405"/>
      <c r="M397" s="405"/>
      <c r="N397" s="405"/>
      <c r="O397" s="405"/>
      <c r="P397" s="405"/>
      <c r="Q397" s="405"/>
      <c r="R397" s="405"/>
      <c r="S397" s="405"/>
      <c r="T397" s="405"/>
      <c r="U397" s="405"/>
      <c r="V397" s="405"/>
      <c r="W397" s="405"/>
      <c r="X397" s="405"/>
    </row>
    <row r="398" spans="2:24">
      <c r="B398" s="405"/>
      <c r="C398" s="405"/>
      <c r="D398" s="405"/>
      <c r="E398" s="405"/>
      <c r="F398" s="405"/>
      <c r="G398" s="405"/>
      <c r="H398" s="405"/>
      <c r="I398" s="405"/>
      <c r="J398" s="405"/>
      <c r="K398" s="405"/>
      <c r="L398" s="405"/>
      <c r="M398" s="405"/>
      <c r="N398" s="405"/>
      <c r="O398" s="405"/>
      <c r="P398" s="405"/>
      <c r="Q398" s="405"/>
      <c r="R398" s="405"/>
      <c r="S398" s="405"/>
      <c r="T398" s="405"/>
      <c r="U398" s="405"/>
      <c r="V398" s="405"/>
      <c r="W398" s="405"/>
      <c r="X398" s="405"/>
    </row>
    <row r="399" spans="2:24">
      <c r="B399" s="405"/>
      <c r="C399" s="405"/>
      <c r="D399" s="405"/>
      <c r="E399" s="405"/>
      <c r="F399" s="405"/>
      <c r="G399" s="405"/>
      <c r="H399" s="405"/>
      <c r="I399" s="405"/>
      <c r="J399" s="405"/>
      <c r="K399" s="405"/>
      <c r="L399" s="405"/>
      <c r="M399" s="405"/>
      <c r="N399" s="405"/>
      <c r="O399" s="405"/>
      <c r="P399" s="405"/>
      <c r="Q399" s="405"/>
      <c r="R399" s="405"/>
      <c r="S399" s="405"/>
      <c r="T399" s="405"/>
      <c r="U399" s="405"/>
      <c r="V399" s="405"/>
      <c r="W399" s="405"/>
      <c r="X399" s="405"/>
    </row>
    <row r="400" spans="2:24">
      <c r="B400" s="405"/>
      <c r="C400" s="405"/>
      <c r="D400" s="405"/>
      <c r="E400" s="405"/>
      <c r="F400" s="405"/>
      <c r="G400" s="405"/>
      <c r="H400" s="405"/>
      <c r="I400" s="405"/>
      <c r="J400" s="405"/>
      <c r="K400" s="405"/>
      <c r="L400" s="405"/>
      <c r="M400" s="405"/>
      <c r="N400" s="405"/>
      <c r="O400" s="405"/>
      <c r="P400" s="405"/>
      <c r="Q400" s="405"/>
      <c r="R400" s="405"/>
      <c r="S400" s="405"/>
      <c r="T400" s="405"/>
      <c r="U400" s="405"/>
      <c r="V400" s="405"/>
      <c r="W400" s="405"/>
      <c r="X400" s="405"/>
    </row>
    <row r="401" spans="2:24">
      <c r="B401" s="405"/>
      <c r="C401" s="405"/>
      <c r="D401" s="405"/>
      <c r="E401" s="405"/>
      <c r="F401" s="405"/>
      <c r="G401" s="405"/>
      <c r="H401" s="405"/>
      <c r="I401" s="405"/>
      <c r="J401" s="405"/>
      <c r="K401" s="405"/>
      <c r="L401" s="405"/>
      <c r="M401" s="405"/>
      <c r="N401" s="405"/>
      <c r="O401" s="405"/>
      <c r="P401" s="405"/>
      <c r="Q401" s="405"/>
      <c r="R401" s="405"/>
      <c r="S401" s="405"/>
      <c r="T401" s="405"/>
      <c r="U401" s="405"/>
      <c r="V401" s="405"/>
      <c r="W401" s="405"/>
      <c r="X401" s="405"/>
    </row>
    <row r="402" spans="2:24">
      <c r="B402" s="405"/>
      <c r="C402" s="405"/>
      <c r="D402" s="405"/>
      <c r="E402" s="405"/>
      <c r="F402" s="405"/>
      <c r="G402" s="405"/>
      <c r="H402" s="405"/>
      <c r="I402" s="405"/>
      <c r="J402" s="405"/>
      <c r="K402" s="405"/>
      <c r="L402" s="405"/>
      <c r="M402" s="405"/>
      <c r="N402" s="405"/>
      <c r="O402" s="405"/>
      <c r="P402" s="405"/>
      <c r="Q402" s="405"/>
      <c r="R402" s="405"/>
      <c r="S402" s="405"/>
      <c r="T402" s="405"/>
      <c r="U402" s="405"/>
      <c r="V402" s="405"/>
      <c r="W402" s="405"/>
      <c r="X402" s="405"/>
    </row>
    <row r="403" spans="2:24">
      <c r="B403" s="405"/>
      <c r="C403" s="405"/>
      <c r="D403" s="405"/>
      <c r="E403" s="405"/>
      <c r="F403" s="405"/>
      <c r="G403" s="405"/>
      <c r="H403" s="405"/>
      <c r="I403" s="405"/>
      <c r="J403" s="405"/>
      <c r="K403" s="405"/>
      <c r="L403" s="405"/>
      <c r="M403" s="405"/>
      <c r="N403" s="405"/>
      <c r="O403" s="405"/>
      <c r="P403" s="405"/>
      <c r="Q403" s="405"/>
      <c r="R403" s="405"/>
      <c r="S403" s="405"/>
      <c r="T403" s="405"/>
      <c r="U403" s="405"/>
      <c r="V403" s="405"/>
      <c r="W403" s="405"/>
      <c r="X403" s="405"/>
    </row>
    <row r="404" spans="2:24">
      <c r="B404" s="405"/>
      <c r="C404" s="405"/>
      <c r="D404" s="405"/>
      <c r="E404" s="405"/>
      <c r="F404" s="405"/>
      <c r="G404" s="405"/>
      <c r="H404" s="405"/>
      <c r="I404" s="405"/>
      <c r="J404" s="405"/>
      <c r="K404" s="405"/>
      <c r="L404" s="405"/>
      <c r="M404" s="405"/>
      <c r="N404" s="405"/>
      <c r="O404" s="405"/>
      <c r="P404" s="405"/>
      <c r="Q404" s="405"/>
      <c r="R404" s="405"/>
      <c r="S404" s="405"/>
      <c r="T404" s="405"/>
      <c r="U404" s="405"/>
      <c r="V404" s="405"/>
      <c r="W404" s="405"/>
      <c r="X404" s="405"/>
    </row>
    <row r="405" spans="2:24">
      <c r="B405" s="405"/>
      <c r="C405" s="405"/>
      <c r="D405" s="405"/>
      <c r="E405" s="405"/>
      <c r="F405" s="405"/>
      <c r="G405" s="405"/>
      <c r="H405" s="405"/>
      <c r="I405" s="405"/>
      <c r="J405" s="405"/>
      <c r="K405" s="405"/>
      <c r="L405" s="405"/>
      <c r="M405" s="405"/>
      <c r="N405" s="405"/>
      <c r="O405" s="405"/>
      <c r="P405" s="405"/>
      <c r="Q405" s="405"/>
      <c r="R405" s="405"/>
      <c r="S405" s="405"/>
      <c r="T405" s="405"/>
      <c r="U405" s="405"/>
      <c r="V405" s="405"/>
      <c r="W405" s="405"/>
      <c r="X405" s="405"/>
    </row>
    <row r="406" spans="2:24">
      <c r="B406" s="405"/>
      <c r="C406" s="405"/>
      <c r="D406" s="405"/>
      <c r="E406" s="405"/>
      <c r="F406" s="405"/>
      <c r="G406" s="405"/>
      <c r="H406" s="405"/>
      <c r="I406" s="405"/>
      <c r="J406" s="405"/>
      <c r="K406" s="405"/>
      <c r="L406" s="405"/>
      <c r="M406" s="405"/>
      <c r="N406" s="405"/>
      <c r="O406" s="405"/>
      <c r="P406" s="405"/>
      <c r="Q406" s="405"/>
      <c r="R406" s="405"/>
      <c r="S406" s="405"/>
      <c r="T406" s="405"/>
      <c r="U406" s="405"/>
      <c r="V406" s="405"/>
      <c r="W406" s="405"/>
      <c r="X406" s="405"/>
    </row>
    <row r="407" spans="2:24">
      <c r="B407" s="405"/>
      <c r="C407" s="405"/>
      <c r="D407" s="405"/>
      <c r="E407" s="405"/>
      <c r="F407" s="405"/>
      <c r="G407" s="405"/>
      <c r="H407" s="405"/>
      <c r="I407" s="405"/>
      <c r="J407" s="405"/>
      <c r="K407" s="405"/>
      <c r="L407" s="405"/>
      <c r="M407" s="405"/>
      <c r="N407" s="405"/>
      <c r="O407" s="405"/>
      <c r="P407" s="405"/>
      <c r="Q407" s="405"/>
      <c r="R407" s="405"/>
      <c r="S407" s="405"/>
      <c r="T407" s="405"/>
      <c r="U407" s="405"/>
      <c r="V407" s="405"/>
      <c r="W407" s="405"/>
      <c r="X407" s="405"/>
    </row>
    <row r="408" spans="2:24">
      <c r="B408" s="405"/>
      <c r="C408" s="405"/>
      <c r="D408" s="405"/>
      <c r="E408" s="405"/>
      <c r="F408" s="405"/>
      <c r="G408" s="405"/>
      <c r="H408" s="405"/>
      <c r="I408" s="405"/>
      <c r="J408" s="405"/>
      <c r="K408" s="405"/>
      <c r="L408" s="405"/>
      <c r="M408" s="405"/>
      <c r="N408" s="405"/>
      <c r="O408" s="405"/>
      <c r="P408" s="405"/>
      <c r="Q408" s="405"/>
      <c r="R408" s="405"/>
      <c r="S408" s="405"/>
      <c r="T408" s="405"/>
      <c r="U408" s="405"/>
      <c r="V408" s="405"/>
      <c r="W408" s="405"/>
      <c r="X408" s="405"/>
    </row>
    <row r="409" spans="2:24">
      <c r="B409" s="405"/>
      <c r="C409" s="405"/>
      <c r="D409" s="405"/>
      <c r="E409" s="405"/>
      <c r="F409" s="405"/>
      <c r="G409" s="405"/>
      <c r="H409" s="405"/>
      <c r="I409" s="405"/>
      <c r="J409" s="405"/>
      <c r="K409" s="405"/>
      <c r="L409" s="405"/>
      <c r="M409" s="405"/>
      <c r="N409" s="405"/>
      <c r="O409" s="405"/>
      <c r="P409" s="405"/>
      <c r="Q409" s="405"/>
      <c r="R409" s="405"/>
      <c r="S409" s="405"/>
      <c r="T409" s="405"/>
      <c r="U409" s="405"/>
      <c r="V409" s="405"/>
      <c r="W409" s="405"/>
      <c r="X409" s="405"/>
    </row>
    <row r="410" spans="2:24">
      <c r="B410" s="405"/>
      <c r="C410" s="405"/>
      <c r="D410" s="405"/>
      <c r="E410" s="405"/>
      <c r="F410" s="405"/>
      <c r="G410" s="405"/>
      <c r="H410" s="405"/>
      <c r="I410" s="405"/>
      <c r="J410" s="405"/>
      <c r="K410" s="405"/>
      <c r="L410" s="405"/>
      <c r="M410" s="405"/>
      <c r="N410" s="405"/>
      <c r="O410" s="405"/>
      <c r="P410" s="405"/>
      <c r="Q410" s="405"/>
      <c r="R410" s="405"/>
      <c r="S410" s="405"/>
      <c r="T410" s="405"/>
      <c r="U410" s="405"/>
      <c r="V410" s="405"/>
      <c r="W410" s="405"/>
      <c r="X410" s="405"/>
    </row>
    <row r="411" spans="2:24">
      <c r="B411" s="405"/>
      <c r="C411" s="405"/>
      <c r="D411" s="405"/>
      <c r="E411" s="405"/>
      <c r="F411" s="405"/>
      <c r="G411" s="405"/>
      <c r="H411" s="405"/>
      <c r="I411" s="405"/>
      <c r="J411" s="405"/>
      <c r="K411" s="405"/>
      <c r="L411" s="405"/>
      <c r="M411" s="405"/>
      <c r="N411" s="405"/>
      <c r="O411" s="405"/>
      <c r="P411" s="405"/>
      <c r="Q411" s="405"/>
      <c r="R411" s="405"/>
      <c r="S411" s="405"/>
      <c r="T411" s="405"/>
      <c r="U411" s="405"/>
      <c r="V411" s="405"/>
      <c r="W411" s="405"/>
      <c r="X411" s="405"/>
    </row>
    <row r="412" spans="2:24">
      <c r="B412" s="405"/>
      <c r="C412" s="405"/>
      <c r="D412" s="405"/>
      <c r="E412" s="405"/>
      <c r="F412" s="405"/>
      <c r="G412" s="405"/>
      <c r="H412" s="405"/>
      <c r="I412" s="405"/>
      <c r="J412" s="405"/>
      <c r="K412" s="405"/>
      <c r="L412" s="405"/>
      <c r="M412" s="405"/>
      <c r="N412" s="405"/>
      <c r="O412" s="405"/>
      <c r="P412" s="405"/>
      <c r="Q412" s="405"/>
      <c r="R412" s="405"/>
      <c r="S412" s="405"/>
      <c r="T412" s="405"/>
      <c r="U412" s="405"/>
      <c r="V412" s="405"/>
      <c r="W412" s="405"/>
      <c r="X412" s="405"/>
    </row>
    <row r="413" spans="2:24">
      <c r="B413" s="405"/>
      <c r="C413" s="405"/>
      <c r="D413" s="405"/>
      <c r="E413" s="405"/>
      <c r="F413" s="405"/>
      <c r="G413" s="405"/>
      <c r="H413" s="405"/>
      <c r="I413" s="405"/>
      <c r="J413" s="405"/>
      <c r="K413" s="405"/>
      <c r="L413" s="405"/>
      <c r="M413" s="405"/>
      <c r="N413" s="405"/>
      <c r="O413" s="405"/>
      <c r="P413" s="405"/>
      <c r="Q413" s="405"/>
      <c r="R413" s="405"/>
      <c r="S413" s="405"/>
      <c r="T413" s="405"/>
      <c r="U413" s="405"/>
      <c r="V413" s="405"/>
      <c r="W413" s="405"/>
      <c r="X413" s="405"/>
    </row>
    <row r="414" spans="2:24">
      <c r="B414" s="405"/>
      <c r="C414" s="405"/>
      <c r="D414" s="405"/>
      <c r="E414" s="405"/>
      <c r="F414" s="405"/>
      <c r="G414" s="405"/>
      <c r="H414" s="405"/>
      <c r="I414" s="405"/>
      <c r="J414" s="405"/>
      <c r="K414" s="405"/>
      <c r="L414" s="405"/>
      <c r="M414" s="405"/>
      <c r="N414" s="405"/>
      <c r="O414" s="405"/>
      <c r="P414" s="405"/>
      <c r="Q414" s="405"/>
      <c r="R414" s="405"/>
      <c r="S414" s="405"/>
      <c r="T414" s="405"/>
      <c r="U414" s="405"/>
      <c r="V414" s="405"/>
      <c r="W414" s="405"/>
      <c r="X414" s="405"/>
    </row>
    <row r="415" spans="2:24">
      <c r="B415" s="405"/>
      <c r="C415" s="405"/>
      <c r="D415" s="405"/>
      <c r="E415" s="405"/>
      <c r="F415" s="405"/>
      <c r="G415" s="405"/>
      <c r="H415" s="405"/>
      <c r="I415" s="405"/>
      <c r="J415" s="405"/>
      <c r="K415" s="405"/>
      <c r="L415" s="405"/>
      <c r="M415" s="405"/>
      <c r="N415" s="405"/>
      <c r="O415" s="405"/>
      <c r="P415" s="405"/>
      <c r="Q415" s="405"/>
      <c r="R415" s="405"/>
      <c r="S415" s="405"/>
      <c r="T415" s="405"/>
      <c r="U415" s="405"/>
      <c r="V415" s="405"/>
      <c r="W415" s="405"/>
      <c r="X415" s="405"/>
    </row>
    <row r="416" spans="2:24">
      <c r="B416" s="405"/>
      <c r="C416" s="405"/>
      <c r="D416" s="405"/>
      <c r="E416" s="405"/>
      <c r="F416" s="405"/>
      <c r="G416" s="405"/>
      <c r="H416" s="405"/>
      <c r="I416" s="405"/>
      <c r="J416" s="405"/>
      <c r="K416" s="405"/>
      <c r="L416" s="405"/>
      <c r="M416" s="405"/>
      <c r="N416" s="405"/>
      <c r="O416" s="405"/>
      <c r="P416" s="405"/>
      <c r="Q416" s="405"/>
      <c r="R416" s="405"/>
      <c r="S416" s="405"/>
      <c r="T416" s="405"/>
      <c r="U416" s="405"/>
      <c r="V416" s="405"/>
      <c r="W416" s="405"/>
      <c r="X416" s="405"/>
    </row>
    <row r="417" spans="2:24">
      <c r="B417" s="405"/>
      <c r="C417" s="405"/>
      <c r="D417" s="405"/>
      <c r="E417" s="405"/>
      <c r="F417" s="405"/>
      <c r="G417" s="405"/>
      <c r="H417" s="405"/>
      <c r="I417" s="405"/>
      <c r="J417" s="405"/>
      <c r="K417" s="405"/>
      <c r="L417" s="405"/>
      <c r="M417" s="405"/>
      <c r="N417" s="405"/>
      <c r="O417" s="405"/>
      <c r="P417" s="405"/>
      <c r="Q417" s="405"/>
      <c r="R417" s="405"/>
      <c r="S417" s="405"/>
      <c r="T417" s="405"/>
      <c r="U417" s="405"/>
      <c r="V417" s="405"/>
      <c r="W417" s="405"/>
      <c r="X417" s="405"/>
    </row>
    <row r="418" spans="2:24">
      <c r="B418" s="405"/>
      <c r="C418" s="405"/>
      <c r="D418" s="405"/>
      <c r="E418" s="405"/>
      <c r="F418" s="405"/>
      <c r="G418" s="405"/>
      <c r="H418" s="405"/>
      <c r="I418" s="405"/>
      <c r="J418" s="405"/>
      <c r="K418" s="405"/>
      <c r="L418" s="405"/>
      <c r="M418" s="405"/>
      <c r="N418" s="405"/>
      <c r="O418" s="405"/>
      <c r="P418" s="405"/>
      <c r="Q418" s="405"/>
      <c r="R418" s="405"/>
      <c r="S418" s="405"/>
      <c r="T418" s="405"/>
      <c r="U418" s="405"/>
      <c r="V418" s="405"/>
      <c r="W418" s="405"/>
      <c r="X418" s="405"/>
    </row>
    <row r="419" spans="2:24">
      <c r="B419" s="405"/>
      <c r="C419" s="405"/>
      <c r="D419" s="405"/>
      <c r="E419" s="405"/>
      <c r="F419" s="405"/>
      <c r="G419" s="405"/>
      <c r="H419" s="405"/>
      <c r="I419" s="405"/>
      <c r="J419" s="405"/>
      <c r="K419" s="405"/>
      <c r="L419" s="405"/>
      <c r="M419" s="405"/>
      <c r="N419" s="405"/>
      <c r="O419" s="405"/>
      <c r="P419" s="405"/>
      <c r="Q419" s="405"/>
      <c r="R419" s="405"/>
      <c r="S419" s="405"/>
      <c r="T419" s="405"/>
      <c r="U419" s="405"/>
      <c r="V419" s="405"/>
      <c r="W419" s="405"/>
      <c r="X419" s="405"/>
    </row>
    <row r="420" spans="2:24">
      <c r="B420" s="405"/>
      <c r="C420" s="405"/>
      <c r="D420" s="405"/>
      <c r="E420" s="405"/>
      <c r="F420" s="405"/>
      <c r="G420" s="405"/>
      <c r="H420" s="405"/>
      <c r="I420" s="405"/>
      <c r="J420" s="405"/>
      <c r="K420" s="405"/>
      <c r="L420" s="405"/>
      <c r="M420" s="405"/>
      <c r="N420" s="405"/>
      <c r="O420" s="405"/>
      <c r="P420" s="405"/>
      <c r="Q420" s="405"/>
      <c r="R420" s="405"/>
      <c r="S420" s="405"/>
      <c r="T420" s="405"/>
      <c r="U420" s="405"/>
      <c r="V420" s="405"/>
      <c r="W420" s="405"/>
      <c r="X420" s="405"/>
    </row>
    <row r="421" spans="2:24">
      <c r="B421" s="405"/>
      <c r="C421" s="405"/>
      <c r="D421" s="405"/>
      <c r="E421" s="405"/>
      <c r="F421" s="405"/>
      <c r="G421" s="405"/>
      <c r="H421" s="405"/>
      <c r="I421" s="405"/>
      <c r="J421" s="405"/>
      <c r="K421" s="405"/>
      <c r="L421" s="405"/>
      <c r="M421" s="405"/>
      <c r="N421" s="405"/>
      <c r="O421" s="405"/>
      <c r="P421" s="405"/>
      <c r="Q421" s="405"/>
      <c r="R421" s="405"/>
      <c r="S421" s="405"/>
      <c r="T421" s="405"/>
      <c r="U421" s="405"/>
      <c r="V421" s="405"/>
      <c r="W421" s="405"/>
      <c r="X421" s="405"/>
    </row>
    <row r="422" spans="2:24">
      <c r="B422" s="405"/>
      <c r="C422" s="405"/>
      <c r="D422" s="405"/>
      <c r="E422" s="405"/>
      <c r="F422" s="405"/>
      <c r="G422" s="405"/>
      <c r="H422" s="405"/>
      <c r="I422" s="405"/>
      <c r="J422" s="405"/>
      <c r="K422" s="405"/>
      <c r="L422" s="405"/>
      <c r="M422" s="405"/>
      <c r="N422" s="405"/>
      <c r="O422" s="405"/>
      <c r="P422" s="405"/>
      <c r="Q422" s="405"/>
      <c r="R422" s="405"/>
      <c r="S422" s="405"/>
      <c r="T422" s="405"/>
      <c r="U422" s="405"/>
      <c r="V422" s="405"/>
      <c r="W422" s="405"/>
      <c r="X422" s="405"/>
    </row>
    <row r="423" spans="2:24">
      <c r="B423" s="405"/>
      <c r="C423" s="405"/>
      <c r="D423" s="405"/>
      <c r="E423" s="405"/>
      <c r="F423" s="405"/>
      <c r="G423" s="405"/>
      <c r="H423" s="405"/>
      <c r="I423" s="405"/>
      <c r="J423" s="405"/>
      <c r="K423" s="405"/>
      <c r="L423" s="405"/>
      <c r="M423" s="405"/>
      <c r="N423" s="405"/>
      <c r="O423" s="405"/>
      <c r="P423" s="405"/>
      <c r="Q423" s="405"/>
      <c r="R423" s="405"/>
      <c r="S423" s="405"/>
      <c r="T423" s="405"/>
      <c r="U423" s="405"/>
      <c r="V423" s="405"/>
      <c r="W423" s="405"/>
      <c r="X423" s="405"/>
    </row>
    <row r="424" spans="2:24">
      <c r="B424" s="405"/>
      <c r="C424" s="405"/>
      <c r="D424" s="405"/>
      <c r="E424" s="405"/>
      <c r="F424" s="405"/>
      <c r="G424" s="405"/>
      <c r="H424" s="405"/>
      <c r="I424" s="405"/>
      <c r="J424" s="405"/>
      <c r="K424" s="405"/>
      <c r="L424" s="405"/>
      <c r="M424" s="405"/>
      <c r="N424" s="405"/>
      <c r="O424" s="405"/>
      <c r="P424" s="405"/>
      <c r="Q424" s="405"/>
      <c r="R424" s="405"/>
      <c r="S424" s="405"/>
      <c r="T424" s="405"/>
      <c r="U424" s="405"/>
      <c r="V424" s="405"/>
      <c r="W424" s="405"/>
      <c r="X424" s="405"/>
    </row>
    <row r="425" spans="2:24">
      <c r="B425" s="405"/>
      <c r="C425" s="405"/>
      <c r="D425" s="405"/>
      <c r="E425" s="405"/>
      <c r="F425" s="405"/>
      <c r="G425" s="405"/>
      <c r="H425" s="405"/>
      <c r="I425" s="405"/>
      <c r="J425" s="405"/>
      <c r="K425" s="405"/>
      <c r="L425" s="405"/>
      <c r="M425" s="405"/>
      <c r="N425" s="405"/>
      <c r="O425" s="405"/>
      <c r="P425" s="405"/>
      <c r="Q425" s="405"/>
      <c r="R425" s="405"/>
      <c r="S425" s="405"/>
      <c r="T425" s="405"/>
      <c r="U425" s="405"/>
      <c r="V425" s="405"/>
      <c r="W425" s="405"/>
      <c r="X425" s="405"/>
    </row>
    <row r="426" spans="2:24">
      <c r="B426" s="405"/>
      <c r="C426" s="405"/>
      <c r="D426" s="405"/>
      <c r="E426" s="405"/>
      <c r="F426" s="405"/>
      <c r="G426" s="405"/>
      <c r="H426" s="405"/>
      <c r="I426" s="405"/>
      <c r="J426" s="405"/>
      <c r="K426" s="405"/>
      <c r="L426" s="405"/>
      <c r="M426" s="405"/>
      <c r="N426" s="405"/>
      <c r="O426" s="405"/>
      <c r="P426" s="405"/>
      <c r="Q426" s="405"/>
      <c r="R426" s="405"/>
      <c r="S426" s="405"/>
      <c r="T426" s="405"/>
      <c r="U426" s="405"/>
      <c r="V426" s="405"/>
      <c r="W426" s="405"/>
      <c r="X426" s="405"/>
    </row>
    <row r="427" spans="2:24">
      <c r="B427" s="405"/>
      <c r="C427" s="405"/>
      <c r="D427" s="405"/>
      <c r="E427" s="405"/>
      <c r="F427" s="405"/>
      <c r="G427" s="405"/>
      <c r="H427" s="405"/>
      <c r="I427" s="405"/>
      <c r="J427" s="405"/>
      <c r="K427" s="405"/>
      <c r="L427" s="405"/>
      <c r="M427" s="405"/>
      <c r="N427" s="405"/>
      <c r="O427" s="405"/>
      <c r="P427" s="405"/>
      <c r="Q427" s="405"/>
      <c r="R427" s="405"/>
      <c r="S427" s="405"/>
      <c r="T427" s="405"/>
      <c r="U427" s="405"/>
      <c r="V427" s="405"/>
      <c r="W427" s="405"/>
      <c r="X427" s="405"/>
    </row>
    <row r="428" spans="2:24">
      <c r="B428" s="405"/>
      <c r="C428" s="405"/>
      <c r="D428" s="405"/>
      <c r="E428" s="405"/>
      <c r="F428" s="405"/>
      <c r="G428" s="405"/>
      <c r="H428" s="405"/>
      <c r="I428" s="405"/>
      <c r="J428" s="405"/>
      <c r="K428" s="405"/>
      <c r="L428" s="405"/>
      <c r="M428" s="405"/>
      <c r="N428" s="405"/>
      <c r="O428" s="405"/>
      <c r="P428" s="405"/>
      <c r="Q428" s="405"/>
      <c r="R428" s="405"/>
      <c r="S428" s="405"/>
      <c r="T428" s="405"/>
      <c r="U428" s="405"/>
      <c r="V428" s="405"/>
      <c r="W428" s="405"/>
      <c r="X428" s="405"/>
    </row>
    <row r="429" spans="2:24">
      <c r="B429" s="405"/>
      <c r="C429" s="405"/>
      <c r="D429" s="405"/>
      <c r="E429" s="405"/>
      <c r="F429" s="405"/>
      <c r="G429" s="405"/>
      <c r="H429" s="405"/>
      <c r="I429" s="405"/>
      <c r="J429" s="405"/>
      <c r="K429" s="405"/>
      <c r="L429" s="405"/>
      <c r="M429" s="405"/>
      <c r="N429" s="405"/>
      <c r="O429" s="405"/>
      <c r="P429" s="405"/>
      <c r="Q429" s="405"/>
      <c r="R429" s="405"/>
      <c r="S429" s="405"/>
      <c r="T429" s="405"/>
      <c r="U429" s="405"/>
      <c r="V429" s="405"/>
      <c r="W429" s="405"/>
      <c r="X429" s="405"/>
    </row>
    <row r="430" spans="2:24">
      <c r="B430" s="405"/>
      <c r="C430" s="405"/>
      <c r="D430" s="405"/>
      <c r="E430" s="405"/>
      <c r="F430" s="405"/>
      <c r="G430" s="405"/>
      <c r="H430" s="405"/>
      <c r="I430" s="405"/>
      <c r="J430" s="405"/>
      <c r="K430" s="405"/>
      <c r="L430" s="405"/>
      <c r="M430" s="405"/>
      <c r="N430" s="405"/>
      <c r="O430" s="405"/>
      <c r="P430" s="405"/>
      <c r="Q430" s="405"/>
      <c r="R430" s="405"/>
      <c r="S430" s="405"/>
      <c r="T430" s="405"/>
      <c r="U430" s="405"/>
      <c r="V430" s="405"/>
      <c r="W430" s="405"/>
      <c r="X430" s="405"/>
    </row>
    <row r="431" spans="2:24">
      <c r="B431" s="405"/>
      <c r="C431" s="405"/>
      <c r="D431" s="405"/>
      <c r="E431" s="405"/>
      <c r="F431" s="405"/>
      <c r="G431" s="405"/>
      <c r="H431" s="405"/>
      <c r="I431" s="405"/>
      <c r="J431" s="405"/>
      <c r="K431" s="405"/>
      <c r="L431" s="405"/>
      <c r="M431" s="405"/>
      <c r="N431" s="405"/>
      <c r="O431" s="405"/>
      <c r="P431" s="405"/>
      <c r="Q431" s="405"/>
      <c r="R431" s="405"/>
      <c r="S431" s="405"/>
      <c r="T431" s="405"/>
      <c r="U431" s="405"/>
      <c r="V431" s="405"/>
      <c r="W431" s="405"/>
      <c r="X431" s="405"/>
    </row>
    <row r="432" spans="2:24">
      <c r="B432" s="405"/>
      <c r="C432" s="405"/>
      <c r="D432" s="405"/>
      <c r="E432" s="405"/>
      <c r="F432" s="405"/>
      <c r="G432" s="405"/>
      <c r="H432" s="405"/>
      <c r="I432" s="405"/>
      <c r="J432" s="405"/>
      <c r="K432" s="405"/>
      <c r="L432" s="405"/>
      <c r="M432" s="405"/>
      <c r="N432" s="405"/>
      <c r="O432" s="405"/>
      <c r="P432" s="405"/>
      <c r="Q432" s="405"/>
      <c r="R432" s="405"/>
      <c r="S432" s="405"/>
      <c r="T432" s="405"/>
      <c r="U432" s="405"/>
      <c r="V432" s="405"/>
      <c r="W432" s="405"/>
      <c r="X432" s="405"/>
    </row>
    <row r="433" spans="2:24">
      <c r="B433" s="405"/>
      <c r="C433" s="405"/>
      <c r="D433" s="405"/>
      <c r="E433" s="405"/>
      <c r="F433" s="405"/>
      <c r="G433" s="405"/>
      <c r="H433" s="405"/>
      <c r="I433" s="405"/>
      <c r="J433" s="405"/>
      <c r="K433" s="405"/>
      <c r="L433" s="405"/>
      <c r="M433" s="405"/>
      <c r="N433" s="405"/>
      <c r="O433" s="405"/>
      <c r="P433" s="405"/>
      <c r="Q433" s="405"/>
      <c r="R433" s="405"/>
      <c r="S433" s="405"/>
      <c r="T433" s="405"/>
      <c r="U433" s="405"/>
      <c r="V433" s="405"/>
      <c r="W433" s="405"/>
      <c r="X433" s="405"/>
    </row>
    <row r="434" spans="2:24">
      <c r="B434" s="405"/>
      <c r="C434" s="405"/>
      <c r="D434" s="405"/>
      <c r="E434" s="405"/>
      <c r="F434" s="405"/>
      <c r="G434" s="405"/>
      <c r="H434" s="405"/>
      <c r="I434" s="405"/>
      <c r="J434" s="405"/>
      <c r="K434" s="405"/>
      <c r="L434" s="405"/>
      <c r="M434" s="405"/>
      <c r="N434" s="405"/>
      <c r="O434" s="405"/>
      <c r="P434" s="405"/>
      <c r="Q434" s="405"/>
      <c r="R434" s="405"/>
      <c r="S434" s="405"/>
      <c r="T434" s="405"/>
      <c r="U434" s="405"/>
      <c r="V434" s="405"/>
      <c r="W434" s="405"/>
      <c r="X434" s="405"/>
    </row>
    <row r="435" spans="2:24">
      <c r="B435" s="405"/>
      <c r="C435" s="405"/>
      <c r="D435" s="405"/>
      <c r="E435" s="405"/>
      <c r="F435" s="405"/>
      <c r="G435" s="405"/>
      <c r="H435" s="405"/>
      <c r="I435" s="405"/>
      <c r="J435" s="405"/>
      <c r="K435" s="405"/>
      <c r="L435" s="405"/>
      <c r="M435" s="405"/>
      <c r="N435" s="405"/>
      <c r="O435" s="405"/>
      <c r="P435" s="405"/>
      <c r="Q435" s="405"/>
      <c r="R435" s="405"/>
      <c r="S435" s="405"/>
      <c r="T435" s="405"/>
      <c r="U435" s="405"/>
      <c r="V435" s="405"/>
      <c r="W435" s="405"/>
      <c r="X435" s="405"/>
    </row>
    <row r="436" spans="2:24">
      <c r="B436" s="405"/>
      <c r="C436" s="405"/>
      <c r="D436" s="405"/>
      <c r="E436" s="405"/>
      <c r="F436" s="405"/>
      <c r="G436" s="405"/>
      <c r="H436" s="405"/>
      <c r="I436" s="405"/>
      <c r="J436" s="405"/>
      <c r="K436" s="405"/>
      <c r="L436" s="405"/>
      <c r="M436" s="405"/>
      <c r="N436" s="405"/>
      <c r="O436" s="405"/>
      <c r="P436" s="405"/>
      <c r="Q436" s="405"/>
      <c r="R436" s="405"/>
      <c r="S436" s="405"/>
      <c r="T436" s="405"/>
      <c r="U436" s="405"/>
      <c r="V436" s="405"/>
      <c r="W436" s="405"/>
      <c r="X436" s="405"/>
    </row>
    <row r="437" spans="2:24">
      <c r="B437" s="405"/>
      <c r="C437" s="405"/>
      <c r="D437" s="405"/>
      <c r="E437" s="405"/>
      <c r="F437" s="405"/>
      <c r="G437" s="405"/>
      <c r="H437" s="405"/>
      <c r="I437" s="405"/>
      <c r="J437" s="405"/>
      <c r="K437" s="405"/>
      <c r="L437" s="405"/>
      <c r="M437" s="405"/>
      <c r="N437" s="405"/>
      <c r="O437" s="405"/>
      <c r="P437" s="405"/>
      <c r="Q437" s="405"/>
      <c r="R437" s="405"/>
      <c r="S437" s="405"/>
      <c r="T437" s="405"/>
      <c r="U437" s="405"/>
      <c r="V437" s="405"/>
      <c r="W437" s="405"/>
      <c r="X437" s="405"/>
    </row>
    <row r="438" spans="2:24">
      <c r="B438" s="405"/>
      <c r="C438" s="405"/>
      <c r="D438" s="405"/>
      <c r="E438" s="405"/>
      <c r="F438" s="405"/>
      <c r="G438" s="405"/>
      <c r="H438" s="405"/>
      <c r="I438" s="405"/>
      <c r="J438" s="405"/>
      <c r="K438" s="405"/>
      <c r="L438" s="405"/>
      <c r="M438" s="405"/>
      <c r="N438" s="405"/>
      <c r="O438" s="405"/>
      <c r="P438" s="405"/>
      <c r="Q438" s="405"/>
      <c r="R438" s="405"/>
      <c r="S438" s="405"/>
      <c r="T438" s="405"/>
      <c r="U438" s="405"/>
      <c r="V438" s="405"/>
      <c r="W438" s="405"/>
      <c r="X438" s="405"/>
    </row>
    <row r="439" spans="2:24">
      <c r="B439" s="405"/>
      <c r="C439" s="405"/>
      <c r="D439" s="405"/>
      <c r="E439" s="405"/>
      <c r="F439" s="405"/>
      <c r="G439" s="405"/>
      <c r="H439" s="405"/>
      <c r="I439" s="405"/>
      <c r="J439" s="405"/>
      <c r="K439" s="405"/>
      <c r="L439" s="405"/>
      <c r="M439" s="405"/>
      <c r="N439" s="405"/>
      <c r="O439" s="405"/>
      <c r="P439" s="405"/>
      <c r="Q439" s="405"/>
      <c r="R439" s="405"/>
      <c r="S439" s="405"/>
      <c r="T439" s="405"/>
      <c r="U439" s="405"/>
      <c r="V439" s="405"/>
      <c r="W439" s="405"/>
      <c r="X439" s="405"/>
    </row>
    <row r="440" spans="2:24">
      <c r="B440" s="405"/>
      <c r="C440" s="405"/>
      <c r="D440" s="405"/>
      <c r="E440" s="405"/>
      <c r="F440" s="405"/>
      <c r="G440" s="405"/>
      <c r="H440" s="405"/>
      <c r="I440" s="405"/>
      <c r="J440" s="405"/>
      <c r="K440" s="405"/>
      <c r="L440" s="405"/>
      <c r="M440" s="405"/>
      <c r="N440" s="405"/>
      <c r="O440" s="405"/>
      <c r="P440" s="405"/>
      <c r="Q440" s="405"/>
      <c r="R440" s="405"/>
      <c r="S440" s="405"/>
      <c r="T440" s="405"/>
      <c r="U440" s="405"/>
      <c r="V440" s="405"/>
      <c r="W440" s="405"/>
      <c r="X440" s="405"/>
    </row>
    <row r="441" spans="2:24">
      <c r="B441" s="405"/>
      <c r="C441" s="405"/>
      <c r="D441" s="405"/>
      <c r="E441" s="405"/>
      <c r="F441" s="405"/>
      <c r="G441" s="405"/>
      <c r="H441" s="405"/>
      <c r="I441" s="405"/>
      <c r="J441" s="405"/>
      <c r="K441" s="405"/>
      <c r="L441" s="405"/>
      <c r="M441" s="405"/>
      <c r="N441" s="405"/>
      <c r="O441" s="405"/>
      <c r="P441" s="405"/>
      <c r="Q441" s="405"/>
      <c r="R441" s="405"/>
      <c r="S441" s="405"/>
      <c r="T441" s="405"/>
      <c r="U441" s="405"/>
      <c r="V441" s="405"/>
      <c r="W441" s="405"/>
      <c r="X441" s="405"/>
    </row>
    <row r="442" spans="2:24">
      <c r="B442" s="405"/>
      <c r="C442" s="405"/>
      <c r="D442" s="405"/>
      <c r="E442" s="405"/>
      <c r="F442" s="405"/>
      <c r="G442" s="405"/>
      <c r="H442" s="405"/>
      <c r="I442" s="405"/>
      <c r="J442" s="405"/>
      <c r="K442" s="405"/>
      <c r="L442" s="405"/>
      <c r="M442" s="405"/>
      <c r="N442" s="405"/>
      <c r="O442" s="405"/>
      <c r="P442" s="405"/>
      <c r="Q442" s="405"/>
      <c r="R442" s="405"/>
      <c r="S442" s="405"/>
      <c r="T442" s="405"/>
      <c r="U442" s="405"/>
      <c r="V442" s="405"/>
      <c r="W442" s="405"/>
      <c r="X442" s="405"/>
    </row>
    <row r="443" spans="2:24">
      <c r="B443" s="405"/>
      <c r="C443" s="405"/>
      <c r="D443" s="405"/>
      <c r="E443" s="405"/>
      <c r="F443" s="405"/>
      <c r="G443" s="405"/>
      <c r="H443" s="405"/>
      <c r="I443" s="405"/>
      <c r="J443" s="405"/>
      <c r="K443" s="405"/>
      <c r="L443" s="405"/>
      <c r="M443" s="405"/>
      <c r="N443" s="405"/>
      <c r="O443" s="405"/>
      <c r="P443" s="405"/>
      <c r="Q443" s="405"/>
      <c r="R443" s="405"/>
      <c r="S443" s="405"/>
      <c r="T443" s="405"/>
      <c r="U443" s="405"/>
      <c r="V443" s="405"/>
      <c r="W443" s="405"/>
      <c r="X443" s="405"/>
    </row>
    <row r="444" spans="2:24">
      <c r="B444" s="405"/>
      <c r="C444" s="405"/>
      <c r="D444" s="405"/>
      <c r="E444" s="405"/>
      <c r="F444" s="405"/>
      <c r="G444" s="405"/>
      <c r="H444" s="405"/>
      <c r="I444" s="405"/>
      <c r="J444" s="405"/>
      <c r="K444" s="405"/>
      <c r="L444" s="405"/>
      <c r="M444" s="405"/>
      <c r="N444" s="405"/>
      <c r="O444" s="405"/>
      <c r="P444" s="405"/>
      <c r="Q444" s="405"/>
      <c r="R444" s="405"/>
      <c r="S444" s="405"/>
      <c r="T444" s="405"/>
      <c r="U444" s="405"/>
      <c r="V444" s="405"/>
      <c r="W444" s="405"/>
      <c r="X444" s="405"/>
    </row>
    <row r="445" spans="2:24">
      <c r="B445" s="405"/>
      <c r="C445" s="405"/>
      <c r="D445" s="405"/>
      <c r="E445" s="405"/>
      <c r="F445" s="405"/>
      <c r="G445" s="405"/>
      <c r="H445" s="405"/>
      <c r="I445" s="405"/>
      <c r="J445" s="405"/>
      <c r="K445" s="405"/>
      <c r="L445" s="405"/>
      <c r="M445" s="405"/>
      <c r="N445" s="405"/>
      <c r="O445" s="405"/>
      <c r="P445" s="405"/>
      <c r="Q445" s="405"/>
      <c r="R445" s="405"/>
      <c r="S445" s="405"/>
      <c r="T445" s="405"/>
      <c r="U445" s="405"/>
      <c r="V445" s="405"/>
      <c r="W445" s="405"/>
      <c r="X445" s="405"/>
    </row>
    <row r="446" spans="2:24">
      <c r="B446" s="405"/>
      <c r="C446" s="405"/>
      <c r="D446" s="405"/>
      <c r="E446" s="405"/>
      <c r="F446" s="405"/>
      <c r="G446" s="405"/>
      <c r="H446" s="405"/>
      <c r="I446" s="405"/>
      <c r="J446" s="405"/>
      <c r="K446" s="405"/>
      <c r="L446" s="405"/>
      <c r="M446" s="405"/>
      <c r="N446" s="405"/>
      <c r="O446" s="405"/>
      <c r="P446" s="405"/>
      <c r="Q446" s="405"/>
      <c r="R446" s="405"/>
      <c r="S446" s="405"/>
      <c r="T446" s="405"/>
      <c r="U446" s="405"/>
      <c r="V446" s="405"/>
      <c r="W446" s="405"/>
      <c r="X446" s="405"/>
    </row>
    <row r="447" spans="2:24">
      <c r="B447" s="405"/>
      <c r="C447" s="405"/>
      <c r="D447" s="405"/>
      <c r="E447" s="405"/>
      <c r="F447" s="405"/>
      <c r="G447" s="405"/>
      <c r="H447" s="405"/>
      <c r="I447" s="405"/>
      <c r="J447" s="405"/>
      <c r="K447" s="405"/>
      <c r="L447" s="405"/>
      <c r="M447" s="405"/>
      <c r="N447" s="405"/>
      <c r="O447" s="405"/>
      <c r="P447" s="405"/>
      <c r="Q447" s="405"/>
      <c r="R447" s="405"/>
      <c r="S447" s="405"/>
      <c r="T447" s="405"/>
      <c r="U447" s="405"/>
      <c r="V447" s="405"/>
      <c r="W447" s="405"/>
      <c r="X447" s="405"/>
    </row>
    <row r="448" spans="2:24">
      <c r="B448" s="405"/>
      <c r="C448" s="405"/>
      <c r="D448" s="405"/>
      <c r="E448" s="405"/>
      <c r="F448" s="405"/>
      <c r="G448" s="405"/>
      <c r="H448" s="405"/>
      <c r="I448" s="405"/>
      <c r="J448" s="405"/>
      <c r="K448" s="405"/>
      <c r="L448" s="405"/>
      <c r="M448" s="405"/>
      <c r="N448" s="405"/>
      <c r="O448" s="405"/>
      <c r="P448" s="405"/>
      <c r="Q448" s="405"/>
      <c r="R448" s="405"/>
      <c r="S448" s="405"/>
      <c r="T448" s="405"/>
      <c r="U448" s="405"/>
      <c r="V448" s="405"/>
      <c r="W448" s="405"/>
      <c r="X448" s="405"/>
    </row>
    <row r="449" spans="2:24">
      <c r="B449" s="405"/>
      <c r="C449" s="405"/>
      <c r="D449" s="405"/>
      <c r="E449" s="405"/>
      <c r="F449" s="405"/>
      <c r="G449" s="405"/>
      <c r="H449" s="405"/>
      <c r="I449" s="405"/>
      <c r="J449" s="405"/>
      <c r="K449" s="405"/>
      <c r="L449" s="405"/>
      <c r="M449" s="405"/>
      <c r="N449" s="405"/>
      <c r="O449" s="405"/>
      <c r="P449" s="405"/>
      <c r="Q449" s="405"/>
      <c r="R449" s="405"/>
      <c r="S449" s="405"/>
      <c r="T449" s="405"/>
      <c r="U449" s="405"/>
      <c r="V449" s="405"/>
      <c r="W449" s="405"/>
      <c r="X449" s="405"/>
    </row>
    <row r="450" spans="2:24">
      <c r="B450" s="405"/>
      <c r="C450" s="405"/>
      <c r="D450" s="405"/>
      <c r="E450" s="405"/>
      <c r="F450" s="405"/>
      <c r="G450" s="405"/>
      <c r="H450" s="405"/>
      <c r="I450" s="405"/>
      <c r="J450" s="405"/>
      <c r="K450" s="405"/>
      <c r="L450" s="405"/>
      <c r="M450" s="405"/>
      <c r="N450" s="405"/>
      <c r="O450" s="405"/>
      <c r="P450" s="405"/>
      <c r="Q450" s="405"/>
      <c r="R450" s="405"/>
      <c r="S450" s="405"/>
      <c r="T450" s="405"/>
      <c r="U450" s="405"/>
      <c r="V450" s="405"/>
      <c r="W450" s="405"/>
      <c r="X450" s="405"/>
    </row>
    <row r="451" spans="2:24">
      <c r="B451" s="405"/>
      <c r="C451" s="405"/>
      <c r="D451" s="405"/>
      <c r="E451" s="405"/>
      <c r="F451" s="405"/>
      <c r="G451" s="405"/>
      <c r="H451" s="405"/>
      <c r="I451" s="405"/>
      <c r="J451" s="405"/>
      <c r="K451" s="405"/>
      <c r="L451" s="405"/>
      <c r="M451" s="405"/>
      <c r="N451" s="405"/>
      <c r="O451" s="405"/>
      <c r="P451" s="405"/>
      <c r="Q451" s="405"/>
      <c r="R451" s="405"/>
      <c r="S451" s="405"/>
      <c r="T451" s="405"/>
      <c r="U451" s="405"/>
      <c r="V451" s="405"/>
      <c r="W451" s="405"/>
      <c r="X451" s="405"/>
    </row>
    <row r="452" spans="2:24">
      <c r="B452" s="405"/>
      <c r="C452" s="405"/>
      <c r="D452" s="405"/>
      <c r="E452" s="405"/>
      <c r="F452" s="405"/>
      <c r="G452" s="405"/>
      <c r="H452" s="405"/>
      <c r="I452" s="405"/>
      <c r="J452" s="405"/>
      <c r="K452" s="405"/>
      <c r="L452" s="405"/>
      <c r="M452" s="405"/>
      <c r="N452" s="405"/>
      <c r="O452" s="405"/>
      <c r="P452" s="405"/>
      <c r="Q452" s="405"/>
      <c r="R452" s="405"/>
      <c r="S452" s="405"/>
      <c r="T452" s="405"/>
      <c r="U452" s="405"/>
      <c r="V452" s="405"/>
      <c r="W452" s="405"/>
      <c r="X452" s="405"/>
    </row>
    <row r="453" spans="2:24">
      <c r="B453" s="405"/>
      <c r="C453" s="405"/>
      <c r="D453" s="405"/>
      <c r="E453" s="405"/>
      <c r="F453" s="405"/>
      <c r="G453" s="405"/>
      <c r="H453" s="405"/>
      <c r="I453" s="405"/>
      <c r="J453" s="405"/>
      <c r="K453" s="405"/>
      <c r="L453" s="405"/>
      <c r="M453" s="405"/>
      <c r="N453" s="405"/>
      <c r="O453" s="405"/>
      <c r="P453" s="405"/>
      <c r="Q453" s="405"/>
      <c r="R453" s="405"/>
      <c r="S453" s="405"/>
      <c r="T453" s="405"/>
      <c r="U453" s="405"/>
      <c r="V453" s="405"/>
      <c r="W453" s="405"/>
      <c r="X453" s="405"/>
    </row>
    <row r="454" spans="2:24">
      <c r="B454" s="405"/>
      <c r="C454" s="405"/>
      <c r="D454" s="405"/>
      <c r="E454" s="405"/>
      <c r="F454" s="405"/>
      <c r="G454" s="405"/>
      <c r="H454" s="405"/>
      <c r="I454" s="405"/>
      <c r="J454" s="405"/>
      <c r="K454" s="405"/>
      <c r="L454" s="405"/>
      <c r="M454" s="405"/>
      <c r="N454" s="405"/>
      <c r="O454" s="405"/>
      <c r="P454" s="405"/>
      <c r="Q454" s="405"/>
      <c r="R454" s="405"/>
      <c r="S454" s="405"/>
      <c r="T454" s="405"/>
      <c r="U454" s="405"/>
      <c r="V454" s="405"/>
      <c r="W454" s="405"/>
      <c r="X454" s="405"/>
    </row>
    <row r="455" spans="2:24">
      <c r="B455" s="405"/>
      <c r="C455" s="405"/>
      <c r="D455" s="405"/>
      <c r="E455" s="405"/>
      <c r="F455" s="405"/>
      <c r="G455" s="405"/>
      <c r="H455" s="405"/>
      <c r="I455" s="405"/>
      <c r="J455" s="405"/>
      <c r="K455" s="405"/>
      <c r="L455" s="405"/>
      <c r="M455" s="405"/>
      <c r="N455" s="405"/>
      <c r="O455" s="405"/>
      <c r="P455" s="405"/>
      <c r="Q455" s="405"/>
      <c r="R455" s="405"/>
      <c r="S455" s="405"/>
      <c r="T455" s="405"/>
      <c r="U455" s="405"/>
      <c r="V455" s="405"/>
      <c r="W455" s="405"/>
      <c r="X455" s="405"/>
    </row>
    <row r="456" spans="2:24">
      <c r="B456" s="405"/>
      <c r="C456" s="405"/>
      <c r="D456" s="405"/>
      <c r="E456" s="405"/>
      <c r="F456" s="405"/>
      <c r="G456" s="405"/>
      <c r="H456" s="405"/>
      <c r="I456" s="405"/>
      <c r="J456" s="405"/>
      <c r="K456" s="405"/>
      <c r="L456" s="405"/>
      <c r="M456" s="405"/>
      <c r="N456" s="405"/>
      <c r="O456" s="405"/>
      <c r="P456" s="405"/>
      <c r="Q456" s="405"/>
      <c r="R456" s="405"/>
      <c r="S456" s="405"/>
      <c r="T456" s="405"/>
      <c r="U456" s="405"/>
      <c r="V456" s="405"/>
      <c r="W456" s="405"/>
      <c r="X456" s="405"/>
    </row>
    <row r="457" spans="2:24">
      <c r="B457" s="405"/>
      <c r="C457" s="405"/>
      <c r="D457" s="405"/>
      <c r="E457" s="405"/>
      <c r="F457" s="405"/>
      <c r="G457" s="405"/>
      <c r="H457" s="405"/>
      <c r="I457" s="405"/>
      <c r="J457" s="405"/>
      <c r="K457" s="405"/>
      <c r="L457" s="405"/>
      <c r="M457" s="405"/>
      <c r="N457" s="405"/>
      <c r="O457" s="405"/>
      <c r="P457" s="405"/>
      <c r="Q457" s="405"/>
      <c r="R457" s="405"/>
      <c r="S457" s="405"/>
      <c r="T457" s="405"/>
      <c r="U457" s="405"/>
      <c r="V457" s="405"/>
      <c r="W457" s="405"/>
      <c r="X457" s="405"/>
    </row>
    <row r="458" spans="2:24">
      <c r="B458" s="405"/>
      <c r="C458" s="405"/>
      <c r="D458" s="405"/>
      <c r="E458" s="405"/>
      <c r="F458" s="405"/>
      <c r="G458" s="405"/>
      <c r="H458" s="405"/>
      <c r="I458" s="405"/>
      <c r="J458" s="405"/>
      <c r="K458" s="405"/>
      <c r="L458" s="405"/>
      <c r="M458" s="405"/>
      <c r="N458" s="405"/>
      <c r="O458" s="405"/>
      <c r="P458" s="405"/>
      <c r="Q458" s="405"/>
      <c r="R458" s="405"/>
      <c r="S458" s="405"/>
      <c r="T458" s="405"/>
      <c r="U458" s="405"/>
      <c r="V458" s="405"/>
      <c r="W458" s="405"/>
      <c r="X458" s="405"/>
    </row>
    <row r="459" spans="2:24">
      <c r="B459" s="405"/>
      <c r="C459" s="405"/>
      <c r="D459" s="405"/>
      <c r="E459" s="405"/>
      <c r="F459" s="405"/>
      <c r="G459" s="405"/>
      <c r="H459" s="405"/>
      <c r="I459" s="405"/>
      <c r="J459" s="405"/>
      <c r="K459" s="405"/>
      <c r="L459" s="405"/>
      <c r="M459" s="405"/>
      <c r="N459" s="405"/>
      <c r="O459" s="405"/>
      <c r="P459" s="405"/>
      <c r="Q459" s="405"/>
      <c r="R459" s="405"/>
      <c r="S459" s="405"/>
      <c r="T459" s="405"/>
      <c r="U459" s="405"/>
      <c r="V459" s="405"/>
      <c r="W459" s="405"/>
      <c r="X459" s="405"/>
    </row>
    <row r="460" spans="2:24">
      <c r="B460" s="405"/>
      <c r="C460" s="405"/>
      <c r="D460" s="405"/>
      <c r="E460" s="405"/>
      <c r="F460" s="405"/>
      <c r="G460" s="405"/>
      <c r="H460" s="405"/>
      <c r="I460" s="405"/>
      <c r="J460" s="405"/>
      <c r="K460" s="405"/>
      <c r="L460" s="405"/>
      <c r="M460" s="405"/>
      <c r="N460" s="405"/>
      <c r="O460" s="405"/>
      <c r="P460" s="405"/>
      <c r="Q460" s="405"/>
      <c r="R460" s="405"/>
      <c r="S460" s="405"/>
      <c r="T460" s="405"/>
      <c r="U460" s="405"/>
      <c r="V460" s="405"/>
      <c r="W460" s="405"/>
      <c r="X460" s="405"/>
    </row>
    <row r="461" spans="2:24">
      <c r="B461" s="405"/>
      <c r="C461" s="405"/>
      <c r="D461" s="405"/>
      <c r="E461" s="405"/>
      <c r="F461" s="405"/>
      <c r="G461" s="405"/>
      <c r="H461" s="405"/>
      <c r="I461" s="405"/>
      <c r="J461" s="405"/>
      <c r="K461" s="405"/>
      <c r="L461" s="405"/>
      <c r="M461" s="405"/>
      <c r="N461" s="405"/>
      <c r="O461" s="405"/>
      <c r="P461" s="405"/>
      <c r="Q461" s="405"/>
      <c r="R461" s="405"/>
      <c r="S461" s="405"/>
      <c r="T461" s="405"/>
      <c r="U461" s="405"/>
      <c r="V461" s="405"/>
      <c r="W461" s="405"/>
      <c r="X461" s="405"/>
    </row>
    <row r="462" spans="2:24">
      <c r="B462" s="405"/>
      <c r="C462" s="405"/>
      <c r="D462" s="405"/>
      <c r="E462" s="405"/>
      <c r="F462" s="405"/>
      <c r="G462" s="405"/>
      <c r="H462" s="405"/>
      <c r="I462" s="405"/>
      <c r="J462" s="405"/>
      <c r="K462" s="405"/>
      <c r="L462" s="405"/>
      <c r="M462" s="405"/>
      <c r="N462" s="405"/>
      <c r="O462" s="405"/>
      <c r="P462" s="405"/>
      <c r="Q462" s="405"/>
      <c r="R462" s="405"/>
      <c r="S462" s="405"/>
      <c r="T462" s="405"/>
      <c r="U462" s="405"/>
      <c r="V462" s="405"/>
      <c r="W462" s="405"/>
      <c r="X462" s="405"/>
    </row>
    <row r="463" spans="2:24">
      <c r="B463" s="405"/>
      <c r="C463" s="405"/>
      <c r="D463" s="405"/>
      <c r="E463" s="405"/>
      <c r="F463" s="405"/>
      <c r="G463" s="405"/>
      <c r="H463" s="405"/>
      <c r="I463" s="405"/>
      <c r="J463" s="405"/>
      <c r="K463" s="405"/>
      <c r="L463" s="405"/>
      <c r="M463" s="405"/>
      <c r="N463" s="405"/>
      <c r="O463" s="405"/>
      <c r="P463" s="405"/>
      <c r="Q463" s="405"/>
      <c r="R463" s="405"/>
      <c r="S463" s="405"/>
      <c r="T463" s="405"/>
      <c r="U463" s="405"/>
      <c r="V463" s="405"/>
      <c r="W463" s="405"/>
      <c r="X463" s="405"/>
    </row>
    <row r="464" spans="2:24">
      <c r="B464" s="405"/>
      <c r="C464" s="405"/>
      <c r="D464" s="405"/>
      <c r="E464" s="405"/>
      <c r="F464" s="405"/>
      <c r="G464" s="405"/>
      <c r="H464" s="405"/>
      <c r="I464" s="405"/>
      <c r="J464" s="405"/>
      <c r="K464" s="405"/>
      <c r="L464" s="405"/>
      <c r="M464" s="405"/>
      <c r="N464" s="405"/>
      <c r="O464" s="405"/>
      <c r="P464" s="405"/>
      <c r="Q464" s="405"/>
      <c r="R464" s="405"/>
      <c r="S464" s="405"/>
      <c r="T464" s="405"/>
      <c r="U464" s="405"/>
      <c r="V464" s="405"/>
      <c r="W464" s="405"/>
      <c r="X464" s="405"/>
    </row>
    <row r="465" spans="2:24">
      <c r="B465" s="405"/>
      <c r="C465" s="405"/>
      <c r="D465" s="405"/>
      <c r="E465" s="405"/>
      <c r="F465" s="405"/>
      <c r="G465" s="405"/>
      <c r="H465" s="405"/>
      <c r="I465" s="405"/>
      <c r="J465" s="405"/>
      <c r="K465" s="405"/>
      <c r="L465" s="405"/>
      <c r="M465" s="405"/>
      <c r="N465" s="405"/>
      <c r="O465" s="405"/>
      <c r="P465" s="405"/>
      <c r="Q465" s="405"/>
      <c r="R465" s="405"/>
      <c r="S465" s="405"/>
      <c r="T465" s="405"/>
      <c r="U465" s="405"/>
      <c r="V465" s="405"/>
      <c r="W465" s="405"/>
      <c r="X465" s="405"/>
    </row>
    <row r="466" spans="2:24">
      <c r="B466" s="405"/>
      <c r="C466" s="405"/>
      <c r="D466" s="405"/>
      <c r="E466" s="405"/>
      <c r="F466" s="405"/>
      <c r="G466" s="405"/>
      <c r="H466" s="405"/>
      <c r="I466" s="405"/>
      <c r="J466" s="405"/>
      <c r="K466" s="405"/>
      <c r="L466" s="405"/>
      <c r="M466" s="405"/>
      <c r="N466" s="405"/>
      <c r="O466" s="405"/>
      <c r="P466" s="405"/>
      <c r="Q466" s="405"/>
      <c r="R466" s="405"/>
      <c r="S466" s="405"/>
      <c r="T466" s="405"/>
      <c r="U466" s="405"/>
      <c r="V466" s="405"/>
      <c r="W466" s="405"/>
      <c r="X466" s="405"/>
    </row>
    <row r="467" spans="2:24">
      <c r="B467" s="405"/>
      <c r="C467" s="405"/>
      <c r="D467" s="405"/>
      <c r="E467" s="405"/>
      <c r="F467" s="405"/>
      <c r="G467" s="405"/>
      <c r="H467" s="405"/>
      <c r="I467" s="405"/>
      <c r="J467" s="405"/>
      <c r="K467" s="405"/>
      <c r="L467" s="405"/>
      <c r="M467" s="405"/>
      <c r="N467" s="405"/>
      <c r="O467" s="405"/>
      <c r="P467" s="405"/>
      <c r="Q467" s="405"/>
      <c r="R467" s="405"/>
      <c r="S467" s="405"/>
      <c r="T467" s="405"/>
      <c r="U467" s="405"/>
      <c r="V467" s="405"/>
      <c r="W467" s="405"/>
      <c r="X467" s="405"/>
    </row>
    <row r="468" spans="2:24">
      <c r="B468" s="405"/>
      <c r="C468" s="405"/>
      <c r="D468" s="405"/>
      <c r="E468" s="405"/>
      <c r="F468" s="405"/>
      <c r="G468" s="405"/>
      <c r="H468" s="405"/>
      <c r="I468" s="405"/>
      <c r="J468" s="405"/>
      <c r="K468" s="405"/>
      <c r="L468" s="405"/>
      <c r="M468" s="405"/>
      <c r="N468" s="405"/>
      <c r="O468" s="405"/>
      <c r="P468" s="405"/>
      <c r="Q468" s="405"/>
      <c r="R468" s="405"/>
      <c r="S468" s="405"/>
      <c r="T468" s="405"/>
      <c r="U468" s="405"/>
      <c r="V468" s="405"/>
      <c r="W468" s="405"/>
      <c r="X468" s="405"/>
    </row>
    <row r="469" spans="2:24">
      <c r="B469" s="405"/>
      <c r="C469" s="405"/>
      <c r="D469" s="405"/>
      <c r="E469" s="405"/>
      <c r="F469" s="405"/>
      <c r="G469" s="405"/>
      <c r="H469" s="405"/>
      <c r="I469" s="405"/>
      <c r="J469" s="405"/>
      <c r="K469" s="405"/>
      <c r="L469" s="405"/>
      <c r="M469" s="405"/>
      <c r="N469" s="405"/>
      <c r="O469" s="405"/>
      <c r="P469" s="405"/>
      <c r="Q469" s="405"/>
      <c r="R469" s="405"/>
      <c r="S469" s="405"/>
      <c r="T469" s="405"/>
      <c r="U469" s="405"/>
      <c r="V469" s="405"/>
      <c r="W469" s="405"/>
      <c r="X469" s="405"/>
    </row>
    <row r="470" spans="2:24">
      <c r="B470" s="405"/>
      <c r="C470" s="405"/>
      <c r="D470" s="405"/>
      <c r="E470" s="405"/>
      <c r="F470" s="405"/>
      <c r="G470" s="405"/>
      <c r="H470" s="405"/>
      <c r="I470" s="405"/>
      <c r="J470" s="405"/>
      <c r="K470" s="405"/>
      <c r="L470" s="405"/>
      <c r="M470" s="405"/>
      <c r="N470" s="405"/>
      <c r="O470" s="405"/>
      <c r="P470" s="405"/>
      <c r="Q470" s="405"/>
      <c r="R470" s="405"/>
      <c r="S470" s="405"/>
      <c r="T470" s="405"/>
      <c r="U470" s="405"/>
      <c r="V470" s="405"/>
      <c r="W470" s="405"/>
      <c r="X470" s="405"/>
    </row>
    <row r="471" spans="2:24">
      <c r="B471" s="405"/>
      <c r="C471" s="405"/>
      <c r="D471" s="405"/>
      <c r="E471" s="405"/>
      <c r="F471" s="405"/>
      <c r="G471" s="405"/>
      <c r="H471" s="405"/>
      <c r="I471" s="405"/>
      <c r="J471" s="405"/>
      <c r="K471" s="405"/>
      <c r="L471" s="405"/>
      <c r="M471" s="405"/>
      <c r="N471" s="405"/>
      <c r="O471" s="405"/>
      <c r="P471" s="405"/>
      <c r="Q471" s="405"/>
      <c r="R471" s="405"/>
      <c r="S471" s="405"/>
      <c r="T471" s="405"/>
      <c r="U471" s="405"/>
      <c r="V471" s="405"/>
      <c r="W471" s="405"/>
      <c r="X471" s="405"/>
    </row>
    <row r="472" spans="2:24">
      <c r="B472" s="405"/>
      <c r="C472" s="405"/>
      <c r="D472" s="405"/>
      <c r="E472" s="405"/>
      <c r="F472" s="405"/>
      <c r="G472" s="405"/>
      <c r="H472" s="405"/>
      <c r="I472" s="405"/>
      <c r="J472" s="405"/>
      <c r="K472" s="405"/>
      <c r="L472" s="405"/>
      <c r="M472" s="405"/>
      <c r="N472" s="405"/>
      <c r="O472" s="405"/>
      <c r="P472" s="405"/>
      <c r="Q472" s="405"/>
      <c r="R472" s="405"/>
      <c r="S472" s="405"/>
      <c r="T472" s="405"/>
      <c r="U472" s="405"/>
      <c r="V472" s="405"/>
      <c r="W472" s="405"/>
      <c r="X472" s="405"/>
    </row>
    <row r="473" spans="2:24">
      <c r="B473" s="405"/>
      <c r="C473" s="405"/>
      <c r="D473" s="405"/>
      <c r="E473" s="405"/>
      <c r="F473" s="405"/>
      <c r="G473" s="405"/>
      <c r="H473" s="405"/>
      <c r="I473" s="405"/>
      <c r="J473" s="405"/>
      <c r="K473" s="405"/>
      <c r="L473" s="405"/>
      <c r="M473" s="405"/>
      <c r="N473" s="405"/>
      <c r="O473" s="405"/>
      <c r="P473" s="405"/>
      <c r="Q473" s="405"/>
      <c r="R473" s="405"/>
      <c r="S473" s="405"/>
      <c r="T473" s="405"/>
      <c r="U473" s="405"/>
      <c r="V473" s="405"/>
      <c r="W473" s="405"/>
      <c r="X473" s="405"/>
    </row>
    <row r="474" spans="2:24">
      <c r="B474" s="405"/>
      <c r="C474" s="405"/>
      <c r="D474" s="405"/>
      <c r="E474" s="405"/>
      <c r="F474" s="405"/>
      <c r="G474" s="405"/>
      <c r="H474" s="405"/>
      <c r="I474" s="405"/>
      <c r="J474" s="405"/>
      <c r="K474" s="405"/>
      <c r="L474" s="405"/>
      <c r="M474" s="405"/>
      <c r="N474" s="405"/>
      <c r="O474" s="405"/>
      <c r="P474" s="405"/>
      <c r="Q474" s="405"/>
      <c r="R474" s="405"/>
      <c r="S474" s="405"/>
      <c r="T474" s="405"/>
      <c r="U474" s="405"/>
      <c r="V474" s="405"/>
      <c r="W474" s="405"/>
      <c r="X474" s="405"/>
    </row>
    <row r="475" spans="2:24">
      <c r="B475" s="405"/>
      <c r="C475" s="405"/>
      <c r="D475" s="405"/>
      <c r="E475" s="405"/>
      <c r="F475" s="405"/>
      <c r="G475" s="405"/>
      <c r="H475" s="405"/>
      <c r="I475" s="405"/>
      <c r="J475" s="405"/>
      <c r="K475" s="405"/>
      <c r="L475" s="405"/>
      <c r="M475" s="405"/>
      <c r="N475" s="405"/>
      <c r="O475" s="405"/>
      <c r="P475" s="405"/>
      <c r="Q475" s="405"/>
      <c r="R475" s="405"/>
      <c r="S475" s="405"/>
      <c r="T475" s="405"/>
      <c r="U475" s="405"/>
      <c r="V475" s="405"/>
      <c r="W475" s="405"/>
      <c r="X475" s="405"/>
    </row>
    <row r="476" spans="2:24">
      <c r="B476" s="405"/>
      <c r="C476" s="405"/>
      <c r="D476" s="405"/>
      <c r="E476" s="405"/>
      <c r="F476" s="405"/>
      <c r="G476" s="405"/>
      <c r="H476" s="405"/>
      <c r="I476" s="405"/>
      <c r="J476" s="405"/>
      <c r="K476" s="405"/>
      <c r="L476" s="405"/>
      <c r="M476" s="405"/>
      <c r="N476" s="405"/>
      <c r="O476" s="405"/>
      <c r="P476" s="405"/>
      <c r="Q476" s="405"/>
      <c r="R476" s="405"/>
      <c r="S476" s="405"/>
      <c r="T476" s="405"/>
      <c r="U476" s="405"/>
      <c r="V476" s="405"/>
      <c r="W476" s="405"/>
      <c r="X476" s="405"/>
    </row>
    <row r="477" spans="2:24">
      <c r="B477" s="405"/>
      <c r="C477" s="405"/>
      <c r="D477" s="405"/>
      <c r="E477" s="405"/>
      <c r="F477" s="405"/>
      <c r="G477" s="405"/>
      <c r="H477" s="405"/>
      <c r="I477" s="405"/>
      <c r="J477" s="405"/>
      <c r="K477" s="405"/>
      <c r="L477" s="405"/>
      <c r="M477" s="405"/>
      <c r="N477" s="405"/>
      <c r="O477" s="405"/>
      <c r="P477" s="405"/>
      <c r="Q477" s="405"/>
      <c r="R477" s="405"/>
      <c r="S477" s="405"/>
      <c r="T477" s="405"/>
      <c r="U477" s="405"/>
      <c r="V477" s="405"/>
      <c r="W477" s="405"/>
      <c r="X477" s="405"/>
    </row>
    <row r="478" spans="2:24">
      <c r="B478" s="405"/>
      <c r="C478" s="405"/>
      <c r="D478" s="405"/>
      <c r="E478" s="405"/>
      <c r="F478" s="405"/>
      <c r="G478" s="405"/>
      <c r="H478" s="405"/>
      <c r="I478" s="405"/>
      <c r="J478" s="405"/>
      <c r="K478" s="405"/>
      <c r="L478" s="405"/>
      <c r="M478" s="405"/>
      <c r="N478" s="405"/>
      <c r="O478" s="405"/>
      <c r="P478" s="405"/>
      <c r="Q478" s="405"/>
      <c r="R478" s="405"/>
      <c r="S478" s="405"/>
      <c r="T478" s="405"/>
      <c r="U478" s="405"/>
      <c r="V478" s="405"/>
      <c r="W478" s="405"/>
      <c r="X478" s="405"/>
    </row>
    <row r="479" spans="2:24">
      <c r="B479" s="405"/>
      <c r="C479" s="405"/>
      <c r="D479" s="405"/>
      <c r="E479" s="405"/>
      <c r="F479" s="405"/>
      <c r="G479" s="405"/>
      <c r="H479" s="405"/>
      <c r="I479" s="405"/>
      <c r="J479" s="405"/>
      <c r="K479" s="405"/>
      <c r="L479" s="405"/>
      <c r="M479" s="405"/>
      <c r="N479" s="405"/>
      <c r="O479" s="405"/>
      <c r="P479" s="405"/>
      <c r="Q479" s="405"/>
      <c r="R479" s="405"/>
      <c r="S479" s="405"/>
      <c r="T479" s="405"/>
      <c r="U479" s="405"/>
      <c r="V479" s="405"/>
      <c r="W479" s="405"/>
      <c r="X479" s="405"/>
    </row>
    <row r="480" spans="2:24">
      <c r="B480" s="405"/>
      <c r="C480" s="405"/>
      <c r="D480" s="405"/>
      <c r="E480" s="405"/>
      <c r="F480" s="405"/>
      <c r="G480" s="405"/>
      <c r="H480" s="405"/>
      <c r="I480" s="405"/>
      <c r="J480" s="405"/>
      <c r="K480" s="405"/>
      <c r="L480" s="405"/>
      <c r="M480" s="405"/>
      <c r="N480" s="405"/>
      <c r="O480" s="405"/>
      <c r="P480" s="405"/>
      <c r="Q480" s="405"/>
      <c r="R480" s="405"/>
      <c r="S480" s="405"/>
      <c r="T480" s="405"/>
      <c r="U480" s="405"/>
      <c r="V480" s="405"/>
      <c r="W480" s="405"/>
      <c r="X480" s="405"/>
    </row>
    <row r="481" spans="2:24">
      <c r="B481" s="405"/>
      <c r="C481" s="405"/>
      <c r="D481" s="405"/>
      <c r="E481" s="405"/>
      <c r="F481" s="405"/>
      <c r="G481" s="405"/>
      <c r="H481" s="405"/>
      <c r="I481" s="405"/>
      <c r="J481" s="405"/>
      <c r="K481" s="405"/>
      <c r="L481" s="405"/>
      <c r="M481" s="405"/>
      <c r="N481" s="405"/>
      <c r="O481" s="405"/>
      <c r="P481" s="405"/>
      <c r="Q481" s="405"/>
      <c r="R481" s="405"/>
      <c r="S481" s="405"/>
      <c r="T481" s="405"/>
      <c r="U481" s="405"/>
      <c r="V481" s="405"/>
      <c r="W481" s="405"/>
      <c r="X481" s="405"/>
    </row>
    <row r="482" spans="2:24">
      <c r="B482" s="405"/>
      <c r="C482" s="405"/>
      <c r="D482" s="405"/>
      <c r="E482" s="405"/>
      <c r="F482" s="405"/>
      <c r="G482" s="405"/>
      <c r="H482" s="405"/>
      <c r="I482" s="405"/>
      <c r="J482" s="405"/>
      <c r="K482" s="405"/>
      <c r="L482" s="405"/>
      <c r="M482" s="405"/>
      <c r="N482" s="405"/>
      <c r="O482" s="405"/>
      <c r="P482" s="405"/>
      <c r="Q482" s="405"/>
      <c r="R482" s="405"/>
      <c r="S482" s="405"/>
      <c r="T482" s="405"/>
      <c r="U482" s="405"/>
      <c r="V482" s="405"/>
      <c r="W482" s="405"/>
      <c r="X482" s="405"/>
    </row>
    <row r="483" spans="2:24">
      <c r="B483" s="405"/>
      <c r="C483" s="405"/>
      <c r="D483" s="405"/>
      <c r="E483" s="405"/>
      <c r="F483" s="405"/>
      <c r="G483" s="405"/>
      <c r="H483" s="405"/>
      <c r="I483" s="405"/>
      <c r="J483" s="405"/>
      <c r="K483" s="405"/>
      <c r="L483" s="405"/>
      <c r="M483" s="405"/>
      <c r="N483" s="405"/>
      <c r="O483" s="405"/>
      <c r="P483" s="405"/>
      <c r="Q483" s="405"/>
      <c r="R483" s="405"/>
      <c r="S483" s="405"/>
      <c r="T483" s="405"/>
      <c r="U483" s="405"/>
      <c r="V483" s="405"/>
      <c r="W483" s="405"/>
      <c r="X483" s="405"/>
    </row>
    <row r="484" spans="2:24">
      <c r="B484" s="405"/>
      <c r="C484" s="405"/>
      <c r="D484" s="405"/>
      <c r="E484" s="405"/>
      <c r="F484" s="405"/>
      <c r="G484" s="405"/>
      <c r="H484" s="405"/>
      <c r="I484" s="405"/>
      <c r="J484" s="405"/>
      <c r="K484" s="405"/>
      <c r="L484" s="405"/>
      <c r="M484" s="405"/>
      <c r="N484" s="405"/>
      <c r="O484" s="405"/>
      <c r="P484" s="405"/>
      <c r="Q484" s="405"/>
      <c r="R484" s="405"/>
      <c r="S484" s="405"/>
      <c r="T484" s="405"/>
      <c r="U484" s="405"/>
      <c r="V484" s="405"/>
      <c r="W484" s="405"/>
      <c r="X484" s="405"/>
    </row>
    <row r="485" spans="2:24">
      <c r="B485" s="405"/>
      <c r="C485" s="405"/>
      <c r="D485" s="405"/>
      <c r="E485" s="405"/>
      <c r="F485" s="405"/>
      <c r="G485" s="405"/>
      <c r="H485" s="405"/>
      <c r="I485" s="405"/>
      <c r="J485" s="405"/>
      <c r="K485" s="405"/>
      <c r="L485" s="405"/>
      <c r="M485" s="405"/>
      <c r="N485" s="405"/>
      <c r="O485" s="405"/>
      <c r="P485" s="405"/>
      <c r="Q485" s="405"/>
      <c r="R485" s="405"/>
      <c r="S485" s="405"/>
      <c r="T485" s="405"/>
      <c r="U485" s="405"/>
      <c r="V485" s="405"/>
      <c r="W485" s="405"/>
      <c r="X485" s="405"/>
    </row>
    <row r="486" spans="2:24">
      <c r="B486" s="405"/>
      <c r="C486" s="405"/>
      <c r="D486" s="405"/>
      <c r="E486" s="405"/>
      <c r="F486" s="405"/>
      <c r="G486" s="405"/>
      <c r="H486" s="405"/>
      <c r="I486" s="405"/>
      <c r="J486" s="405"/>
      <c r="K486" s="405"/>
      <c r="L486" s="405"/>
      <c r="M486" s="405"/>
      <c r="N486" s="405"/>
      <c r="O486" s="405"/>
      <c r="P486" s="405"/>
      <c r="Q486" s="405"/>
      <c r="R486" s="405"/>
      <c r="S486" s="405"/>
      <c r="T486" s="405"/>
      <c r="U486" s="405"/>
      <c r="V486" s="405"/>
      <c r="W486" s="405"/>
      <c r="X486" s="405"/>
    </row>
    <row r="487" spans="2:24">
      <c r="B487" s="405"/>
      <c r="C487" s="405"/>
      <c r="D487" s="405"/>
      <c r="E487" s="405"/>
      <c r="F487" s="405"/>
      <c r="G487" s="405"/>
      <c r="H487" s="405"/>
      <c r="I487" s="405"/>
      <c r="J487" s="405"/>
      <c r="K487" s="405"/>
      <c r="L487" s="405"/>
      <c r="M487" s="405"/>
      <c r="N487" s="405"/>
      <c r="O487" s="405"/>
      <c r="P487" s="405"/>
      <c r="Q487" s="405"/>
      <c r="R487" s="405"/>
      <c r="S487" s="405"/>
      <c r="T487" s="405"/>
      <c r="U487" s="405"/>
      <c r="V487" s="405"/>
      <c r="W487" s="405"/>
      <c r="X487" s="405"/>
    </row>
    <row r="488" spans="2:24">
      <c r="B488" s="405"/>
      <c r="C488" s="405"/>
      <c r="D488" s="405"/>
      <c r="E488" s="405"/>
      <c r="F488" s="405"/>
      <c r="G488" s="405"/>
      <c r="H488" s="405"/>
      <c r="I488" s="405"/>
      <c r="J488" s="405"/>
      <c r="K488" s="405"/>
      <c r="L488" s="405"/>
      <c r="M488" s="405"/>
      <c r="N488" s="405"/>
      <c r="O488" s="405"/>
      <c r="P488" s="405"/>
      <c r="Q488" s="405"/>
      <c r="R488" s="405"/>
      <c r="S488" s="405"/>
      <c r="T488" s="405"/>
      <c r="U488" s="405"/>
      <c r="V488" s="405"/>
      <c r="W488" s="405"/>
      <c r="X488" s="405"/>
    </row>
    <row r="489" spans="2:24">
      <c r="B489" s="405"/>
      <c r="C489" s="405"/>
      <c r="D489" s="405"/>
      <c r="E489" s="405"/>
      <c r="F489" s="405"/>
      <c r="G489" s="405"/>
      <c r="H489" s="405"/>
      <c r="I489" s="405"/>
      <c r="J489" s="405"/>
      <c r="K489" s="405"/>
      <c r="L489" s="405"/>
      <c r="M489" s="405"/>
      <c r="N489" s="405"/>
      <c r="O489" s="405"/>
      <c r="P489" s="405"/>
      <c r="Q489" s="405"/>
      <c r="R489" s="405"/>
      <c r="S489" s="405"/>
      <c r="T489" s="405"/>
      <c r="U489" s="405"/>
      <c r="V489" s="405"/>
      <c r="W489" s="405"/>
      <c r="X489" s="405"/>
    </row>
    <row r="490" spans="2:24">
      <c r="B490" s="405"/>
      <c r="C490" s="405"/>
      <c r="D490" s="405"/>
      <c r="E490" s="405"/>
      <c r="F490" s="405"/>
      <c r="G490" s="405"/>
      <c r="H490" s="405"/>
      <c r="I490" s="405"/>
      <c r="J490" s="405"/>
      <c r="K490" s="405"/>
      <c r="L490" s="405"/>
      <c r="M490" s="405"/>
      <c r="N490" s="405"/>
      <c r="O490" s="405"/>
      <c r="P490" s="405"/>
      <c r="Q490" s="405"/>
      <c r="R490" s="405"/>
      <c r="S490" s="405"/>
      <c r="T490" s="405"/>
      <c r="U490" s="405"/>
      <c r="V490" s="405"/>
      <c r="W490" s="405"/>
      <c r="X490" s="405"/>
    </row>
    <row r="491" spans="2:24">
      <c r="B491" s="405"/>
      <c r="C491" s="405"/>
      <c r="D491" s="405"/>
      <c r="E491" s="405"/>
      <c r="F491" s="405"/>
      <c r="G491" s="405"/>
      <c r="H491" s="405"/>
      <c r="I491" s="405"/>
      <c r="J491" s="405"/>
      <c r="K491" s="405"/>
      <c r="L491" s="405"/>
      <c r="M491" s="405"/>
      <c r="N491" s="405"/>
      <c r="O491" s="405"/>
      <c r="P491" s="405"/>
      <c r="Q491" s="405"/>
      <c r="R491" s="405"/>
      <c r="S491" s="405"/>
      <c r="T491" s="405"/>
      <c r="U491" s="405"/>
      <c r="V491" s="405"/>
      <c r="W491" s="405"/>
      <c r="X491" s="405"/>
    </row>
    <row r="492" spans="2:24">
      <c r="B492" s="405"/>
      <c r="C492" s="405"/>
      <c r="D492" s="405"/>
      <c r="E492" s="405"/>
      <c r="F492" s="405"/>
      <c r="G492" s="405"/>
      <c r="H492" s="405"/>
      <c r="I492" s="405"/>
      <c r="J492" s="405"/>
      <c r="K492" s="405"/>
      <c r="L492" s="405"/>
      <c r="M492" s="405"/>
      <c r="N492" s="405"/>
      <c r="O492" s="405"/>
      <c r="P492" s="405"/>
      <c r="Q492" s="405"/>
      <c r="R492" s="405"/>
      <c r="S492" s="405"/>
      <c r="T492" s="405"/>
      <c r="U492" s="405"/>
      <c r="V492" s="405"/>
      <c r="W492" s="405"/>
      <c r="X492" s="405"/>
    </row>
    <row r="493" spans="2:24">
      <c r="B493" s="405"/>
      <c r="C493" s="405"/>
      <c r="D493" s="405"/>
      <c r="E493" s="405"/>
      <c r="F493" s="405"/>
      <c r="G493" s="405"/>
      <c r="H493" s="405"/>
      <c r="I493" s="405"/>
      <c r="J493" s="405"/>
      <c r="K493" s="405"/>
      <c r="L493" s="405"/>
      <c r="M493" s="405"/>
      <c r="N493" s="405"/>
      <c r="O493" s="405"/>
      <c r="P493" s="405"/>
      <c r="Q493" s="405"/>
      <c r="R493" s="405"/>
      <c r="S493" s="405"/>
      <c r="T493" s="405"/>
      <c r="U493" s="405"/>
      <c r="V493" s="405"/>
      <c r="W493" s="405"/>
      <c r="X493" s="405"/>
    </row>
    <row r="494" spans="2:24">
      <c r="B494" s="405"/>
      <c r="C494" s="405"/>
      <c r="D494" s="405"/>
      <c r="E494" s="405"/>
      <c r="F494" s="405"/>
      <c r="G494" s="405"/>
      <c r="H494" s="405"/>
      <c r="I494" s="405"/>
      <c r="J494" s="405"/>
      <c r="K494" s="405"/>
      <c r="L494" s="405"/>
      <c r="M494" s="405"/>
      <c r="N494" s="405"/>
      <c r="O494" s="405"/>
      <c r="P494" s="405"/>
      <c r="Q494" s="405"/>
      <c r="R494" s="405"/>
      <c r="S494" s="405"/>
      <c r="T494" s="405"/>
      <c r="U494" s="405"/>
      <c r="V494" s="405"/>
      <c r="W494" s="405"/>
      <c r="X494" s="405"/>
    </row>
    <row r="495" spans="2:24">
      <c r="B495" s="405"/>
      <c r="C495" s="405"/>
      <c r="D495" s="405"/>
      <c r="E495" s="405"/>
      <c r="F495" s="405"/>
      <c r="G495" s="405"/>
      <c r="H495" s="405"/>
      <c r="I495" s="405"/>
      <c r="J495" s="405"/>
      <c r="K495" s="405"/>
      <c r="L495" s="405"/>
      <c r="M495" s="405"/>
      <c r="N495" s="405"/>
      <c r="O495" s="405"/>
      <c r="P495" s="405"/>
      <c r="Q495" s="405"/>
      <c r="R495" s="405"/>
      <c r="S495" s="405"/>
      <c r="T495" s="405"/>
      <c r="U495" s="405"/>
      <c r="V495" s="405"/>
      <c r="W495" s="405"/>
      <c r="X495" s="405"/>
    </row>
    <row r="496" spans="2:24">
      <c r="B496" s="405"/>
      <c r="C496" s="405"/>
      <c r="D496" s="405"/>
      <c r="E496" s="405"/>
      <c r="F496" s="405"/>
      <c r="G496" s="405"/>
      <c r="H496" s="405"/>
      <c r="I496" s="405"/>
      <c r="J496" s="405"/>
      <c r="K496" s="405"/>
      <c r="L496" s="405"/>
      <c r="M496" s="405"/>
      <c r="N496" s="405"/>
      <c r="O496" s="405"/>
      <c r="P496" s="405"/>
      <c r="Q496" s="405"/>
      <c r="R496" s="405"/>
      <c r="S496" s="405"/>
      <c r="T496" s="405"/>
      <c r="U496" s="405"/>
      <c r="V496" s="405"/>
      <c r="W496" s="405"/>
      <c r="X496" s="405"/>
    </row>
    <row r="497" spans="2:24">
      <c r="B497" s="405"/>
      <c r="C497" s="405"/>
      <c r="D497" s="405"/>
      <c r="E497" s="405"/>
      <c r="F497" s="405"/>
      <c r="G497" s="405"/>
      <c r="H497" s="405"/>
      <c r="I497" s="405"/>
      <c r="J497" s="405"/>
      <c r="K497" s="405"/>
      <c r="L497" s="405"/>
      <c r="M497" s="405"/>
      <c r="N497" s="405"/>
      <c r="O497" s="405"/>
      <c r="P497" s="405"/>
      <c r="Q497" s="405"/>
      <c r="R497" s="405"/>
      <c r="S497" s="405"/>
      <c r="T497" s="405"/>
      <c r="U497" s="405"/>
      <c r="V497" s="405"/>
      <c r="W497" s="405"/>
      <c r="X497" s="405"/>
    </row>
    <row r="498" spans="2:24">
      <c r="B498" s="405"/>
      <c r="C498" s="405"/>
      <c r="D498" s="405"/>
      <c r="E498" s="405"/>
      <c r="F498" s="405"/>
      <c r="G498" s="405"/>
      <c r="H498" s="405"/>
      <c r="I498" s="405"/>
      <c r="J498" s="405"/>
      <c r="K498" s="405"/>
      <c r="L498" s="405"/>
      <c r="M498" s="405"/>
      <c r="N498" s="405"/>
      <c r="O498" s="405"/>
      <c r="P498" s="405"/>
      <c r="Q498" s="405"/>
      <c r="R498" s="405"/>
      <c r="S498" s="405"/>
      <c r="T498" s="405"/>
      <c r="U498" s="405"/>
      <c r="V498" s="405"/>
      <c r="W498" s="405"/>
      <c r="X498" s="405"/>
    </row>
    <row r="499" spans="2:24">
      <c r="B499" s="405"/>
      <c r="C499" s="405"/>
      <c r="D499" s="405"/>
      <c r="E499" s="405"/>
      <c r="F499" s="405"/>
      <c r="G499" s="405"/>
      <c r="H499" s="405"/>
      <c r="I499" s="405"/>
      <c r="J499" s="405"/>
      <c r="K499" s="405"/>
      <c r="L499" s="405"/>
      <c r="M499" s="405"/>
      <c r="N499" s="405"/>
      <c r="O499" s="405"/>
      <c r="P499" s="405"/>
      <c r="Q499" s="405"/>
      <c r="R499" s="405"/>
      <c r="S499" s="405"/>
      <c r="T499" s="405"/>
      <c r="U499" s="405"/>
      <c r="V499" s="405"/>
      <c r="W499" s="405"/>
      <c r="X499" s="405"/>
    </row>
    <row r="500" spans="2:24">
      <c r="B500" s="405"/>
      <c r="C500" s="405"/>
      <c r="D500" s="405"/>
      <c r="E500" s="405"/>
      <c r="F500" s="405"/>
      <c r="G500" s="405"/>
      <c r="H500" s="405"/>
      <c r="I500" s="405"/>
      <c r="J500" s="405"/>
      <c r="K500" s="405"/>
      <c r="L500" s="405"/>
      <c r="M500" s="405"/>
      <c r="N500" s="405"/>
      <c r="O500" s="405"/>
      <c r="P500" s="405"/>
      <c r="Q500" s="405"/>
      <c r="R500" s="405"/>
      <c r="S500" s="405"/>
      <c r="T500" s="405"/>
      <c r="U500" s="405"/>
      <c r="V500" s="405"/>
      <c r="W500" s="405"/>
      <c r="X500" s="405"/>
    </row>
    <row r="501" spans="2:24">
      <c r="B501" s="405"/>
      <c r="C501" s="405"/>
      <c r="D501" s="405"/>
      <c r="E501" s="405"/>
      <c r="F501" s="405"/>
      <c r="G501" s="405"/>
      <c r="H501" s="405"/>
      <c r="I501" s="405"/>
      <c r="J501" s="405"/>
      <c r="K501" s="405"/>
      <c r="L501" s="405"/>
      <c r="M501" s="405"/>
      <c r="N501" s="405"/>
      <c r="O501" s="405"/>
      <c r="P501" s="405"/>
      <c r="Q501" s="405"/>
      <c r="R501" s="405"/>
      <c r="S501" s="405"/>
      <c r="T501" s="405"/>
      <c r="U501" s="405"/>
      <c r="V501" s="405"/>
      <c r="W501" s="405"/>
      <c r="X501" s="405"/>
    </row>
    <row r="502" spans="2:24">
      <c r="B502" s="405"/>
      <c r="C502" s="405"/>
      <c r="D502" s="405"/>
      <c r="E502" s="405"/>
      <c r="F502" s="405"/>
      <c r="G502" s="405"/>
      <c r="H502" s="405"/>
      <c r="I502" s="405"/>
      <c r="J502" s="405"/>
      <c r="K502" s="405"/>
      <c r="L502" s="405"/>
      <c r="M502" s="405"/>
      <c r="N502" s="405"/>
      <c r="O502" s="405"/>
      <c r="P502" s="405"/>
      <c r="Q502" s="405"/>
      <c r="R502" s="405"/>
      <c r="S502" s="405"/>
      <c r="T502" s="405"/>
      <c r="U502" s="405"/>
      <c r="V502" s="405"/>
      <c r="W502" s="405"/>
      <c r="X502" s="405"/>
    </row>
    <row r="503" spans="2:24">
      <c r="B503" s="405"/>
      <c r="C503" s="405"/>
      <c r="D503" s="405"/>
      <c r="E503" s="405"/>
      <c r="F503" s="405"/>
      <c r="G503" s="405"/>
      <c r="H503" s="405"/>
      <c r="I503" s="405"/>
      <c r="J503" s="405"/>
      <c r="K503" s="405"/>
      <c r="L503" s="405"/>
      <c r="M503" s="405"/>
      <c r="N503" s="405"/>
      <c r="O503" s="405"/>
      <c r="P503" s="405"/>
      <c r="Q503" s="405"/>
      <c r="R503" s="405"/>
      <c r="S503" s="405"/>
      <c r="T503" s="405"/>
      <c r="U503" s="405"/>
      <c r="V503" s="405"/>
      <c r="W503" s="405"/>
      <c r="X503" s="405"/>
    </row>
    <row r="504" spans="2:24">
      <c r="B504" s="405"/>
      <c r="C504" s="405"/>
      <c r="D504" s="405"/>
      <c r="E504" s="405"/>
      <c r="F504" s="405"/>
      <c r="G504" s="405"/>
      <c r="H504" s="405"/>
      <c r="I504" s="405"/>
      <c r="J504" s="405"/>
      <c r="K504" s="405"/>
      <c r="L504" s="405"/>
      <c r="M504" s="405"/>
      <c r="N504" s="405"/>
      <c r="O504" s="405"/>
      <c r="P504" s="405"/>
      <c r="Q504" s="405"/>
      <c r="R504" s="405"/>
      <c r="S504" s="405"/>
      <c r="T504" s="405"/>
      <c r="U504" s="405"/>
      <c r="V504" s="405"/>
      <c r="W504" s="405"/>
      <c r="X504" s="405"/>
    </row>
    <row r="505" spans="2:24">
      <c r="B505" s="405"/>
      <c r="C505" s="405"/>
      <c r="D505" s="405"/>
      <c r="E505" s="405"/>
      <c r="F505" s="405"/>
      <c r="G505" s="405"/>
      <c r="H505" s="405"/>
      <c r="I505" s="405"/>
      <c r="J505" s="405"/>
      <c r="K505" s="405"/>
      <c r="L505" s="405"/>
      <c r="M505" s="405"/>
      <c r="N505" s="405"/>
      <c r="O505" s="405"/>
      <c r="P505" s="405"/>
      <c r="Q505" s="405"/>
      <c r="R505" s="405"/>
      <c r="S505" s="405"/>
      <c r="T505" s="405"/>
      <c r="U505" s="405"/>
      <c r="V505" s="405"/>
      <c r="W505" s="405"/>
      <c r="X505" s="405"/>
    </row>
    <row r="506" spans="2:24">
      <c r="B506" s="405"/>
      <c r="C506" s="405"/>
      <c r="D506" s="405"/>
      <c r="E506" s="405"/>
      <c r="F506" s="405"/>
      <c r="G506" s="405"/>
      <c r="H506" s="405"/>
      <c r="I506" s="405"/>
      <c r="J506" s="405"/>
      <c r="K506" s="405"/>
      <c r="L506" s="405"/>
      <c r="M506" s="405"/>
      <c r="N506" s="405"/>
      <c r="O506" s="405"/>
      <c r="P506" s="405"/>
      <c r="Q506" s="405"/>
      <c r="R506" s="405"/>
      <c r="S506" s="405"/>
      <c r="T506" s="405"/>
      <c r="U506" s="405"/>
      <c r="V506" s="405"/>
      <c r="W506" s="405"/>
      <c r="X506" s="405"/>
    </row>
    <row r="507" spans="2:24">
      <c r="B507" s="405"/>
      <c r="C507" s="405"/>
      <c r="D507" s="405"/>
      <c r="E507" s="405"/>
      <c r="F507" s="405"/>
      <c r="G507" s="405"/>
      <c r="H507" s="405"/>
      <c r="I507" s="405"/>
      <c r="J507" s="405"/>
      <c r="K507" s="405"/>
      <c r="L507" s="405"/>
      <c r="M507" s="405"/>
      <c r="N507" s="405"/>
      <c r="O507" s="405"/>
      <c r="P507" s="405"/>
      <c r="Q507" s="405"/>
      <c r="R507" s="405"/>
      <c r="S507" s="405"/>
      <c r="T507" s="405"/>
      <c r="U507" s="405"/>
      <c r="V507" s="405"/>
      <c r="W507" s="405"/>
      <c r="X507" s="405"/>
    </row>
    <row r="508" spans="2:24">
      <c r="B508" s="405"/>
      <c r="C508" s="405"/>
      <c r="D508" s="405"/>
      <c r="E508" s="405"/>
      <c r="F508" s="405"/>
      <c r="G508" s="405"/>
      <c r="H508" s="405"/>
      <c r="I508" s="405"/>
      <c r="J508" s="405"/>
      <c r="K508" s="405"/>
      <c r="L508" s="405"/>
      <c r="M508" s="405"/>
      <c r="N508" s="405"/>
      <c r="O508" s="405"/>
      <c r="P508" s="405"/>
      <c r="Q508" s="405"/>
      <c r="R508" s="405"/>
      <c r="S508" s="405"/>
      <c r="T508" s="405"/>
      <c r="U508" s="405"/>
      <c r="V508" s="405"/>
      <c r="W508" s="405"/>
      <c r="X508" s="405"/>
    </row>
    <row r="509" spans="2:24">
      <c r="B509" s="405"/>
      <c r="C509" s="405"/>
      <c r="D509" s="405"/>
      <c r="E509" s="405"/>
      <c r="F509" s="405"/>
      <c r="G509" s="405"/>
      <c r="H509" s="405"/>
      <c r="I509" s="405"/>
      <c r="J509" s="405"/>
      <c r="K509" s="405"/>
      <c r="L509" s="405"/>
      <c r="M509" s="405"/>
      <c r="N509" s="405"/>
      <c r="O509" s="405"/>
      <c r="P509" s="405"/>
      <c r="Q509" s="405"/>
      <c r="R509" s="405"/>
      <c r="S509" s="405"/>
      <c r="T509" s="405"/>
      <c r="U509" s="405"/>
      <c r="V509" s="405"/>
      <c r="W509" s="405"/>
      <c r="X509" s="405"/>
    </row>
    <row r="510" spans="2:24">
      <c r="B510" s="405"/>
      <c r="C510" s="405"/>
      <c r="D510" s="405"/>
      <c r="E510" s="405"/>
      <c r="F510" s="405"/>
      <c r="G510" s="405"/>
      <c r="H510" s="405"/>
      <c r="I510" s="405"/>
      <c r="J510" s="405"/>
      <c r="K510" s="405"/>
      <c r="L510" s="405"/>
      <c r="M510" s="405"/>
      <c r="N510" s="405"/>
      <c r="O510" s="405"/>
      <c r="P510" s="405"/>
      <c r="Q510" s="405"/>
      <c r="R510" s="405"/>
      <c r="S510" s="405"/>
      <c r="T510" s="405"/>
      <c r="U510" s="405"/>
      <c r="V510" s="405"/>
      <c r="W510" s="405"/>
      <c r="X510" s="405"/>
    </row>
    <row r="511" spans="2:24">
      <c r="B511" s="405"/>
      <c r="C511" s="405"/>
      <c r="D511" s="405"/>
      <c r="E511" s="405"/>
      <c r="F511" s="405"/>
      <c r="G511" s="405"/>
      <c r="H511" s="405"/>
      <c r="I511" s="405"/>
      <c r="J511" s="405"/>
      <c r="K511" s="405"/>
      <c r="L511" s="405"/>
      <c r="M511" s="405"/>
      <c r="N511" s="405"/>
      <c r="O511" s="405"/>
      <c r="P511" s="405"/>
      <c r="Q511" s="405"/>
      <c r="R511" s="405"/>
      <c r="S511" s="405"/>
      <c r="T511" s="405"/>
      <c r="U511" s="405"/>
      <c r="V511" s="405"/>
      <c r="W511" s="405"/>
      <c r="X511" s="405"/>
    </row>
    <row r="512" spans="2:24">
      <c r="B512" s="405"/>
      <c r="C512" s="405"/>
      <c r="D512" s="405"/>
      <c r="E512" s="405"/>
      <c r="F512" s="405"/>
      <c r="G512" s="405"/>
      <c r="H512" s="405"/>
      <c r="I512" s="405"/>
      <c r="J512" s="405"/>
      <c r="K512" s="405"/>
      <c r="L512" s="405"/>
      <c r="M512" s="405"/>
      <c r="N512" s="405"/>
      <c r="O512" s="405"/>
      <c r="P512" s="405"/>
      <c r="Q512" s="405"/>
      <c r="R512" s="405"/>
      <c r="S512" s="405"/>
      <c r="T512" s="405"/>
      <c r="U512" s="405"/>
      <c r="V512" s="405"/>
      <c r="W512" s="405"/>
      <c r="X512" s="405"/>
    </row>
    <row r="513" spans="2:24">
      <c r="B513" s="405"/>
      <c r="C513" s="405"/>
      <c r="D513" s="405"/>
      <c r="E513" s="405"/>
      <c r="F513" s="405"/>
      <c r="G513" s="405"/>
      <c r="H513" s="405"/>
      <c r="I513" s="405"/>
      <c r="J513" s="405"/>
      <c r="K513" s="405"/>
      <c r="L513" s="405"/>
      <c r="M513" s="405"/>
      <c r="N513" s="405"/>
      <c r="O513" s="405"/>
      <c r="P513" s="405"/>
      <c r="Q513" s="405"/>
      <c r="R513" s="405"/>
      <c r="S513" s="405"/>
      <c r="T513" s="405"/>
      <c r="U513" s="405"/>
      <c r="V513" s="405"/>
      <c r="W513" s="405"/>
      <c r="X513" s="405"/>
    </row>
    <row r="514" spans="2:24">
      <c r="B514" s="405"/>
      <c r="C514" s="405"/>
      <c r="D514" s="405"/>
      <c r="E514" s="405"/>
      <c r="F514" s="405"/>
      <c r="G514" s="405"/>
      <c r="H514" s="405"/>
      <c r="I514" s="405"/>
      <c r="J514" s="405"/>
      <c r="K514" s="405"/>
      <c r="L514" s="405"/>
      <c r="M514" s="405"/>
      <c r="N514" s="405"/>
      <c r="O514" s="405"/>
      <c r="P514" s="405"/>
      <c r="Q514" s="405"/>
      <c r="R514" s="405"/>
      <c r="S514" s="405"/>
      <c r="T514" s="405"/>
      <c r="U514" s="405"/>
      <c r="V514" s="405"/>
      <c r="W514" s="405"/>
      <c r="X514" s="405"/>
    </row>
    <row r="515" spans="2:24">
      <c r="B515" s="405"/>
      <c r="C515" s="405"/>
      <c r="D515" s="405"/>
      <c r="E515" s="405"/>
      <c r="F515" s="405"/>
      <c r="G515" s="405"/>
      <c r="H515" s="405"/>
      <c r="I515" s="405"/>
      <c r="J515" s="405"/>
      <c r="K515" s="405"/>
      <c r="L515" s="405"/>
      <c r="M515" s="405"/>
      <c r="N515" s="405"/>
      <c r="O515" s="405"/>
      <c r="P515" s="405"/>
      <c r="Q515" s="405"/>
      <c r="R515" s="405"/>
      <c r="S515" s="405"/>
      <c r="T515" s="405"/>
      <c r="U515" s="405"/>
      <c r="V515" s="405"/>
      <c r="W515" s="405"/>
      <c r="X515" s="405"/>
    </row>
    <row r="516" spans="2:24">
      <c r="B516" s="405"/>
      <c r="C516" s="405"/>
      <c r="D516" s="405"/>
      <c r="E516" s="405"/>
      <c r="F516" s="405"/>
      <c r="G516" s="405"/>
      <c r="H516" s="405"/>
      <c r="I516" s="405"/>
      <c r="J516" s="405"/>
      <c r="K516" s="405"/>
      <c r="L516" s="405"/>
      <c r="M516" s="405"/>
      <c r="N516" s="405"/>
      <c r="O516" s="405"/>
      <c r="P516" s="405"/>
      <c r="Q516" s="405"/>
      <c r="R516" s="405"/>
      <c r="S516" s="405"/>
      <c r="T516" s="405"/>
      <c r="U516" s="405"/>
      <c r="V516" s="405"/>
      <c r="W516" s="405"/>
      <c r="X516" s="405"/>
    </row>
    <row r="517" spans="2:24">
      <c r="B517" s="405"/>
      <c r="C517" s="405"/>
      <c r="D517" s="405"/>
      <c r="E517" s="405"/>
      <c r="F517" s="405"/>
      <c r="G517" s="405"/>
      <c r="H517" s="405"/>
      <c r="I517" s="405"/>
      <c r="J517" s="405"/>
      <c r="K517" s="405"/>
      <c r="L517" s="405"/>
      <c r="M517" s="405"/>
      <c r="N517" s="405"/>
      <c r="O517" s="405"/>
      <c r="P517" s="405"/>
      <c r="Q517" s="405"/>
      <c r="R517" s="405"/>
      <c r="S517" s="405"/>
      <c r="T517" s="405"/>
      <c r="U517" s="405"/>
      <c r="V517" s="405"/>
      <c r="W517" s="405"/>
      <c r="X517" s="405"/>
    </row>
    <row r="518" spans="2:24">
      <c r="B518" s="405"/>
      <c r="C518" s="405"/>
      <c r="D518" s="405"/>
      <c r="E518" s="405"/>
      <c r="F518" s="405"/>
      <c r="G518" s="405"/>
      <c r="H518" s="405"/>
      <c r="I518" s="405"/>
      <c r="J518" s="405"/>
      <c r="K518" s="405"/>
      <c r="L518" s="405"/>
      <c r="M518" s="405"/>
      <c r="N518" s="405"/>
      <c r="O518" s="405"/>
      <c r="P518" s="405"/>
      <c r="Q518" s="405"/>
      <c r="R518" s="405"/>
      <c r="S518" s="405"/>
      <c r="T518" s="405"/>
      <c r="U518" s="405"/>
      <c r="V518" s="405"/>
      <c r="W518" s="405"/>
      <c r="X518" s="405"/>
    </row>
    <row r="519" spans="2:24">
      <c r="B519" s="405"/>
      <c r="C519" s="405"/>
      <c r="D519" s="405"/>
      <c r="E519" s="405"/>
      <c r="F519" s="405"/>
      <c r="G519" s="405"/>
      <c r="H519" s="405"/>
      <c r="I519" s="405"/>
      <c r="J519" s="405"/>
      <c r="K519" s="405"/>
      <c r="L519" s="405"/>
      <c r="M519" s="405"/>
      <c r="N519" s="405"/>
      <c r="O519" s="405"/>
      <c r="P519" s="405"/>
      <c r="Q519" s="405"/>
      <c r="R519" s="405"/>
      <c r="S519" s="405"/>
      <c r="T519" s="405"/>
      <c r="U519" s="405"/>
      <c r="V519" s="405"/>
      <c r="W519" s="405"/>
      <c r="X519" s="405"/>
    </row>
    <row r="520" spans="2:24">
      <c r="B520" s="405"/>
      <c r="C520" s="405"/>
      <c r="D520" s="405"/>
      <c r="E520" s="405"/>
      <c r="F520" s="405"/>
      <c r="G520" s="405"/>
      <c r="H520" s="405"/>
      <c r="I520" s="405"/>
      <c r="J520" s="405"/>
      <c r="K520" s="405"/>
      <c r="L520" s="405"/>
      <c r="M520" s="405"/>
      <c r="N520" s="405"/>
      <c r="O520" s="405"/>
      <c r="P520" s="405"/>
      <c r="Q520" s="405"/>
      <c r="R520" s="405"/>
      <c r="S520" s="405"/>
      <c r="T520" s="405"/>
      <c r="U520" s="405"/>
      <c r="V520" s="405"/>
      <c r="W520" s="405"/>
      <c r="X520" s="405"/>
    </row>
    <row r="521" spans="2:24">
      <c r="B521" s="405"/>
      <c r="C521" s="405"/>
      <c r="D521" s="405"/>
      <c r="E521" s="405"/>
      <c r="F521" s="405"/>
      <c r="G521" s="405"/>
      <c r="H521" s="405"/>
      <c r="I521" s="405"/>
      <c r="J521" s="405"/>
      <c r="K521" s="405"/>
      <c r="L521" s="405"/>
      <c r="M521" s="405"/>
      <c r="N521" s="405"/>
      <c r="O521" s="405"/>
      <c r="P521" s="405"/>
      <c r="Q521" s="405"/>
      <c r="R521" s="405"/>
      <c r="S521" s="405"/>
      <c r="T521" s="405"/>
      <c r="U521" s="405"/>
      <c r="V521" s="405"/>
      <c r="W521" s="405"/>
      <c r="X521" s="405"/>
    </row>
    <row r="522" spans="2:24">
      <c r="B522" s="405"/>
      <c r="C522" s="405"/>
      <c r="D522" s="405"/>
      <c r="E522" s="405"/>
      <c r="F522" s="405"/>
      <c r="G522" s="405"/>
      <c r="H522" s="405"/>
      <c r="I522" s="405"/>
      <c r="J522" s="405"/>
      <c r="K522" s="405"/>
      <c r="L522" s="405"/>
      <c r="M522" s="405"/>
      <c r="N522" s="405"/>
      <c r="O522" s="405"/>
      <c r="P522" s="405"/>
      <c r="Q522" s="405"/>
      <c r="R522" s="405"/>
      <c r="S522" s="405"/>
      <c r="T522" s="405"/>
      <c r="U522" s="405"/>
      <c r="V522" s="405"/>
      <c r="W522" s="405"/>
      <c r="X522" s="405"/>
    </row>
  </sheetData>
  <mergeCells count="54">
    <mergeCell ref="B234:O234"/>
    <mergeCell ref="D235:F235"/>
    <mergeCell ref="B146:O146"/>
    <mergeCell ref="B161:O161"/>
    <mergeCell ref="O179:P179"/>
    <mergeCell ref="Q179:R179"/>
    <mergeCell ref="B233:O233"/>
    <mergeCell ref="B162:O162"/>
    <mergeCell ref="B163:O163"/>
    <mergeCell ref="B177:R177"/>
    <mergeCell ref="B178:R178"/>
    <mergeCell ref="C179:D179"/>
    <mergeCell ref="E179:F179"/>
    <mergeCell ref="G179:H179"/>
    <mergeCell ref="I179:J179"/>
    <mergeCell ref="K179:L179"/>
    <mergeCell ref="M179:N179"/>
    <mergeCell ref="F100:O100"/>
    <mergeCell ref="B145:O145"/>
    <mergeCell ref="J46:O46"/>
    <mergeCell ref="B98:O98"/>
    <mergeCell ref="B99:O99"/>
    <mergeCell ref="B79:O79"/>
    <mergeCell ref="B80:O80"/>
    <mergeCell ref="B46:F46"/>
    <mergeCell ref="E134:P134"/>
    <mergeCell ref="H122:I122"/>
    <mergeCell ref="B133:P133"/>
    <mergeCell ref="B132:P132"/>
    <mergeCell ref="D121:F121"/>
    <mergeCell ref="B119:O119"/>
    <mergeCell ref="B120:O120"/>
    <mergeCell ref="B26:O26"/>
    <mergeCell ref="B37:B38"/>
    <mergeCell ref="D37:D38"/>
    <mergeCell ref="B27:J27"/>
    <mergeCell ref="B28:D28"/>
    <mergeCell ref="F37:F38"/>
    <mergeCell ref="A1:G1"/>
    <mergeCell ref="D81:J81"/>
    <mergeCell ref="F164:H164"/>
    <mergeCell ref="H1:Q1"/>
    <mergeCell ref="H82:J82"/>
    <mergeCell ref="B61:O61"/>
    <mergeCell ref="B62:O62"/>
    <mergeCell ref="D63:F63"/>
    <mergeCell ref="H63:J63"/>
    <mergeCell ref="B45:O45"/>
    <mergeCell ref="B44:O44"/>
    <mergeCell ref="B8:O8"/>
    <mergeCell ref="B6:O6"/>
    <mergeCell ref="B7:O7"/>
    <mergeCell ref="A2:X2"/>
    <mergeCell ref="B25:O25"/>
  </mergeCells>
  <hyperlinks>
    <hyperlink ref="A1" location="DASHBOARD!A1" display="Back to Dashboard" xr:uid="{00000000-0004-0000-0300-000000000000}"/>
  </hyperlinks>
  <pageMargins left="0.7" right="0.7" top="0.75" bottom="0.75" header="0.3" footer="0.3"/>
  <pageSetup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K60"/>
  <sheetViews>
    <sheetView zoomScale="241" zoomScaleNormal="241" workbookViewId="0">
      <selection sqref="A1:D1"/>
    </sheetView>
  </sheetViews>
  <sheetFormatPr defaultRowHeight="15"/>
  <cols>
    <col min="2" max="2" width="8.140625" customWidth="1"/>
  </cols>
  <sheetData>
    <row r="1" spans="1:11" ht="27.75">
      <c r="A1" s="656" t="s">
        <v>313</v>
      </c>
      <c r="B1" s="657"/>
      <c r="C1" s="657"/>
      <c r="D1" s="658"/>
      <c r="E1" s="659" t="s">
        <v>458</v>
      </c>
      <c r="F1" s="660"/>
      <c r="G1" s="660"/>
      <c r="H1" s="660"/>
      <c r="I1" s="660"/>
      <c r="J1" s="660"/>
      <c r="K1" s="660"/>
    </row>
    <row r="2" spans="1:11">
      <c r="A2" t="s">
        <v>507</v>
      </c>
    </row>
    <row r="3" spans="1:11">
      <c r="B3" s="298" t="s">
        <v>501</v>
      </c>
      <c r="C3" t="s">
        <v>499</v>
      </c>
    </row>
    <row r="4" spans="1:11">
      <c r="A4" s="300">
        <v>43962</v>
      </c>
      <c r="B4" s="544">
        <v>1</v>
      </c>
      <c r="C4" t="s">
        <v>1982</v>
      </c>
    </row>
    <row r="5" spans="1:11">
      <c r="B5" s="544">
        <v>2</v>
      </c>
      <c r="C5" t="s">
        <v>1983</v>
      </c>
    </row>
    <row r="6" spans="1:11">
      <c r="B6" s="544">
        <v>3</v>
      </c>
      <c r="C6" t="s">
        <v>1984</v>
      </c>
    </row>
    <row r="7" spans="1:11">
      <c r="B7" s="544">
        <v>4</v>
      </c>
      <c r="C7" t="s">
        <v>1985</v>
      </c>
    </row>
    <row r="8" spans="1:11">
      <c r="B8" s="544">
        <v>5</v>
      </c>
      <c r="C8" t="s">
        <v>1986</v>
      </c>
    </row>
    <row r="9" spans="1:11">
      <c r="B9" s="544">
        <v>6</v>
      </c>
      <c r="C9" t="s">
        <v>1987</v>
      </c>
    </row>
    <row r="10" spans="1:11">
      <c r="B10" s="544">
        <v>7</v>
      </c>
      <c r="C10" t="s">
        <v>1988</v>
      </c>
    </row>
    <row r="11" spans="1:11">
      <c r="B11" s="544">
        <v>8</v>
      </c>
      <c r="C11" t="s">
        <v>1989</v>
      </c>
    </row>
    <row r="12" spans="1:11">
      <c r="B12" s="544">
        <v>9</v>
      </c>
      <c r="C12" t="s">
        <v>1990</v>
      </c>
    </row>
    <row r="13" spans="1:11">
      <c r="B13" s="544">
        <v>10</v>
      </c>
      <c r="C13" t="s">
        <v>1991</v>
      </c>
    </row>
    <row r="14" spans="1:11">
      <c r="B14" s="544">
        <v>11</v>
      </c>
      <c r="C14" t="s">
        <v>1992</v>
      </c>
    </row>
    <row r="15" spans="1:11">
      <c r="B15" s="544"/>
    </row>
    <row r="16" spans="1:11">
      <c r="B16" s="544"/>
    </row>
    <row r="17" spans="1:3">
      <c r="A17" s="300">
        <v>43955</v>
      </c>
      <c r="B17" s="515">
        <v>1</v>
      </c>
      <c r="C17" s="497" t="s">
        <v>1844</v>
      </c>
    </row>
    <row r="18" spans="1:3">
      <c r="B18" s="515">
        <v>2</v>
      </c>
      <c r="C18" s="497" t="s">
        <v>1845</v>
      </c>
    </row>
    <row r="19" spans="1:3">
      <c r="B19" s="515">
        <v>3</v>
      </c>
      <c r="C19" s="497" t="s">
        <v>1846</v>
      </c>
    </row>
    <row r="20" spans="1:3">
      <c r="B20" s="515">
        <v>4</v>
      </c>
      <c r="C20" s="543" t="s">
        <v>1849</v>
      </c>
    </row>
    <row r="21" spans="1:3">
      <c r="B21" s="525">
        <v>5</v>
      </c>
      <c r="C21" t="s">
        <v>1847</v>
      </c>
    </row>
    <row r="22" spans="1:3">
      <c r="B22" s="515">
        <v>6</v>
      </c>
      <c r="C22" s="497" t="s">
        <v>1848</v>
      </c>
    </row>
    <row r="23" spans="1:3">
      <c r="B23" s="515">
        <v>7</v>
      </c>
      <c r="C23" s="497" t="s">
        <v>1673</v>
      </c>
    </row>
    <row r="24" spans="1:3">
      <c r="B24" s="525"/>
    </row>
    <row r="25" spans="1:3">
      <c r="A25" s="300">
        <v>43948</v>
      </c>
      <c r="B25" s="515">
        <v>1</v>
      </c>
      <c r="C25" s="497" t="s">
        <v>1625</v>
      </c>
    </row>
    <row r="26" spans="1:3">
      <c r="B26" s="515">
        <v>2</v>
      </c>
      <c r="C26" s="515" t="s">
        <v>1626</v>
      </c>
    </row>
    <row r="27" spans="1:3">
      <c r="B27" s="513">
        <v>3</v>
      </c>
      <c r="C27" t="s">
        <v>1627</v>
      </c>
    </row>
    <row r="28" spans="1:3">
      <c r="B28" s="515">
        <v>4</v>
      </c>
      <c r="C28" s="497" t="s">
        <v>1632</v>
      </c>
    </row>
    <row r="29" spans="1:3">
      <c r="B29" s="515"/>
      <c r="C29" s="497" t="s">
        <v>1680</v>
      </c>
    </row>
    <row r="30" spans="1:3">
      <c r="B30" s="515">
        <v>5</v>
      </c>
      <c r="C30" s="497" t="s">
        <v>1628</v>
      </c>
    </row>
    <row r="31" spans="1:3">
      <c r="B31" s="515">
        <v>6</v>
      </c>
      <c r="C31" s="545" t="s">
        <v>1155</v>
      </c>
    </row>
    <row r="32" spans="1:3">
      <c r="B32" s="515">
        <v>7</v>
      </c>
      <c r="C32" s="515" t="s">
        <v>1673</v>
      </c>
    </row>
    <row r="33" spans="1:3">
      <c r="B33" s="515">
        <v>8</v>
      </c>
      <c r="C33" s="497" t="s">
        <v>1678</v>
      </c>
    </row>
    <row r="34" spans="1:3">
      <c r="B34" s="515">
        <v>9</v>
      </c>
      <c r="C34" s="497" t="s">
        <v>1679</v>
      </c>
    </row>
    <row r="35" spans="1:3">
      <c r="B35" s="515">
        <v>10</v>
      </c>
      <c r="C35" s="497" t="s">
        <v>1681</v>
      </c>
    </row>
    <row r="36" spans="1:3">
      <c r="B36" s="519"/>
    </row>
    <row r="37" spans="1:3">
      <c r="B37" s="513"/>
    </row>
    <row r="38" spans="1:3">
      <c r="A38" s="300">
        <v>43941</v>
      </c>
      <c r="B38" s="515">
        <v>1</v>
      </c>
      <c r="C38" s="497" t="s">
        <v>1234</v>
      </c>
    </row>
    <row r="39" spans="1:3">
      <c r="B39" s="515">
        <v>2</v>
      </c>
      <c r="C39" s="497" t="s">
        <v>1235</v>
      </c>
    </row>
    <row r="40" spans="1:3">
      <c r="B40" s="515">
        <v>3</v>
      </c>
      <c r="C40" s="497" t="s">
        <v>1236</v>
      </c>
    </row>
    <row r="41" spans="1:3">
      <c r="B41" s="507"/>
    </row>
    <row r="42" spans="1:3">
      <c r="A42" s="300">
        <v>43934</v>
      </c>
      <c r="B42">
        <v>1</v>
      </c>
      <c r="C42" t="s">
        <v>1137</v>
      </c>
    </row>
    <row r="43" spans="1:3">
      <c r="A43" s="300"/>
      <c r="B43">
        <v>2</v>
      </c>
      <c r="C43" t="s">
        <v>1155</v>
      </c>
    </row>
    <row r="44" spans="1:3">
      <c r="B44" s="497">
        <v>3</v>
      </c>
      <c r="C44" s="497" t="s">
        <v>1134</v>
      </c>
    </row>
    <row r="45" spans="1:3">
      <c r="B45" s="497">
        <v>4</v>
      </c>
      <c r="C45" s="497" t="s">
        <v>1139</v>
      </c>
    </row>
    <row r="46" spans="1:3">
      <c r="B46" s="497">
        <v>5</v>
      </c>
      <c r="C46" s="497" t="s">
        <v>1120</v>
      </c>
    </row>
    <row r="47" spans="1:3">
      <c r="B47" s="497">
        <v>6</v>
      </c>
      <c r="C47" t="s">
        <v>1135</v>
      </c>
    </row>
    <row r="48" spans="1:3">
      <c r="B48" s="497">
        <v>7</v>
      </c>
      <c r="C48" s="497" t="s">
        <v>1136</v>
      </c>
    </row>
    <row r="49" spans="1:3">
      <c r="B49" s="497">
        <v>8</v>
      </c>
      <c r="C49" s="497" t="s">
        <v>1138</v>
      </c>
    </row>
    <row r="50" spans="1:3">
      <c r="B50" s="497">
        <v>9</v>
      </c>
      <c r="C50" s="497" t="s">
        <v>1154</v>
      </c>
    </row>
    <row r="51" spans="1:3">
      <c r="B51" s="497">
        <v>10</v>
      </c>
      <c r="C51" s="497" t="s">
        <v>1156</v>
      </c>
    </row>
    <row r="53" spans="1:3">
      <c r="A53" s="300">
        <v>43927</v>
      </c>
      <c r="B53">
        <v>1</v>
      </c>
      <c r="C53" s="497" t="s">
        <v>500</v>
      </c>
    </row>
    <row r="54" spans="1:3">
      <c r="B54">
        <v>2</v>
      </c>
      <c r="C54" s="497" t="s">
        <v>502</v>
      </c>
    </row>
    <row r="55" spans="1:3">
      <c r="B55">
        <v>3</v>
      </c>
      <c r="C55" s="497" t="s">
        <v>510</v>
      </c>
    </row>
    <row r="56" spans="1:3">
      <c r="B56">
        <v>4</v>
      </c>
      <c r="C56" s="497" t="s">
        <v>503</v>
      </c>
    </row>
    <row r="57" spans="1:3">
      <c r="B57">
        <v>5</v>
      </c>
      <c r="C57" s="497" t="s">
        <v>504</v>
      </c>
    </row>
    <row r="58" spans="1:3">
      <c r="B58">
        <v>6</v>
      </c>
      <c r="C58" s="497" t="s">
        <v>505</v>
      </c>
    </row>
    <row r="59" spans="1:3">
      <c r="B59">
        <v>7</v>
      </c>
      <c r="C59" s="497" t="s">
        <v>506</v>
      </c>
    </row>
    <row r="60" spans="1:3">
      <c r="B60">
        <v>8</v>
      </c>
      <c r="C60" s="497" t="s">
        <v>508</v>
      </c>
    </row>
  </sheetData>
  <mergeCells count="2">
    <mergeCell ref="A1:D1"/>
    <mergeCell ref="E1:K1"/>
  </mergeCells>
  <hyperlinks>
    <hyperlink ref="A1" location="DASHBOARD!A1" display="Back to Dashboard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B38"/>
  <sheetViews>
    <sheetView topLeftCell="A7" zoomScale="319" zoomScaleNormal="319" workbookViewId="0"/>
  </sheetViews>
  <sheetFormatPr defaultRowHeight="15"/>
  <cols>
    <col min="1" max="1" width="35" customWidth="1"/>
    <col min="2" max="2" width="46.140625" customWidth="1"/>
  </cols>
  <sheetData>
    <row r="1" spans="1:2" ht="27.75">
      <c r="A1" s="349" t="s">
        <v>313</v>
      </c>
      <c r="B1" s="348" t="s">
        <v>494</v>
      </c>
    </row>
    <row r="2" spans="1:2">
      <c r="A2" s="350" t="s">
        <v>986</v>
      </c>
      <c r="B2" s="351" t="s">
        <v>987</v>
      </c>
    </row>
    <row r="3" spans="1:2">
      <c r="A3" s="484">
        <v>43920</v>
      </c>
      <c r="B3" s="90" t="s">
        <v>511</v>
      </c>
    </row>
    <row r="4" spans="1:2">
      <c r="A4" s="484">
        <v>43927</v>
      </c>
      <c r="B4" s="90" t="s">
        <v>512</v>
      </c>
    </row>
    <row r="5" spans="1:2">
      <c r="A5" s="484">
        <v>43934</v>
      </c>
      <c r="B5" s="90" t="s">
        <v>1163</v>
      </c>
    </row>
    <row r="6" spans="1:2">
      <c r="A6" s="484">
        <v>43941</v>
      </c>
      <c r="B6" s="90" t="s">
        <v>1233</v>
      </c>
    </row>
    <row r="7" spans="1:2">
      <c r="A7" s="484">
        <v>43948</v>
      </c>
      <c r="B7" s="90" t="s">
        <v>1731</v>
      </c>
    </row>
    <row r="8" spans="1:2">
      <c r="A8" s="484">
        <v>43955</v>
      </c>
      <c r="B8" s="90" t="s">
        <v>2037</v>
      </c>
    </row>
    <row r="9" spans="1:2">
      <c r="A9" s="484">
        <v>43962</v>
      </c>
      <c r="B9" s="90" t="s">
        <v>2036</v>
      </c>
    </row>
    <row r="10" spans="1:2">
      <c r="A10" s="484">
        <v>43969</v>
      </c>
      <c r="B10" s="90"/>
    </row>
    <row r="11" spans="1:2">
      <c r="A11" s="484">
        <v>43976</v>
      </c>
      <c r="B11" s="90"/>
    </row>
    <row r="12" spans="1:2">
      <c r="A12" s="484">
        <v>43983</v>
      </c>
      <c r="B12" s="90"/>
    </row>
    <row r="13" spans="1:2">
      <c r="A13" s="484">
        <v>43990</v>
      </c>
      <c r="B13" s="90"/>
    </row>
    <row r="14" spans="1:2">
      <c r="A14" s="484">
        <v>43997</v>
      </c>
      <c r="B14" s="90"/>
    </row>
    <row r="15" spans="1:2">
      <c r="A15" s="484">
        <v>44004</v>
      </c>
      <c r="B15" s="90"/>
    </row>
    <row r="16" spans="1:2">
      <c r="A16" s="484">
        <v>44011</v>
      </c>
      <c r="B16" s="90"/>
    </row>
    <row r="17" spans="1:2">
      <c r="A17" s="484">
        <v>44018</v>
      </c>
      <c r="B17" s="90"/>
    </row>
    <row r="18" spans="1:2">
      <c r="A18" s="484">
        <v>44025</v>
      </c>
      <c r="B18" s="90"/>
    </row>
    <row r="19" spans="1:2">
      <c r="A19" s="484">
        <v>44032</v>
      </c>
      <c r="B19" s="90"/>
    </row>
    <row r="20" spans="1:2">
      <c r="A20" s="484">
        <v>44039</v>
      </c>
      <c r="B20" s="90"/>
    </row>
    <row r="21" spans="1:2">
      <c r="A21" s="143"/>
    </row>
    <row r="22" spans="1:2">
      <c r="A22" s="143"/>
    </row>
    <row r="23" spans="1:2">
      <c r="A23" s="143"/>
    </row>
    <row r="24" spans="1:2">
      <c r="A24" s="143"/>
    </row>
    <row r="25" spans="1:2">
      <c r="A25" s="143"/>
    </row>
    <row r="26" spans="1:2">
      <c r="A26" s="143"/>
    </row>
    <row r="27" spans="1:2">
      <c r="A27" s="143"/>
    </row>
    <row r="28" spans="1:2">
      <c r="A28" s="143"/>
    </row>
    <row r="29" spans="1:2">
      <c r="A29" s="143"/>
    </row>
    <row r="30" spans="1:2">
      <c r="A30" s="143"/>
    </row>
    <row r="31" spans="1:2">
      <c r="A31" s="143"/>
    </row>
    <row r="32" spans="1:2">
      <c r="A32" s="143"/>
    </row>
    <row r="33" spans="1:1">
      <c r="A33" s="143"/>
    </row>
    <row r="34" spans="1:1">
      <c r="A34" s="143"/>
    </row>
    <row r="35" spans="1:1">
      <c r="A35" s="143"/>
    </row>
    <row r="36" spans="1:1">
      <c r="A36" s="143"/>
    </row>
    <row r="37" spans="1:1">
      <c r="A37" s="143"/>
    </row>
    <row r="38" spans="1:1">
      <c r="A38" s="143"/>
    </row>
  </sheetData>
  <hyperlinks>
    <hyperlink ref="A1" location="DASHBOARD!A1" display="Back to Dashboard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J57"/>
  <sheetViews>
    <sheetView topLeftCell="A4" zoomScale="147" zoomScaleNormal="147" workbookViewId="0">
      <selection sqref="A1:C1"/>
    </sheetView>
  </sheetViews>
  <sheetFormatPr defaultRowHeight="15"/>
  <cols>
    <col min="1" max="1" width="14.5703125" customWidth="1"/>
    <col min="2" max="2" width="5" bestFit="1" customWidth="1"/>
    <col min="3" max="3" width="10" customWidth="1"/>
    <col min="4" max="4" width="7.28515625" bestFit="1" customWidth="1"/>
    <col min="5" max="5" width="5.140625" bestFit="1" customWidth="1"/>
    <col min="6" max="6" width="10" customWidth="1"/>
    <col min="7" max="7" width="7.28515625" bestFit="1" customWidth="1"/>
    <col min="8" max="8" width="5.140625" bestFit="1" customWidth="1"/>
    <col min="9" max="9" width="10.5703125" customWidth="1"/>
    <col min="10" max="10" width="7.28515625" bestFit="1" customWidth="1"/>
  </cols>
  <sheetData>
    <row r="1" spans="1:10" ht="28.5" thickBot="1">
      <c r="A1" s="666" t="s">
        <v>313</v>
      </c>
      <c r="B1" s="667"/>
      <c r="C1" s="668"/>
      <c r="D1" s="669" t="s">
        <v>375</v>
      </c>
      <c r="E1" s="669"/>
      <c r="F1" s="669"/>
      <c r="G1" s="669"/>
      <c r="H1" s="669"/>
      <c r="I1" s="669"/>
      <c r="J1" s="670"/>
    </row>
    <row r="2" spans="1:10" ht="15.75" thickBot="1">
      <c r="A2" s="62" t="s">
        <v>54</v>
      </c>
      <c r="B2" s="671">
        <v>5</v>
      </c>
      <c r="C2" s="672"/>
      <c r="D2" s="673"/>
      <c r="E2" s="671">
        <v>4</v>
      </c>
      <c r="F2" s="672"/>
      <c r="G2" s="673"/>
      <c r="H2" s="671">
        <v>4</v>
      </c>
      <c r="I2" s="672"/>
      <c r="J2" s="673"/>
    </row>
    <row r="3" spans="1:10" ht="24.75" thickBot="1">
      <c r="A3" s="347"/>
      <c r="B3" s="674" t="s">
        <v>3</v>
      </c>
      <c r="C3" s="675"/>
      <c r="D3" s="676"/>
      <c r="E3" s="677" t="s">
        <v>4</v>
      </c>
      <c r="F3" s="678"/>
      <c r="G3" s="679"/>
      <c r="H3" s="680" t="s">
        <v>5</v>
      </c>
      <c r="I3" s="681"/>
      <c r="J3" s="682"/>
    </row>
    <row r="4" spans="1:10" ht="15.75" thickBot="1">
      <c r="A4" s="11" t="s">
        <v>6</v>
      </c>
      <c r="B4" s="12" t="s">
        <v>7</v>
      </c>
      <c r="C4" s="13" t="s">
        <v>8</v>
      </c>
      <c r="D4" s="14" t="s">
        <v>9</v>
      </c>
      <c r="E4" s="15" t="s">
        <v>7</v>
      </c>
      <c r="F4" s="16" t="s">
        <v>8</v>
      </c>
      <c r="G4" s="17" t="s">
        <v>9</v>
      </c>
      <c r="H4" s="18" t="s">
        <v>7</v>
      </c>
      <c r="I4" s="19" t="s">
        <v>8</v>
      </c>
      <c r="J4" s="20" t="s">
        <v>9</v>
      </c>
    </row>
    <row r="5" spans="1:10" ht="14.45" customHeight="1">
      <c r="A5" s="661" t="s">
        <v>1873</v>
      </c>
      <c r="B5" s="30" t="s">
        <v>11</v>
      </c>
      <c r="C5" s="31" t="s">
        <v>30</v>
      </c>
      <c r="D5" s="32" t="s">
        <v>15</v>
      </c>
      <c r="E5" s="526" t="s">
        <v>11</v>
      </c>
      <c r="F5" s="527" t="s">
        <v>44</v>
      </c>
      <c r="G5" s="528" t="s">
        <v>18</v>
      </c>
      <c r="H5" s="529" t="s">
        <v>11</v>
      </c>
      <c r="I5" s="530" t="s">
        <v>12</v>
      </c>
      <c r="J5" s="531" t="s">
        <v>13</v>
      </c>
    </row>
    <row r="6" spans="1:10">
      <c r="A6" s="662"/>
      <c r="B6" s="30" t="s">
        <v>16</v>
      </c>
      <c r="C6" s="31" t="s">
        <v>17</v>
      </c>
      <c r="D6" s="32" t="s">
        <v>18</v>
      </c>
      <c r="E6" s="33" t="s">
        <v>23</v>
      </c>
      <c r="F6" s="34" t="s">
        <v>35</v>
      </c>
      <c r="G6" s="35" t="s">
        <v>13</v>
      </c>
      <c r="H6" s="43" t="s">
        <v>16</v>
      </c>
      <c r="I6" s="44" t="s">
        <v>46</v>
      </c>
      <c r="J6" s="45" t="s">
        <v>18</v>
      </c>
    </row>
    <row r="7" spans="1:10">
      <c r="A7" s="662"/>
      <c r="B7" s="30" t="s">
        <v>21</v>
      </c>
      <c r="C7" s="31" t="s">
        <v>36</v>
      </c>
      <c r="D7" s="32" t="s">
        <v>13</v>
      </c>
      <c r="E7" s="33" t="s">
        <v>21</v>
      </c>
      <c r="F7" s="34" t="s">
        <v>52</v>
      </c>
      <c r="G7" s="35" t="s">
        <v>509</v>
      </c>
      <c r="H7" s="43" t="s">
        <v>21</v>
      </c>
      <c r="I7" s="44" t="s">
        <v>51</v>
      </c>
      <c r="J7" s="45" t="s">
        <v>15</v>
      </c>
    </row>
    <row r="8" spans="1:10">
      <c r="A8" s="662"/>
      <c r="B8" s="30" t="s">
        <v>21</v>
      </c>
      <c r="C8" s="31" t="s">
        <v>39</v>
      </c>
      <c r="D8" s="32" t="s">
        <v>366</v>
      </c>
      <c r="E8" s="33" t="s">
        <v>16</v>
      </c>
      <c r="F8" s="34" t="s">
        <v>49</v>
      </c>
      <c r="G8" s="35" t="s">
        <v>13</v>
      </c>
      <c r="H8" s="43" t="s">
        <v>25</v>
      </c>
      <c r="I8" s="44" t="s">
        <v>26</v>
      </c>
      <c r="J8" s="45" t="s">
        <v>18</v>
      </c>
    </row>
    <row r="9" spans="1:10" ht="15" customHeight="1" thickBot="1">
      <c r="A9" s="662"/>
      <c r="B9" s="30" t="s">
        <v>21</v>
      </c>
      <c r="C9" s="31" t="s">
        <v>22</v>
      </c>
      <c r="D9" s="32" t="s">
        <v>15</v>
      </c>
      <c r="E9" s="663" t="s">
        <v>2</v>
      </c>
      <c r="F9" s="664"/>
      <c r="G9" s="665"/>
      <c r="H9" s="36"/>
      <c r="I9" s="37"/>
      <c r="J9" s="38"/>
    </row>
    <row r="10" spans="1:10" ht="3.6" customHeight="1" thickBot="1">
      <c r="A10" s="55"/>
      <c r="B10" s="56"/>
      <c r="C10" s="57"/>
      <c r="D10" s="58"/>
      <c r="E10" s="59"/>
      <c r="F10" s="60"/>
      <c r="G10" s="61"/>
      <c r="H10" s="59"/>
      <c r="I10" s="60"/>
      <c r="J10" s="61"/>
    </row>
    <row r="21" ht="8.4499999999999993" customHeight="1"/>
    <row r="22" ht="14.45" customHeight="1"/>
    <row r="27" ht="8.4499999999999993" customHeight="1"/>
    <row r="33" ht="8.1" customHeight="1"/>
    <row r="45" ht="8.4499999999999993" customHeight="1"/>
    <row r="51" ht="8.4499999999999993" customHeight="1"/>
    <row r="57" ht="8.1" customHeight="1"/>
  </sheetData>
  <mergeCells count="10">
    <mergeCell ref="A5:A9"/>
    <mergeCell ref="E9:G9"/>
    <mergeCell ref="A1:C1"/>
    <mergeCell ref="D1:J1"/>
    <mergeCell ref="B2:D2"/>
    <mergeCell ref="E2:G2"/>
    <mergeCell ref="H2:J2"/>
    <mergeCell ref="B3:D3"/>
    <mergeCell ref="E3:G3"/>
    <mergeCell ref="H3:J3"/>
  </mergeCells>
  <hyperlinks>
    <hyperlink ref="A1" location="DASHBOARD!A1" display="Back to Dashboard" xr:uid="{00000000-0004-0000-0600-000000000000}"/>
  </hyperlinks>
  <printOptions horizontalCentered="1"/>
  <pageMargins left="0.7" right="0.7" top="0.75" bottom="0.75" header="0.3" footer="0.3"/>
  <pageSetup scale="14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74"/>
  <sheetViews>
    <sheetView zoomScale="143" zoomScaleNormal="143" workbookViewId="0">
      <selection sqref="A1:C1"/>
    </sheetView>
  </sheetViews>
  <sheetFormatPr defaultRowHeight="15"/>
  <cols>
    <col min="1" max="1" width="14.5703125" customWidth="1"/>
    <col min="2" max="2" width="5" bestFit="1" customWidth="1"/>
    <col min="3" max="3" width="10" customWidth="1"/>
    <col min="4" max="4" width="7.28515625" bestFit="1" customWidth="1"/>
    <col min="5" max="5" width="5.140625" bestFit="1" customWidth="1"/>
    <col min="6" max="6" width="10" customWidth="1"/>
    <col min="7" max="7" width="7.28515625" bestFit="1" customWidth="1"/>
    <col min="8" max="8" width="5.140625" bestFit="1" customWidth="1"/>
    <col min="9" max="9" width="10.5703125" customWidth="1"/>
    <col min="10" max="10" width="7.28515625" bestFit="1" customWidth="1"/>
  </cols>
  <sheetData>
    <row r="1" spans="1:10" ht="28.5" thickBot="1">
      <c r="A1" s="692" t="s">
        <v>313</v>
      </c>
      <c r="B1" s="693"/>
      <c r="C1" s="694"/>
      <c r="D1" s="669" t="s">
        <v>375</v>
      </c>
      <c r="E1" s="669"/>
      <c r="F1" s="669"/>
      <c r="G1" s="669"/>
      <c r="H1" s="669"/>
      <c r="I1" s="669"/>
      <c r="J1" s="670"/>
    </row>
    <row r="2" spans="1:10" ht="15.75" thickBot="1">
      <c r="A2" s="62" t="s">
        <v>54</v>
      </c>
      <c r="B2" s="671">
        <v>17</v>
      </c>
      <c r="C2" s="672"/>
      <c r="D2" s="673"/>
      <c r="E2" s="671">
        <v>12</v>
      </c>
      <c r="F2" s="672"/>
      <c r="G2" s="673"/>
      <c r="H2" s="671">
        <v>4</v>
      </c>
      <c r="I2" s="672"/>
      <c r="J2" s="673"/>
    </row>
    <row r="3" spans="1:10" ht="24.75" thickBot="1">
      <c r="A3" s="347"/>
      <c r="B3" s="674" t="s">
        <v>3</v>
      </c>
      <c r="C3" s="675"/>
      <c r="D3" s="676"/>
      <c r="E3" s="677" t="s">
        <v>4</v>
      </c>
      <c r="F3" s="678"/>
      <c r="G3" s="679"/>
      <c r="H3" s="680" t="s">
        <v>5</v>
      </c>
      <c r="I3" s="681"/>
      <c r="J3" s="682"/>
    </row>
    <row r="4" spans="1:10" ht="15.75" thickBot="1">
      <c r="A4" s="11" t="s">
        <v>6</v>
      </c>
      <c r="B4" s="12" t="s">
        <v>7</v>
      </c>
      <c r="C4" s="13" t="s">
        <v>8</v>
      </c>
      <c r="D4" s="14" t="s">
        <v>9</v>
      </c>
      <c r="E4" s="15" t="s">
        <v>7</v>
      </c>
      <c r="F4" s="16" t="s">
        <v>8</v>
      </c>
      <c r="G4" s="17" t="s">
        <v>9</v>
      </c>
      <c r="H4" s="18" t="s">
        <v>7</v>
      </c>
      <c r="I4" s="19" t="s">
        <v>8</v>
      </c>
      <c r="J4" s="20" t="s">
        <v>9</v>
      </c>
    </row>
    <row r="5" spans="1:10">
      <c r="A5" s="353" t="s">
        <v>988</v>
      </c>
      <c r="B5" s="30" t="s">
        <v>989</v>
      </c>
      <c r="C5" s="31" t="s">
        <v>990</v>
      </c>
      <c r="D5" s="32" t="s">
        <v>13</v>
      </c>
      <c r="E5" s="52" t="s">
        <v>2</v>
      </c>
      <c r="F5" s="53" t="s">
        <v>2</v>
      </c>
      <c r="G5" s="54" t="s">
        <v>2</v>
      </c>
      <c r="H5" s="27"/>
      <c r="I5" s="28"/>
      <c r="J5" s="29"/>
    </row>
    <row r="6" spans="1:10" ht="3.6" customHeight="1">
      <c r="A6" s="39"/>
      <c r="B6" s="40"/>
      <c r="C6" s="41"/>
      <c r="D6" s="42"/>
      <c r="E6" s="40"/>
      <c r="F6" s="41"/>
      <c r="G6" s="42"/>
      <c r="H6" s="40"/>
      <c r="I6" s="41"/>
      <c r="J6" s="42"/>
    </row>
    <row r="7" spans="1:10" ht="30">
      <c r="A7" s="353" t="s">
        <v>1000</v>
      </c>
      <c r="B7" s="355" t="s">
        <v>11</v>
      </c>
      <c r="C7" s="356" t="s">
        <v>44</v>
      </c>
      <c r="D7" s="357" t="s">
        <v>18</v>
      </c>
      <c r="E7" s="358" t="s">
        <v>2</v>
      </c>
      <c r="F7" s="359" t="s">
        <v>2</v>
      </c>
      <c r="G7" s="360" t="s">
        <v>2</v>
      </c>
      <c r="H7" s="361"/>
      <c r="I7" s="362"/>
      <c r="J7" s="363"/>
    </row>
    <row r="8" spans="1:10" ht="3.6" customHeight="1">
      <c r="A8" s="39"/>
      <c r="B8" s="40"/>
      <c r="C8" s="41"/>
      <c r="D8" s="42"/>
      <c r="E8" s="40"/>
      <c r="F8" s="41"/>
      <c r="G8" s="42"/>
      <c r="H8" s="40"/>
      <c r="I8" s="41"/>
      <c r="J8" s="42"/>
    </row>
    <row r="9" spans="1:10">
      <c r="A9" s="662" t="s">
        <v>1119</v>
      </c>
      <c r="B9" s="30" t="s">
        <v>19</v>
      </c>
      <c r="C9" s="31" t="s">
        <v>43</v>
      </c>
      <c r="D9" s="32" t="s">
        <v>13</v>
      </c>
      <c r="E9" s="696"/>
      <c r="F9" s="697"/>
      <c r="G9" s="698"/>
      <c r="H9" s="683"/>
      <c r="I9" s="684"/>
      <c r="J9" s="685"/>
    </row>
    <row r="10" spans="1:10">
      <c r="A10" s="662"/>
      <c r="B10" s="30" t="s">
        <v>16</v>
      </c>
      <c r="C10" s="31" t="s">
        <v>46</v>
      </c>
      <c r="D10" s="32" t="s">
        <v>18</v>
      </c>
      <c r="E10" s="699"/>
      <c r="F10" s="700"/>
      <c r="G10" s="701"/>
      <c r="H10" s="686"/>
      <c r="I10" s="687"/>
      <c r="J10" s="688"/>
    </row>
    <row r="11" spans="1:10" ht="15.75" thickBot="1">
      <c r="A11" s="695"/>
      <c r="B11" s="30" t="s">
        <v>16</v>
      </c>
      <c r="C11" s="31" t="s">
        <v>17</v>
      </c>
      <c r="D11" s="32" t="s">
        <v>18</v>
      </c>
      <c r="E11" s="702"/>
      <c r="F11" s="703"/>
      <c r="G11" s="704"/>
      <c r="H11" s="689"/>
      <c r="I11" s="690"/>
      <c r="J11" s="691"/>
    </row>
    <row r="12" spans="1:10" ht="3.6" customHeight="1" thickBot="1">
      <c r="A12" s="55"/>
      <c r="B12" s="56"/>
      <c r="C12" s="57"/>
      <c r="D12" s="58"/>
      <c r="E12" s="59"/>
      <c r="F12" s="60"/>
      <c r="G12" s="61"/>
      <c r="H12" s="59"/>
      <c r="I12" s="60"/>
      <c r="J12" s="61"/>
    </row>
    <row r="13" spans="1:10">
      <c r="A13" s="662" t="s">
        <v>10</v>
      </c>
      <c r="B13" s="21" t="s">
        <v>11</v>
      </c>
      <c r="C13" s="22" t="s">
        <v>12</v>
      </c>
      <c r="D13" s="23" t="s">
        <v>13</v>
      </c>
      <c r="E13" s="24" t="s">
        <v>11</v>
      </c>
      <c r="F13" s="25" t="s">
        <v>14</v>
      </c>
      <c r="G13" s="26" t="s">
        <v>15</v>
      </c>
      <c r="H13" s="27"/>
      <c r="I13" s="28"/>
      <c r="J13" s="29"/>
    </row>
    <row r="14" spans="1:10">
      <c r="A14" s="662"/>
      <c r="B14" s="30" t="s">
        <v>21</v>
      </c>
      <c r="C14" s="31" t="s">
        <v>36</v>
      </c>
      <c r="D14" s="32" t="s">
        <v>15</v>
      </c>
      <c r="E14" s="33" t="s">
        <v>19</v>
      </c>
      <c r="F14" s="34" t="s">
        <v>20</v>
      </c>
      <c r="G14" s="35" t="s">
        <v>13</v>
      </c>
      <c r="H14" s="27"/>
      <c r="I14" s="28"/>
      <c r="J14" s="29"/>
    </row>
    <row r="15" spans="1:10">
      <c r="A15" s="662"/>
      <c r="B15" s="30" t="s">
        <v>21</v>
      </c>
      <c r="C15" s="31" t="s">
        <v>28</v>
      </c>
      <c r="D15" s="231" t="s">
        <v>13</v>
      </c>
      <c r="E15" s="33" t="s">
        <v>23</v>
      </c>
      <c r="F15" s="34" t="s">
        <v>24</v>
      </c>
      <c r="G15" s="35" t="s">
        <v>18</v>
      </c>
      <c r="H15" s="27"/>
      <c r="I15" s="28"/>
      <c r="J15" s="29"/>
    </row>
    <row r="16" spans="1:10">
      <c r="A16" s="662"/>
      <c r="B16" s="30" t="s">
        <v>25</v>
      </c>
      <c r="C16" s="31" t="s">
        <v>26</v>
      </c>
      <c r="D16" s="32" t="s">
        <v>18</v>
      </c>
      <c r="E16" s="33" t="s">
        <v>23</v>
      </c>
      <c r="F16" s="34" t="s">
        <v>27</v>
      </c>
      <c r="G16" s="35" t="s">
        <v>18</v>
      </c>
      <c r="H16" s="27"/>
      <c r="I16" s="28"/>
      <c r="J16" s="29"/>
    </row>
    <row r="17" spans="1:10" ht="3.6" customHeight="1">
      <c r="A17" s="39"/>
      <c r="B17" s="40"/>
      <c r="C17" s="41"/>
      <c r="D17" s="42"/>
      <c r="E17" s="40"/>
      <c r="F17" s="41"/>
      <c r="G17" s="42"/>
      <c r="H17" s="40"/>
      <c r="I17" s="41"/>
      <c r="J17" s="42"/>
    </row>
    <row r="18" spans="1:10" ht="14.45" customHeight="1">
      <c r="A18" s="662" t="s">
        <v>29</v>
      </c>
      <c r="B18" s="30" t="s">
        <v>11</v>
      </c>
      <c r="C18" s="31" t="s">
        <v>30</v>
      </c>
      <c r="D18" s="32" t="s">
        <v>15</v>
      </c>
      <c r="E18" s="33" t="s">
        <v>11</v>
      </c>
      <c r="F18" s="34" t="s">
        <v>31</v>
      </c>
      <c r="G18" s="35" t="s">
        <v>13</v>
      </c>
      <c r="H18" s="43" t="s">
        <v>11</v>
      </c>
      <c r="I18" s="44" t="s">
        <v>32</v>
      </c>
      <c r="J18" s="45" t="s">
        <v>15</v>
      </c>
    </row>
    <row r="19" spans="1:10">
      <c r="A19" s="662"/>
      <c r="B19" s="30" t="s">
        <v>19</v>
      </c>
      <c r="C19" s="31" t="s">
        <v>33</v>
      </c>
      <c r="D19" s="32" t="s">
        <v>18</v>
      </c>
      <c r="E19" s="33" t="s">
        <v>19</v>
      </c>
      <c r="F19" s="34" t="s">
        <v>34</v>
      </c>
      <c r="G19" s="35" t="s">
        <v>18</v>
      </c>
      <c r="H19" s="43" t="s">
        <v>23</v>
      </c>
      <c r="I19" s="44" t="s">
        <v>38</v>
      </c>
      <c r="J19" s="45" t="s">
        <v>366</v>
      </c>
    </row>
    <row r="20" spans="1:10">
      <c r="A20" s="662"/>
      <c r="B20" s="30" t="s">
        <v>21</v>
      </c>
      <c r="C20" s="31" t="s">
        <v>22</v>
      </c>
      <c r="D20" s="32" t="s">
        <v>13</v>
      </c>
      <c r="E20" s="33" t="s">
        <v>21</v>
      </c>
      <c r="F20" s="34" t="s">
        <v>37</v>
      </c>
      <c r="G20" s="35" t="s">
        <v>15</v>
      </c>
      <c r="H20" s="46" t="s">
        <v>2</v>
      </c>
      <c r="I20" s="47" t="s">
        <v>2</v>
      </c>
      <c r="J20" s="48" t="s">
        <v>2</v>
      </c>
    </row>
    <row r="21" spans="1:10">
      <c r="A21" s="662"/>
      <c r="B21" s="30" t="s">
        <v>21</v>
      </c>
      <c r="C21" s="31" t="s">
        <v>39</v>
      </c>
      <c r="D21" s="32" t="s">
        <v>366</v>
      </c>
      <c r="E21" s="33" t="s">
        <v>21</v>
      </c>
      <c r="F21" s="34" t="s">
        <v>40</v>
      </c>
      <c r="G21" s="35" t="s">
        <v>366</v>
      </c>
      <c r="H21" s="27" t="s">
        <v>2</v>
      </c>
      <c r="I21" s="28"/>
      <c r="J21" s="29" t="s">
        <v>2</v>
      </c>
    </row>
    <row r="22" spans="1:10" ht="15" customHeight="1">
      <c r="A22" s="662"/>
      <c r="B22" s="30" t="s">
        <v>21</v>
      </c>
      <c r="C22" s="31" t="s">
        <v>41</v>
      </c>
      <c r="D22" s="32" t="s">
        <v>509</v>
      </c>
      <c r="E22" s="33" t="s">
        <v>21</v>
      </c>
      <c r="F22" s="34" t="s">
        <v>52</v>
      </c>
      <c r="G22" s="35" t="s">
        <v>509</v>
      </c>
      <c r="H22" s="36" t="s">
        <v>2</v>
      </c>
      <c r="I22" s="37" t="s">
        <v>2</v>
      </c>
      <c r="J22" s="38" t="s">
        <v>2</v>
      </c>
    </row>
    <row r="23" spans="1:10" ht="3.6" customHeight="1">
      <c r="A23" s="39"/>
      <c r="B23" s="40"/>
      <c r="C23" s="41"/>
      <c r="D23" s="42"/>
      <c r="E23" s="40"/>
      <c r="F23" s="41"/>
      <c r="G23" s="42"/>
      <c r="H23" s="40"/>
      <c r="I23" s="41"/>
      <c r="J23" s="42"/>
    </row>
    <row r="24" spans="1:10">
      <c r="A24" s="662" t="s">
        <v>42</v>
      </c>
      <c r="B24" s="30" t="s">
        <v>16</v>
      </c>
      <c r="C24" s="31" t="s">
        <v>49</v>
      </c>
      <c r="D24" s="32" t="s">
        <v>13</v>
      </c>
      <c r="E24" s="33" t="s">
        <v>19</v>
      </c>
      <c r="F24" s="34" t="s">
        <v>47</v>
      </c>
      <c r="G24" s="35" t="s">
        <v>13</v>
      </c>
      <c r="H24" s="43" t="s">
        <v>19</v>
      </c>
      <c r="I24" s="44" t="s">
        <v>45</v>
      </c>
      <c r="J24" s="45" t="s">
        <v>13</v>
      </c>
    </row>
    <row r="25" spans="1:10">
      <c r="A25" s="662"/>
      <c r="B25" s="30" t="s">
        <v>21</v>
      </c>
      <c r="C25" s="31" t="s">
        <v>51</v>
      </c>
      <c r="D25" s="32" t="s">
        <v>15</v>
      </c>
      <c r="E25" s="33" t="s">
        <v>21</v>
      </c>
      <c r="F25" s="34" t="s">
        <v>50</v>
      </c>
      <c r="G25" s="35" t="s">
        <v>15</v>
      </c>
      <c r="H25" s="43" t="s">
        <v>23</v>
      </c>
      <c r="I25" s="44" t="s">
        <v>48</v>
      </c>
      <c r="J25" s="45" t="s">
        <v>18</v>
      </c>
    </row>
    <row r="26" spans="1:10" ht="15.75" thickBot="1">
      <c r="A26" s="662"/>
      <c r="B26" s="49" t="s">
        <v>21</v>
      </c>
      <c r="C26" s="50" t="s">
        <v>53</v>
      </c>
      <c r="D26" s="51" t="s">
        <v>18</v>
      </c>
      <c r="E26" s="33" t="s">
        <v>23</v>
      </c>
      <c r="F26" s="34" t="s">
        <v>35</v>
      </c>
      <c r="G26" s="35" t="s">
        <v>13</v>
      </c>
      <c r="H26" s="27"/>
      <c r="I26" s="28"/>
      <c r="J26" s="29"/>
    </row>
    <row r="27" spans="1:10" ht="3.6" customHeight="1" thickBot="1">
      <c r="A27" s="55"/>
      <c r="B27" s="56"/>
      <c r="C27" s="57"/>
      <c r="D27" s="58"/>
      <c r="E27" s="59"/>
      <c r="F27" s="60"/>
      <c r="G27" s="61"/>
      <c r="H27" s="59"/>
      <c r="I27" s="60"/>
      <c r="J27" s="61"/>
    </row>
    <row r="38" ht="8.4499999999999993" customHeight="1"/>
    <row r="39" ht="14.45" customHeight="1"/>
    <row r="44" ht="8.4499999999999993" customHeight="1"/>
    <row r="50" ht="8.1" customHeight="1"/>
    <row r="62" ht="8.4499999999999993" customHeight="1"/>
    <row r="68" ht="8.4499999999999993" customHeight="1"/>
    <row r="74" ht="8.1" customHeight="1"/>
  </sheetData>
  <mergeCells count="14">
    <mergeCell ref="H9:J11"/>
    <mergeCell ref="A24:A26"/>
    <mergeCell ref="A18:A22"/>
    <mergeCell ref="A1:C1"/>
    <mergeCell ref="D1:J1"/>
    <mergeCell ref="B2:D2"/>
    <mergeCell ref="E2:G2"/>
    <mergeCell ref="H2:J2"/>
    <mergeCell ref="B3:D3"/>
    <mergeCell ref="E3:G3"/>
    <mergeCell ref="H3:J3"/>
    <mergeCell ref="A13:A16"/>
    <mergeCell ref="A9:A11"/>
    <mergeCell ref="E9:G11"/>
  </mergeCells>
  <hyperlinks>
    <hyperlink ref="A1" location="DASHBOARD!A1" display="Back to Dashboard" xr:uid="{00000000-0004-0000-0700-000000000000}"/>
  </hyperlinks>
  <printOptions horizontalCentered="1"/>
  <pageMargins left="0.7" right="0.7" top="0.75" bottom="0.75" header="0.3" footer="0.3"/>
  <pageSetup scale="14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L30"/>
  <sheetViews>
    <sheetView zoomScale="217" zoomScaleNormal="217" workbookViewId="0">
      <selection sqref="A1:D1"/>
    </sheetView>
  </sheetViews>
  <sheetFormatPr defaultRowHeight="15"/>
  <cols>
    <col min="1" max="1" width="9.28515625" customWidth="1"/>
    <col min="2" max="4" width="8.140625" customWidth="1"/>
    <col min="5" max="5" width="9.42578125" bestFit="1" customWidth="1"/>
    <col min="6" max="6" width="10.85546875" customWidth="1"/>
    <col min="7" max="7" width="10.7109375" bestFit="1" customWidth="1"/>
    <col min="8" max="8" width="17.85546875" customWidth="1"/>
    <col min="9" max="9" width="11.5703125" customWidth="1"/>
    <col min="10" max="10" width="8.5703125" customWidth="1"/>
  </cols>
  <sheetData>
    <row r="1" spans="1:12" ht="28.5">
      <c r="A1" s="593" t="s">
        <v>313</v>
      </c>
      <c r="B1" s="594"/>
      <c r="C1" s="594"/>
      <c r="D1" s="594"/>
      <c r="E1" s="705" t="s">
        <v>367</v>
      </c>
      <c r="F1" s="706"/>
      <c r="G1" s="706"/>
      <c r="H1" s="706"/>
      <c r="I1" s="707" t="s">
        <v>1118</v>
      </c>
      <c r="J1" s="707"/>
      <c r="K1" s="707"/>
      <c r="L1" s="707"/>
    </row>
    <row r="2" spans="1:12" s="97" customFormat="1" ht="45">
      <c r="A2" s="232" t="s">
        <v>449</v>
      </c>
      <c r="B2" s="232" t="s">
        <v>368</v>
      </c>
      <c r="C2" s="232" t="s">
        <v>455</v>
      </c>
      <c r="D2" s="232" t="s">
        <v>456</v>
      </c>
      <c r="E2" s="232" t="s">
        <v>369</v>
      </c>
      <c r="F2" s="232" t="s">
        <v>370</v>
      </c>
      <c r="G2" s="232" t="s">
        <v>373</v>
      </c>
      <c r="H2" s="232" t="s">
        <v>374</v>
      </c>
      <c r="I2" s="232" t="s">
        <v>454</v>
      </c>
      <c r="J2" s="232" t="s">
        <v>453</v>
      </c>
      <c r="K2" s="232" t="s">
        <v>371</v>
      </c>
      <c r="L2" s="232" t="s">
        <v>372</v>
      </c>
    </row>
    <row r="3" spans="1:12" ht="45">
      <c r="A3" s="245">
        <v>43927</v>
      </c>
      <c r="B3" s="90"/>
      <c r="C3" s="90">
        <v>100</v>
      </c>
      <c r="D3" s="237">
        <v>60</v>
      </c>
      <c r="E3" s="90" t="s">
        <v>450</v>
      </c>
      <c r="F3" s="90" t="s">
        <v>451</v>
      </c>
      <c r="G3" s="246" t="s">
        <v>452</v>
      </c>
      <c r="H3" s="246" t="s">
        <v>452</v>
      </c>
      <c r="I3" s="237">
        <f>C3*D3</f>
        <v>6000</v>
      </c>
      <c r="J3" s="237">
        <v>0</v>
      </c>
      <c r="K3" s="90" t="s">
        <v>266</v>
      </c>
      <c r="L3" s="90"/>
    </row>
    <row r="4" spans="1:12">
      <c r="A4" s="90"/>
      <c r="B4" s="90"/>
      <c r="C4" s="90"/>
      <c r="D4" s="90"/>
      <c r="E4" s="90"/>
      <c r="F4" s="90"/>
      <c r="G4" s="90"/>
      <c r="H4" s="90"/>
      <c r="I4" s="90"/>
      <c r="J4" s="237">
        <v>0</v>
      </c>
      <c r="K4" s="90"/>
      <c r="L4" s="90"/>
    </row>
    <row r="5" spans="1:12">
      <c r="A5" s="90"/>
      <c r="B5" s="90"/>
      <c r="C5" s="90"/>
      <c r="D5" s="90"/>
      <c r="E5" s="90"/>
      <c r="F5" s="90"/>
      <c r="G5" s="90"/>
      <c r="H5" s="90"/>
      <c r="I5" s="90"/>
      <c r="J5" s="237">
        <v>0</v>
      </c>
      <c r="K5" s="90"/>
      <c r="L5" s="90"/>
    </row>
    <row r="6" spans="1:12">
      <c r="A6" s="90"/>
      <c r="B6" s="90"/>
      <c r="C6" s="90"/>
      <c r="D6" s="90"/>
      <c r="E6" s="90"/>
      <c r="F6" s="90"/>
      <c r="G6" s="90"/>
      <c r="H6" s="90"/>
      <c r="I6" s="90"/>
      <c r="J6" s="237">
        <v>0</v>
      </c>
      <c r="K6" s="90"/>
      <c r="L6" s="90"/>
    </row>
    <row r="7" spans="1:12">
      <c r="A7" s="90"/>
      <c r="B7" s="90"/>
      <c r="C7" s="90"/>
      <c r="D7" s="90"/>
      <c r="E7" s="90"/>
      <c r="F7" s="90"/>
      <c r="G7" s="90"/>
      <c r="H7" s="90"/>
      <c r="I7" s="90"/>
      <c r="J7" s="237">
        <v>0</v>
      </c>
      <c r="K7" s="90"/>
      <c r="L7" s="90"/>
    </row>
    <row r="8" spans="1:12">
      <c r="A8" s="90"/>
      <c r="B8" s="90"/>
      <c r="C8" s="90"/>
      <c r="D8" s="90"/>
      <c r="E8" s="90"/>
      <c r="F8" s="90"/>
      <c r="G8" s="90"/>
      <c r="H8" s="90"/>
      <c r="I8" s="90"/>
      <c r="J8" s="237">
        <v>0</v>
      </c>
      <c r="K8" s="90"/>
      <c r="L8" s="90"/>
    </row>
    <row r="9" spans="1:12">
      <c r="A9" s="90"/>
      <c r="B9" s="90"/>
      <c r="C9" s="90"/>
      <c r="D9" s="90"/>
      <c r="E9" s="90"/>
      <c r="F9" s="90"/>
      <c r="G9" s="90"/>
      <c r="H9" s="90"/>
      <c r="I9" s="90"/>
      <c r="J9" s="237">
        <v>0</v>
      </c>
      <c r="K9" s="90"/>
      <c r="L9" s="90"/>
    </row>
    <row r="10" spans="1:12">
      <c r="A10" s="90"/>
      <c r="B10" s="90"/>
      <c r="C10" s="90"/>
      <c r="D10" s="90"/>
      <c r="E10" s="90"/>
      <c r="F10" s="90"/>
      <c r="G10" s="90"/>
      <c r="H10" s="90"/>
      <c r="I10" s="90"/>
      <c r="J10" s="237">
        <v>0</v>
      </c>
      <c r="K10" s="90"/>
      <c r="L10" s="90"/>
    </row>
    <row r="11" spans="1:12">
      <c r="A11" s="90"/>
      <c r="B11" s="90"/>
      <c r="C11" s="90"/>
      <c r="D11" s="90"/>
      <c r="E11" s="90"/>
      <c r="F11" s="90"/>
      <c r="G11" s="90"/>
      <c r="H11" s="90"/>
      <c r="I11" s="90"/>
      <c r="J11" s="237">
        <v>0</v>
      </c>
      <c r="K11" s="90"/>
      <c r="L11" s="90"/>
    </row>
    <row r="12" spans="1:12">
      <c r="A12" s="90"/>
      <c r="B12" s="90"/>
      <c r="C12" s="90"/>
      <c r="D12" s="90"/>
      <c r="E12" s="90"/>
      <c r="F12" s="90"/>
      <c r="G12" s="90"/>
      <c r="H12" s="90"/>
      <c r="I12" s="90"/>
      <c r="J12" s="237"/>
      <c r="K12" s="90"/>
      <c r="L12" s="90"/>
    </row>
    <row r="13" spans="1:12">
      <c r="A13" s="90"/>
      <c r="B13" s="90"/>
      <c r="C13" s="90"/>
      <c r="D13" s="90"/>
      <c r="E13" s="90"/>
      <c r="F13" s="90"/>
      <c r="G13" s="90"/>
      <c r="H13" s="90"/>
      <c r="I13" s="90"/>
      <c r="J13" s="237"/>
      <c r="K13" s="90"/>
      <c r="L13" s="90"/>
    </row>
    <row r="14" spans="1:12">
      <c r="A14" s="90"/>
      <c r="B14" s="90"/>
      <c r="C14" s="90"/>
      <c r="D14" s="90"/>
      <c r="E14" s="90"/>
      <c r="F14" s="90"/>
      <c r="G14" s="90"/>
      <c r="H14" s="90" t="s">
        <v>56</v>
      </c>
      <c r="I14" s="90"/>
      <c r="J14" s="237">
        <f>SUM(J3:J11)</f>
        <v>0</v>
      </c>
      <c r="K14" s="90"/>
      <c r="L14" s="90"/>
    </row>
    <row r="15" spans="1:12">
      <c r="A15" s="90"/>
      <c r="B15" s="90"/>
      <c r="C15" s="90"/>
      <c r="D15" s="90"/>
      <c r="E15" s="90"/>
      <c r="F15" s="90"/>
      <c r="G15" s="90"/>
      <c r="H15" s="90"/>
      <c r="I15" s="90"/>
      <c r="J15" s="237"/>
      <c r="K15" s="90"/>
      <c r="L15" s="90"/>
    </row>
    <row r="16" spans="1:12">
      <c r="A16" s="90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</row>
    <row r="17" spans="1:12">
      <c r="A17" s="90"/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</row>
    <row r="18" spans="1:12">
      <c r="A18" s="90"/>
      <c r="B18" s="90"/>
      <c r="C18" s="90"/>
      <c r="D18" s="90"/>
      <c r="E18" s="90"/>
      <c r="F18" s="90"/>
      <c r="G18" s="90"/>
      <c r="H18" s="90"/>
      <c r="I18" s="90"/>
      <c r="J18" s="90"/>
      <c r="K18" s="90"/>
      <c r="L18" s="90"/>
    </row>
    <row r="19" spans="1:12">
      <c r="A19" s="90"/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</row>
    <row r="20" spans="1:1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</row>
    <row r="21" spans="1:12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</row>
    <row r="22" spans="1:12">
      <c r="A22" s="90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</row>
    <row r="23" spans="1:12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</row>
    <row r="24" spans="1:12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</row>
    <row r="25" spans="1:12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</row>
    <row r="26" spans="1:12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</row>
    <row r="27" spans="1:12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</row>
    <row r="28" spans="1:12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</row>
    <row r="29" spans="1:12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</row>
    <row r="30" spans="1:1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</row>
  </sheetData>
  <mergeCells count="3">
    <mergeCell ref="A1:D1"/>
    <mergeCell ref="E1:H1"/>
    <mergeCell ref="I1:L1"/>
  </mergeCells>
  <hyperlinks>
    <hyperlink ref="A1" location="DASHBOARD!A1" display="Back to Dashboard" xr:uid="{00000000-0004-0000-0800-000000000000}"/>
    <hyperlink ref="I1" r:id="rId1" xr:uid="{00000000-0004-0000-0800-000001000000}"/>
    <hyperlink ref="I1:L1" r:id="rId2" display="RA FOLDER" xr:uid="{00000000-0004-0000-0800-000002000000}"/>
  </hyperlink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/>
  <dimension ref="A1:L49"/>
  <sheetViews>
    <sheetView zoomScale="55" zoomScaleNormal="55" zoomScaleSheetLayoutView="40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2.140625" style="144" customWidth="1"/>
    <col min="2" max="2" width="14.7109375" style="188" customWidth="1"/>
    <col min="3" max="3" width="41.140625" style="189" customWidth="1"/>
    <col min="4" max="4" width="8.85546875" style="188" customWidth="1"/>
    <col min="5" max="5" width="15.85546875" style="188" customWidth="1"/>
    <col min="6" max="6" width="15.140625" style="188" customWidth="1"/>
    <col min="7" max="9" width="16.5703125" style="188" customWidth="1"/>
    <col min="10" max="11" width="10.140625" style="188" customWidth="1"/>
    <col min="12" max="12" width="88.85546875" style="190" customWidth="1"/>
    <col min="13" max="16384" width="8.7109375" style="178"/>
  </cols>
  <sheetData>
    <row r="1" spans="1:12" s="233" customFormat="1" ht="61.5">
      <c r="A1" s="708" t="s">
        <v>313</v>
      </c>
      <c r="B1" s="709"/>
      <c r="C1" s="710"/>
      <c r="D1" s="713" t="s">
        <v>539</v>
      </c>
      <c r="E1" s="714"/>
      <c r="F1" s="714"/>
      <c r="G1" s="714"/>
      <c r="H1" s="714"/>
      <c r="I1" s="714"/>
      <c r="J1" s="714"/>
      <c r="K1" s="715"/>
      <c r="L1" s="352" t="s">
        <v>315</v>
      </c>
    </row>
    <row r="2" spans="1:12" s="145" customFormat="1" ht="22.5">
      <c r="A2" s="711" t="s">
        <v>1057</v>
      </c>
      <c r="B2" s="711"/>
      <c r="C2" s="711"/>
      <c r="D2" s="711"/>
      <c r="E2" s="711"/>
      <c r="F2" s="711"/>
      <c r="G2" s="711"/>
      <c r="H2" s="711"/>
      <c r="I2" s="711"/>
      <c r="J2" s="711"/>
      <c r="K2" s="711"/>
      <c r="L2" s="711"/>
    </row>
    <row r="3" spans="1:12" s="149" customFormat="1" ht="56.25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244</v>
      </c>
      <c r="H3" s="147" t="s">
        <v>261</v>
      </c>
      <c r="I3" s="147" t="s">
        <v>262</v>
      </c>
      <c r="J3" s="147" t="s">
        <v>263</v>
      </c>
      <c r="K3" s="147" t="s">
        <v>264</v>
      </c>
      <c r="L3" s="148" t="s">
        <v>265</v>
      </c>
    </row>
    <row r="4" spans="1:12" s="149" customFormat="1" ht="90.95" customHeight="1">
      <c r="A4" s="150">
        <v>1</v>
      </c>
      <c r="B4" s="151" t="s">
        <v>266</v>
      </c>
      <c r="C4" s="152" t="s">
        <v>272</v>
      </c>
      <c r="D4" s="153" t="s">
        <v>81</v>
      </c>
      <c r="E4" s="154" t="s">
        <v>268</v>
      </c>
      <c r="F4" s="191">
        <v>0</v>
      </c>
      <c r="G4" s="155">
        <v>43924</v>
      </c>
      <c r="H4" s="155">
        <v>43926</v>
      </c>
      <c r="I4" s="155">
        <v>43927</v>
      </c>
      <c r="J4" s="156">
        <v>1</v>
      </c>
      <c r="K4" s="157">
        <v>1</v>
      </c>
      <c r="L4" s="158" t="s">
        <v>399</v>
      </c>
    </row>
    <row r="5" spans="1:12" s="165" customFormat="1" ht="105.75">
      <c r="A5" s="150">
        <f t="shared" ref="A5" si="0">SUM(A4)+1</f>
        <v>2</v>
      </c>
      <c r="B5" s="151" t="s">
        <v>266</v>
      </c>
      <c r="C5" s="171" t="s">
        <v>1677</v>
      </c>
      <c r="D5" s="154" t="s">
        <v>81</v>
      </c>
      <c r="E5" s="154" t="s">
        <v>268</v>
      </c>
      <c r="F5" s="302">
        <v>2.7</v>
      </c>
      <c r="G5" s="161">
        <v>43927</v>
      </c>
      <c r="H5" s="161">
        <v>43928</v>
      </c>
      <c r="I5" s="161">
        <v>43928</v>
      </c>
      <c r="J5" s="156">
        <v>1</v>
      </c>
      <c r="K5" s="157">
        <v>1</v>
      </c>
      <c r="L5" s="158" t="s">
        <v>399</v>
      </c>
    </row>
    <row r="6" spans="1:12" s="165" customFormat="1" ht="124.5" customHeight="1">
      <c r="A6" s="150">
        <v>3</v>
      </c>
      <c r="B6" s="151" t="s">
        <v>266</v>
      </c>
      <c r="C6" s="166" t="s">
        <v>1226</v>
      </c>
      <c r="D6" s="160" t="s">
        <v>81</v>
      </c>
      <c r="E6" s="160" t="s">
        <v>268</v>
      </c>
      <c r="F6" s="302">
        <v>2000</v>
      </c>
      <c r="G6" s="167">
        <v>43935</v>
      </c>
      <c r="H6" s="167">
        <v>43938</v>
      </c>
      <c r="I6" s="167">
        <v>43938</v>
      </c>
      <c r="J6" s="156">
        <v>1</v>
      </c>
      <c r="K6" s="157">
        <v>1</v>
      </c>
      <c r="L6" s="158" t="s">
        <v>399</v>
      </c>
    </row>
    <row r="7" spans="1:12" s="165" customFormat="1" ht="124.5" customHeight="1">
      <c r="A7" s="150">
        <v>4</v>
      </c>
      <c r="B7" s="151" t="s">
        <v>266</v>
      </c>
      <c r="C7" s="166" t="s">
        <v>1674</v>
      </c>
      <c r="D7" s="160" t="s">
        <v>81</v>
      </c>
      <c r="E7" s="160" t="s">
        <v>268</v>
      </c>
      <c r="F7" s="302">
        <v>2000</v>
      </c>
      <c r="G7" s="167">
        <v>43940</v>
      </c>
      <c r="H7" s="167">
        <v>43943</v>
      </c>
      <c r="I7" s="167">
        <v>43943</v>
      </c>
      <c r="J7" s="156">
        <v>1</v>
      </c>
      <c r="K7" s="157">
        <v>1</v>
      </c>
      <c r="L7" s="158" t="s">
        <v>399</v>
      </c>
    </row>
    <row r="8" spans="1:12" s="165" customFormat="1" ht="81">
      <c r="A8" s="150">
        <v>5</v>
      </c>
      <c r="B8" s="151" t="s">
        <v>266</v>
      </c>
      <c r="C8" s="152" t="s">
        <v>289</v>
      </c>
      <c r="D8" s="160" t="s">
        <v>81</v>
      </c>
      <c r="E8" s="160" t="s">
        <v>268</v>
      </c>
      <c r="F8" s="302">
        <v>0</v>
      </c>
      <c r="G8" s="155">
        <v>43932</v>
      </c>
      <c r="H8" s="161">
        <v>43938</v>
      </c>
      <c r="I8" s="161">
        <v>43938</v>
      </c>
      <c r="J8" s="156">
        <v>1</v>
      </c>
      <c r="K8" s="157">
        <v>1</v>
      </c>
      <c r="L8" s="158" t="s">
        <v>1676</v>
      </c>
    </row>
    <row r="9" spans="1:12" s="165" customFormat="1" ht="60.75">
      <c r="A9" s="150">
        <v>6</v>
      </c>
      <c r="B9" s="151" t="s">
        <v>266</v>
      </c>
      <c r="C9" s="152" t="s">
        <v>271</v>
      </c>
      <c r="D9" s="153" t="s">
        <v>81</v>
      </c>
      <c r="E9" s="154" t="s">
        <v>268</v>
      </c>
      <c r="F9" s="302">
        <v>0</v>
      </c>
      <c r="G9" s="155">
        <v>43866</v>
      </c>
      <c r="H9" s="155">
        <v>43922</v>
      </c>
      <c r="I9" s="155">
        <v>43928</v>
      </c>
      <c r="J9" s="156">
        <v>1</v>
      </c>
      <c r="K9" s="157">
        <v>1</v>
      </c>
      <c r="L9" s="158" t="s">
        <v>399</v>
      </c>
    </row>
    <row r="10" spans="1:12" s="165" customFormat="1" ht="121.5">
      <c r="A10" s="150">
        <v>7</v>
      </c>
      <c r="B10" s="151" t="s">
        <v>266</v>
      </c>
      <c r="C10" s="166" t="s">
        <v>1675</v>
      </c>
      <c r="D10" s="160" t="s">
        <v>81</v>
      </c>
      <c r="E10" s="160" t="s">
        <v>268</v>
      </c>
      <c r="F10" s="191">
        <v>0</v>
      </c>
      <c r="G10" s="167">
        <v>43947</v>
      </c>
      <c r="H10" s="167">
        <v>43950</v>
      </c>
      <c r="I10" s="167">
        <v>43950</v>
      </c>
      <c r="J10" s="156">
        <v>1</v>
      </c>
      <c r="K10" s="157">
        <v>1</v>
      </c>
      <c r="L10" s="172" t="s">
        <v>1759</v>
      </c>
    </row>
    <row r="11" spans="1:12" s="165" customFormat="1" ht="101.25">
      <c r="A11" s="150">
        <v>8</v>
      </c>
      <c r="B11" s="151" t="s">
        <v>266</v>
      </c>
      <c r="C11" s="152" t="s">
        <v>2030</v>
      </c>
      <c r="D11" s="160" t="s">
        <v>81</v>
      </c>
      <c r="E11" s="154" t="s">
        <v>268</v>
      </c>
      <c r="F11" s="191">
        <v>0</v>
      </c>
      <c r="G11" s="155">
        <v>43963</v>
      </c>
      <c r="H11" s="155">
        <v>43963</v>
      </c>
      <c r="I11" s="155">
        <v>43963</v>
      </c>
      <c r="J11" s="156">
        <v>1</v>
      </c>
      <c r="K11" s="157">
        <v>1</v>
      </c>
      <c r="L11" s="158" t="s">
        <v>399</v>
      </c>
    </row>
    <row r="12" spans="1:12" s="169" customFormat="1" ht="121.5">
      <c r="A12" s="150">
        <v>9</v>
      </c>
      <c r="B12" s="151" t="s">
        <v>266</v>
      </c>
      <c r="C12" s="166" t="s">
        <v>1966</v>
      </c>
      <c r="D12" s="160" t="s">
        <v>81</v>
      </c>
      <c r="E12" s="160" t="s">
        <v>268</v>
      </c>
      <c r="F12" s="191">
        <v>0</v>
      </c>
      <c r="G12" s="167">
        <v>43961</v>
      </c>
      <c r="H12" s="167">
        <v>43981</v>
      </c>
      <c r="I12" s="167">
        <v>43963</v>
      </c>
      <c r="J12" s="157">
        <v>1</v>
      </c>
      <c r="K12" s="157">
        <v>1</v>
      </c>
      <c r="L12" s="166" t="s">
        <v>399</v>
      </c>
    </row>
    <row r="13" spans="1:12" s="169" customFormat="1" ht="81">
      <c r="A13" s="150">
        <v>10</v>
      </c>
      <c r="B13" s="151" t="s">
        <v>266</v>
      </c>
      <c r="C13" s="166" t="s">
        <v>1912</v>
      </c>
      <c r="D13" s="160" t="s">
        <v>81</v>
      </c>
      <c r="E13" s="154" t="s">
        <v>268</v>
      </c>
      <c r="F13" s="191">
        <v>0</v>
      </c>
      <c r="G13" s="170">
        <v>43956</v>
      </c>
      <c r="H13" s="170">
        <v>43966</v>
      </c>
      <c r="I13" s="170">
        <v>43976</v>
      </c>
      <c r="J13" s="156">
        <v>1</v>
      </c>
      <c r="K13" s="156">
        <v>1</v>
      </c>
      <c r="L13" s="172" t="s">
        <v>2105</v>
      </c>
    </row>
    <row r="14" spans="1:12" s="169" customFormat="1" ht="81">
      <c r="A14" s="150">
        <v>11</v>
      </c>
      <c r="B14" s="151" t="s">
        <v>266</v>
      </c>
      <c r="C14" s="171" t="s">
        <v>2039</v>
      </c>
      <c r="D14" s="160" t="s">
        <v>81</v>
      </c>
      <c r="E14" s="160" t="s">
        <v>268</v>
      </c>
      <c r="F14" s="191">
        <v>0</v>
      </c>
      <c r="G14" s="161">
        <v>43961</v>
      </c>
      <c r="H14" s="161">
        <v>43966</v>
      </c>
      <c r="I14" s="161">
        <v>43981</v>
      </c>
      <c r="J14" s="156">
        <v>1</v>
      </c>
      <c r="K14" s="157">
        <v>1</v>
      </c>
      <c r="L14" s="166" t="s">
        <v>1676</v>
      </c>
    </row>
    <row r="15" spans="1:12" s="169" customFormat="1" ht="81">
      <c r="A15" s="150">
        <v>12</v>
      </c>
      <c r="B15" s="151" t="s">
        <v>266</v>
      </c>
      <c r="C15" s="171" t="s">
        <v>2093</v>
      </c>
      <c r="D15" s="154" t="s">
        <v>81</v>
      </c>
      <c r="E15" s="160" t="s">
        <v>268</v>
      </c>
      <c r="F15" s="191">
        <v>0</v>
      </c>
      <c r="G15" s="161">
        <v>43964</v>
      </c>
      <c r="H15" s="161">
        <v>43966</v>
      </c>
      <c r="I15" s="161">
        <v>43981</v>
      </c>
      <c r="J15" s="156">
        <v>1</v>
      </c>
      <c r="K15" s="157">
        <v>1</v>
      </c>
      <c r="L15" s="166" t="s">
        <v>2106</v>
      </c>
    </row>
    <row r="16" spans="1:12" s="169" customFormat="1">
      <c r="A16" s="150"/>
      <c r="B16" s="151"/>
      <c r="C16" s="166"/>
      <c r="D16" s="160"/>
      <c r="E16" s="160"/>
      <c r="F16" s="191"/>
      <c r="G16" s="167"/>
      <c r="H16" s="167"/>
      <c r="I16" s="167"/>
      <c r="J16" s="157"/>
      <c r="K16" s="157"/>
      <c r="L16" s="158"/>
    </row>
    <row r="17" spans="1:12" s="169" customFormat="1">
      <c r="A17" s="150"/>
      <c r="B17" s="151"/>
      <c r="C17" s="152"/>
      <c r="D17" s="154"/>
      <c r="E17" s="153"/>
      <c r="F17" s="191"/>
      <c r="G17" s="163"/>
      <c r="H17" s="167"/>
      <c r="I17" s="167"/>
      <c r="J17" s="156"/>
      <c r="K17" s="157"/>
      <c r="L17" s="158"/>
    </row>
    <row r="18" spans="1:12" s="169" customFormat="1">
      <c r="A18" s="150"/>
      <c r="B18" s="151"/>
      <c r="C18" s="172"/>
      <c r="D18" s="154"/>
      <c r="E18" s="160"/>
      <c r="F18" s="191"/>
      <c r="G18" s="161"/>
      <c r="H18" s="170"/>
      <c r="I18" s="170"/>
      <c r="J18" s="156"/>
      <c r="K18" s="156"/>
      <c r="L18" s="158"/>
    </row>
    <row r="19" spans="1:12" s="169" customFormat="1">
      <c r="A19" s="150"/>
      <c r="B19" s="151"/>
      <c r="C19" s="172"/>
      <c r="D19" s="154"/>
      <c r="E19" s="160"/>
      <c r="F19" s="191"/>
      <c r="G19" s="161"/>
      <c r="H19" s="170"/>
      <c r="I19" s="170"/>
      <c r="J19" s="156"/>
      <c r="K19" s="156"/>
      <c r="L19" s="158"/>
    </row>
    <row r="20" spans="1:12" s="169" customFormat="1">
      <c r="A20" s="150"/>
      <c r="B20" s="151"/>
      <c r="C20" s="172"/>
      <c r="D20" s="154"/>
      <c r="E20" s="160"/>
      <c r="F20" s="191"/>
      <c r="G20" s="161"/>
      <c r="H20" s="170"/>
      <c r="I20" s="170"/>
      <c r="J20" s="156"/>
      <c r="K20" s="156"/>
      <c r="L20" s="158"/>
    </row>
    <row r="21" spans="1:12" s="169" customFormat="1">
      <c r="A21" s="150"/>
      <c r="B21" s="151"/>
      <c r="C21" s="171"/>
      <c r="D21" s="160"/>
      <c r="E21" s="160"/>
      <c r="F21" s="191"/>
      <c r="G21" s="161"/>
      <c r="H21" s="161"/>
      <c r="I21" s="161"/>
      <c r="J21" s="156"/>
      <c r="K21" s="157"/>
      <c r="L21" s="166"/>
    </row>
    <row r="22" spans="1:12" s="169" customFormat="1">
      <c r="A22" s="150"/>
      <c r="B22" s="151"/>
      <c r="C22" s="152"/>
      <c r="D22" s="153"/>
      <c r="E22" s="153"/>
      <c r="F22" s="191"/>
      <c r="G22" s="155"/>
      <c r="H22" s="155"/>
      <c r="I22" s="155"/>
      <c r="J22" s="156"/>
      <c r="K22" s="157"/>
      <c r="L22" s="151"/>
    </row>
    <row r="23" spans="1:12" s="169" customFormat="1">
      <c r="A23" s="150"/>
      <c r="B23" s="151"/>
      <c r="C23" s="152"/>
      <c r="D23" s="153"/>
      <c r="E23" s="154"/>
      <c r="F23" s="191"/>
      <c r="G23" s="155"/>
      <c r="H23" s="155"/>
      <c r="I23" s="155"/>
      <c r="J23" s="156"/>
      <c r="K23" s="157"/>
      <c r="L23" s="151"/>
    </row>
    <row r="24" spans="1:12" s="165" customFormat="1">
      <c r="A24" s="150"/>
      <c r="B24" s="151"/>
      <c r="C24" s="152"/>
      <c r="D24" s="153"/>
      <c r="E24" s="153"/>
      <c r="F24" s="191"/>
      <c r="G24" s="155"/>
      <c r="H24" s="155"/>
      <c r="I24" s="155"/>
      <c r="J24" s="156"/>
      <c r="K24" s="157"/>
      <c r="L24" s="151"/>
    </row>
    <row r="25" spans="1:12" s="169" customFormat="1">
      <c r="A25" s="150"/>
      <c r="B25" s="151"/>
      <c r="C25" s="173"/>
      <c r="D25" s="174"/>
      <c r="E25" s="175"/>
      <c r="F25" s="191"/>
      <c r="G25" s="155"/>
      <c r="H25" s="155"/>
      <c r="I25" s="155"/>
      <c r="J25" s="176"/>
      <c r="K25" s="177"/>
      <c r="L25" s="158"/>
    </row>
    <row r="26" spans="1:12" s="169" customFormat="1">
      <c r="A26" s="150"/>
      <c r="B26" s="151"/>
      <c r="C26" s="171"/>
      <c r="D26" s="160"/>
      <c r="E26" s="154"/>
      <c r="F26" s="191"/>
      <c r="G26" s="155"/>
      <c r="H26" s="155"/>
      <c r="I26" s="155"/>
      <c r="J26" s="176"/>
      <c r="K26" s="177"/>
      <c r="L26" s="158"/>
    </row>
    <row r="27" spans="1:12">
      <c r="A27" s="150"/>
      <c r="B27" s="151"/>
      <c r="C27" s="166"/>
      <c r="D27" s="160"/>
      <c r="E27" s="154"/>
      <c r="F27" s="191"/>
      <c r="G27" s="155"/>
      <c r="H27" s="155"/>
      <c r="I27" s="155"/>
      <c r="J27" s="156"/>
      <c r="K27" s="156"/>
      <c r="L27" s="158"/>
    </row>
    <row r="28" spans="1:12">
      <c r="A28" s="150"/>
      <c r="B28" s="151"/>
      <c r="C28" s="152"/>
      <c r="D28" s="153"/>
      <c r="E28" s="154"/>
      <c r="F28" s="191"/>
      <c r="G28" s="155"/>
      <c r="H28" s="155"/>
      <c r="I28" s="155"/>
      <c r="J28" s="156"/>
      <c r="K28" s="157"/>
      <c r="L28" s="158"/>
    </row>
    <row r="29" spans="1:12">
      <c r="A29" s="150"/>
      <c r="B29" s="151"/>
      <c r="C29" s="171"/>
      <c r="D29" s="160"/>
      <c r="E29" s="160"/>
      <c r="F29" s="191"/>
      <c r="G29" s="161"/>
      <c r="H29" s="170"/>
      <c r="I29" s="170"/>
      <c r="J29" s="156"/>
      <c r="K29" s="157"/>
      <c r="L29" s="158"/>
    </row>
    <row r="30" spans="1:12">
      <c r="A30" s="150"/>
      <c r="B30" s="151"/>
      <c r="C30" s="152"/>
      <c r="D30" s="153"/>
      <c r="E30" s="153"/>
      <c r="F30" s="191"/>
      <c r="G30" s="155"/>
      <c r="H30" s="155"/>
      <c r="I30" s="155"/>
      <c r="J30" s="156"/>
      <c r="K30" s="157"/>
      <c r="L30" s="151"/>
    </row>
    <row r="31" spans="1:12">
      <c r="A31" s="150"/>
      <c r="B31" s="151"/>
      <c r="C31" s="152"/>
      <c r="D31" s="153"/>
      <c r="E31" s="154"/>
      <c r="F31" s="191"/>
      <c r="G31" s="155"/>
      <c r="H31" s="155"/>
      <c r="I31" s="155"/>
      <c r="J31" s="156"/>
      <c r="K31" s="157"/>
      <c r="L31" s="151"/>
    </row>
    <row r="32" spans="1:12">
      <c r="A32" s="150"/>
      <c r="B32" s="151"/>
      <c r="C32" s="152"/>
      <c r="D32" s="153"/>
      <c r="E32" s="154"/>
      <c r="F32" s="191"/>
      <c r="G32" s="155"/>
      <c r="H32" s="155"/>
      <c r="I32" s="155"/>
      <c r="J32" s="156"/>
      <c r="K32" s="156"/>
      <c r="L32" s="158"/>
    </row>
    <row r="33" spans="1:12">
      <c r="A33" s="150"/>
      <c r="B33" s="151"/>
      <c r="C33" s="152"/>
      <c r="D33" s="153"/>
      <c r="E33" s="154"/>
      <c r="F33" s="191"/>
      <c r="G33" s="155"/>
      <c r="H33" s="155"/>
      <c r="I33" s="155"/>
      <c r="J33" s="156"/>
      <c r="K33" s="156"/>
      <c r="L33" s="158"/>
    </row>
    <row r="34" spans="1:12">
      <c r="A34" s="150"/>
      <c r="B34" s="151"/>
      <c r="C34" s="152"/>
      <c r="D34" s="153"/>
      <c r="E34" s="154"/>
      <c r="F34" s="191"/>
      <c r="G34" s="155"/>
      <c r="H34" s="155"/>
      <c r="I34" s="155"/>
      <c r="J34" s="156"/>
      <c r="K34" s="156"/>
      <c r="L34" s="158"/>
    </row>
    <row r="35" spans="1:12">
      <c r="A35" s="150"/>
      <c r="B35" s="151"/>
      <c r="C35" s="179"/>
      <c r="D35" s="153"/>
      <c r="E35" s="153"/>
      <c r="F35" s="191"/>
      <c r="G35" s="155"/>
      <c r="H35" s="161"/>
      <c r="I35" s="161"/>
      <c r="J35" s="156"/>
      <c r="K35" s="156"/>
      <c r="L35" s="158"/>
    </row>
    <row r="36" spans="1:12">
      <c r="A36" s="150"/>
      <c r="B36" s="151"/>
      <c r="C36" s="179"/>
      <c r="D36" s="153"/>
      <c r="E36" s="154"/>
      <c r="F36" s="191"/>
      <c r="G36" s="155"/>
      <c r="H36" s="155"/>
      <c r="I36" s="155"/>
      <c r="J36" s="156"/>
      <c r="K36" s="156"/>
      <c r="L36" s="158"/>
    </row>
    <row r="37" spans="1:12">
      <c r="A37" s="150"/>
      <c r="B37" s="151"/>
      <c r="C37" s="152"/>
      <c r="D37" s="153"/>
      <c r="E37" s="154"/>
      <c r="F37" s="191"/>
      <c r="G37" s="155"/>
      <c r="H37" s="155"/>
      <c r="I37" s="155"/>
      <c r="J37" s="156"/>
      <c r="K37" s="156"/>
      <c r="L37" s="158"/>
    </row>
    <row r="38" spans="1:12">
      <c r="A38" s="150"/>
      <c r="B38" s="151"/>
      <c r="C38" s="179"/>
      <c r="D38" s="153"/>
      <c r="E38" s="154"/>
      <c r="F38" s="191"/>
      <c r="G38" s="155"/>
      <c r="H38" s="155"/>
      <c r="I38" s="155"/>
      <c r="J38" s="156"/>
      <c r="K38" s="156"/>
      <c r="L38" s="158"/>
    </row>
    <row r="39" spans="1:12">
      <c r="A39" s="150"/>
      <c r="B39" s="151"/>
      <c r="C39" s="152"/>
      <c r="D39" s="153"/>
      <c r="E39" s="154"/>
      <c r="F39" s="191"/>
      <c r="G39" s="155"/>
      <c r="H39" s="155"/>
      <c r="I39" s="155"/>
      <c r="J39" s="156"/>
      <c r="K39" s="156"/>
      <c r="L39" s="158"/>
    </row>
    <row r="40" spans="1:12">
      <c r="A40" s="150"/>
      <c r="B40" s="151"/>
      <c r="C40" s="152"/>
      <c r="D40" s="153"/>
      <c r="E40" s="153"/>
      <c r="F40" s="191"/>
      <c r="G40" s="155"/>
      <c r="H40" s="161"/>
      <c r="I40" s="161"/>
      <c r="J40" s="156"/>
      <c r="K40" s="156"/>
      <c r="L40" s="158"/>
    </row>
    <row r="41" spans="1:12">
      <c r="A41" s="150"/>
      <c r="B41" s="159"/>
      <c r="C41" s="152"/>
      <c r="D41" s="153"/>
      <c r="E41" s="154"/>
      <c r="F41" s="191"/>
      <c r="G41" s="155"/>
      <c r="H41" s="155"/>
      <c r="I41" s="155"/>
      <c r="J41" s="156"/>
      <c r="K41" s="156"/>
      <c r="L41" s="158"/>
    </row>
    <row r="42" spans="1:12">
      <c r="A42" s="150"/>
      <c r="B42" s="159"/>
      <c r="C42" s="172"/>
      <c r="D42" s="153"/>
      <c r="E42" s="153"/>
      <c r="F42" s="191"/>
      <c r="G42" s="155"/>
      <c r="H42" s="161"/>
      <c r="I42" s="161"/>
      <c r="J42" s="156"/>
      <c r="K42" s="156"/>
      <c r="L42" s="158"/>
    </row>
    <row r="43" spans="1:12">
      <c r="A43" s="150"/>
      <c r="B43" s="159"/>
      <c r="C43" s="152"/>
      <c r="D43" s="162"/>
      <c r="E43" s="154"/>
      <c r="F43" s="191"/>
      <c r="G43" s="161"/>
      <c r="H43" s="170"/>
      <c r="I43" s="170"/>
      <c r="J43" s="156"/>
      <c r="K43" s="157"/>
      <c r="L43" s="158"/>
    </row>
    <row r="44" spans="1:12">
      <c r="A44" s="150"/>
      <c r="B44" s="181"/>
      <c r="C44" s="152"/>
      <c r="D44" s="160"/>
      <c r="E44" s="154"/>
      <c r="F44" s="191"/>
      <c r="G44" s="182"/>
      <c r="H44" s="183"/>
      <c r="I44" s="183"/>
      <c r="J44" s="176"/>
      <c r="K44" s="177"/>
      <c r="L44" s="184"/>
    </row>
    <row r="45" spans="1:12">
      <c r="A45" s="150"/>
      <c r="B45" s="151"/>
      <c r="C45" s="152"/>
      <c r="D45" s="160"/>
      <c r="E45" s="154"/>
      <c r="F45" s="191"/>
      <c r="G45" s="163"/>
      <c r="H45" s="161"/>
      <c r="I45" s="170"/>
      <c r="J45" s="156"/>
      <c r="K45" s="157"/>
      <c r="L45" s="158"/>
    </row>
    <row r="46" spans="1:12" s="186" customFormat="1">
      <c r="A46" s="150"/>
      <c r="B46" s="180"/>
      <c r="C46" s="152"/>
      <c r="D46" s="153"/>
      <c r="E46" s="154"/>
      <c r="F46" s="191"/>
      <c r="G46" s="185"/>
      <c r="H46" s="185"/>
      <c r="I46" s="185"/>
      <c r="J46" s="176"/>
      <c r="K46" s="176"/>
      <c r="L46" s="184"/>
    </row>
    <row r="47" spans="1:12">
      <c r="A47" s="150"/>
      <c r="B47" s="180"/>
      <c r="C47" s="152"/>
      <c r="D47" s="153"/>
      <c r="E47" s="154"/>
      <c r="F47" s="191"/>
      <c r="G47" s="185"/>
      <c r="H47" s="185"/>
      <c r="I47" s="185"/>
      <c r="J47" s="176"/>
      <c r="K47" s="176"/>
      <c r="L47" s="184"/>
    </row>
    <row r="48" spans="1:12">
      <c r="A48" s="150"/>
      <c r="B48" s="187"/>
      <c r="C48" s="152"/>
      <c r="D48" s="153"/>
      <c r="E48" s="154"/>
      <c r="F48" s="191"/>
      <c r="G48" s="155"/>
      <c r="H48" s="155"/>
      <c r="I48" s="155"/>
      <c r="J48" s="156">
        <v>1</v>
      </c>
      <c r="K48" s="156">
        <v>1</v>
      </c>
      <c r="L48" s="158"/>
    </row>
    <row r="49" spans="1:6" ht="31.5">
      <c r="A49" s="712" t="s">
        <v>222</v>
      </c>
      <c r="B49" s="712"/>
      <c r="C49" s="712"/>
      <c r="D49" s="193">
        <f>COUNT(Table13[Priority])</f>
        <v>12</v>
      </c>
      <c r="E49" s="192"/>
      <c r="F49" s="192"/>
    </row>
  </sheetData>
  <mergeCells count="4">
    <mergeCell ref="A1:C1"/>
    <mergeCell ref="A2:L2"/>
    <mergeCell ref="A49:C49"/>
    <mergeCell ref="D1:K1"/>
  </mergeCells>
  <conditionalFormatting sqref="J16:J48 J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{BDAD5409-0347-4CE7-82B4-8760AA15CC87}</x14:id>
        </ext>
      </extLst>
    </cfRule>
  </conditionalFormatting>
  <conditionalFormatting sqref="K16:K48 K4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{AA4304B1-A048-4FA1-8A31-9436CA5A2C28}</x14:id>
        </ext>
      </extLst>
    </cfRule>
  </conditionalFormatting>
  <conditionalFormatting sqref="J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{1FF70D76-1CE0-42F6-AFA4-B6CC9E228DE1}</x14:id>
        </ext>
      </extLst>
    </cfRule>
  </conditionalFormatting>
  <conditionalFormatting sqref="K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{E5018679-70C2-464A-98BB-7B46D4C07DD3}</x14:id>
        </ext>
      </extLst>
    </cfRule>
  </conditionalFormatting>
  <conditionalFormatting sqref="J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{8328A97B-0484-430E-B450-7E065B2E2D6D}</x14:id>
        </ext>
      </extLst>
    </cfRule>
  </conditionalFormatting>
  <conditionalFormatting sqref="K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{4A7DA7FC-AF9C-4FE0-A625-7D688A49E157}</x14:id>
        </ext>
      </extLst>
    </cfRule>
  </conditionalFormatting>
  <conditionalFormatting sqref="J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{20BEDBAF-1653-4170-A6D2-E51F40CF8A95}</x14:id>
        </ext>
      </extLst>
    </cfRule>
  </conditionalFormatting>
  <conditionalFormatting sqref="K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{62E8788F-A6EB-4AE6-8B15-7510A0D4BA20}</x14:id>
        </ext>
      </extLst>
    </cfRule>
  </conditionalFormatting>
  <conditionalFormatting sqref="J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{21B8B432-2C9F-4647-92DA-215287C6E2DB}</x14:id>
        </ext>
      </extLst>
    </cfRule>
  </conditionalFormatting>
  <conditionalFormatting sqref="K8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{42E96E16-A26D-4080-9BF1-E88AC2888F0D}</x14:id>
        </ext>
      </extLst>
    </cfRule>
  </conditionalFormatting>
  <conditionalFormatting sqref="J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{3DF1C793-D3EB-4899-8FD7-53E36747402B}</x14:id>
        </ext>
      </extLst>
    </cfRule>
  </conditionalFormatting>
  <conditionalFormatting sqref="K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{04246129-0D8C-4D4A-82B6-AF36B4F35078}</x14:id>
        </ext>
      </extLst>
    </cfRule>
  </conditionalFormatting>
  <conditionalFormatting sqref="J1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{8CF18D3D-9A99-43B2-A101-6784962FF283}</x14:id>
        </ext>
      </extLst>
    </cfRule>
  </conditionalFormatting>
  <conditionalFormatting sqref="K1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{9A257944-A978-4CFB-8D76-6548F38039EB}</x14:id>
        </ext>
      </extLst>
    </cfRule>
  </conditionalFormatting>
  <conditionalFormatting sqref="J1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{9C008447-8180-4D13-923F-E0F17866E6A0}</x14:id>
        </ext>
      </extLst>
    </cfRule>
  </conditionalFormatting>
  <conditionalFormatting sqref="K11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{191DDF06-6EC5-4895-A9AE-55F957364064}</x14:id>
        </ext>
      </extLst>
    </cfRule>
  </conditionalFormatting>
  <conditionalFormatting sqref="J1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{98B9AEA9-2325-4AED-AC6D-78DFC1A01A04}</x14:id>
        </ext>
      </extLst>
    </cfRule>
  </conditionalFormatting>
  <conditionalFormatting sqref="K12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{14924891-F3E8-4114-8BCF-B04300AFB90E}</x14:id>
        </ext>
      </extLst>
    </cfRule>
  </conditionalFormatting>
  <conditionalFormatting sqref="J13:J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{519F5841-DC90-409F-9DCD-53436618F3F7}</x14:id>
        </ext>
      </extLst>
    </cfRule>
  </conditionalFormatting>
  <conditionalFormatting sqref="K13:K1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{A316FF68-4F7F-47CF-99DA-474294ACF3E5}</x14:id>
        </ext>
      </extLst>
    </cfRule>
  </conditionalFormatting>
  <conditionalFormatting sqref="J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{7613C755-2816-4A83-BD14-F6A4E08BC7B4}</x14:id>
        </ext>
      </extLst>
    </cfRule>
  </conditionalFormatting>
  <conditionalFormatting sqref="K15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{48590134-BED9-4C93-ADBD-496C428EDDFD}</x14:id>
        </ext>
      </extLst>
    </cfRule>
  </conditionalFormatting>
  <hyperlinks>
    <hyperlink ref="A1" location="DASHBOARD!A1" display="Back to Dashboard" xr:uid="{00000000-0004-0000-0900-000000000000}"/>
    <hyperlink ref="L1" location="DASHBOARD!A1" display="Back to Dashboard" xr:uid="{00000000-0004-0000-0900-000001000000}"/>
    <hyperlink ref="L1:M1" location="Construction_Projects!A1" display="Construction Projects" xr:uid="{00000000-0004-0000-0900-000002000000}"/>
  </hyperlinks>
  <printOptions horizontalCentered="1"/>
  <pageMargins left="0.25" right="0.25" top="0.75" bottom="0.75" header="0.3" footer="0.3"/>
  <pageSetup scale="48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AD5409-0347-4CE7-82B4-8760AA15CC8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J16:J48 J4</xm:sqref>
        </x14:conditionalFormatting>
        <x14:conditionalFormatting xmlns:xm="http://schemas.microsoft.com/office/excel/2006/main">
          <x14:cfRule type="dataBar" id="{AA4304B1-A048-4FA1-8A31-9436CA5A2C2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K16:K48 K4</xm:sqref>
        </x14:conditionalFormatting>
        <x14:conditionalFormatting xmlns:xm="http://schemas.microsoft.com/office/excel/2006/main">
          <x14:cfRule type="dataBar" id="{1FF70D76-1CE0-42F6-AFA4-B6CC9E228DE1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5018679-70C2-464A-98BB-7B46D4C07DD3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8328A97B-0484-430E-B450-7E065B2E2D6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A7DA7FC-AF9C-4FE0-A625-7D688A49E15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20BEDBAF-1653-4170-A6D2-E51F40CF8A9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62E8788F-A6EB-4AE6-8B15-7510A0D4BA20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21B8B432-2C9F-4647-92DA-215287C6E2D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2E96E16-A26D-4080-9BF1-E88AC2888F0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DF1C793-D3EB-4899-8FD7-53E36747402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4246129-0D8C-4D4A-82B6-AF36B4F3507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8CF18D3D-9A99-43B2-A101-6784962FF283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257944-A978-4CFB-8D76-6548F38039E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C008447-8180-4D13-923F-E0F17866E6A0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191DDF06-6EC5-4895-A9AE-55F95736406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8B9AEA9-2325-4AED-AC6D-78DFC1A01A0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14924891-F3E8-4114-8BCF-B04300AFB90E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519F5841-DC90-409F-9DCD-53436618F3F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J13:J14</xm:sqref>
        </x14:conditionalFormatting>
        <x14:conditionalFormatting xmlns:xm="http://schemas.microsoft.com/office/excel/2006/main">
          <x14:cfRule type="dataBar" id="{A316FF68-4F7F-47CF-99DA-474294ACF3E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7613C755-2816-4A83-BD14-F6A4E08BC7B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48590134-BED9-4C93-ADBD-496C428EDDF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L12"/>
  <sheetViews>
    <sheetView zoomScale="95" zoomScaleNormal="95" zoomScaleSheetLayoutView="40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2.140625" style="144" customWidth="1"/>
    <col min="2" max="2" width="14.7109375" style="188" customWidth="1"/>
    <col min="3" max="3" width="41.140625" style="189" customWidth="1"/>
    <col min="4" max="4" width="8.85546875" style="188" customWidth="1"/>
    <col min="5" max="5" width="13.140625" style="188" customWidth="1"/>
    <col min="6" max="6" width="14.140625" style="188" customWidth="1"/>
    <col min="7" max="9" width="16.5703125" style="188" customWidth="1"/>
    <col min="10" max="11" width="10.140625" style="188" customWidth="1"/>
    <col min="12" max="12" width="88.85546875" style="190" customWidth="1"/>
    <col min="13" max="16384" width="8.7109375" style="178"/>
  </cols>
  <sheetData>
    <row r="1" spans="1:12" s="233" customFormat="1" ht="61.5">
      <c r="A1" s="708" t="s">
        <v>313</v>
      </c>
      <c r="B1" s="709"/>
      <c r="C1" s="710"/>
      <c r="D1" s="716" t="s">
        <v>315</v>
      </c>
      <c r="E1" s="717"/>
      <c r="F1" s="717"/>
      <c r="G1" s="717"/>
      <c r="H1" s="717"/>
      <c r="I1" s="717"/>
      <c r="J1" s="717"/>
      <c r="K1" s="718"/>
      <c r="L1" s="352" t="s">
        <v>539</v>
      </c>
    </row>
    <row r="2" spans="1:12" s="145" customFormat="1" ht="22.5">
      <c r="A2" s="711" t="s">
        <v>275</v>
      </c>
      <c r="B2" s="711"/>
      <c r="C2" s="711"/>
      <c r="D2" s="711"/>
      <c r="E2" s="711"/>
      <c r="F2" s="711"/>
      <c r="G2" s="711"/>
      <c r="H2" s="711"/>
      <c r="I2" s="711"/>
      <c r="J2" s="711"/>
      <c r="K2" s="711"/>
      <c r="L2" s="711"/>
    </row>
    <row r="3" spans="1:12" s="149" customFormat="1" ht="56.25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244</v>
      </c>
      <c r="H3" s="147" t="s">
        <v>261</v>
      </c>
      <c r="I3" s="147" t="s">
        <v>262</v>
      </c>
      <c r="J3" s="147" t="s">
        <v>263</v>
      </c>
      <c r="K3" s="147" t="s">
        <v>264</v>
      </c>
      <c r="L3" s="148" t="s">
        <v>265</v>
      </c>
    </row>
    <row r="4" spans="1:12" s="149" customFormat="1" ht="163.5" customHeight="1">
      <c r="A4" s="150">
        <v>1</v>
      </c>
      <c r="B4" s="151" t="s">
        <v>266</v>
      </c>
      <c r="C4" s="152" t="s">
        <v>288</v>
      </c>
      <c r="D4" s="153" t="s">
        <v>81</v>
      </c>
      <c r="E4" s="154" t="s">
        <v>268</v>
      </c>
      <c r="F4" s="302">
        <v>444.4</v>
      </c>
      <c r="G4" s="155">
        <v>43903</v>
      </c>
      <c r="H4" s="155">
        <v>43943</v>
      </c>
      <c r="I4" s="155">
        <v>44075</v>
      </c>
      <c r="J4" s="156">
        <v>0.1</v>
      </c>
      <c r="K4" s="157">
        <v>0.1</v>
      </c>
      <c r="L4" s="158" t="s">
        <v>1913</v>
      </c>
    </row>
    <row r="5" spans="1:12" s="165" customFormat="1" ht="81">
      <c r="A5" s="150">
        <v>2</v>
      </c>
      <c r="B5" s="151" t="s">
        <v>266</v>
      </c>
      <c r="C5" s="152" t="s">
        <v>1760</v>
      </c>
      <c r="D5" s="162" t="s">
        <v>81</v>
      </c>
      <c r="E5" s="163" t="s">
        <v>268</v>
      </c>
      <c r="F5" s="191">
        <v>0</v>
      </c>
      <c r="G5" s="164">
        <v>43950</v>
      </c>
      <c r="H5" s="164">
        <v>43966</v>
      </c>
      <c r="I5" s="164">
        <v>44075</v>
      </c>
      <c r="J5" s="156">
        <v>0.75</v>
      </c>
      <c r="K5" s="157">
        <v>0.75</v>
      </c>
      <c r="L5" s="158" t="s">
        <v>2108</v>
      </c>
    </row>
    <row r="6" spans="1:12" s="165" customFormat="1" ht="101.25">
      <c r="A6" s="150">
        <v>3</v>
      </c>
      <c r="B6" s="151" t="s">
        <v>266</v>
      </c>
      <c r="C6" s="172" t="s">
        <v>1229</v>
      </c>
      <c r="D6" s="154" t="s">
        <v>81</v>
      </c>
      <c r="E6" s="160" t="s">
        <v>268</v>
      </c>
      <c r="F6" s="191">
        <v>0</v>
      </c>
      <c r="G6" s="161">
        <v>43961</v>
      </c>
      <c r="H6" s="161">
        <v>43997</v>
      </c>
      <c r="I6" s="161">
        <v>43997</v>
      </c>
      <c r="J6" s="156">
        <v>0.05</v>
      </c>
      <c r="K6" s="157">
        <v>0.05</v>
      </c>
      <c r="L6" s="166" t="s">
        <v>2109</v>
      </c>
    </row>
    <row r="7" spans="1:12" s="165" customFormat="1" ht="81">
      <c r="A7" s="150">
        <v>4</v>
      </c>
      <c r="B7" s="151" t="s">
        <v>266</v>
      </c>
      <c r="C7" s="171" t="s">
        <v>2104</v>
      </c>
      <c r="D7" s="154" t="s">
        <v>81</v>
      </c>
      <c r="E7" s="160" t="s">
        <v>268</v>
      </c>
      <c r="F7" s="191">
        <v>0</v>
      </c>
      <c r="G7" s="161">
        <v>43964</v>
      </c>
      <c r="H7" s="161">
        <v>43981</v>
      </c>
      <c r="I7" s="161">
        <v>43981</v>
      </c>
      <c r="J7" s="156">
        <v>0.05</v>
      </c>
      <c r="K7" s="157">
        <v>0.05</v>
      </c>
      <c r="L7" s="166" t="s">
        <v>2107</v>
      </c>
    </row>
    <row r="8" spans="1:12" s="169" customFormat="1">
      <c r="A8" s="150"/>
      <c r="B8" s="151"/>
      <c r="C8" s="152"/>
      <c r="D8" s="153"/>
      <c r="E8" s="160"/>
      <c r="F8" s="191"/>
      <c r="G8" s="163"/>
      <c r="H8" s="163"/>
      <c r="I8" s="163"/>
      <c r="J8" s="156"/>
      <c r="K8" s="157"/>
      <c r="L8" s="158"/>
    </row>
    <row r="9" spans="1:12">
      <c r="A9" s="150"/>
      <c r="B9" s="180"/>
      <c r="C9" s="152"/>
      <c r="D9" s="153"/>
      <c r="E9" s="154"/>
      <c r="F9" s="191"/>
      <c r="G9" s="185"/>
      <c r="H9" s="185"/>
      <c r="I9" s="185"/>
      <c r="J9" s="176"/>
      <c r="K9" s="176"/>
      <c r="L9" s="184"/>
    </row>
    <row r="10" spans="1:12" s="186" customFormat="1">
      <c r="A10" s="150"/>
      <c r="B10" s="180"/>
      <c r="C10" s="152"/>
      <c r="D10" s="153"/>
      <c r="E10" s="154"/>
      <c r="F10" s="191"/>
      <c r="G10" s="185"/>
      <c r="H10" s="185"/>
      <c r="I10" s="185"/>
      <c r="J10" s="176"/>
      <c r="K10" s="176"/>
      <c r="L10" s="184"/>
    </row>
    <row r="11" spans="1:12">
      <c r="A11" s="150"/>
      <c r="B11" s="187"/>
      <c r="C11" s="152"/>
      <c r="D11" s="153"/>
      <c r="E11" s="154"/>
      <c r="F11" s="191"/>
      <c r="G11" s="155"/>
      <c r="H11" s="155"/>
      <c r="I11" s="155"/>
      <c r="J11" s="156">
        <v>1</v>
      </c>
      <c r="K11" s="156">
        <v>1</v>
      </c>
      <c r="L11" s="158"/>
    </row>
    <row r="12" spans="1:12" ht="31.5">
      <c r="A12" s="712" t="s">
        <v>222</v>
      </c>
      <c r="B12" s="712"/>
      <c r="C12" s="712"/>
      <c r="D12" s="193">
        <f>COUNT(Table1[Priority])</f>
        <v>4</v>
      </c>
      <c r="E12" s="192"/>
      <c r="F12" s="192"/>
    </row>
  </sheetData>
  <mergeCells count="4">
    <mergeCell ref="A12:C12"/>
    <mergeCell ref="A1:C1"/>
    <mergeCell ref="A2:L2"/>
    <mergeCell ref="D1:K1"/>
  </mergeCells>
  <conditionalFormatting sqref="J4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{A6BCF461-189C-4C59-BB9C-0D603F4ACB6D}</x14:id>
        </ext>
      </extLst>
    </cfRule>
  </conditionalFormatting>
  <conditionalFormatting sqref="K4:K11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{34D34512-7B43-46BD-B82E-7ADCA778F56C}</x14:id>
        </ext>
      </extLst>
    </cfRule>
  </conditionalFormatting>
  <hyperlinks>
    <hyperlink ref="A1" location="DASHBOARD!A1" display="Back to Dashboard" xr:uid="{00000000-0004-0000-0A00-000000000000}"/>
    <hyperlink ref="L1" location="Completed_Projects!A1" display="Completed Projects" xr:uid="{00000000-0004-0000-0A00-000001000000}"/>
  </hyperlinks>
  <printOptions horizontalCentered="1"/>
  <pageMargins left="0.25" right="0.25" top="0.75" bottom="0.75" header="0.3" footer="0.3"/>
  <pageSetup scale="48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BCF461-189C-4C59-BB9C-0D603F4ACB6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34D34512-7B43-46BD-B82E-7ADCA778F56C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K4:K11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K30"/>
  <sheetViews>
    <sheetView zoomScale="103" zoomScaleNormal="103" zoomScaleSheetLayoutView="55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1.140625" style="144" customWidth="1"/>
    <col min="2" max="2" width="16" style="188" customWidth="1"/>
    <col min="3" max="3" width="54" style="189" customWidth="1"/>
    <col min="4" max="4" width="8.85546875" style="188" customWidth="1"/>
    <col min="5" max="5" width="14.5703125" style="188" bestFit="1" customWidth="1"/>
    <col min="6" max="6" width="13.5703125" style="188" customWidth="1"/>
    <col min="7" max="7" width="12.85546875" style="188" customWidth="1"/>
    <col min="8" max="9" width="15.42578125" style="188" customWidth="1"/>
    <col min="10" max="10" width="14.5703125" style="188" customWidth="1"/>
    <col min="11" max="11" width="81.7109375" style="190" customWidth="1"/>
    <col min="12" max="16384" width="8.7109375" style="178"/>
  </cols>
  <sheetData>
    <row r="1" spans="1:11" s="233" customFormat="1" ht="61.5">
      <c r="A1" s="719" t="s">
        <v>313</v>
      </c>
      <c r="B1" s="720"/>
      <c r="C1" s="721"/>
      <c r="D1" s="722" t="s">
        <v>316</v>
      </c>
      <c r="E1" s="722"/>
      <c r="F1" s="722"/>
      <c r="G1" s="722"/>
      <c r="H1" s="722"/>
      <c r="I1" s="722"/>
      <c r="J1" s="722"/>
      <c r="K1" s="722"/>
    </row>
    <row r="2" spans="1:11" s="145" customFormat="1" ht="22.5">
      <c r="A2" s="723" t="s">
        <v>274</v>
      </c>
      <c r="B2" s="723"/>
      <c r="C2" s="723"/>
      <c r="D2" s="723"/>
      <c r="E2" s="723"/>
      <c r="F2" s="723"/>
      <c r="G2" s="723"/>
      <c r="H2" s="723"/>
      <c r="I2" s="723"/>
      <c r="J2" s="723"/>
      <c r="K2" s="723"/>
    </row>
    <row r="3" spans="1:11" s="149" customFormat="1" ht="68.25" customHeight="1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283</v>
      </c>
      <c r="H3" s="147" t="s">
        <v>284</v>
      </c>
      <c r="I3" s="147" t="s">
        <v>285</v>
      </c>
      <c r="J3" s="147" t="s">
        <v>286</v>
      </c>
      <c r="K3" s="148" t="s">
        <v>265</v>
      </c>
    </row>
    <row r="4" spans="1:11" s="169" customFormat="1" ht="121.5">
      <c r="A4" s="150">
        <v>1</v>
      </c>
      <c r="B4" s="151" t="s">
        <v>266</v>
      </c>
      <c r="C4" s="152" t="s">
        <v>296</v>
      </c>
      <c r="D4" s="154" t="s">
        <v>81</v>
      </c>
      <c r="E4" s="154" t="s">
        <v>268</v>
      </c>
      <c r="F4" s="191">
        <v>444</v>
      </c>
      <c r="G4" s="194">
        <v>45</v>
      </c>
      <c r="H4" s="170" t="s">
        <v>1</v>
      </c>
      <c r="I4" s="170" t="s">
        <v>1</v>
      </c>
      <c r="J4" s="156">
        <v>1</v>
      </c>
      <c r="K4" s="158" t="s">
        <v>1763</v>
      </c>
    </row>
    <row r="5" spans="1:11" s="165" customFormat="1" ht="81">
      <c r="A5" s="150">
        <v>2</v>
      </c>
      <c r="B5" s="151" t="s">
        <v>266</v>
      </c>
      <c r="C5" s="166" t="s">
        <v>295</v>
      </c>
      <c r="D5" s="154" t="s">
        <v>81</v>
      </c>
      <c r="E5" s="154" t="s">
        <v>268</v>
      </c>
      <c r="F5" s="191">
        <v>0</v>
      </c>
      <c r="G5" s="194">
        <v>10</v>
      </c>
      <c r="H5" s="170" t="s">
        <v>1</v>
      </c>
      <c r="I5" s="170" t="s">
        <v>1</v>
      </c>
      <c r="J5" s="168">
        <v>0</v>
      </c>
      <c r="K5" s="158" t="s">
        <v>277</v>
      </c>
    </row>
    <row r="6" spans="1:11" s="169" customFormat="1" ht="60.75">
      <c r="A6" s="150">
        <v>3</v>
      </c>
      <c r="B6" s="151" t="s">
        <v>266</v>
      </c>
      <c r="C6" s="152" t="s">
        <v>1061</v>
      </c>
      <c r="D6" s="154" t="s">
        <v>81</v>
      </c>
      <c r="E6" s="154" t="s">
        <v>268</v>
      </c>
      <c r="F6" s="191">
        <v>0</v>
      </c>
      <c r="G6" s="194">
        <v>45</v>
      </c>
      <c r="H6" s="170" t="s">
        <v>1</v>
      </c>
      <c r="I6" s="170" t="s">
        <v>1</v>
      </c>
      <c r="J6" s="156">
        <v>0</v>
      </c>
      <c r="K6" s="158" t="s">
        <v>1060</v>
      </c>
    </row>
    <row r="7" spans="1:11" s="169" customFormat="1" ht="121.5">
      <c r="A7" s="150">
        <v>4</v>
      </c>
      <c r="B7" s="151" t="s">
        <v>266</v>
      </c>
      <c r="C7" s="152" t="s">
        <v>297</v>
      </c>
      <c r="D7" s="154" t="s">
        <v>81</v>
      </c>
      <c r="E7" s="154" t="s">
        <v>268</v>
      </c>
      <c r="F7" s="191">
        <v>444</v>
      </c>
      <c r="G7" s="194">
        <v>45</v>
      </c>
      <c r="H7" s="170" t="s">
        <v>1</v>
      </c>
      <c r="I7" s="170" t="s">
        <v>1</v>
      </c>
      <c r="J7" s="156">
        <v>0</v>
      </c>
      <c r="K7" s="158" t="s">
        <v>277</v>
      </c>
    </row>
    <row r="8" spans="1:11" s="169" customFormat="1" ht="101.25">
      <c r="A8" s="150">
        <v>5</v>
      </c>
      <c r="B8" s="151" t="s">
        <v>266</v>
      </c>
      <c r="C8" s="152" t="s">
        <v>270</v>
      </c>
      <c r="D8" s="153" t="s">
        <v>81</v>
      </c>
      <c r="E8" s="160" t="s">
        <v>268</v>
      </c>
      <c r="F8" s="302">
        <v>0</v>
      </c>
      <c r="G8" s="194">
        <v>10</v>
      </c>
      <c r="H8" s="155" t="s">
        <v>1</v>
      </c>
      <c r="I8" s="155" t="s">
        <v>1</v>
      </c>
      <c r="J8" s="156">
        <v>0</v>
      </c>
      <c r="K8" s="158" t="s">
        <v>1227</v>
      </c>
    </row>
    <row r="9" spans="1:11" s="165" customFormat="1" ht="101.25">
      <c r="A9" s="150">
        <v>6</v>
      </c>
      <c r="B9" s="151" t="s">
        <v>266</v>
      </c>
      <c r="C9" s="172" t="s">
        <v>292</v>
      </c>
      <c r="D9" s="154" t="s">
        <v>81</v>
      </c>
      <c r="E9" s="154" t="s">
        <v>268</v>
      </c>
      <c r="F9" s="191">
        <v>0</v>
      </c>
      <c r="G9" s="194">
        <v>8</v>
      </c>
      <c r="H9" s="170" t="s">
        <v>1</v>
      </c>
      <c r="I9" s="170" t="s">
        <v>1</v>
      </c>
      <c r="J9" s="156">
        <v>0</v>
      </c>
      <c r="K9" s="158" t="s">
        <v>277</v>
      </c>
    </row>
    <row r="10" spans="1:11" s="169" customFormat="1" ht="121.5">
      <c r="A10" s="150">
        <v>7</v>
      </c>
      <c r="B10" s="151" t="s">
        <v>266</v>
      </c>
      <c r="C10" s="152" t="s">
        <v>299</v>
      </c>
      <c r="D10" s="154" t="s">
        <v>81</v>
      </c>
      <c r="E10" s="154" t="s">
        <v>268</v>
      </c>
      <c r="F10" s="191">
        <v>444</v>
      </c>
      <c r="G10" s="194">
        <v>45</v>
      </c>
      <c r="H10" s="170" t="s">
        <v>1</v>
      </c>
      <c r="I10" s="170" t="s">
        <v>1</v>
      </c>
      <c r="J10" s="156">
        <v>0</v>
      </c>
      <c r="K10" s="158" t="s">
        <v>277</v>
      </c>
    </row>
    <row r="11" spans="1:11" s="169" customFormat="1" ht="121.5">
      <c r="A11" s="150">
        <v>8</v>
      </c>
      <c r="B11" s="151" t="s">
        <v>266</v>
      </c>
      <c r="C11" s="152" t="s">
        <v>298</v>
      </c>
      <c r="D11" s="154" t="s">
        <v>81</v>
      </c>
      <c r="E11" s="154" t="s">
        <v>268</v>
      </c>
      <c r="F11" s="191">
        <v>444</v>
      </c>
      <c r="G11" s="194">
        <v>45</v>
      </c>
      <c r="H11" s="170" t="s">
        <v>1</v>
      </c>
      <c r="I11" s="170" t="s">
        <v>1</v>
      </c>
      <c r="J11" s="156">
        <v>0</v>
      </c>
      <c r="K11" s="158" t="s">
        <v>277</v>
      </c>
    </row>
    <row r="12" spans="1:11" s="169" customFormat="1" ht="60.75">
      <c r="A12" s="150">
        <v>9</v>
      </c>
      <c r="B12" s="151" t="s">
        <v>266</v>
      </c>
      <c r="C12" s="152" t="s">
        <v>1062</v>
      </c>
      <c r="D12" s="154" t="s">
        <v>81</v>
      </c>
      <c r="E12" s="154" t="s">
        <v>268</v>
      </c>
      <c r="F12" s="191">
        <v>0</v>
      </c>
      <c r="G12" s="194">
        <v>45</v>
      </c>
      <c r="H12" s="170" t="s">
        <v>1</v>
      </c>
      <c r="I12" s="170" t="s">
        <v>1</v>
      </c>
      <c r="J12" s="156">
        <v>0</v>
      </c>
      <c r="K12" s="158" t="s">
        <v>1060</v>
      </c>
    </row>
    <row r="13" spans="1:11" s="149" customFormat="1" ht="182.25">
      <c r="A13" s="150">
        <v>10</v>
      </c>
      <c r="B13" s="151" t="s">
        <v>266</v>
      </c>
      <c r="C13" s="152" t="s">
        <v>1058</v>
      </c>
      <c r="D13" s="154" t="s">
        <v>81</v>
      </c>
      <c r="E13" s="154" t="s">
        <v>268</v>
      </c>
      <c r="F13" s="191">
        <v>0</v>
      </c>
      <c r="G13" s="194">
        <v>3</v>
      </c>
      <c r="H13" s="170" t="s">
        <v>1</v>
      </c>
      <c r="I13" s="170" t="s">
        <v>1</v>
      </c>
      <c r="J13" s="156">
        <v>0</v>
      </c>
      <c r="K13" s="158" t="s">
        <v>1059</v>
      </c>
    </row>
    <row r="14" spans="1:11" s="149" customFormat="1" ht="145.5" customHeight="1">
      <c r="A14" s="150">
        <v>11</v>
      </c>
      <c r="B14" s="151" t="s">
        <v>266</v>
      </c>
      <c r="C14" s="152" t="s">
        <v>300</v>
      </c>
      <c r="D14" s="153" t="s">
        <v>81</v>
      </c>
      <c r="E14" s="154" t="s">
        <v>268</v>
      </c>
      <c r="F14" s="191">
        <v>0</v>
      </c>
      <c r="G14" s="194">
        <v>10</v>
      </c>
      <c r="H14" s="170" t="s">
        <v>1</v>
      </c>
      <c r="I14" s="170" t="s">
        <v>1</v>
      </c>
      <c r="J14" s="156">
        <v>0.03</v>
      </c>
      <c r="K14" s="158" t="s">
        <v>273</v>
      </c>
    </row>
    <row r="15" spans="1:11" s="149" customFormat="1" ht="141.75">
      <c r="A15" s="150">
        <v>12</v>
      </c>
      <c r="B15" s="151" t="s">
        <v>266</v>
      </c>
      <c r="C15" s="152" t="s">
        <v>301</v>
      </c>
      <c r="D15" s="153" t="s">
        <v>81</v>
      </c>
      <c r="E15" s="154" t="s">
        <v>268</v>
      </c>
      <c r="F15" s="191">
        <v>0</v>
      </c>
      <c r="G15" s="194">
        <v>10</v>
      </c>
      <c r="H15" s="170" t="s">
        <v>1</v>
      </c>
      <c r="I15" s="170" t="s">
        <v>1</v>
      </c>
      <c r="J15" s="156">
        <v>0.03</v>
      </c>
      <c r="K15" s="158" t="s">
        <v>273</v>
      </c>
    </row>
    <row r="16" spans="1:11" s="149" customFormat="1" ht="81">
      <c r="A16" s="150">
        <v>13</v>
      </c>
      <c r="B16" s="151" t="s">
        <v>266</v>
      </c>
      <c r="C16" s="152" t="s">
        <v>276</v>
      </c>
      <c r="D16" s="153" t="s">
        <v>81</v>
      </c>
      <c r="E16" s="154" t="s">
        <v>268</v>
      </c>
      <c r="F16" s="191">
        <v>0</v>
      </c>
      <c r="G16" s="194">
        <v>4</v>
      </c>
      <c r="H16" s="155" t="s">
        <v>1</v>
      </c>
      <c r="I16" s="155" t="s">
        <v>1</v>
      </c>
      <c r="J16" s="156">
        <v>0</v>
      </c>
      <c r="K16" s="158" t="s">
        <v>277</v>
      </c>
    </row>
    <row r="17" spans="1:11" s="149" customFormat="1" ht="60.75">
      <c r="A17" s="150">
        <v>14</v>
      </c>
      <c r="B17" s="151" t="s">
        <v>266</v>
      </c>
      <c r="C17" s="152" t="s">
        <v>290</v>
      </c>
      <c r="D17" s="153" t="s">
        <v>81</v>
      </c>
      <c r="E17" s="160" t="s">
        <v>268</v>
      </c>
      <c r="F17" s="191">
        <v>0</v>
      </c>
      <c r="G17" s="194">
        <v>35</v>
      </c>
      <c r="H17" s="155" t="s">
        <v>1</v>
      </c>
      <c r="I17" s="155" t="s">
        <v>1</v>
      </c>
      <c r="J17" s="156">
        <v>0</v>
      </c>
      <c r="K17" s="158" t="s">
        <v>291</v>
      </c>
    </row>
    <row r="18" spans="1:11" s="165" customFormat="1" ht="121.5">
      <c r="A18" s="150">
        <v>15</v>
      </c>
      <c r="B18" s="151" t="s">
        <v>266</v>
      </c>
      <c r="C18" s="152" t="s">
        <v>278</v>
      </c>
      <c r="D18" s="154" t="s">
        <v>81</v>
      </c>
      <c r="E18" s="154" t="s">
        <v>279</v>
      </c>
      <c r="F18" s="191">
        <v>0</v>
      </c>
      <c r="G18" s="194">
        <v>20</v>
      </c>
      <c r="H18" s="170" t="s">
        <v>1</v>
      </c>
      <c r="I18" s="170" t="s">
        <v>1</v>
      </c>
      <c r="J18" s="156">
        <v>0.01</v>
      </c>
      <c r="K18" s="158" t="s">
        <v>293</v>
      </c>
    </row>
    <row r="19" spans="1:11" s="169" customFormat="1" ht="101.25">
      <c r="A19" s="150">
        <v>16</v>
      </c>
      <c r="B19" s="151" t="s">
        <v>266</v>
      </c>
      <c r="C19" s="166" t="s">
        <v>294</v>
      </c>
      <c r="D19" s="154" t="s">
        <v>280</v>
      </c>
      <c r="E19" s="154" t="s">
        <v>268</v>
      </c>
      <c r="F19" s="191">
        <v>0</v>
      </c>
      <c r="G19" s="194">
        <v>14</v>
      </c>
      <c r="H19" s="170" t="s">
        <v>1</v>
      </c>
      <c r="I19" s="170" t="s">
        <v>1</v>
      </c>
      <c r="J19" s="156">
        <v>0</v>
      </c>
      <c r="K19" s="158" t="s">
        <v>277</v>
      </c>
    </row>
    <row r="20" spans="1:11" s="165" customFormat="1" ht="81">
      <c r="A20" s="150">
        <v>17</v>
      </c>
      <c r="B20" s="151" t="s">
        <v>266</v>
      </c>
      <c r="C20" s="171" t="s">
        <v>281</v>
      </c>
      <c r="D20" s="154" t="s">
        <v>81</v>
      </c>
      <c r="E20" s="154" t="s">
        <v>268</v>
      </c>
      <c r="F20" s="191">
        <v>0</v>
      </c>
      <c r="G20" s="194">
        <v>14</v>
      </c>
      <c r="H20" s="170" t="s">
        <v>1</v>
      </c>
      <c r="I20" s="170" t="s">
        <v>1</v>
      </c>
      <c r="J20" s="156">
        <v>0</v>
      </c>
      <c r="K20" s="158" t="s">
        <v>277</v>
      </c>
    </row>
    <row r="21" spans="1:11" s="169" customFormat="1" ht="60.75">
      <c r="A21" s="150">
        <v>18</v>
      </c>
      <c r="B21" s="151" t="s">
        <v>266</v>
      </c>
      <c r="C21" s="171" t="s">
        <v>282</v>
      </c>
      <c r="D21" s="154" t="s">
        <v>280</v>
      </c>
      <c r="E21" s="154" t="s">
        <v>268</v>
      </c>
      <c r="F21" s="191">
        <v>0</v>
      </c>
      <c r="G21" s="194">
        <v>6</v>
      </c>
      <c r="H21" s="170" t="s">
        <v>1</v>
      </c>
      <c r="I21" s="170" t="s">
        <v>1</v>
      </c>
      <c r="J21" s="156">
        <v>0</v>
      </c>
      <c r="K21" s="158" t="s">
        <v>277</v>
      </c>
    </row>
    <row r="22" spans="1:11" s="169" customFormat="1" ht="81">
      <c r="A22" s="150">
        <v>19</v>
      </c>
      <c r="B22" s="151" t="s">
        <v>266</v>
      </c>
      <c r="C22" s="172" t="s">
        <v>1228</v>
      </c>
      <c r="D22" s="154" t="s">
        <v>81</v>
      </c>
      <c r="E22" s="160" t="s">
        <v>268</v>
      </c>
      <c r="F22" s="191">
        <v>0</v>
      </c>
      <c r="G22" s="194">
        <v>18</v>
      </c>
      <c r="H22" s="170" t="s">
        <v>1</v>
      </c>
      <c r="I22" s="170" t="s">
        <v>1</v>
      </c>
      <c r="J22" s="156">
        <v>0</v>
      </c>
      <c r="K22" s="158" t="s">
        <v>277</v>
      </c>
    </row>
    <row r="23" spans="1:11" s="169" customFormat="1">
      <c r="A23" s="150"/>
      <c r="B23" s="151"/>
      <c r="C23" s="171"/>
      <c r="D23" s="160"/>
      <c r="E23" s="160"/>
      <c r="F23" s="191"/>
      <c r="G23" s="194"/>
      <c r="H23" s="161"/>
      <c r="I23" s="161"/>
      <c r="J23" s="156"/>
      <c r="K23" s="166"/>
    </row>
    <row r="24" spans="1:11" s="169" customFormat="1">
      <c r="A24" s="150"/>
      <c r="B24" s="151"/>
      <c r="C24" s="152"/>
      <c r="D24" s="153"/>
      <c r="E24" s="153"/>
      <c r="F24" s="191"/>
      <c r="G24" s="194"/>
      <c r="H24" s="155"/>
      <c r="I24" s="155"/>
      <c r="J24" s="156"/>
      <c r="K24" s="151"/>
    </row>
    <row r="25" spans="1:11" s="165" customFormat="1">
      <c r="A25" s="150"/>
      <c r="B25" s="151"/>
      <c r="C25" s="152"/>
      <c r="D25" s="153"/>
      <c r="E25" s="154"/>
      <c r="F25" s="191"/>
      <c r="G25" s="194"/>
      <c r="H25" s="155"/>
      <c r="I25" s="155"/>
      <c r="J25" s="156"/>
      <c r="K25" s="151"/>
    </row>
    <row r="26" spans="1:11" s="169" customFormat="1">
      <c r="A26" s="150"/>
      <c r="B26" s="151"/>
      <c r="C26" s="152"/>
      <c r="D26" s="153"/>
      <c r="E26" s="153"/>
      <c r="F26" s="191"/>
      <c r="G26" s="194"/>
      <c r="H26" s="155"/>
      <c r="I26" s="155"/>
      <c r="J26" s="156"/>
      <c r="K26" s="151"/>
    </row>
    <row r="27" spans="1:11">
      <c r="A27" s="150"/>
      <c r="B27" s="151"/>
      <c r="C27" s="173"/>
      <c r="D27" s="174"/>
      <c r="E27" s="175"/>
      <c r="F27" s="191"/>
      <c r="G27" s="194"/>
      <c r="H27" s="155"/>
      <c r="I27" s="155"/>
      <c r="J27" s="176"/>
      <c r="K27" s="158"/>
    </row>
    <row r="28" spans="1:11">
      <c r="A28" s="150"/>
      <c r="B28" s="180"/>
      <c r="C28" s="152"/>
      <c r="D28" s="153"/>
      <c r="E28" s="154"/>
      <c r="F28" s="191"/>
      <c r="G28" s="194"/>
      <c r="H28" s="185"/>
      <c r="I28" s="185"/>
      <c r="J28" s="176"/>
      <c r="K28" s="184"/>
    </row>
    <row r="29" spans="1:11">
      <c r="A29" s="150"/>
      <c r="B29" s="187"/>
      <c r="C29" s="152"/>
      <c r="D29" s="153"/>
      <c r="E29" s="154"/>
      <c r="F29" s="191"/>
      <c r="G29" s="194"/>
      <c r="H29" s="155"/>
      <c r="I29" s="155"/>
      <c r="J29" s="156">
        <v>1</v>
      </c>
      <c r="K29" s="158"/>
    </row>
    <row r="30" spans="1:11" ht="31.5">
      <c r="A30" s="712" t="s">
        <v>222</v>
      </c>
      <c r="B30" s="712"/>
      <c r="C30" s="712"/>
      <c r="D30" s="193">
        <f>COUNT(Table14[Priority])</f>
        <v>19</v>
      </c>
      <c r="E30" s="192"/>
      <c r="F30" s="192"/>
    </row>
  </sheetData>
  <mergeCells count="4">
    <mergeCell ref="A30:C30"/>
    <mergeCell ref="A1:C1"/>
    <mergeCell ref="D1:K1"/>
    <mergeCell ref="A2:K2"/>
  </mergeCells>
  <conditionalFormatting sqref="J23:J29 J4:J21">
    <cfRule type="dataBar" priority="48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{1581DC1F-9AB4-4467-A88F-B5FAC991E358}</x14:id>
        </ext>
      </extLst>
    </cfRule>
  </conditionalFormatting>
  <hyperlinks>
    <hyperlink ref="A1" location="DASHBOARD!A1" display="Back to Dashboard" xr:uid="{00000000-0004-0000-0B00-000000000000}"/>
  </hyperlinks>
  <printOptions horizontalCentered="1"/>
  <pageMargins left="0.25" right="0.25" top="0.75" bottom="0.75" header="0.3" footer="0.3"/>
  <pageSetup scale="50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81DC1F-9AB4-4467-A88F-B5FAC991E35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J23:J29 J4:J21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A67"/>
  <sheetViews>
    <sheetView zoomScale="120" zoomScaleNormal="120" zoomScaleSheetLayoutView="40" workbookViewId="0">
      <pane ySplit="5" topLeftCell="A9" activePane="bottomLeft" state="frozen"/>
      <selection pane="bottomLeft" sqref="A1:F1"/>
    </sheetView>
  </sheetViews>
  <sheetFormatPr defaultColWidth="8.7109375" defaultRowHeight="20.25"/>
  <cols>
    <col min="1" max="1" width="12.140625" style="144" customWidth="1"/>
    <col min="2" max="2" width="8.85546875" style="188" customWidth="1"/>
    <col min="3" max="3" width="8" style="189" customWidth="1"/>
    <col min="4" max="8" width="8" style="188" customWidth="1"/>
    <col min="9" max="9" width="8" style="190" customWidth="1"/>
    <col min="10" max="26" width="8" style="178" customWidth="1"/>
    <col min="27" max="16384" width="8.7109375" style="178"/>
  </cols>
  <sheetData>
    <row r="1" spans="1:27" s="233" customFormat="1" ht="48.75" customHeight="1">
      <c r="A1" s="729" t="s">
        <v>313</v>
      </c>
      <c r="B1" s="729"/>
      <c r="C1" s="730"/>
      <c r="D1" s="730"/>
      <c r="E1" s="730"/>
      <c r="F1" s="730"/>
      <c r="G1" s="731" t="s">
        <v>1916</v>
      </c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26" t="s">
        <v>1931</v>
      </c>
      <c r="T1" s="727"/>
      <c r="U1" s="727"/>
      <c r="V1" s="727"/>
      <c r="W1" s="727"/>
      <c r="X1" s="727"/>
      <c r="Y1" s="727"/>
      <c r="Z1" s="727"/>
      <c r="AA1" s="728"/>
    </row>
    <row r="2" spans="1:27" s="233" customFormat="1" ht="118.5" customHeight="1">
      <c r="A2" s="563"/>
      <c r="B2" s="567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564"/>
    </row>
    <row r="3" spans="1:27" s="233" customFormat="1" ht="27.75" customHeight="1">
      <c r="A3" s="563"/>
      <c r="B3" s="567"/>
      <c r="C3" s="734" t="s">
        <v>2145</v>
      </c>
      <c r="D3" s="734"/>
      <c r="E3" s="734"/>
      <c r="F3" s="734"/>
      <c r="G3" s="734"/>
      <c r="H3" s="734"/>
      <c r="I3" s="734" t="s">
        <v>2147</v>
      </c>
      <c r="J3" s="734"/>
      <c r="K3" s="734"/>
      <c r="L3" s="734"/>
      <c r="M3" s="734"/>
      <c r="N3" s="734"/>
      <c r="O3" s="734" t="s">
        <v>2148</v>
      </c>
      <c r="P3" s="734"/>
      <c r="Q3" s="734"/>
      <c r="R3" s="734"/>
      <c r="S3" s="734"/>
      <c r="T3" s="734"/>
      <c r="U3" s="734" t="s">
        <v>2146</v>
      </c>
      <c r="V3" s="734"/>
      <c r="W3" s="734"/>
      <c r="X3" s="734"/>
      <c r="Y3" s="734"/>
      <c r="Z3" s="734"/>
      <c r="AA3" s="564"/>
    </row>
    <row r="4" spans="1:27" ht="30.75">
      <c r="A4" s="558" t="s">
        <v>100</v>
      </c>
      <c r="B4" s="541" t="s">
        <v>1917</v>
      </c>
      <c r="C4" s="732" t="s">
        <v>1923</v>
      </c>
      <c r="D4" s="732"/>
      <c r="E4" s="732"/>
      <c r="F4" s="733" t="s">
        <v>1924</v>
      </c>
      <c r="G4" s="733"/>
      <c r="H4" s="733"/>
      <c r="I4" s="732" t="s">
        <v>1925</v>
      </c>
      <c r="J4" s="732"/>
      <c r="K4" s="732"/>
      <c r="L4" s="733" t="s">
        <v>1926</v>
      </c>
      <c r="M4" s="733"/>
      <c r="N4" s="733"/>
      <c r="O4" s="732" t="s">
        <v>1927</v>
      </c>
      <c r="P4" s="732"/>
      <c r="Q4" s="732"/>
      <c r="R4" s="733" t="s">
        <v>1928</v>
      </c>
      <c r="S4" s="733"/>
      <c r="T4" s="733"/>
      <c r="U4" s="732" t="s">
        <v>1929</v>
      </c>
      <c r="V4" s="732"/>
      <c r="W4" s="732"/>
      <c r="X4" s="733" t="s">
        <v>1930</v>
      </c>
      <c r="Y4" s="733"/>
      <c r="Z4" s="733"/>
      <c r="AA4" s="541" t="s">
        <v>1918</v>
      </c>
    </row>
    <row r="5" spans="1:27" ht="45">
      <c r="A5" s="532" t="s">
        <v>175</v>
      </c>
      <c r="B5" s="364" t="s">
        <v>1919</v>
      </c>
      <c r="C5" s="533" t="s">
        <v>1920</v>
      </c>
      <c r="D5" s="533" t="s">
        <v>1921</v>
      </c>
      <c r="E5" s="533" t="s">
        <v>1922</v>
      </c>
      <c r="F5" s="534" t="s">
        <v>1920</v>
      </c>
      <c r="G5" s="534" t="s">
        <v>1921</v>
      </c>
      <c r="H5" s="534" t="s">
        <v>1922</v>
      </c>
      <c r="I5" s="533" t="s">
        <v>1920</v>
      </c>
      <c r="J5" s="533" t="s">
        <v>1921</v>
      </c>
      <c r="K5" s="533" t="s">
        <v>1922</v>
      </c>
      <c r="L5" s="534" t="s">
        <v>1920</v>
      </c>
      <c r="M5" s="534" t="s">
        <v>1921</v>
      </c>
      <c r="N5" s="534" t="s">
        <v>1922</v>
      </c>
      <c r="O5" s="533" t="s">
        <v>1920</v>
      </c>
      <c r="P5" s="533" t="s">
        <v>1921</v>
      </c>
      <c r="Q5" s="533" t="s">
        <v>1922</v>
      </c>
      <c r="R5" s="534" t="s">
        <v>1920</v>
      </c>
      <c r="S5" s="534" t="s">
        <v>1921</v>
      </c>
      <c r="T5" s="534" t="s">
        <v>1922</v>
      </c>
      <c r="U5" s="533" t="s">
        <v>1920</v>
      </c>
      <c r="V5" s="533" t="s">
        <v>1921</v>
      </c>
      <c r="W5" s="533" t="s">
        <v>1922</v>
      </c>
      <c r="X5" s="534" t="s">
        <v>1920</v>
      </c>
      <c r="Y5" s="534" t="s">
        <v>1921</v>
      </c>
      <c r="Z5" s="534" t="s">
        <v>1922</v>
      </c>
      <c r="AA5" s="364" t="s">
        <v>1919</v>
      </c>
    </row>
    <row r="6" spans="1:27" ht="15.75">
      <c r="A6" s="535">
        <v>43958</v>
      </c>
      <c r="B6" s="553">
        <v>0.5625</v>
      </c>
      <c r="C6" s="554">
        <v>0.58402777777777781</v>
      </c>
      <c r="D6" s="536">
        <v>0</v>
      </c>
      <c r="E6" s="536">
        <v>1</v>
      </c>
      <c r="F6" s="555">
        <v>0.58402777777777781</v>
      </c>
      <c r="G6" s="537">
        <v>0</v>
      </c>
      <c r="H6" s="537">
        <v>0</v>
      </c>
      <c r="I6" s="554">
        <v>0.61527777777777781</v>
      </c>
      <c r="J6" s="536">
        <v>0</v>
      </c>
      <c r="K6" s="536">
        <v>1</v>
      </c>
      <c r="L6" s="555">
        <v>0.61805555555555558</v>
      </c>
      <c r="M6" s="537">
        <v>0</v>
      </c>
      <c r="N6" s="537">
        <v>1</v>
      </c>
      <c r="O6" s="554">
        <v>0.62430555555555556</v>
      </c>
      <c r="P6" s="536">
        <v>0</v>
      </c>
      <c r="Q6" s="536">
        <v>1</v>
      </c>
      <c r="R6" s="555">
        <v>0.62708333333333333</v>
      </c>
      <c r="S6" s="537">
        <v>0</v>
      </c>
      <c r="T6" s="537">
        <v>1</v>
      </c>
      <c r="U6" s="554">
        <v>0.63194444444444442</v>
      </c>
      <c r="V6" s="536">
        <v>0</v>
      </c>
      <c r="W6" s="536">
        <v>1</v>
      </c>
      <c r="X6" s="555">
        <v>0.63194444444444442</v>
      </c>
      <c r="Y6" s="537">
        <v>0</v>
      </c>
      <c r="Z6" s="537">
        <v>0</v>
      </c>
      <c r="AA6" s="553">
        <v>0.65069444444444446</v>
      </c>
    </row>
    <row r="7" spans="1:27" ht="15.75">
      <c r="A7" s="535">
        <v>43959</v>
      </c>
      <c r="B7" s="553">
        <v>0.85763888888888884</v>
      </c>
      <c r="C7" s="554">
        <v>0.87708333333333333</v>
      </c>
      <c r="D7" s="536">
        <v>0.5</v>
      </c>
      <c r="E7" s="536">
        <v>1</v>
      </c>
      <c r="F7" s="555">
        <v>0.87708333333333333</v>
      </c>
      <c r="G7" s="537">
        <v>0</v>
      </c>
      <c r="H7" s="537">
        <v>0</v>
      </c>
      <c r="I7" s="554">
        <v>0.89722222222222225</v>
      </c>
      <c r="J7" s="536">
        <v>0</v>
      </c>
      <c r="K7" s="536">
        <v>1</v>
      </c>
      <c r="L7" s="555">
        <v>0.89930555555555547</v>
      </c>
      <c r="M7" s="537">
        <v>0</v>
      </c>
      <c r="N7" s="537">
        <v>1</v>
      </c>
      <c r="O7" s="554">
        <v>0.90763888888888899</v>
      </c>
      <c r="P7" s="536">
        <v>0.75</v>
      </c>
      <c r="Q7" s="536">
        <v>1</v>
      </c>
      <c r="R7" s="555">
        <v>0.91041666666666676</v>
      </c>
      <c r="S7" s="537">
        <v>0.75</v>
      </c>
      <c r="T7" s="537">
        <v>1</v>
      </c>
      <c r="U7" s="554">
        <v>0.9145833333333333</v>
      </c>
      <c r="V7" s="536">
        <v>1</v>
      </c>
      <c r="W7" s="536">
        <v>1</v>
      </c>
      <c r="X7" s="555">
        <v>0.9145833333333333</v>
      </c>
      <c r="Y7" s="537">
        <v>0</v>
      </c>
      <c r="Z7" s="537">
        <v>0</v>
      </c>
      <c r="AA7" s="553">
        <v>0.93472222222222223</v>
      </c>
    </row>
    <row r="8" spans="1:27" ht="15.75">
      <c r="A8" s="535">
        <v>43960</v>
      </c>
      <c r="B8" s="553">
        <v>0.65</v>
      </c>
      <c r="C8" s="554">
        <v>0.6694444444444444</v>
      </c>
      <c r="D8" s="536">
        <v>0.5</v>
      </c>
      <c r="E8" s="536">
        <v>1</v>
      </c>
      <c r="F8" s="555">
        <v>0.6694444444444444</v>
      </c>
      <c r="G8" s="537">
        <v>0</v>
      </c>
      <c r="H8" s="537">
        <v>0</v>
      </c>
      <c r="I8" s="554">
        <v>0.6743055555555556</v>
      </c>
      <c r="J8" s="536">
        <v>1</v>
      </c>
      <c r="K8" s="536">
        <v>1</v>
      </c>
      <c r="L8" s="555">
        <v>0.67569444444444438</v>
      </c>
      <c r="M8" s="537">
        <v>1</v>
      </c>
      <c r="N8" s="537">
        <v>1</v>
      </c>
      <c r="O8" s="554">
        <v>0.67986111111111114</v>
      </c>
      <c r="P8" s="536">
        <v>1</v>
      </c>
      <c r="Q8" s="536">
        <v>1</v>
      </c>
      <c r="R8" s="555">
        <v>0.68125000000000002</v>
      </c>
      <c r="S8" s="537">
        <v>1</v>
      </c>
      <c r="T8" s="537">
        <v>1</v>
      </c>
      <c r="U8" s="554">
        <v>0.68333333333333324</v>
      </c>
      <c r="V8" s="536">
        <v>0.5</v>
      </c>
      <c r="W8" s="536">
        <v>1</v>
      </c>
      <c r="X8" s="555">
        <v>0.68333333333333324</v>
      </c>
      <c r="Y8" s="537">
        <v>0</v>
      </c>
      <c r="Z8" s="537">
        <v>0</v>
      </c>
      <c r="AA8" s="553">
        <v>0.70972222222222225</v>
      </c>
    </row>
    <row r="9" spans="1:27" ht="15.75">
      <c r="A9" s="535">
        <v>43961</v>
      </c>
      <c r="B9" s="553">
        <v>0.65972222222222221</v>
      </c>
      <c r="C9" s="554">
        <v>0.67708333333333337</v>
      </c>
      <c r="D9" s="536">
        <v>0</v>
      </c>
      <c r="E9" s="536">
        <v>1</v>
      </c>
      <c r="F9" s="555">
        <v>0.67708333333333337</v>
      </c>
      <c r="G9" s="537">
        <v>0</v>
      </c>
      <c r="H9" s="537">
        <v>0</v>
      </c>
      <c r="I9" s="554">
        <v>0.68055555555555547</v>
      </c>
      <c r="J9" s="536">
        <v>1</v>
      </c>
      <c r="K9" s="536">
        <v>1</v>
      </c>
      <c r="L9" s="555">
        <v>0.68333333333333324</v>
      </c>
      <c r="M9" s="537">
        <v>1</v>
      </c>
      <c r="N9" s="537">
        <v>1</v>
      </c>
      <c r="O9" s="554">
        <v>0.6875</v>
      </c>
      <c r="P9" s="536">
        <v>1</v>
      </c>
      <c r="Q9" s="536">
        <v>1</v>
      </c>
      <c r="R9" s="555">
        <v>0.68888888888888899</v>
      </c>
      <c r="S9" s="537">
        <v>1</v>
      </c>
      <c r="T9" s="537">
        <v>1</v>
      </c>
      <c r="U9" s="554">
        <v>0.69444444444444453</v>
      </c>
      <c r="V9" s="536">
        <v>0.5</v>
      </c>
      <c r="W9" s="536">
        <v>0.5</v>
      </c>
      <c r="X9" s="555">
        <v>0.69444444444444453</v>
      </c>
      <c r="Y9" s="537">
        <v>0</v>
      </c>
      <c r="Z9" s="537">
        <v>0</v>
      </c>
      <c r="AA9" s="553">
        <v>0.72916666666666663</v>
      </c>
    </row>
    <row r="10" spans="1:27" ht="15.75">
      <c r="A10" s="535">
        <v>43962</v>
      </c>
      <c r="B10" s="553">
        <v>0.65625</v>
      </c>
      <c r="C10" s="554">
        <v>0.67361111111111116</v>
      </c>
      <c r="D10" s="536">
        <v>1</v>
      </c>
      <c r="E10" s="536">
        <v>1</v>
      </c>
      <c r="F10" s="556">
        <v>0.67499999999999993</v>
      </c>
      <c r="G10" s="537">
        <v>1</v>
      </c>
      <c r="H10" s="537">
        <v>1</v>
      </c>
      <c r="I10" s="554">
        <v>0.67847222222222225</v>
      </c>
      <c r="J10" s="536">
        <v>0.8</v>
      </c>
      <c r="K10" s="536">
        <v>0.8</v>
      </c>
      <c r="L10" s="555">
        <v>0.67986111111111114</v>
      </c>
      <c r="M10" s="537">
        <v>0.8</v>
      </c>
      <c r="N10" s="537">
        <v>0.8</v>
      </c>
      <c r="O10" s="554">
        <v>0.68194444444444446</v>
      </c>
      <c r="P10" s="536">
        <v>0.8</v>
      </c>
      <c r="Q10" s="536">
        <v>0.8</v>
      </c>
      <c r="R10" s="555">
        <v>0.68333333333333324</v>
      </c>
      <c r="S10" s="537">
        <v>0.8</v>
      </c>
      <c r="T10" s="537">
        <v>0.8</v>
      </c>
      <c r="U10" s="554">
        <v>0.6875</v>
      </c>
      <c r="V10" s="536">
        <v>0.5</v>
      </c>
      <c r="W10" s="536">
        <v>0.5</v>
      </c>
      <c r="X10" s="555">
        <v>0.6875</v>
      </c>
      <c r="Y10" s="537">
        <v>0</v>
      </c>
      <c r="Z10" s="537">
        <v>0</v>
      </c>
      <c r="AA10" s="553">
        <v>0.71527777777777779</v>
      </c>
    </row>
    <row r="11" spans="1:27" ht="15.75">
      <c r="A11" s="535">
        <v>43963</v>
      </c>
      <c r="B11" s="553">
        <v>0.65</v>
      </c>
      <c r="C11" s="554">
        <v>0.67152777777777783</v>
      </c>
      <c r="D11" s="536">
        <v>0.1</v>
      </c>
      <c r="E11" s="536">
        <v>1</v>
      </c>
      <c r="F11" s="557">
        <v>0.67291666666666661</v>
      </c>
      <c r="G11" s="537">
        <v>0.1</v>
      </c>
      <c r="H11" s="537">
        <v>1</v>
      </c>
      <c r="I11" s="554">
        <v>0.6791666666666667</v>
      </c>
      <c r="J11" s="536">
        <v>0.75</v>
      </c>
      <c r="K11" s="536">
        <v>1</v>
      </c>
      <c r="L11" s="555">
        <v>0.68125000000000002</v>
      </c>
      <c r="M11" s="537">
        <v>0.75</v>
      </c>
      <c r="N11" s="537">
        <v>1</v>
      </c>
      <c r="O11" s="554">
        <v>0.68472222222222223</v>
      </c>
      <c r="P11" s="536">
        <v>0</v>
      </c>
      <c r="Q11" s="536">
        <v>1</v>
      </c>
      <c r="R11" s="555">
        <v>0.68680555555555556</v>
      </c>
      <c r="S11" s="537">
        <v>0</v>
      </c>
      <c r="T11" s="537">
        <v>1</v>
      </c>
      <c r="U11" s="554">
        <v>0.69236111111111109</v>
      </c>
      <c r="V11" s="536">
        <v>0.5</v>
      </c>
      <c r="W11" s="536">
        <v>1</v>
      </c>
      <c r="X11" s="555">
        <v>0.69236111111111109</v>
      </c>
      <c r="Y11" s="537">
        <v>0</v>
      </c>
      <c r="Z11" s="537">
        <v>0</v>
      </c>
      <c r="AA11" s="553">
        <v>0.71388888888888891</v>
      </c>
    </row>
    <row r="12" spans="1:27" ht="15.75">
      <c r="A12" s="535">
        <v>43964</v>
      </c>
      <c r="B12" s="553">
        <v>0.66249999999999998</v>
      </c>
      <c r="C12" s="554">
        <v>0.68263888888888891</v>
      </c>
      <c r="D12" s="536">
        <v>0.1</v>
      </c>
      <c r="E12" s="536">
        <v>1</v>
      </c>
      <c r="F12" s="556">
        <v>0.68402777777777779</v>
      </c>
      <c r="G12" s="537">
        <v>0.1</v>
      </c>
      <c r="H12" s="537">
        <v>1</v>
      </c>
      <c r="I12" s="554">
        <v>0.68888888888888899</v>
      </c>
      <c r="J12" s="536">
        <v>1</v>
      </c>
      <c r="K12" s="536">
        <v>1</v>
      </c>
      <c r="L12" s="555">
        <v>0.68958333333333333</v>
      </c>
      <c r="M12" s="537">
        <v>1</v>
      </c>
      <c r="N12" s="537">
        <v>1</v>
      </c>
      <c r="O12" s="554">
        <v>0.69097222222222221</v>
      </c>
      <c r="P12" s="536">
        <v>1</v>
      </c>
      <c r="Q12" s="536">
        <v>1</v>
      </c>
      <c r="R12" s="555">
        <v>0.69166666666666676</v>
      </c>
      <c r="S12" s="537">
        <v>1</v>
      </c>
      <c r="T12" s="537">
        <v>1</v>
      </c>
      <c r="U12" s="554">
        <v>0.69513888888888886</v>
      </c>
      <c r="V12" s="536">
        <v>1</v>
      </c>
      <c r="W12" s="536">
        <v>1</v>
      </c>
      <c r="X12" s="555">
        <v>0.69513888888888886</v>
      </c>
      <c r="Y12" s="537">
        <v>0</v>
      </c>
      <c r="Z12" s="537">
        <v>0</v>
      </c>
      <c r="AA12" s="553">
        <v>0.71736111111111101</v>
      </c>
    </row>
    <row r="13" spans="1:27" ht="15.75">
      <c r="A13" s="535">
        <v>43965</v>
      </c>
      <c r="B13" s="553">
        <v>0.66388888888888886</v>
      </c>
      <c r="C13" s="554">
        <v>0.68125000000000002</v>
      </c>
      <c r="D13" s="536">
        <v>0.2</v>
      </c>
      <c r="E13" s="536">
        <v>1</v>
      </c>
      <c r="F13" s="555">
        <v>0.68263888888888891</v>
      </c>
      <c r="G13" s="537">
        <v>0.2</v>
      </c>
      <c r="H13" s="537">
        <v>1</v>
      </c>
      <c r="I13" s="554">
        <v>0.68680555555555556</v>
      </c>
      <c r="J13" s="536">
        <v>1</v>
      </c>
      <c r="K13" s="536">
        <v>1</v>
      </c>
      <c r="L13" s="555">
        <v>0.68680555555555556</v>
      </c>
      <c r="M13" s="537">
        <v>1</v>
      </c>
      <c r="N13" s="537">
        <v>1</v>
      </c>
      <c r="O13" s="554">
        <v>0.68958333333333333</v>
      </c>
      <c r="P13" s="536">
        <v>1</v>
      </c>
      <c r="Q13" s="536">
        <v>1</v>
      </c>
      <c r="R13" s="555">
        <v>0.68958333333333333</v>
      </c>
      <c r="S13" s="537">
        <v>1</v>
      </c>
      <c r="T13" s="537">
        <v>1</v>
      </c>
      <c r="U13" s="554">
        <v>0.69374999999999998</v>
      </c>
      <c r="V13" s="536">
        <v>1</v>
      </c>
      <c r="W13" s="536">
        <v>1</v>
      </c>
      <c r="X13" s="555">
        <v>0.69374999999999998</v>
      </c>
      <c r="Y13" s="537">
        <v>0</v>
      </c>
      <c r="Z13" s="537">
        <v>0</v>
      </c>
      <c r="AA13" s="553">
        <v>0.71388888888888891</v>
      </c>
    </row>
    <row r="14" spans="1:27" ht="15.75">
      <c r="A14" s="535">
        <v>43966</v>
      </c>
      <c r="B14" s="553">
        <v>0.65902777777777777</v>
      </c>
      <c r="C14" s="554">
        <v>0.6791666666666667</v>
      </c>
      <c r="D14" s="536">
        <v>0</v>
      </c>
      <c r="E14" s="536">
        <v>1</v>
      </c>
      <c r="F14" s="555">
        <v>0.67986111111111114</v>
      </c>
      <c r="G14" s="537">
        <v>0</v>
      </c>
      <c r="H14" s="537">
        <v>0</v>
      </c>
      <c r="I14" s="554">
        <v>0.68333333333333324</v>
      </c>
      <c r="J14" s="536">
        <v>0.6</v>
      </c>
      <c r="K14" s="536">
        <v>1</v>
      </c>
      <c r="L14" s="555">
        <v>0.68472222222222223</v>
      </c>
      <c r="M14" s="537">
        <v>0.6</v>
      </c>
      <c r="N14" s="537">
        <v>1</v>
      </c>
      <c r="O14" s="554">
        <v>0.68680555555555556</v>
      </c>
      <c r="P14" s="536">
        <v>0.7</v>
      </c>
      <c r="Q14" s="536">
        <v>1</v>
      </c>
      <c r="R14" s="555">
        <v>0.68819444444444444</v>
      </c>
      <c r="S14" s="537">
        <v>0.7</v>
      </c>
      <c r="T14" s="537">
        <v>1</v>
      </c>
      <c r="U14" s="554">
        <v>0.69027777777777777</v>
      </c>
      <c r="V14" s="536">
        <v>0</v>
      </c>
      <c r="W14" s="536">
        <v>1</v>
      </c>
      <c r="X14" s="555">
        <v>0.69166666666666676</v>
      </c>
      <c r="Y14" s="537">
        <v>0</v>
      </c>
      <c r="Z14" s="537">
        <v>0</v>
      </c>
      <c r="AA14" s="553">
        <v>0.71597222222222223</v>
      </c>
    </row>
    <row r="15" spans="1:27" ht="15.75">
      <c r="A15" s="535">
        <v>43967</v>
      </c>
      <c r="B15" s="553">
        <v>0.66249999999999998</v>
      </c>
      <c r="C15" s="554">
        <v>0.68125000000000002</v>
      </c>
      <c r="D15" s="536">
        <v>0</v>
      </c>
      <c r="E15" s="536">
        <v>1</v>
      </c>
      <c r="F15" s="555">
        <v>0.68194444444444446</v>
      </c>
      <c r="G15" s="537">
        <v>0</v>
      </c>
      <c r="H15" s="537">
        <v>0</v>
      </c>
      <c r="I15" s="554">
        <v>0.68541666666666667</v>
      </c>
      <c r="J15" s="536">
        <v>1</v>
      </c>
      <c r="K15" s="536">
        <v>1</v>
      </c>
      <c r="L15" s="555">
        <v>0.68541666666666667</v>
      </c>
      <c r="M15" s="537">
        <v>1</v>
      </c>
      <c r="N15" s="537">
        <v>1</v>
      </c>
      <c r="O15" s="554">
        <v>0.68819444444444444</v>
      </c>
      <c r="P15" s="536">
        <v>1</v>
      </c>
      <c r="Q15" s="536">
        <v>1</v>
      </c>
      <c r="R15" s="555">
        <v>0.68819444444444444</v>
      </c>
      <c r="S15" s="537">
        <v>1</v>
      </c>
      <c r="T15" s="537">
        <v>1</v>
      </c>
      <c r="U15" s="554">
        <v>0.69097222222222221</v>
      </c>
      <c r="V15" s="536">
        <v>0</v>
      </c>
      <c r="W15" s="536">
        <v>1</v>
      </c>
      <c r="X15" s="555">
        <v>0.69236111111111109</v>
      </c>
      <c r="Y15" s="537">
        <v>0</v>
      </c>
      <c r="Z15" s="537">
        <v>0</v>
      </c>
      <c r="AA15" s="553">
        <v>0.71805555555555556</v>
      </c>
    </row>
    <row r="16" spans="1:27" ht="15.75">
      <c r="A16" s="535">
        <v>43968</v>
      </c>
      <c r="B16" s="553"/>
      <c r="C16" s="554"/>
      <c r="D16" s="536"/>
      <c r="E16" s="538"/>
      <c r="F16" s="555"/>
      <c r="G16" s="537"/>
      <c r="H16" s="537"/>
      <c r="I16" s="554"/>
      <c r="J16" s="538"/>
      <c r="K16" s="538"/>
      <c r="L16" s="555"/>
      <c r="M16" s="539"/>
      <c r="N16" s="539"/>
      <c r="O16" s="554"/>
      <c r="P16" s="538"/>
      <c r="Q16" s="538"/>
      <c r="R16" s="555"/>
      <c r="S16" s="539"/>
      <c r="T16" s="539"/>
      <c r="U16" s="554"/>
      <c r="V16" s="538"/>
      <c r="W16" s="538"/>
      <c r="X16" s="555"/>
      <c r="Y16" s="537"/>
      <c r="Z16" s="537"/>
      <c r="AA16" s="553"/>
    </row>
    <row r="17" spans="1:27" ht="15.75">
      <c r="A17" s="535">
        <v>43969</v>
      </c>
      <c r="B17" s="553"/>
      <c r="C17" s="554"/>
      <c r="D17" s="536"/>
      <c r="E17" s="538"/>
      <c r="F17" s="555"/>
      <c r="G17" s="537"/>
      <c r="H17" s="537"/>
      <c r="I17" s="554"/>
      <c r="J17" s="538"/>
      <c r="K17" s="538"/>
      <c r="L17" s="555"/>
      <c r="M17" s="539"/>
      <c r="N17" s="539"/>
      <c r="O17" s="554"/>
      <c r="P17" s="538"/>
      <c r="Q17" s="538"/>
      <c r="R17" s="555"/>
      <c r="S17" s="539"/>
      <c r="T17" s="539"/>
      <c r="U17" s="554"/>
      <c r="V17" s="538"/>
      <c r="W17" s="538"/>
      <c r="X17" s="555"/>
      <c r="Y17" s="537"/>
      <c r="Z17" s="537"/>
      <c r="AA17" s="553"/>
    </row>
    <row r="18" spans="1:27" ht="15.75">
      <c r="A18" s="535">
        <v>43970</v>
      </c>
      <c r="B18" s="553"/>
      <c r="C18" s="554"/>
      <c r="D18" s="536"/>
      <c r="E18" s="538"/>
      <c r="F18" s="555"/>
      <c r="G18" s="537"/>
      <c r="H18" s="537"/>
      <c r="I18" s="554"/>
      <c r="J18" s="538"/>
      <c r="K18" s="538"/>
      <c r="L18" s="555"/>
      <c r="M18" s="539"/>
      <c r="N18" s="539"/>
      <c r="O18" s="554"/>
      <c r="P18" s="538"/>
      <c r="Q18" s="538"/>
      <c r="R18" s="555"/>
      <c r="S18" s="539"/>
      <c r="T18" s="539"/>
      <c r="U18" s="554"/>
      <c r="V18" s="538"/>
      <c r="W18" s="538"/>
      <c r="X18" s="555"/>
      <c r="Y18" s="537"/>
      <c r="Z18" s="537"/>
      <c r="AA18" s="553"/>
    </row>
    <row r="19" spans="1:27" ht="15.75">
      <c r="A19" s="535">
        <v>43971</v>
      </c>
      <c r="B19" s="553"/>
      <c r="C19" s="554"/>
      <c r="D19" s="536"/>
      <c r="E19" s="538"/>
      <c r="F19" s="555"/>
      <c r="G19" s="537"/>
      <c r="H19" s="537"/>
      <c r="I19" s="554"/>
      <c r="J19" s="538"/>
      <c r="K19" s="538"/>
      <c r="L19" s="555"/>
      <c r="M19" s="539"/>
      <c r="N19" s="539"/>
      <c r="O19" s="554"/>
      <c r="P19" s="538"/>
      <c r="Q19" s="538"/>
      <c r="R19" s="555"/>
      <c r="S19" s="539"/>
      <c r="T19" s="539"/>
      <c r="U19" s="554"/>
      <c r="V19" s="538"/>
      <c r="W19" s="538"/>
      <c r="X19" s="555"/>
      <c r="Y19" s="537"/>
      <c r="Z19" s="537"/>
      <c r="AA19" s="553"/>
    </row>
    <row r="20" spans="1:27" ht="15.75">
      <c r="A20" s="535">
        <v>43972</v>
      </c>
      <c r="B20" s="553"/>
      <c r="C20" s="554"/>
      <c r="D20" s="536"/>
      <c r="E20" s="538"/>
      <c r="F20" s="555"/>
      <c r="G20" s="537"/>
      <c r="H20" s="537"/>
      <c r="I20" s="554"/>
      <c r="J20" s="538"/>
      <c r="K20" s="538"/>
      <c r="L20" s="555"/>
      <c r="M20" s="539"/>
      <c r="N20" s="539"/>
      <c r="O20" s="554"/>
      <c r="P20" s="538"/>
      <c r="Q20" s="538"/>
      <c r="R20" s="555"/>
      <c r="S20" s="539"/>
      <c r="T20" s="539"/>
      <c r="U20" s="554"/>
      <c r="V20" s="538"/>
      <c r="W20" s="538"/>
      <c r="X20" s="555"/>
      <c r="Y20" s="537"/>
      <c r="Z20" s="537"/>
      <c r="AA20" s="553"/>
    </row>
    <row r="21" spans="1:27" ht="15.75">
      <c r="A21" s="535">
        <v>43973</v>
      </c>
      <c r="B21" s="553"/>
      <c r="C21" s="554"/>
      <c r="D21" s="536"/>
      <c r="E21" s="538"/>
      <c r="F21" s="555"/>
      <c r="G21" s="537"/>
      <c r="H21" s="537"/>
      <c r="I21" s="554"/>
      <c r="J21" s="538"/>
      <c r="K21" s="538"/>
      <c r="L21" s="555"/>
      <c r="M21" s="539"/>
      <c r="N21" s="539"/>
      <c r="O21" s="554"/>
      <c r="P21" s="538"/>
      <c r="Q21" s="538"/>
      <c r="R21" s="555"/>
      <c r="S21" s="539"/>
      <c r="T21" s="539"/>
      <c r="U21" s="554"/>
      <c r="V21" s="538"/>
      <c r="W21" s="538"/>
      <c r="X21" s="555"/>
      <c r="Y21" s="537"/>
      <c r="Z21" s="537"/>
      <c r="AA21" s="553"/>
    </row>
    <row r="22" spans="1:27" ht="15.75">
      <c r="A22" s="535">
        <v>43974</v>
      </c>
      <c r="B22" s="553"/>
      <c r="C22" s="554"/>
      <c r="D22" s="536"/>
      <c r="E22" s="538"/>
      <c r="F22" s="555"/>
      <c r="G22" s="537"/>
      <c r="H22" s="537"/>
      <c r="I22" s="554"/>
      <c r="J22" s="538"/>
      <c r="K22" s="538"/>
      <c r="L22" s="555"/>
      <c r="M22" s="539"/>
      <c r="N22" s="539"/>
      <c r="O22" s="554"/>
      <c r="P22" s="538"/>
      <c r="Q22" s="538"/>
      <c r="R22" s="555"/>
      <c r="S22" s="539"/>
      <c r="T22" s="539"/>
      <c r="U22" s="554"/>
      <c r="V22" s="538"/>
      <c r="W22" s="538"/>
      <c r="X22" s="555"/>
      <c r="Y22" s="537"/>
      <c r="Z22" s="537"/>
      <c r="AA22" s="553"/>
    </row>
    <row r="23" spans="1:27" ht="15.75">
      <c r="A23" s="535">
        <v>43975</v>
      </c>
      <c r="B23" s="553"/>
      <c r="C23" s="554"/>
      <c r="D23" s="536"/>
      <c r="E23" s="538"/>
      <c r="F23" s="555"/>
      <c r="G23" s="537"/>
      <c r="H23" s="537"/>
      <c r="I23" s="554"/>
      <c r="J23" s="538"/>
      <c r="K23" s="538"/>
      <c r="L23" s="555"/>
      <c r="M23" s="539"/>
      <c r="N23" s="539"/>
      <c r="O23" s="554"/>
      <c r="P23" s="538"/>
      <c r="Q23" s="538"/>
      <c r="R23" s="555"/>
      <c r="S23" s="539"/>
      <c r="T23" s="539"/>
      <c r="U23" s="554"/>
      <c r="V23" s="538"/>
      <c r="W23" s="538"/>
      <c r="X23" s="555"/>
      <c r="Y23" s="537"/>
      <c r="Z23" s="537"/>
      <c r="AA23" s="553"/>
    </row>
    <row r="24" spans="1:27" ht="15.75">
      <c r="A24" s="535">
        <v>43976</v>
      </c>
      <c r="B24" s="553"/>
      <c r="C24" s="554"/>
      <c r="D24" s="536"/>
      <c r="E24" s="538"/>
      <c r="F24" s="555"/>
      <c r="G24" s="537"/>
      <c r="H24" s="537"/>
      <c r="I24" s="554"/>
      <c r="J24" s="538"/>
      <c r="K24" s="538"/>
      <c r="L24" s="555"/>
      <c r="M24" s="539"/>
      <c r="N24" s="539"/>
      <c r="O24" s="554"/>
      <c r="P24" s="538"/>
      <c r="Q24" s="538"/>
      <c r="R24" s="555"/>
      <c r="S24" s="539"/>
      <c r="T24" s="539"/>
      <c r="U24" s="554"/>
      <c r="V24" s="538"/>
      <c r="W24" s="538"/>
      <c r="X24" s="555"/>
      <c r="Y24" s="537"/>
      <c r="Z24" s="537"/>
      <c r="AA24" s="553"/>
    </row>
    <row r="25" spans="1:27" ht="15.75">
      <c r="A25" s="535">
        <v>43977</v>
      </c>
      <c r="B25" s="553"/>
      <c r="C25" s="554"/>
      <c r="D25" s="536"/>
      <c r="E25" s="538"/>
      <c r="F25" s="555"/>
      <c r="G25" s="537"/>
      <c r="H25" s="537"/>
      <c r="I25" s="554"/>
      <c r="J25" s="538"/>
      <c r="K25" s="538"/>
      <c r="L25" s="555"/>
      <c r="M25" s="539"/>
      <c r="N25" s="539"/>
      <c r="O25" s="554"/>
      <c r="P25" s="538"/>
      <c r="Q25" s="538"/>
      <c r="R25" s="555"/>
      <c r="S25" s="539"/>
      <c r="T25" s="539"/>
      <c r="U25" s="554"/>
      <c r="V25" s="538"/>
      <c r="W25" s="538"/>
      <c r="X25" s="555"/>
      <c r="Y25" s="537"/>
      <c r="Z25" s="537"/>
      <c r="AA25" s="553"/>
    </row>
    <row r="26" spans="1:27" ht="15.75">
      <c r="A26" s="535">
        <v>43978</v>
      </c>
      <c r="B26" s="553"/>
      <c r="C26" s="554"/>
      <c r="D26" s="536"/>
      <c r="E26" s="538"/>
      <c r="F26" s="555"/>
      <c r="G26" s="537"/>
      <c r="H26" s="537"/>
      <c r="I26" s="554"/>
      <c r="J26" s="538"/>
      <c r="K26" s="538"/>
      <c r="L26" s="555"/>
      <c r="M26" s="539"/>
      <c r="N26" s="539"/>
      <c r="O26" s="554"/>
      <c r="P26" s="538"/>
      <c r="Q26" s="538"/>
      <c r="R26" s="555"/>
      <c r="S26" s="539"/>
      <c r="T26" s="539"/>
      <c r="U26" s="554"/>
      <c r="V26" s="538"/>
      <c r="W26" s="538"/>
      <c r="X26" s="555"/>
      <c r="Y26" s="537"/>
      <c r="Z26" s="537"/>
      <c r="AA26" s="553"/>
    </row>
    <row r="27" spans="1:27" ht="15.75">
      <c r="A27" s="535">
        <v>43979</v>
      </c>
      <c r="B27" s="553"/>
      <c r="C27" s="554"/>
      <c r="D27" s="536"/>
      <c r="E27" s="538"/>
      <c r="F27" s="555"/>
      <c r="G27" s="537"/>
      <c r="H27" s="537"/>
      <c r="I27" s="554"/>
      <c r="J27" s="538"/>
      <c r="K27" s="538"/>
      <c r="L27" s="555"/>
      <c r="M27" s="539"/>
      <c r="N27" s="539"/>
      <c r="O27" s="554"/>
      <c r="P27" s="538"/>
      <c r="Q27" s="538"/>
      <c r="R27" s="555"/>
      <c r="S27" s="539"/>
      <c r="T27" s="539"/>
      <c r="U27" s="554"/>
      <c r="V27" s="538"/>
      <c r="W27" s="538"/>
      <c r="X27" s="555"/>
      <c r="Y27" s="537"/>
      <c r="Z27" s="537"/>
      <c r="AA27" s="553"/>
    </row>
    <row r="28" spans="1:27" ht="15.75">
      <c r="A28" s="535">
        <v>43980</v>
      </c>
      <c r="B28" s="553"/>
      <c r="C28" s="554"/>
      <c r="D28" s="536"/>
      <c r="E28" s="538"/>
      <c r="F28" s="555"/>
      <c r="G28" s="537"/>
      <c r="H28" s="537"/>
      <c r="I28" s="554"/>
      <c r="J28" s="538"/>
      <c r="K28" s="538"/>
      <c r="L28" s="555"/>
      <c r="M28" s="539"/>
      <c r="N28" s="539"/>
      <c r="O28" s="554"/>
      <c r="P28" s="538"/>
      <c r="Q28" s="538"/>
      <c r="R28" s="555"/>
      <c r="S28" s="539"/>
      <c r="T28" s="539"/>
      <c r="U28" s="554"/>
      <c r="V28" s="538"/>
      <c r="W28" s="538"/>
      <c r="X28" s="555"/>
      <c r="Y28" s="537"/>
      <c r="Z28" s="537"/>
      <c r="AA28" s="553"/>
    </row>
    <row r="29" spans="1:27" ht="15.75">
      <c r="A29" s="535">
        <v>43981</v>
      </c>
      <c r="B29" s="553"/>
      <c r="C29" s="554"/>
      <c r="D29" s="536"/>
      <c r="E29" s="538"/>
      <c r="F29" s="555"/>
      <c r="G29" s="537"/>
      <c r="H29" s="537"/>
      <c r="I29" s="554"/>
      <c r="J29" s="538"/>
      <c r="K29" s="538"/>
      <c r="L29" s="555"/>
      <c r="M29" s="539"/>
      <c r="N29" s="539"/>
      <c r="O29" s="554"/>
      <c r="P29" s="538"/>
      <c r="Q29" s="538"/>
      <c r="R29" s="555"/>
      <c r="S29" s="539"/>
      <c r="T29" s="539"/>
      <c r="U29" s="554"/>
      <c r="V29" s="538"/>
      <c r="W29" s="538"/>
      <c r="X29" s="555"/>
      <c r="Y29" s="537"/>
      <c r="Z29" s="537"/>
      <c r="AA29" s="553"/>
    </row>
    <row r="30" spans="1:27" ht="15.75">
      <c r="A30" s="535">
        <v>43982</v>
      </c>
      <c r="B30" s="553"/>
      <c r="C30" s="554"/>
      <c r="D30" s="536"/>
      <c r="E30" s="538"/>
      <c r="F30" s="555"/>
      <c r="G30" s="537"/>
      <c r="H30" s="537"/>
      <c r="I30" s="554"/>
      <c r="J30" s="538"/>
      <c r="K30" s="538"/>
      <c r="L30" s="555"/>
      <c r="M30" s="539"/>
      <c r="N30" s="539"/>
      <c r="O30" s="554"/>
      <c r="P30" s="538"/>
      <c r="Q30" s="538"/>
      <c r="R30" s="555"/>
      <c r="S30" s="539"/>
      <c r="T30" s="539"/>
      <c r="U30" s="554"/>
      <c r="V30" s="538"/>
      <c r="W30" s="538"/>
      <c r="X30" s="555"/>
      <c r="Y30" s="537"/>
      <c r="Z30" s="537"/>
      <c r="AA30" s="553"/>
    </row>
    <row r="31" spans="1:27" ht="15.75">
      <c r="A31" s="535">
        <v>43983</v>
      </c>
      <c r="B31" s="553"/>
      <c r="C31" s="554"/>
      <c r="D31" s="536"/>
      <c r="E31" s="538"/>
      <c r="F31" s="555"/>
      <c r="G31" s="537"/>
      <c r="H31" s="537"/>
      <c r="I31" s="554"/>
      <c r="J31" s="538"/>
      <c r="K31" s="538"/>
      <c r="L31" s="555"/>
      <c r="M31" s="539"/>
      <c r="N31" s="539"/>
      <c r="O31" s="554"/>
      <c r="P31" s="538"/>
      <c r="Q31" s="538"/>
      <c r="R31" s="555"/>
      <c r="S31" s="539"/>
      <c r="T31" s="539"/>
      <c r="U31" s="554"/>
      <c r="V31" s="538"/>
      <c r="W31" s="538"/>
      <c r="X31" s="555"/>
      <c r="Y31" s="537"/>
      <c r="Z31" s="537"/>
      <c r="AA31" s="553"/>
    </row>
    <row r="32" spans="1:27" ht="15.75">
      <c r="A32" s="535">
        <v>43984</v>
      </c>
      <c r="B32" s="553"/>
      <c r="C32" s="554"/>
      <c r="D32" s="536"/>
      <c r="E32" s="538"/>
      <c r="F32" s="555"/>
      <c r="G32" s="537"/>
      <c r="H32" s="537"/>
      <c r="I32" s="554"/>
      <c r="J32" s="538"/>
      <c r="K32" s="538"/>
      <c r="L32" s="555"/>
      <c r="M32" s="539"/>
      <c r="N32" s="539"/>
      <c r="O32" s="554"/>
      <c r="P32" s="538"/>
      <c r="Q32" s="538"/>
      <c r="R32" s="555"/>
      <c r="S32" s="539"/>
      <c r="T32" s="539"/>
      <c r="U32" s="554"/>
      <c r="V32" s="538"/>
      <c r="W32" s="538"/>
      <c r="X32" s="555"/>
      <c r="Y32" s="537"/>
      <c r="Z32" s="537"/>
      <c r="AA32" s="553"/>
    </row>
    <row r="33" spans="1:27" ht="15.75">
      <c r="A33" s="535">
        <v>43985</v>
      </c>
      <c r="B33" s="553"/>
      <c r="C33" s="554"/>
      <c r="D33" s="536"/>
      <c r="E33" s="538"/>
      <c r="F33" s="555"/>
      <c r="G33" s="537"/>
      <c r="H33" s="537"/>
      <c r="I33" s="554"/>
      <c r="J33" s="538"/>
      <c r="K33" s="538"/>
      <c r="L33" s="555"/>
      <c r="M33" s="539"/>
      <c r="N33" s="539"/>
      <c r="O33" s="554"/>
      <c r="P33" s="538"/>
      <c r="Q33" s="538"/>
      <c r="R33" s="555"/>
      <c r="S33" s="539"/>
      <c r="T33" s="539"/>
      <c r="U33" s="554"/>
      <c r="V33" s="538"/>
      <c r="W33" s="538"/>
      <c r="X33" s="555"/>
      <c r="Y33" s="537"/>
      <c r="Z33" s="537"/>
      <c r="AA33" s="553"/>
    </row>
    <row r="34" spans="1:27" ht="15.75">
      <c r="A34" s="535">
        <v>43986</v>
      </c>
      <c r="B34" s="553"/>
      <c r="C34" s="554"/>
      <c r="D34" s="536"/>
      <c r="E34" s="538"/>
      <c r="F34" s="555"/>
      <c r="G34" s="537"/>
      <c r="H34" s="537"/>
      <c r="I34" s="554"/>
      <c r="J34" s="538"/>
      <c r="K34" s="538"/>
      <c r="L34" s="555"/>
      <c r="M34" s="539"/>
      <c r="N34" s="539"/>
      <c r="O34" s="554"/>
      <c r="P34" s="538"/>
      <c r="Q34" s="538"/>
      <c r="R34" s="555"/>
      <c r="S34" s="539"/>
      <c r="T34" s="539"/>
      <c r="U34" s="554"/>
      <c r="V34" s="538"/>
      <c r="W34" s="538"/>
      <c r="X34" s="555"/>
      <c r="Y34" s="537"/>
      <c r="Z34" s="537"/>
      <c r="AA34" s="553"/>
    </row>
    <row r="35" spans="1:27" ht="15.75">
      <c r="A35" s="535">
        <v>43987</v>
      </c>
      <c r="B35" s="553"/>
      <c r="C35" s="554"/>
      <c r="D35" s="536"/>
      <c r="E35" s="538"/>
      <c r="F35" s="555"/>
      <c r="G35" s="537"/>
      <c r="H35" s="537"/>
      <c r="I35" s="554"/>
      <c r="J35" s="538"/>
      <c r="K35" s="538"/>
      <c r="L35" s="555"/>
      <c r="M35" s="539"/>
      <c r="N35" s="539"/>
      <c r="O35" s="554"/>
      <c r="P35" s="538"/>
      <c r="Q35" s="538"/>
      <c r="R35" s="555"/>
      <c r="S35" s="539"/>
      <c r="T35" s="539"/>
      <c r="U35" s="554"/>
      <c r="V35" s="538"/>
      <c r="W35" s="538"/>
      <c r="X35" s="555"/>
      <c r="Y35" s="537"/>
      <c r="Z35" s="537"/>
      <c r="AA35" s="553"/>
    </row>
    <row r="36" spans="1:27" ht="15.75">
      <c r="A36" s="535">
        <v>43988</v>
      </c>
      <c r="B36" s="553"/>
      <c r="C36" s="554"/>
      <c r="D36" s="536"/>
      <c r="E36" s="538"/>
      <c r="F36" s="555"/>
      <c r="G36" s="537"/>
      <c r="H36" s="537"/>
      <c r="I36" s="554"/>
      <c r="J36" s="538"/>
      <c r="K36" s="538"/>
      <c r="L36" s="555"/>
      <c r="M36" s="539"/>
      <c r="N36" s="539"/>
      <c r="O36" s="554"/>
      <c r="P36" s="538"/>
      <c r="Q36" s="538"/>
      <c r="R36" s="555"/>
      <c r="S36" s="539"/>
      <c r="T36" s="539"/>
      <c r="U36" s="554"/>
      <c r="V36" s="538"/>
      <c r="W36" s="538"/>
      <c r="X36" s="555"/>
      <c r="Y36" s="537"/>
      <c r="Z36" s="537"/>
      <c r="AA36" s="553"/>
    </row>
    <row r="37" spans="1:27" ht="15.75">
      <c r="A37" s="535">
        <v>43989</v>
      </c>
      <c r="B37" s="553"/>
      <c r="C37" s="554"/>
      <c r="D37" s="536"/>
      <c r="E37" s="538"/>
      <c r="F37" s="555"/>
      <c r="G37" s="537"/>
      <c r="H37" s="537"/>
      <c r="I37" s="554"/>
      <c r="J37" s="538"/>
      <c r="K37" s="538"/>
      <c r="L37" s="555"/>
      <c r="M37" s="539"/>
      <c r="N37" s="539"/>
      <c r="O37" s="554"/>
      <c r="P37" s="538"/>
      <c r="Q37" s="538"/>
      <c r="R37" s="555"/>
      <c r="S37" s="539"/>
      <c r="T37" s="539"/>
      <c r="U37" s="554"/>
      <c r="V37" s="538"/>
      <c r="W37" s="538"/>
      <c r="X37" s="555"/>
      <c r="Y37" s="537"/>
      <c r="Z37" s="537"/>
      <c r="AA37" s="553"/>
    </row>
    <row r="38" spans="1:27" ht="15.75">
      <c r="A38" s="535">
        <v>43990</v>
      </c>
      <c r="B38" s="553"/>
      <c r="C38" s="554"/>
      <c r="D38" s="536"/>
      <c r="E38" s="538"/>
      <c r="F38" s="555"/>
      <c r="G38" s="537"/>
      <c r="H38" s="537"/>
      <c r="I38" s="554"/>
      <c r="J38" s="538"/>
      <c r="K38" s="538"/>
      <c r="L38" s="555"/>
      <c r="M38" s="539"/>
      <c r="N38" s="539"/>
      <c r="O38" s="554"/>
      <c r="P38" s="538"/>
      <c r="Q38" s="538"/>
      <c r="R38" s="555"/>
      <c r="S38" s="539"/>
      <c r="T38" s="539"/>
      <c r="U38" s="554"/>
      <c r="V38" s="538"/>
      <c r="W38" s="538"/>
      <c r="X38" s="555"/>
      <c r="Y38" s="537"/>
      <c r="Z38" s="537"/>
      <c r="AA38" s="553"/>
    </row>
    <row r="39" spans="1:27" ht="15.75">
      <c r="A39" s="535">
        <v>43991</v>
      </c>
      <c r="B39" s="553"/>
      <c r="C39" s="554"/>
      <c r="D39" s="536"/>
      <c r="E39" s="538"/>
      <c r="F39" s="555"/>
      <c r="G39" s="537"/>
      <c r="H39" s="537"/>
      <c r="I39" s="554"/>
      <c r="J39" s="538"/>
      <c r="K39" s="538"/>
      <c r="L39" s="555"/>
      <c r="M39" s="539"/>
      <c r="N39" s="539"/>
      <c r="O39" s="554"/>
      <c r="P39" s="538"/>
      <c r="Q39" s="538"/>
      <c r="R39" s="555"/>
      <c r="S39" s="539"/>
      <c r="T39" s="539"/>
      <c r="U39" s="554"/>
      <c r="V39" s="538"/>
      <c r="W39" s="538"/>
      <c r="X39" s="555"/>
      <c r="Y39" s="537"/>
      <c r="Z39" s="537"/>
      <c r="AA39" s="553"/>
    </row>
    <row r="40" spans="1:27" ht="15.75">
      <c r="A40" s="535">
        <v>43992</v>
      </c>
      <c r="B40" s="553"/>
      <c r="C40" s="554"/>
      <c r="D40" s="536"/>
      <c r="E40" s="538"/>
      <c r="F40" s="555"/>
      <c r="G40" s="537"/>
      <c r="H40" s="537"/>
      <c r="I40" s="554"/>
      <c r="J40" s="538"/>
      <c r="K40" s="538"/>
      <c r="L40" s="555"/>
      <c r="M40" s="539"/>
      <c r="N40" s="539"/>
      <c r="O40" s="554"/>
      <c r="P40" s="538"/>
      <c r="Q40" s="538"/>
      <c r="R40" s="555"/>
      <c r="S40" s="539"/>
      <c r="T40" s="539"/>
      <c r="U40" s="554"/>
      <c r="V40" s="538"/>
      <c r="W40" s="538"/>
      <c r="X40" s="555"/>
      <c r="Y40" s="537"/>
      <c r="Z40" s="537"/>
      <c r="AA40" s="553"/>
    </row>
    <row r="41" spans="1:27" ht="15.75">
      <c r="A41" s="535">
        <v>43993</v>
      </c>
      <c r="B41" s="553"/>
      <c r="C41" s="554"/>
      <c r="D41" s="536"/>
      <c r="E41" s="538"/>
      <c r="F41" s="555"/>
      <c r="G41" s="537"/>
      <c r="H41" s="537"/>
      <c r="I41" s="554"/>
      <c r="J41" s="538"/>
      <c r="K41" s="538"/>
      <c r="L41" s="555"/>
      <c r="M41" s="539"/>
      <c r="N41" s="539"/>
      <c r="O41" s="554"/>
      <c r="P41" s="538"/>
      <c r="Q41" s="538"/>
      <c r="R41" s="555"/>
      <c r="S41" s="539"/>
      <c r="T41" s="539"/>
      <c r="U41" s="554"/>
      <c r="V41" s="538"/>
      <c r="W41" s="538"/>
      <c r="X41" s="555"/>
      <c r="Y41" s="537"/>
      <c r="Z41" s="537"/>
      <c r="AA41" s="553"/>
    </row>
    <row r="42" spans="1:27" ht="15.75">
      <c r="A42" s="535">
        <v>43994</v>
      </c>
      <c r="B42" s="553"/>
      <c r="C42" s="554"/>
      <c r="D42" s="536"/>
      <c r="E42" s="538"/>
      <c r="F42" s="555"/>
      <c r="G42" s="537"/>
      <c r="H42" s="537"/>
      <c r="I42" s="554"/>
      <c r="J42" s="538"/>
      <c r="K42" s="538"/>
      <c r="L42" s="555"/>
      <c r="M42" s="539"/>
      <c r="N42" s="539"/>
      <c r="O42" s="554"/>
      <c r="P42" s="538"/>
      <c r="Q42" s="538"/>
      <c r="R42" s="555"/>
      <c r="S42" s="539"/>
      <c r="T42" s="539"/>
      <c r="U42" s="554"/>
      <c r="V42" s="538"/>
      <c r="W42" s="538"/>
      <c r="X42" s="555"/>
      <c r="Y42" s="537"/>
      <c r="Z42" s="537"/>
      <c r="AA42" s="553"/>
    </row>
    <row r="43" spans="1:27" ht="15.75">
      <c r="A43" s="535">
        <v>43995</v>
      </c>
      <c r="B43" s="553"/>
      <c r="C43" s="554"/>
      <c r="D43" s="536"/>
      <c r="E43" s="538"/>
      <c r="F43" s="555"/>
      <c r="G43" s="537"/>
      <c r="H43" s="537"/>
      <c r="I43" s="554"/>
      <c r="J43" s="538"/>
      <c r="K43" s="538"/>
      <c r="L43" s="555"/>
      <c r="M43" s="539"/>
      <c r="N43" s="539"/>
      <c r="O43" s="554"/>
      <c r="P43" s="538"/>
      <c r="Q43" s="538"/>
      <c r="R43" s="555"/>
      <c r="S43" s="539"/>
      <c r="T43" s="539"/>
      <c r="U43" s="554"/>
      <c r="V43" s="538"/>
      <c r="W43" s="538"/>
      <c r="X43" s="555"/>
      <c r="Y43" s="537"/>
      <c r="Z43" s="537"/>
      <c r="AA43" s="553"/>
    </row>
    <row r="44" spans="1:27" ht="15.75">
      <c r="A44" s="535">
        <v>43996</v>
      </c>
      <c r="B44" s="553"/>
      <c r="C44" s="554"/>
      <c r="D44" s="536"/>
      <c r="E44" s="538"/>
      <c r="F44" s="555"/>
      <c r="G44" s="537"/>
      <c r="H44" s="537"/>
      <c r="I44" s="554"/>
      <c r="J44" s="538"/>
      <c r="K44" s="538"/>
      <c r="L44" s="555"/>
      <c r="M44" s="539"/>
      <c r="N44" s="539"/>
      <c r="O44" s="554"/>
      <c r="P44" s="538"/>
      <c r="Q44" s="538"/>
      <c r="R44" s="555"/>
      <c r="S44" s="539"/>
      <c r="T44" s="539"/>
      <c r="U44" s="554"/>
      <c r="V44" s="538"/>
      <c r="W44" s="538"/>
      <c r="X44" s="555"/>
      <c r="Y44" s="537"/>
      <c r="Z44" s="537"/>
      <c r="AA44" s="553"/>
    </row>
    <row r="45" spans="1:27" ht="15.75">
      <c r="A45" s="535">
        <v>43997</v>
      </c>
      <c r="B45" s="553"/>
      <c r="C45" s="554"/>
      <c r="D45" s="536"/>
      <c r="E45" s="538"/>
      <c r="F45" s="555"/>
      <c r="G45" s="537"/>
      <c r="H45" s="537"/>
      <c r="I45" s="554"/>
      <c r="J45" s="538"/>
      <c r="K45" s="538"/>
      <c r="L45" s="555"/>
      <c r="M45" s="539"/>
      <c r="N45" s="539"/>
      <c r="O45" s="554"/>
      <c r="P45" s="538"/>
      <c r="Q45" s="538"/>
      <c r="R45" s="555"/>
      <c r="S45" s="539"/>
      <c r="T45" s="539"/>
      <c r="U45" s="554"/>
      <c r="V45" s="538"/>
      <c r="W45" s="538"/>
      <c r="X45" s="555"/>
      <c r="Y45" s="537"/>
      <c r="Z45" s="537"/>
      <c r="AA45" s="553"/>
    </row>
    <row r="46" spans="1:27" ht="15.75">
      <c r="A46" s="535">
        <v>43998</v>
      </c>
      <c r="B46" s="553"/>
      <c r="C46" s="554"/>
      <c r="D46" s="536"/>
      <c r="E46" s="538"/>
      <c r="F46" s="555"/>
      <c r="G46" s="537"/>
      <c r="H46" s="537"/>
      <c r="I46" s="554"/>
      <c r="J46" s="538"/>
      <c r="K46" s="538"/>
      <c r="L46" s="555"/>
      <c r="M46" s="539"/>
      <c r="N46" s="539"/>
      <c r="O46" s="554"/>
      <c r="P46" s="538"/>
      <c r="Q46" s="538"/>
      <c r="R46" s="555"/>
      <c r="S46" s="539"/>
      <c r="T46" s="539"/>
      <c r="U46" s="554"/>
      <c r="V46" s="538"/>
      <c r="W46" s="538"/>
      <c r="X46" s="555"/>
      <c r="Y46" s="537"/>
      <c r="Z46" s="537"/>
      <c r="AA46" s="553"/>
    </row>
    <row r="47" spans="1:27" ht="15.75">
      <c r="A47" s="535">
        <v>43999</v>
      </c>
      <c r="B47" s="553"/>
      <c r="C47" s="554"/>
      <c r="D47" s="536"/>
      <c r="E47" s="538"/>
      <c r="F47" s="555"/>
      <c r="G47" s="537"/>
      <c r="H47" s="537"/>
      <c r="I47" s="554"/>
      <c r="J47" s="538"/>
      <c r="K47" s="538"/>
      <c r="L47" s="555"/>
      <c r="M47" s="539"/>
      <c r="N47" s="539"/>
      <c r="O47" s="554"/>
      <c r="P47" s="538"/>
      <c r="Q47" s="538"/>
      <c r="R47" s="555"/>
      <c r="S47" s="539"/>
      <c r="T47" s="539"/>
      <c r="U47" s="554"/>
      <c r="V47" s="538"/>
      <c r="W47" s="538"/>
      <c r="X47" s="555"/>
      <c r="Y47" s="537"/>
      <c r="Z47" s="537"/>
      <c r="AA47" s="553"/>
    </row>
    <row r="48" spans="1:27" ht="15.75">
      <c r="A48" s="535">
        <v>44000</v>
      </c>
      <c r="B48" s="553"/>
      <c r="C48" s="554"/>
      <c r="D48" s="536"/>
      <c r="E48" s="538"/>
      <c r="F48" s="555"/>
      <c r="G48" s="537"/>
      <c r="H48" s="537"/>
      <c r="I48" s="554"/>
      <c r="J48" s="538"/>
      <c r="K48" s="538"/>
      <c r="L48" s="555"/>
      <c r="M48" s="539"/>
      <c r="N48" s="539"/>
      <c r="O48" s="554"/>
      <c r="P48" s="538"/>
      <c r="Q48" s="538"/>
      <c r="R48" s="555"/>
      <c r="S48" s="539"/>
      <c r="T48" s="539"/>
      <c r="U48" s="554"/>
      <c r="V48" s="538"/>
      <c r="W48" s="538"/>
      <c r="X48" s="555"/>
      <c r="Y48" s="537"/>
      <c r="Z48" s="537"/>
      <c r="AA48" s="553"/>
    </row>
    <row r="49" spans="1:27" ht="15.75">
      <c r="A49" s="535">
        <v>44001</v>
      </c>
      <c r="B49" s="553"/>
      <c r="C49" s="554"/>
      <c r="D49" s="536"/>
      <c r="E49" s="538"/>
      <c r="F49" s="555"/>
      <c r="G49" s="537"/>
      <c r="H49" s="537"/>
      <c r="I49" s="554"/>
      <c r="J49" s="538"/>
      <c r="K49" s="538"/>
      <c r="L49" s="555"/>
      <c r="M49" s="539"/>
      <c r="N49" s="539"/>
      <c r="O49" s="554"/>
      <c r="P49" s="538"/>
      <c r="Q49" s="538"/>
      <c r="R49" s="555"/>
      <c r="S49" s="539"/>
      <c r="T49" s="539"/>
      <c r="U49" s="554"/>
      <c r="V49" s="538"/>
      <c r="W49" s="538"/>
      <c r="X49" s="555"/>
      <c r="Y49" s="537"/>
      <c r="Z49" s="537"/>
      <c r="AA49" s="553"/>
    </row>
    <row r="50" spans="1:27" ht="15.75">
      <c r="A50" s="535">
        <v>44002</v>
      </c>
      <c r="B50" s="553"/>
      <c r="C50" s="554"/>
      <c r="D50" s="536"/>
      <c r="E50" s="538"/>
      <c r="F50" s="555"/>
      <c r="G50" s="537"/>
      <c r="H50" s="537"/>
      <c r="I50" s="554"/>
      <c r="J50" s="538"/>
      <c r="K50" s="538"/>
      <c r="L50" s="555"/>
      <c r="M50" s="539"/>
      <c r="N50" s="539"/>
      <c r="O50" s="554"/>
      <c r="P50" s="538"/>
      <c r="Q50" s="538"/>
      <c r="R50" s="555"/>
      <c r="S50" s="539"/>
      <c r="T50" s="539"/>
      <c r="U50" s="554"/>
      <c r="V50" s="538"/>
      <c r="W50" s="538"/>
      <c r="X50" s="555"/>
      <c r="Y50" s="537"/>
      <c r="Z50" s="537"/>
      <c r="AA50" s="553"/>
    </row>
    <row r="51" spans="1:27" ht="15.75">
      <c r="A51" s="535">
        <v>44003</v>
      </c>
      <c r="B51" s="553"/>
      <c r="C51" s="554"/>
      <c r="D51" s="536"/>
      <c r="E51" s="538"/>
      <c r="F51" s="555"/>
      <c r="G51" s="537"/>
      <c r="H51" s="537"/>
      <c r="I51" s="554"/>
      <c r="J51" s="538"/>
      <c r="K51" s="538"/>
      <c r="L51" s="555"/>
      <c r="M51" s="539"/>
      <c r="N51" s="539"/>
      <c r="O51" s="554"/>
      <c r="P51" s="538"/>
      <c r="Q51" s="538"/>
      <c r="R51" s="555"/>
      <c r="S51" s="539"/>
      <c r="T51" s="539"/>
      <c r="U51" s="554"/>
      <c r="V51" s="538"/>
      <c r="W51" s="538"/>
      <c r="X51" s="555"/>
      <c r="Y51" s="537"/>
      <c r="Z51" s="537"/>
      <c r="AA51" s="553"/>
    </row>
    <row r="52" spans="1:27" ht="15.75">
      <c r="A52" s="535">
        <v>44004</v>
      </c>
      <c r="B52" s="553"/>
      <c r="C52" s="554"/>
      <c r="D52" s="536"/>
      <c r="E52" s="538"/>
      <c r="F52" s="555"/>
      <c r="G52" s="537"/>
      <c r="H52" s="537"/>
      <c r="I52" s="554"/>
      <c r="J52" s="538"/>
      <c r="K52" s="538"/>
      <c r="L52" s="555"/>
      <c r="M52" s="539"/>
      <c r="N52" s="539"/>
      <c r="O52" s="554"/>
      <c r="P52" s="538"/>
      <c r="Q52" s="538"/>
      <c r="R52" s="555"/>
      <c r="S52" s="539"/>
      <c r="T52" s="539"/>
      <c r="U52" s="554"/>
      <c r="V52" s="538"/>
      <c r="W52" s="538"/>
      <c r="X52" s="555"/>
      <c r="Y52" s="537"/>
      <c r="Z52" s="537"/>
      <c r="AA52" s="553"/>
    </row>
    <row r="53" spans="1:27" ht="15.75">
      <c r="A53" s="535">
        <v>44005</v>
      </c>
      <c r="B53" s="553"/>
      <c r="C53" s="554"/>
      <c r="D53" s="536"/>
      <c r="E53" s="538"/>
      <c r="F53" s="555"/>
      <c r="G53" s="537"/>
      <c r="H53" s="537"/>
      <c r="I53" s="554"/>
      <c r="J53" s="538"/>
      <c r="K53" s="538"/>
      <c r="L53" s="555"/>
      <c r="M53" s="539"/>
      <c r="N53" s="539"/>
      <c r="O53" s="554"/>
      <c r="P53" s="538"/>
      <c r="Q53" s="538"/>
      <c r="R53" s="555"/>
      <c r="S53" s="539"/>
      <c r="T53" s="539"/>
      <c r="U53" s="554"/>
      <c r="V53" s="538"/>
      <c r="W53" s="538"/>
      <c r="X53" s="555"/>
      <c r="Y53" s="537"/>
      <c r="Z53" s="537"/>
      <c r="AA53" s="553"/>
    </row>
    <row r="54" spans="1:27" ht="15.75">
      <c r="A54" s="535">
        <v>44006</v>
      </c>
      <c r="B54" s="553"/>
      <c r="C54" s="554"/>
      <c r="D54" s="536"/>
      <c r="E54" s="538"/>
      <c r="F54" s="555"/>
      <c r="G54" s="537"/>
      <c r="H54" s="537"/>
      <c r="I54" s="554"/>
      <c r="J54" s="538"/>
      <c r="K54" s="538"/>
      <c r="L54" s="555"/>
      <c r="M54" s="539"/>
      <c r="N54" s="539"/>
      <c r="O54" s="554"/>
      <c r="P54" s="538"/>
      <c r="Q54" s="538"/>
      <c r="R54" s="555"/>
      <c r="S54" s="539"/>
      <c r="T54" s="539"/>
      <c r="U54" s="554"/>
      <c r="V54" s="538"/>
      <c r="W54" s="538"/>
      <c r="X54" s="555"/>
      <c r="Y54" s="537"/>
      <c r="Z54" s="537"/>
      <c r="AA54" s="553"/>
    </row>
    <row r="55" spans="1:27" ht="15.75">
      <c r="A55" s="535">
        <v>44007</v>
      </c>
      <c r="B55" s="553"/>
      <c r="C55" s="554"/>
      <c r="D55" s="536"/>
      <c r="E55" s="538"/>
      <c r="F55" s="555"/>
      <c r="G55" s="537"/>
      <c r="H55" s="537"/>
      <c r="I55" s="554"/>
      <c r="J55" s="538"/>
      <c r="K55" s="538"/>
      <c r="L55" s="555"/>
      <c r="M55" s="539"/>
      <c r="N55" s="539"/>
      <c r="O55" s="554"/>
      <c r="P55" s="538"/>
      <c r="Q55" s="538"/>
      <c r="R55" s="555"/>
      <c r="S55" s="539"/>
      <c r="T55" s="539"/>
      <c r="U55" s="554"/>
      <c r="V55" s="538"/>
      <c r="W55" s="538"/>
      <c r="X55" s="555"/>
      <c r="Y55" s="537"/>
      <c r="Z55" s="537"/>
      <c r="AA55" s="553"/>
    </row>
    <row r="56" spans="1:27" ht="15.75">
      <c r="A56" s="535">
        <v>44008</v>
      </c>
      <c r="B56" s="553"/>
      <c r="C56" s="554"/>
      <c r="D56" s="536"/>
      <c r="E56" s="538"/>
      <c r="F56" s="555"/>
      <c r="G56" s="537"/>
      <c r="H56" s="537"/>
      <c r="I56" s="554"/>
      <c r="J56" s="538"/>
      <c r="K56" s="538"/>
      <c r="L56" s="555"/>
      <c r="M56" s="539"/>
      <c r="N56" s="539"/>
      <c r="O56" s="554"/>
      <c r="P56" s="538"/>
      <c r="Q56" s="538"/>
      <c r="R56" s="555"/>
      <c r="S56" s="539"/>
      <c r="T56" s="539"/>
      <c r="U56" s="554"/>
      <c r="V56" s="538"/>
      <c r="W56" s="538"/>
      <c r="X56" s="555"/>
      <c r="Y56" s="537"/>
      <c r="Z56" s="537"/>
      <c r="AA56" s="553"/>
    </row>
    <row r="57" spans="1:27" ht="15.75">
      <c r="A57" s="535">
        <v>44009</v>
      </c>
      <c r="B57" s="553"/>
      <c r="C57" s="554"/>
      <c r="D57" s="536"/>
      <c r="E57" s="538"/>
      <c r="F57" s="555"/>
      <c r="G57" s="537"/>
      <c r="H57" s="537"/>
      <c r="I57" s="554"/>
      <c r="J57" s="538"/>
      <c r="K57" s="538"/>
      <c r="L57" s="555"/>
      <c r="M57" s="539"/>
      <c r="N57" s="539"/>
      <c r="O57" s="554"/>
      <c r="P57" s="538"/>
      <c r="Q57" s="538"/>
      <c r="R57" s="555"/>
      <c r="S57" s="539"/>
      <c r="T57" s="539"/>
      <c r="U57" s="554"/>
      <c r="V57" s="538"/>
      <c r="W57" s="538"/>
      <c r="X57" s="555"/>
      <c r="Y57" s="537"/>
      <c r="Z57" s="537"/>
      <c r="AA57" s="553"/>
    </row>
    <row r="58" spans="1:27" ht="15.75">
      <c r="A58" s="535">
        <v>44010</v>
      </c>
      <c r="B58" s="553"/>
      <c r="C58" s="554"/>
      <c r="D58" s="536"/>
      <c r="E58" s="538"/>
      <c r="F58" s="555"/>
      <c r="G58" s="537"/>
      <c r="H58" s="537"/>
      <c r="I58" s="554"/>
      <c r="J58" s="538"/>
      <c r="K58" s="538"/>
      <c r="L58" s="555"/>
      <c r="M58" s="539"/>
      <c r="N58" s="539"/>
      <c r="O58" s="554"/>
      <c r="P58" s="538"/>
      <c r="Q58" s="538"/>
      <c r="R58" s="555"/>
      <c r="S58" s="539"/>
      <c r="T58" s="539"/>
      <c r="U58" s="554"/>
      <c r="V58" s="538"/>
      <c r="W58" s="538"/>
      <c r="X58" s="555"/>
      <c r="Y58" s="537"/>
      <c r="Z58" s="537"/>
      <c r="AA58" s="553"/>
    </row>
    <row r="59" spans="1:27" ht="15.75">
      <c r="A59" s="535">
        <v>44011</v>
      </c>
      <c r="B59" s="553"/>
      <c r="C59" s="554"/>
      <c r="D59" s="536"/>
      <c r="E59" s="538"/>
      <c r="F59" s="555"/>
      <c r="G59" s="537"/>
      <c r="H59" s="537"/>
      <c r="I59" s="554"/>
      <c r="J59" s="538"/>
      <c r="K59" s="538"/>
      <c r="L59" s="555"/>
      <c r="M59" s="539"/>
      <c r="N59" s="539"/>
      <c r="O59" s="554"/>
      <c r="P59" s="538"/>
      <c r="Q59" s="538"/>
      <c r="R59" s="555"/>
      <c r="S59" s="539"/>
      <c r="T59" s="539"/>
      <c r="U59" s="554"/>
      <c r="V59" s="538"/>
      <c r="W59" s="538"/>
      <c r="X59" s="555"/>
      <c r="Y59" s="537"/>
      <c r="Z59" s="537"/>
      <c r="AA59" s="553"/>
    </row>
    <row r="60" spans="1:27" ht="15.75">
      <c r="A60" s="535">
        <v>44012</v>
      </c>
      <c r="B60" s="553"/>
      <c r="C60" s="554"/>
      <c r="D60" s="536"/>
      <c r="E60" s="538"/>
      <c r="F60" s="555"/>
      <c r="G60" s="537"/>
      <c r="H60" s="537"/>
      <c r="I60" s="554"/>
      <c r="J60" s="538"/>
      <c r="K60" s="538"/>
      <c r="L60" s="555"/>
      <c r="M60" s="539"/>
      <c r="N60" s="539"/>
      <c r="O60" s="554"/>
      <c r="P60" s="538"/>
      <c r="Q60" s="538"/>
      <c r="R60" s="555"/>
      <c r="S60" s="539"/>
      <c r="T60" s="539"/>
      <c r="U60" s="554"/>
      <c r="V60" s="538"/>
      <c r="W60" s="538"/>
      <c r="X60" s="555"/>
      <c r="Y60" s="537"/>
      <c r="Z60" s="537"/>
      <c r="AA60" s="553"/>
    </row>
    <row r="61" spans="1:27" ht="15.75">
      <c r="A61" s="535">
        <v>44013</v>
      </c>
      <c r="B61" s="553"/>
      <c r="C61" s="554"/>
      <c r="D61" s="536"/>
      <c r="E61" s="538"/>
      <c r="F61" s="555"/>
      <c r="G61" s="537"/>
      <c r="H61" s="537"/>
      <c r="I61" s="554"/>
      <c r="J61" s="538"/>
      <c r="K61" s="538"/>
      <c r="L61" s="555"/>
      <c r="M61" s="539"/>
      <c r="N61" s="539"/>
      <c r="O61" s="554"/>
      <c r="P61" s="538"/>
      <c r="Q61" s="538"/>
      <c r="R61" s="555"/>
      <c r="S61" s="539"/>
      <c r="T61" s="539"/>
      <c r="U61" s="554"/>
      <c r="V61" s="538"/>
      <c r="W61" s="538"/>
      <c r="X61" s="555"/>
      <c r="Y61" s="537"/>
      <c r="Z61" s="537"/>
      <c r="AA61" s="553"/>
    </row>
    <row r="62" spans="1:27">
      <c r="B62" s="568">
        <f>SUM(B6:B61)</f>
        <v>6.6840277777777768</v>
      </c>
      <c r="C62" s="568">
        <f>SUM(C6:C61)</f>
        <v>6.8770833333333332</v>
      </c>
      <c r="D62" s="565">
        <f>SUM(D6:D61)</f>
        <v>2.4000000000000004</v>
      </c>
      <c r="E62" s="565">
        <f>SUM(E6:E61)</f>
        <v>10</v>
      </c>
      <c r="F62" s="568">
        <f>SUM(F6:F61)</f>
        <v>6.884027777777777</v>
      </c>
      <c r="G62" s="565">
        <f t="shared" ref="G62:H62" si="0">SUM(G6:G61)</f>
        <v>1.4000000000000001</v>
      </c>
      <c r="H62" s="565">
        <f t="shared" si="0"/>
        <v>4</v>
      </c>
      <c r="I62" s="568">
        <f>SUM(I6:I61)</f>
        <v>6.969444444444445</v>
      </c>
      <c r="J62" s="565">
        <f t="shared" ref="J62:K62" si="1">SUM(J6:J61)</f>
        <v>7.1499999999999995</v>
      </c>
      <c r="K62" s="565">
        <f t="shared" si="1"/>
        <v>9.8000000000000007</v>
      </c>
      <c r="L62" s="568">
        <f>SUM(L6:L61)</f>
        <v>6.9840277777777775</v>
      </c>
      <c r="M62" s="565">
        <f t="shared" ref="M62:N62" si="2">SUM(M6:M61)</f>
        <v>7.1499999999999995</v>
      </c>
      <c r="N62" s="565">
        <f t="shared" si="2"/>
        <v>9.8000000000000007</v>
      </c>
      <c r="O62" s="568">
        <f>SUM(O6:O61)</f>
        <v>7.021527777777778</v>
      </c>
      <c r="P62" s="565">
        <f t="shared" ref="P62:Q62" si="3">SUM(P6:P61)</f>
        <v>7.25</v>
      </c>
      <c r="Q62" s="565">
        <f t="shared" si="3"/>
        <v>9.8000000000000007</v>
      </c>
      <c r="R62" s="568">
        <f>SUM(R6:R61)</f>
        <v>7.0354166666666655</v>
      </c>
      <c r="S62" s="565">
        <f t="shared" ref="S62:T62" si="4">SUM(S6:S61)</f>
        <v>7.25</v>
      </c>
      <c r="T62" s="565">
        <f t="shared" si="4"/>
        <v>9.8000000000000007</v>
      </c>
      <c r="U62" s="568">
        <f>SUM(U6:U61)</f>
        <v>7.0743055555555552</v>
      </c>
      <c r="V62" s="565">
        <f t="shared" ref="V62:W62" si="5">SUM(V6:V61)</f>
        <v>5</v>
      </c>
      <c r="W62" s="565">
        <f t="shared" si="5"/>
        <v>9</v>
      </c>
      <c r="X62" s="568">
        <f>SUM(X6:X61)</f>
        <v>7.0770833333333334</v>
      </c>
      <c r="Y62" s="565">
        <f t="shared" ref="Y62:Z62" si="6">SUM(Y6:Y61)</f>
        <v>0</v>
      </c>
      <c r="Z62" s="565">
        <f t="shared" si="6"/>
        <v>0</v>
      </c>
      <c r="AA62" s="568">
        <f>SUM(AA6:AA61)</f>
        <v>7.3187499999999988</v>
      </c>
    </row>
    <row r="63" spans="1:27">
      <c r="C63" s="568">
        <f>C62-B62</f>
        <v>0.19305555555555642</v>
      </c>
      <c r="E63" s="565">
        <f>E62-D62</f>
        <v>7.6</v>
      </c>
      <c r="F63" s="569">
        <f>F62-C62</f>
        <v>6.9444444444437536E-3</v>
      </c>
      <c r="H63" s="565">
        <f>H62-G62</f>
        <v>2.5999999999999996</v>
      </c>
      <c r="I63" s="570">
        <f>I62-F62</f>
        <v>8.5416666666668029E-2</v>
      </c>
      <c r="K63" s="565">
        <f>K62-J62</f>
        <v>2.6500000000000012</v>
      </c>
      <c r="L63" s="571">
        <f>L62-I62</f>
        <v>1.4583333333332504E-2</v>
      </c>
      <c r="N63" s="565">
        <f>N62-M62</f>
        <v>2.6500000000000012</v>
      </c>
      <c r="O63" s="571">
        <f>O62-L62</f>
        <v>3.7500000000000533E-2</v>
      </c>
      <c r="Q63" s="565">
        <f>Q62-P62</f>
        <v>2.5500000000000007</v>
      </c>
      <c r="R63" s="571">
        <f>R62-O62</f>
        <v>1.3888888888887507E-2</v>
      </c>
      <c r="T63" s="565">
        <f>T62-S62</f>
        <v>2.5500000000000007</v>
      </c>
      <c r="U63" s="571">
        <f>U62-R62</f>
        <v>3.8888888888889639E-2</v>
      </c>
      <c r="W63" s="565">
        <f>W62-V62</f>
        <v>4</v>
      </c>
      <c r="X63" s="571">
        <f>X62-U62</f>
        <v>2.777777777778212E-3</v>
      </c>
      <c r="Z63" s="565">
        <f>Z62-Y62</f>
        <v>0</v>
      </c>
      <c r="AA63" s="571">
        <f>AA62-X62</f>
        <v>0.24166666666666536</v>
      </c>
    </row>
    <row r="64" spans="1:27">
      <c r="E64" s="188">
        <f>E63*75</f>
        <v>570</v>
      </c>
      <c r="H64" s="188">
        <f>H63*75</f>
        <v>194.99999999999997</v>
      </c>
      <c r="K64" s="188">
        <f>K63*75</f>
        <v>198.75000000000009</v>
      </c>
      <c r="N64" s="188">
        <f>N63*75</f>
        <v>198.75000000000009</v>
      </c>
      <c r="Q64" s="188">
        <f>Q63*75</f>
        <v>191.25000000000006</v>
      </c>
      <c r="T64" s="188">
        <f>T63*75</f>
        <v>191.25000000000006</v>
      </c>
      <c r="W64" s="188">
        <f>W63*75</f>
        <v>300</v>
      </c>
      <c r="Z64" s="188">
        <f>Z63*75</f>
        <v>0</v>
      </c>
    </row>
    <row r="66" spans="3:7">
      <c r="C66" s="725" t="s">
        <v>2119</v>
      </c>
      <c r="D66" s="725"/>
      <c r="E66" s="566">
        <f>SUM(E64,H64,K64,N64,Q64,T64,W64,Z64)</f>
        <v>1845.0000000000002</v>
      </c>
      <c r="G66" s="188" t="s">
        <v>2</v>
      </c>
    </row>
    <row r="67" spans="3:7">
      <c r="C67" s="725" t="s">
        <v>2149</v>
      </c>
      <c r="D67" s="725"/>
      <c r="E67" s="569">
        <f>SUM(C63,F63,I63,L63,O63,R63,U63,X63,AA63)</f>
        <v>0.63472222222222197</v>
      </c>
    </row>
  </sheetData>
  <mergeCells count="25">
    <mergeCell ref="S1:AA1"/>
    <mergeCell ref="A1:F1"/>
    <mergeCell ref="G1:R1"/>
    <mergeCell ref="O4:Q4"/>
    <mergeCell ref="R4:T4"/>
    <mergeCell ref="U4:W4"/>
    <mergeCell ref="X4:Z4"/>
    <mergeCell ref="C4:E4"/>
    <mergeCell ref="F4:H4"/>
    <mergeCell ref="I4:K4"/>
    <mergeCell ref="L4:N4"/>
    <mergeCell ref="C3:H3"/>
    <mergeCell ref="I3:N3"/>
    <mergeCell ref="O3:T3"/>
    <mergeCell ref="U3:Z3"/>
    <mergeCell ref="R2:T2"/>
    <mergeCell ref="U2:W2"/>
    <mergeCell ref="X2:Z2"/>
    <mergeCell ref="C67:D67"/>
    <mergeCell ref="C2:E2"/>
    <mergeCell ref="F2:H2"/>
    <mergeCell ref="I2:K2"/>
    <mergeCell ref="L2:N2"/>
    <mergeCell ref="O2:Q2"/>
    <mergeCell ref="C66:D66"/>
  </mergeCells>
  <conditionalFormatting sqref="D6:D61 G6:G61 J6:J61 M6:M61 S6:S61 V6:V61 Y6:Y61 P6:P61">
    <cfRule type="cellIs" dxfId="37" priority="3" operator="equal">
      <formula>0</formula>
    </cfRule>
  </conditionalFormatting>
  <conditionalFormatting sqref="D6:D61 J6:J61 P6:P61 V6:V61">
    <cfRule type="containsBlanks" dxfId="36" priority="2">
      <formula>LEN(TRIM(D6))=0</formula>
    </cfRule>
  </conditionalFormatting>
  <conditionalFormatting sqref="G6:G61 M6:M61 S6:S61 Y6:Y61">
    <cfRule type="containsBlanks" dxfId="35" priority="1">
      <formula>LEN(TRIM(G6))=0</formula>
    </cfRule>
  </conditionalFormatting>
  <hyperlinks>
    <hyperlink ref="A1" location="DASHBOARD!A1" display="Back to Dashboard" xr:uid="{00000000-0004-0000-0C00-000000000000}"/>
    <hyperlink ref="S1:AA1" r:id="rId1" display="Layout Slide" xr:uid="{00000000-0004-0000-0C00-000001000000}"/>
    <hyperlink ref="A4" location="TOTALS!B199" display="TOTALS" xr:uid="{00000000-0004-0000-0C00-000002000000}"/>
  </hyperlinks>
  <printOptions horizontalCentered="1"/>
  <pageMargins left="0.25" right="0.25" top="0.75" bottom="0.75" header="0.3" footer="0.3"/>
  <pageSetup scale="48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pageSetUpPr fitToPage="1"/>
  </sheetPr>
  <dimension ref="A1:U191"/>
  <sheetViews>
    <sheetView zoomScale="160" zoomScaleNormal="160" workbookViewId="0">
      <pane xSplit="1" ySplit="5" topLeftCell="B49" activePane="bottomRight" state="frozen"/>
      <selection pane="topRight" activeCell="B1" sqref="B1"/>
      <selection pane="bottomLeft" activeCell="A7" sqref="A7"/>
      <selection pane="bottomRight" sqref="A1:G1"/>
    </sheetView>
  </sheetViews>
  <sheetFormatPr defaultRowHeight="15"/>
  <cols>
    <col min="1" max="1" width="1.42578125" customWidth="1"/>
    <col min="2" max="2" width="12.5703125" customWidth="1"/>
    <col min="3" max="3" width="11.5703125" style="1" customWidth="1"/>
    <col min="4" max="4" width="8.42578125" style="1" bestFit="1" customWidth="1"/>
    <col min="5" max="5" width="9.42578125" style="1" customWidth="1"/>
    <col min="6" max="6" width="1.42578125" customWidth="1"/>
    <col min="7" max="7" width="12.5703125" customWidth="1"/>
    <col min="8" max="8" width="11.5703125" style="1" customWidth="1"/>
    <col min="9" max="9" width="5.85546875" style="1" bestFit="1" customWidth="1"/>
    <col min="10" max="10" width="8.42578125" style="1" customWidth="1"/>
    <col min="11" max="11" width="1.42578125" customWidth="1"/>
    <col min="12" max="12" width="12.7109375" customWidth="1"/>
    <col min="13" max="13" width="11.5703125" customWidth="1"/>
    <col min="14" max="14" width="5.85546875" style="1" bestFit="1" customWidth="1"/>
    <col min="15" max="15" width="8.42578125" style="1" customWidth="1"/>
    <col min="16" max="16" width="1.42578125" customWidth="1"/>
    <col min="17" max="17" width="12.7109375" customWidth="1"/>
    <col min="18" max="18" width="11.7109375" customWidth="1"/>
    <col min="19" max="19" width="5.85546875" style="1" bestFit="1" customWidth="1"/>
    <col min="20" max="20" width="8.42578125" style="1" customWidth="1"/>
    <col min="21" max="21" width="1.42578125" customWidth="1"/>
  </cols>
  <sheetData>
    <row r="1" spans="1:21" s="233" customFormat="1" ht="46.5" customHeight="1">
      <c r="A1" s="619" t="s">
        <v>313</v>
      </c>
      <c r="B1" s="620"/>
      <c r="C1" s="620"/>
      <c r="D1" s="620"/>
      <c r="E1" s="620"/>
      <c r="F1" s="620"/>
      <c r="G1" s="621"/>
      <c r="H1" s="737" t="s">
        <v>376</v>
      </c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</row>
    <row r="2" spans="1:21" ht="6.6" customHeight="1" thickBot="1">
      <c r="A2" s="6"/>
      <c r="B2" s="68"/>
      <c r="C2" s="67"/>
      <c r="D2" s="67"/>
      <c r="E2" s="67"/>
      <c r="F2" s="67"/>
      <c r="G2" s="67"/>
      <c r="H2" s="67"/>
      <c r="I2" s="6"/>
      <c r="J2" s="6"/>
      <c r="K2" s="67"/>
      <c r="L2" s="67"/>
      <c r="M2" s="67"/>
      <c r="N2" s="6"/>
      <c r="O2" s="6"/>
      <c r="P2" s="67"/>
      <c r="Q2" s="67"/>
      <c r="R2" s="67"/>
      <c r="S2" s="6"/>
      <c r="T2" s="6"/>
      <c r="U2" s="67"/>
    </row>
    <row r="3" spans="1:21" ht="60.75" thickBot="1">
      <c r="A3" s="6"/>
      <c r="B3" s="70" t="s">
        <v>102</v>
      </c>
      <c r="C3" s="742">
        <f>C189</f>
        <v>602</v>
      </c>
      <c r="D3" s="743"/>
      <c r="E3" s="744"/>
      <c r="F3" s="67"/>
      <c r="G3" s="70" t="s">
        <v>103</v>
      </c>
      <c r="H3" s="742">
        <f>D189</f>
        <v>518.25</v>
      </c>
      <c r="I3" s="743"/>
      <c r="J3" s="744"/>
      <c r="K3" s="67"/>
      <c r="L3" s="70" t="s">
        <v>104</v>
      </c>
      <c r="M3" s="742">
        <f>E189</f>
        <v>704</v>
      </c>
      <c r="N3" s="743"/>
      <c r="O3" s="744"/>
      <c r="P3" s="67"/>
      <c r="Q3" s="70" t="s">
        <v>383</v>
      </c>
      <c r="R3" s="739">
        <f ca="1">TOTALS!$H$123</f>
        <v>221</v>
      </c>
      <c r="S3" s="740"/>
      <c r="T3" s="741"/>
      <c r="U3" s="67"/>
    </row>
    <row r="4" spans="1:21" ht="7.5" customHeight="1">
      <c r="A4" s="6"/>
      <c r="B4" s="68"/>
      <c r="C4" s="67"/>
      <c r="D4" s="67"/>
      <c r="E4" s="67"/>
      <c r="F4" s="67"/>
      <c r="G4" s="67"/>
      <c r="H4" s="67"/>
      <c r="I4" s="6"/>
      <c r="J4" s="6"/>
      <c r="K4" s="67"/>
      <c r="L4" s="67"/>
      <c r="M4" s="67"/>
      <c r="N4" s="6"/>
      <c r="O4" s="6"/>
      <c r="P4" s="67"/>
      <c r="Q4" s="67"/>
      <c r="R4" s="67"/>
      <c r="S4" s="6"/>
      <c r="T4" s="6"/>
      <c r="U4" s="6"/>
    </row>
    <row r="5" spans="1:21" ht="29.1" customHeight="1">
      <c r="A5" s="6"/>
      <c r="B5" s="3" t="s">
        <v>0</v>
      </c>
      <c r="C5" s="64" t="s">
        <v>55</v>
      </c>
      <c r="D5" s="64" t="s">
        <v>58</v>
      </c>
      <c r="E5" s="64" t="s">
        <v>59</v>
      </c>
      <c r="F5" s="63"/>
      <c r="G5" s="735" t="s">
        <v>303</v>
      </c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  <c r="T5" s="736"/>
      <c r="U5" s="514"/>
    </row>
    <row r="6" spans="1:21" ht="14.45" customHeight="1">
      <c r="A6" s="6"/>
      <c r="B6" s="66">
        <v>44013</v>
      </c>
      <c r="C6" s="95">
        <f>COUNTIF('Work Task_Log'!A:D,"7/1/2020")</f>
        <v>0</v>
      </c>
      <c r="D6" s="95">
        <f>SUMIF('Work Task_Log'!A1:A1969,"07/1/2020",'Work Task_Log'!I1:I2003)</f>
        <v>0</v>
      </c>
      <c r="E6" s="95">
        <f>SUMIF('Work Task_Log'!A1:A1969,"07/1/2020",'Work Task_Log'!J1:J2003)</f>
        <v>0</v>
      </c>
      <c r="F6" s="7"/>
    </row>
    <row r="7" spans="1:21" ht="14.45" customHeight="1">
      <c r="A7" s="6"/>
      <c r="B7" s="65">
        <v>44012</v>
      </c>
      <c r="C7" s="4">
        <f>COUNTIF('Work Task_Log'!A:D,"6/30/2020")</f>
        <v>0</v>
      </c>
      <c r="D7" s="4">
        <f>SUMIF('Work Task_Log'!A1:A1969,"6/30/2020",'Work Task_Log'!I1:I2003)</f>
        <v>0</v>
      </c>
      <c r="E7" s="4">
        <f>SUMIF('Work Task_Log'!A1:A1969,"6/30/2020",'Work Task_Log'!J1:J2003)</f>
        <v>0</v>
      </c>
      <c r="F7" s="7"/>
    </row>
    <row r="8" spans="1:21" ht="14.45" customHeight="1">
      <c r="A8" s="6"/>
      <c r="B8" s="66">
        <v>44011</v>
      </c>
      <c r="C8" s="95">
        <f>COUNTIF('Work Task_Log'!A:D,"6/29/2020")</f>
        <v>0</v>
      </c>
      <c r="D8" s="95">
        <f>SUMIF('Work Task_Log'!A1:A1969,"06/29/2020",'Work Task_Log'!I1:I2003)</f>
        <v>0</v>
      </c>
      <c r="E8" s="95">
        <f>SUMIF('Work Task_Log'!A1:A1969,"06/29/2020",'Work Task_Log'!J1:J2003)</f>
        <v>0</v>
      </c>
      <c r="F8" s="7"/>
    </row>
    <row r="9" spans="1:21" ht="14.45" customHeight="1">
      <c r="A9" s="6"/>
      <c r="B9" s="65">
        <v>44010</v>
      </c>
      <c r="C9" s="4">
        <f>COUNTIF('Work Task_Log'!A:D,"6/28/2020")</f>
        <v>0</v>
      </c>
      <c r="D9" s="4">
        <f>SUMIF('Work Task_Log'!A1:A1969,"06/28/2020",'Work Task_Log'!I1:I2003)</f>
        <v>0</v>
      </c>
      <c r="E9" s="4">
        <f>SUMIF('Work Task_Log'!A1:A1969,"06/28/2020",'Work Task_Log'!J1:J2003)</f>
        <v>0</v>
      </c>
      <c r="F9" s="7"/>
    </row>
    <row r="10" spans="1:21" ht="14.45" customHeight="1">
      <c r="A10" s="6"/>
      <c r="B10" s="66">
        <v>44009</v>
      </c>
      <c r="C10" s="95">
        <f>COUNTIF('Work Task_Log'!A:D,"6/27/2020")</f>
        <v>0</v>
      </c>
      <c r="D10" s="95">
        <f>SUMIF('Work Task_Log'!A1:A1969,"06/27/2020",'Work Task_Log'!I1:I2003)</f>
        <v>0</v>
      </c>
      <c r="E10" s="95">
        <f>SUMIF('Work Task_Log'!A1:A1969,"06/27/2020",'Work Task_Log'!J1:J2003)</f>
        <v>0</v>
      </c>
      <c r="F10" s="7"/>
    </row>
    <row r="11" spans="1:21" ht="14.45" customHeight="1">
      <c r="A11" s="6"/>
      <c r="B11" s="65">
        <v>44008</v>
      </c>
      <c r="C11" s="4">
        <f>COUNTIF('Work Task_Log'!A:D,"6/26/2020")</f>
        <v>0</v>
      </c>
      <c r="D11" s="4">
        <f>SUMIF('Work Task_Log'!A1:A1969,"06/26/2020",'Work Task_Log'!I1:I2003)</f>
        <v>0</v>
      </c>
      <c r="E11" s="4">
        <f>SUMIF('Work Task_Log'!A1:A1969,"06/26/2020",'Work Task_Log'!J1:J2003)</f>
        <v>0</v>
      </c>
      <c r="F11" s="7"/>
    </row>
    <row r="12" spans="1:21" ht="14.45" customHeight="1">
      <c r="A12" s="6"/>
      <c r="B12" s="66">
        <v>44007</v>
      </c>
      <c r="C12" s="95">
        <f>COUNTIF('Work Task_Log'!A:D,"6/25/2020")</f>
        <v>0</v>
      </c>
      <c r="D12" s="95">
        <f>SUMIF('Work Task_Log'!A1:A1969,"06/25/2020",'Work Task_Log'!I1:I2003)</f>
        <v>0</v>
      </c>
      <c r="E12" s="95">
        <f>SUMIF('Work Task_Log'!A1:A1969,"06/25/2020",'Work Task_Log'!J1:J2003)</f>
        <v>0</v>
      </c>
      <c r="F12" s="7"/>
    </row>
    <row r="13" spans="1:21" ht="14.45" customHeight="1">
      <c r="A13" s="6"/>
      <c r="B13" s="65">
        <v>44006</v>
      </c>
      <c r="C13" s="4">
        <f>COUNTIF('Work Task_Log'!A:D,"6/24/2020")</f>
        <v>0</v>
      </c>
      <c r="D13" s="4">
        <f>SUMIF('Work Task_Log'!A1:A1969,"06/24/2020",'Work Task_Log'!I1:I2003)</f>
        <v>0</v>
      </c>
      <c r="E13" s="4">
        <f>SUMIF('Work Task_Log'!A1:A1969,"06/24/2020",'Work Task_Log'!J1:J2003)</f>
        <v>0</v>
      </c>
      <c r="F13" s="7"/>
    </row>
    <row r="14" spans="1:21" ht="14.45" customHeight="1">
      <c r="A14" s="6"/>
      <c r="B14" s="66">
        <v>44005</v>
      </c>
      <c r="C14" s="95">
        <f>COUNTIF('Work Task_Log'!A:D,"6/23/2020")</f>
        <v>0</v>
      </c>
      <c r="D14" s="95">
        <f>SUMIF('Work Task_Log'!A1:A1969,"06/23/2020",'Work Task_Log'!I1:I2003)</f>
        <v>0</v>
      </c>
      <c r="E14" s="95">
        <f>SUMIF('Work Task_Log'!A1:A1969,"06/23/2020",'Work Task_Log'!J1:J2003)</f>
        <v>0</v>
      </c>
      <c r="F14" s="7"/>
    </row>
    <row r="15" spans="1:21" ht="14.45" customHeight="1">
      <c r="A15" s="6"/>
      <c r="B15" s="65">
        <v>44004</v>
      </c>
      <c r="C15" s="4">
        <f>COUNTIF('Work Task_Log'!A:D,"6/22/2020")</f>
        <v>0</v>
      </c>
      <c r="D15" s="4">
        <f>SUMIF('Work Task_Log'!A1:A1969,"06/22/2020",'Work Task_Log'!I1:I2003)</f>
        <v>0</v>
      </c>
      <c r="E15" s="4">
        <f>SUMIF('Work Task_Log'!A1:A1969,"06/22/2020",'Work Task_Log'!J1:J2003)</f>
        <v>0</v>
      </c>
      <c r="F15" s="7"/>
    </row>
    <row r="16" spans="1:21" ht="14.45" customHeight="1">
      <c r="A16" s="6"/>
      <c r="B16" s="66">
        <v>44003</v>
      </c>
      <c r="C16" s="95">
        <f>COUNTIF('Work Task_Log'!A:D,"6/21/2020")</f>
        <v>0</v>
      </c>
      <c r="D16" s="95">
        <f>SUMIF('Work Task_Log'!A1:A1969,"06/21/2020",'Work Task_Log'!I1:I2003)</f>
        <v>0</v>
      </c>
      <c r="E16" s="95">
        <f>SUMIF('Work Task_Log'!A1:A1969,"06/21/2020",'Work Task_Log'!J1:J2003)</f>
        <v>0</v>
      </c>
      <c r="F16" s="7"/>
    </row>
    <row r="17" spans="1:6" ht="14.45" customHeight="1">
      <c r="A17" s="6"/>
      <c r="B17" s="65">
        <v>44002</v>
      </c>
      <c r="C17" s="4">
        <f>COUNTIF('Work Task_Log'!A:D,"6/20/2020")</f>
        <v>0</v>
      </c>
      <c r="D17" s="4">
        <f>SUMIF('Work Task_Log'!A1:A1969,"06/20/2020",'Work Task_Log'!I1:I2003)</f>
        <v>0</v>
      </c>
      <c r="E17" s="4">
        <f>SUMIF('Work Task_Log'!A1:A1969,"06/20/2020",'Work Task_Log'!J1:J2003)</f>
        <v>0</v>
      </c>
      <c r="F17" s="7"/>
    </row>
    <row r="18" spans="1:6" ht="14.45" customHeight="1">
      <c r="A18" s="6"/>
      <c r="B18" s="66">
        <v>44001</v>
      </c>
      <c r="C18" s="95">
        <f>COUNTIF('Work Task_Log'!A:D,"6/19/2020")</f>
        <v>0</v>
      </c>
      <c r="D18" s="95">
        <f>SUMIF('Work Task_Log'!A1:A1969,"06/19/2020",'Work Task_Log'!I1:I2003)</f>
        <v>0</v>
      </c>
      <c r="E18" s="95">
        <f>SUMIF('Work Task_Log'!A1:A1969,"06/19/2020",'Work Task_Log'!J1:J2003)</f>
        <v>0</v>
      </c>
      <c r="F18" s="7"/>
    </row>
    <row r="19" spans="1:6" ht="14.45" customHeight="1">
      <c r="A19" s="6"/>
      <c r="B19" s="65">
        <v>44000</v>
      </c>
      <c r="C19" s="4">
        <f>COUNTIF('Work Task_Log'!A:D,"6/18/2020")</f>
        <v>0</v>
      </c>
      <c r="D19" s="4">
        <f>SUMIF('Work Task_Log'!A1:A1969,"06/18/2020",'Work Task_Log'!I1:I2003)</f>
        <v>0</v>
      </c>
      <c r="E19" s="4">
        <f>SUMIF('Work Task_Log'!A1:A1969,"06/18/2020",'Work Task_Log'!J1:J2003)</f>
        <v>0</v>
      </c>
      <c r="F19" s="7"/>
    </row>
    <row r="20" spans="1:6" ht="14.45" customHeight="1">
      <c r="A20" s="6"/>
      <c r="B20" s="66">
        <v>43999</v>
      </c>
      <c r="C20" s="95">
        <f>COUNTIF('Work Task_Log'!A:D,"6/17/2020")</f>
        <v>0</v>
      </c>
      <c r="D20" s="95">
        <f>SUMIF('Work Task_Log'!A1:A1969,"06/17/2020",'Work Task_Log'!I1:I2003)</f>
        <v>0</v>
      </c>
      <c r="E20" s="95">
        <f>SUMIF('Work Task_Log'!A1:A1969,"06/17/2020",'Work Task_Log'!J1:J2003)</f>
        <v>0</v>
      </c>
      <c r="F20" s="7"/>
    </row>
    <row r="21" spans="1:6" ht="14.45" customHeight="1">
      <c r="A21" s="6"/>
      <c r="B21" s="65">
        <v>43998</v>
      </c>
      <c r="C21" s="4">
        <f>COUNTIF('Work Task_Log'!A:D,"6/16/2020")</f>
        <v>0</v>
      </c>
      <c r="D21" s="4">
        <f>SUMIF('Work Task_Log'!A1:A1969,"06/16/2020",'Work Task_Log'!I1:I2003)</f>
        <v>0</v>
      </c>
      <c r="E21" s="4">
        <f>SUMIF('Work Task_Log'!A1:A1969,"06/16/2020",'Work Task_Log'!J1:J2003)</f>
        <v>0</v>
      </c>
      <c r="F21" s="7"/>
    </row>
    <row r="22" spans="1:6" ht="14.45" customHeight="1">
      <c r="A22" s="6"/>
      <c r="B22" s="66">
        <v>43997</v>
      </c>
      <c r="C22" s="95">
        <f>COUNTIF('Work Task_Log'!A:D,"6/15/2020")</f>
        <v>0</v>
      </c>
      <c r="D22" s="95">
        <f>SUMIF('Work Task_Log'!A1:A1969,"06/15/2020",'Work Task_Log'!I1:I2003)</f>
        <v>0</v>
      </c>
      <c r="E22" s="95">
        <f>SUMIF('Work Task_Log'!A1:A1969,"06/15/2020",'Work Task_Log'!J1:J2003)</f>
        <v>0</v>
      </c>
      <c r="F22" s="7"/>
    </row>
    <row r="23" spans="1:6" ht="14.45" customHeight="1">
      <c r="A23" s="6"/>
      <c r="B23" s="65">
        <v>43996</v>
      </c>
      <c r="C23" s="4">
        <f>COUNTIF('Work Task_Log'!A:D,"6/14/2020")</f>
        <v>0</v>
      </c>
      <c r="D23" s="4">
        <f>SUMIF('Work Task_Log'!A1:A1969,"06/14/2020",'Work Task_Log'!I1:I2003)</f>
        <v>0</v>
      </c>
      <c r="E23" s="4">
        <f>SUMIF('Work Task_Log'!A1:A1969,"06/14/2020",'Work Task_Log'!J1:J2003)</f>
        <v>0</v>
      </c>
      <c r="F23" s="7"/>
    </row>
    <row r="24" spans="1:6" ht="14.45" customHeight="1">
      <c r="A24" s="6"/>
      <c r="B24" s="66">
        <v>43995</v>
      </c>
      <c r="C24" s="95">
        <f>COUNTIF('Work Task_Log'!A:D,"6/13/2020")</f>
        <v>0</v>
      </c>
      <c r="D24" s="95">
        <f>SUMIF('Work Task_Log'!A1:A1969,"06/13/2020",'Work Task_Log'!I1:I2003)</f>
        <v>0</v>
      </c>
      <c r="E24" s="95">
        <f>SUMIF('Work Task_Log'!A1:A1969,"06/13/2020",'Work Task_Log'!J1:J2003)</f>
        <v>0</v>
      </c>
      <c r="F24" s="7"/>
    </row>
    <row r="25" spans="1:6" ht="14.45" customHeight="1">
      <c r="A25" s="6"/>
      <c r="B25" s="65">
        <v>43994</v>
      </c>
      <c r="C25" s="4">
        <f>COUNTIF('Work Task_Log'!A:D,"6/12/2020")</f>
        <v>0</v>
      </c>
      <c r="D25" s="4">
        <f>SUMIF('Work Task_Log'!A1:A1969,"06/12/2020",'Work Task_Log'!I1:I2003)</f>
        <v>0</v>
      </c>
      <c r="E25" s="4">
        <f>SUMIF('Work Task_Log'!A1:A1969,"06/12/2020",'Work Task_Log'!J1:J2003)</f>
        <v>0</v>
      </c>
      <c r="F25" s="7"/>
    </row>
    <row r="26" spans="1:6" ht="14.45" customHeight="1">
      <c r="A26" s="6"/>
      <c r="B26" s="66">
        <v>43993</v>
      </c>
      <c r="C26" s="95">
        <f>COUNTIF('Work Task_Log'!A:D,"6/11/2020")</f>
        <v>0</v>
      </c>
      <c r="D26" s="95">
        <f>SUMIF('Work Task_Log'!A1:A1969,"06/11/2020",'Work Task_Log'!I1:I2003)</f>
        <v>0</v>
      </c>
      <c r="E26" s="95">
        <f>SUMIF('Work Task_Log'!A1:A1969,"06/11/2020",'Work Task_Log'!J1:J2003)</f>
        <v>0</v>
      </c>
      <c r="F26" s="7"/>
    </row>
    <row r="27" spans="1:6" ht="14.45" customHeight="1">
      <c r="A27" s="6"/>
      <c r="B27" s="65">
        <v>43992</v>
      </c>
      <c r="C27" s="4">
        <f>COUNTIF('Work Task_Log'!A:D,"6/10/2020")</f>
        <v>0</v>
      </c>
      <c r="D27" s="4">
        <f>SUMIF('Work Task_Log'!A1:A1969,"06/10/2020",'Work Task_Log'!I1:I2003)</f>
        <v>0</v>
      </c>
      <c r="E27" s="4">
        <f>SUMIF('Work Task_Log'!A1:A1969,"06/10/2020",'Work Task_Log'!J1:J2003)</f>
        <v>0</v>
      </c>
      <c r="F27" s="7"/>
    </row>
    <row r="28" spans="1:6" ht="14.45" customHeight="1">
      <c r="A28" s="6"/>
      <c r="B28" s="66">
        <v>43991</v>
      </c>
      <c r="C28" s="95">
        <f>COUNTIF('Work Task_Log'!A:D,"6/9/2020")</f>
        <v>0</v>
      </c>
      <c r="D28" s="95">
        <f>SUMIF('Work Task_Log'!A1:A1969,"06/09/2020",'Work Task_Log'!I1:I2003)</f>
        <v>0</v>
      </c>
      <c r="E28" s="95">
        <f>SUMIF('Work Task_Log'!A1:A1969,"06/09/2020",'Work Task_Log'!J1:J2003)</f>
        <v>0</v>
      </c>
      <c r="F28" s="7"/>
    </row>
    <row r="29" spans="1:6" ht="14.45" customHeight="1">
      <c r="A29" s="6"/>
      <c r="B29" s="65">
        <v>43990</v>
      </c>
      <c r="C29" s="4">
        <f>COUNTIF('Work Task_Log'!A:D,"6/8/2020")</f>
        <v>0</v>
      </c>
      <c r="D29" s="4">
        <f>SUMIF('Work Task_Log'!A1:A1969,"06/08/2020",'Work Task_Log'!I1:I2003)</f>
        <v>0</v>
      </c>
      <c r="E29" s="4">
        <f>SUMIF('Work Task_Log'!A1:A1969,"06/08/2020",'Work Task_Log'!J1:J2003)</f>
        <v>0</v>
      </c>
      <c r="F29" s="7"/>
    </row>
    <row r="30" spans="1:6" ht="14.45" customHeight="1">
      <c r="A30" s="6"/>
      <c r="B30" s="66">
        <v>43989</v>
      </c>
      <c r="C30" s="95">
        <f>COUNTIF('Work Task_Log'!A:D,"6/7/2020")</f>
        <v>0</v>
      </c>
      <c r="D30" s="95">
        <f>SUMIF('Work Task_Log'!A1:A1969,"06/07/2020",'Work Task_Log'!I1:I2003)</f>
        <v>0</v>
      </c>
      <c r="E30" s="95">
        <f>SUMIF('Work Task_Log'!A1:A1969,"06/07/2020",'Work Task_Log'!J1:J2003)</f>
        <v>0</v>
      </c>
      <c r="F30" s="7"/>
    </row>
    <row r="31" spans="1:6" ht="14.45" customHeight="1">
      <c r="A31" s="6"/>
      <c r="B31" s="65">
        <v>43988</v>
      </c>
      <c r="C31" s="4">
        <f>COUNTIF('Work Task_Log'!A:D,"6/6/2020")</f>
        <v>0</v>
      </c>
      <c r="D31" s="4">
        <f>SUMIF('Work Task_Log'!A1:A1969,"06/06/2020",'Work Task_Log'!I1:I2003)</f>
        <v>0</v>
      </c>
      <c r="E31" s="4">
        <f>SUMIF('Work Task_Log'!A1:A1969,"06/06/2020",'Work Task_Log'!J1:J2003)</f>
        <v>0</v>
      </c>
      <c r="F31" s="7"/>
    </row>
    <row r="32" spans="1:6" ht="14.45" customHeight="1">
      <c r="A32" s="6"/>
      <c r="B32" s="66">
        <v>43987</v>
      </c>
      <c r="C32" s="95">
        <f>COUNTIF('Work Task_Log'!A:D,"6/5/2020")</f>
        <v>0</v>
      </c>
      <c r="D32" s="95">
        <f>SUMIF('Work Task_Log'!A1:A1969,"06/05/2020",'Work Task_Log'!I1:I2003)</f>
        <v>0</v>
      </c>
      <c r="E32" s="95">
        <f>SUMIF('Work Task_Log'!A1:A1969,"06/05/2020",'Work Task_Log'!J1:J2003)</f>
        <v>0</v>
      </c>
      <c r="F32" s="7"/>
    </row>
    <row r="33" spans="1:6" ht="14.45" customHeight="1">
      <c r="A33" s="6"/>
      <c r="B33" s="65">
        <v>43986</v>
      </c>
      <c r="C33" s="4">
        <f>COUNTIF('Work Task_Log'!A:D,"6/4/2020")</f>
        <v>0</v>
      </c>
      <c r="D33" s="4">
        <f>SUMIF('Work Task_Log'!A1:A1969,"06/04/2020",'Work Task_Log'!I1:I2003)</f>
        <v>0</v>
      </c>
      <c r="E33" s="4">
        <f>SUMIF('Work Task_Log'!A1:A1969,"06/04/2020",'Work Task_Log'!J1:J2003)</f>
        <v>0</v>
      </c>
      <c r="F33" s="7"/>
    </row>
    <row r="34" spans="1:6" ht="14.45" customHeight="1">
      <c r="A34" s="6"/>
      <c r="B34" s="66">
        <v>43985</v>
      </c>
      <c r="C34" s="95">
        <f>COUNTIF('Work Task_Log'!A:D,"6/3/2020")</f>
        <v>0</v>
      </c>
      <c r="D34" s="95">
        <f>SUMIF('Work Task_Log'!A1:A1969,"06/03/2020",'Work Task_Log'!I1:I2003)</f>
        <v>0</v>
      </c>
      <c r="E34" s="95">
        <f>SUMIF('Work Task_Log'!A1:A1969,"06/03/2020",'Work Task_Log'!J1:J2003)</f>
        <v>0</v>
      </c>
      <c r="F34" s="7"/>
    </row>
    <row r="35" spans="1:6" ht="14.45" customHeight="1">
      <c r="A35" s="6"/>
      <c r="B35" s="65">
        <v>43984</v>
      </c>
      <c r="C35" s="4">
        <f>COUNTIF('Work Task_Log'!A:D,"6/2/2020")</f>
        <v>0</v>
      </c>
      <c r="D35" s="4">
        <f>SUMIF('Work Task_Log'!A1:A1969,"06/02/2020",'Work Task_Log'!I1:I2003)</f>
        <v>0</v>
      </c>
      <c r="E35" s="4">
        <f>SUMIF('Work Task_Log'!A1:A1969,"06/02/2020",'Work Task_Log'!J1:J2003)</f>
        <v>0</v>
      </c>
      <c r="F35" s="7"/>
    </row>
    <row r="36" spans="1:6" ht="14.45" customHeight="1">
      <c r="A36" s="6"/>
      <c r="B36" s="66">
        <v>43983</v>
      </c>
      <c r="C36" s="95">
        <f>COUNTIF('Work Task_Log'!A:D,"6/1/2020")</f>
        <v>0</v>
      </c>
      <c r="D36" s="95">
        <f>SUMIF('Work Task_Log'!A1:A1969,"06/01/2020",'Work Task_Log'!I1:I2003)</f>
        <v>0</v>
      </c>
      <c r="E36" s="95">
        <f>SUMIF('Work Task_Log'!A1:A1969,"06/01/2020",'Work Task_Log'!J1:J2003)</f>
        <v>0</v>
      </c>
      <c r="F36" s="7"/>
    </row>
    <row r="37" spans="1:6" ht="14.45" customHeight="1">
      <c r="A37" s="6"/>
      <c r="B37" s="65">
        <v>43982</v>
      </c>
      <c r="C37" s="4">
        <f>COUNTIF('Work Task_Log'!A:D,"5/31/2020")</f>
        <v>0</v>
      </c>
      <c r="D37" s="4">
        <f>SUMIF('Work Task_Log'!A1:A1969,"05/31/2020",'Work Task_Log'!I1:I2003)</f>
        <v>0</v>
      </c>
      <c r="E37" s="4">
        <f>SUMIF('Work Task_Log'!A1:A1969,"05/31/2020",'Work Task_Log'!J1:J2003)</f>
        <v>0</v>
      </c>
      <c r="F37" s="7"/>
    </row>
    <row r="38" spans="1:6" ht="14.45" customHeight="1">
      <c r="A38" s="6"/>
      <c r="B38" s="66">
        <v>43981</v>
      </c>
      <c r="C38" s="95">
        <f>COUNTIF('Work Task_Log'!A:D,"5/30/2020")</f>
        <v>0</v>
      </c>
      <c r="D38" s="95">
        <f>SUMIF('Work Task_Log'!A1:A1969,"05/30/2020",'Work Task_Log'!I1:I2003)</f>
        <v>0</v>
      </c>
      <c r="E38" s="95">
        <f>SUMIF('Work Task_Log'!A1:A1969,"05/30/2020",'Work Task_Log'!J1:J2003)</f>
        <v>0</v>
      </c>
      <c r="F38" s="7"/>
    </row>
    <row r="39" spans="1:6" ht="14.45" customHeight="1">
      <c r="A39" s="6"/>
      <c r="B39" s="65">
        <v>43980</v>
      </c>
      <c r="C39" s="4">
        <f>COUNTIF('Work Task_Log'!A:D,"5/29/2020")</f>
        <v>0</v>
      </c>
      <c r="D39" s="4">
        <f>SUMIF('Work Task_Log'!A1:A1969,"05/29/2020",'Work Task_Log'!I1:I2003)</f>
        <v>0</v>
      </c>
      <c r="E39" s="4">
        <f>SUMIF('Work Task_Log'!A1:A1969,"05/29/2020",'Work Task_Log'!J1:J2003)</f>
        <v>0</v>
      </c>
      <c r="F39" s="7"/>
    </row>
    <row r="40" spans="1:6" ht="14.45" customHeight="1">
      <c r="A40" s="6"/>
      <c r="B40" s="66">
        <v>43979</v>
      </c>
      <c r="C40" s="95">
        <f>COUNTIF('Work Task_Log'!A:D,"5/28/2020")</f>
        <v>0</v>
      </c>
      <c r="D40" s="95">
        <f>SUMIF('Work Task_Log'!A1:A1969,"05/28/2020",'Work Task_Log'!I1:I2003)</f>
        <v>0</v>
      </c>
      <c r="E40" s="95">
        <f>SUMIF('Work Task_Log'!A1:A1969,"05/28/2020",'Work Task_Log'!J1:J2003)</f>
        <v>0</v>
      </c>
      <c r="F40" s="7"/>
    </row>
    <row r="41" spans="1:6" ht="14.45" customHeight="1">
      <c r="A41" s="6"/>
      <c r="B41" s="65">
        <v>43978</v>
      </c>
      <c r="C41" s="4">
        <f>COUNTIF('Work Task_Log'!A:D,"5/27/2020")</f>
        <v>0</v>
      </c>
      <c r="D41" s="4">
        <f>SUMIF('Work Task_Log'!A1:A1969,"05/27/2020",'Work Task_Log'!I1:I2003)</f>
        <v>0</v>
      </c>
      <c r="E41" s="4">
        <f>SUMIF('Work Task_Log'!A1:A1969,"05/27/2020",'Work Task_Log'!J1:J2003)</f>
        <v>0</v>
      </c>
      <c r="F41" s="7"/>
    </row>
    <row r="42" spans="1:6" ht="14.45" customHeight="1">
      <c r="A42" s="6"/>
      <c r="B42" s="66">
        <v>43977</v>
      </c>
      <c r="C42" s="95">
        <f>COUNTIF('Work Task_Log'!A:D,"5/26/2020")</f>
        <v>0</v>
      </c>
      <c r="D42" s="95">
        <f>SUMIF('Work Task_Log'!A1:A1969,"05/26/2020",'Work Task_Log'!I1:I2003)</f>
        <v>0</v>
      </c>
      <c r="E42" s="95">
        <f>SUMIF('Work Task_Log'!A1:A1969,"05/26/2020",'Work Task_Log'!J1:J2003)</f>
        <v>0</v>
      </c>
      <c r="F42" s="7"/>
    </row>
    <row r="43" spans="1:6" ht="14.45" customHeight="1">
      <c r="A43" s="6"/>
      <c r="B43" s="65">
        <v>43976</v>
      </c>
      <c r="C43" s="4">
        <f>COUNTIF('Work Task_Log'!A:D,"5/25/2020")</f>
        <v>0</v>
      </c>
      <c r="D43" s="4">
        <f>SUMIF('Work Task_Log'!A1:A1969,"05/25/2020",'Work Task_Log'!I1:I2003)</f>
        <v>0</v>
      </c>
      <c r="E43" s="4">
        <f>SUMIF('Work Task_Log'!A1:A1969,"05/25/2020",'Work Task_Log'!J1:J2003)</f>
        <v>0</v>
      </c>
      <c r="F43" s="7"/>
    </row>
    <row r="44" spans="1:6" ht="14.45" customHeight="1">
      <c r="A44" s="6"/>
      <c r="B44" s="66">
        <v>43975</v>
      </c>
      <c r="C44" s="95">
        <f>COUNTIF('Work Task_Log'!A:D,"5/24/2020")</f>
        <v>0</v>
      </c>
      <c r="D44" s="95">
        <f>SUMIF('Work Task_Log'!A1:A1969,"05/24/2020",'Work Task_Log'!I1:I2003)</f>
        <v>0</v>
      </c>
      <c r="E44" s="95">
        <f>SUMIF('Work Task_Log'!A1:A1969,"05/24/2020",'Work Task_Log'!J1:J2003)</f>
        <v>0</v>
      </c>
      <c r="F44" s="7"/>
    </row>
    <row r="45" spans="1:6" ht="14.45" customHeight="1">
      <c r="A45" s="6"/>
      <c r="B45" s="65">
        <v>43974</v>
      </c>
      <c r="C45" s="4">
        <f>COUNTIF('Work Task_Log'!A:D,"5/23/2020")</f>
        <v>0</v>
      </c>
      <c r="D45" s="4">
        <f>SUMIF('Work Task_Log'!A1:A1969,"05/23/2020",'Work Task_Log'!I1:I2003)</f>
        <v>0</v>
      </c>
      <c r="E45" s="4">
        <f>SUMIF('Work Task_Log'!A1:A1969,"05/23/2020",'Work Task_Log'!J1:J2003)</f>
        <v>0</v>
      </c>
      <c r="F45" s="7"/>
    </row>
    <row r="46" spans="1:6" ht="14.45" customHeight="1">
      <c r="A46" s="6"/>
      <c r="B46" s="66">
        <v>43973</v>
      </c>
      <c r="C46" s="95">
        <f>COUNTIF('Work Task_Log'!A:D,"5/22/2020")</f>
        <v>0</v>
      </c>
      <c r="D46" s="95">
        <f>SUMIF('Work Task_Log'!A1:A1969,"05/22/2020",'Work Task_Log'!I1:I2003)</f>
        <v>0</v>
      </c>
      <c r="E46" s="95">
        <f>SUMIF('Work Task_Log'!A1:A1969,"05/22/2020",'Work Task_Log'!J1:J2003)</f>
        <v>0</v>
      </c>
      <c r="F46" s="7"/>
    </row>
    <row r="47" spans="1:6" ht="14.45" customHeight="1">
      <c r="A47" s="6"/>
      <c r="B47" s="65">
        <v>43972</v>
      </c>
      <c r="C47" s="4">
        <f>COUNTIF('Work Task_Log'!A:D,"5/21/2020")</f>
        <v>0</v>
      </c>
      <c r="D47" s="4">
        <f>SUMIF('Work Task_Log'!A1:A1969,"05/21/2020",'Work Task_Log'!I1:I2003)</f>
        <v>0</v>
      </c>
      <c r="E47" s="4">
        <f>SUMIF('Work Task_Log'!A1:A1969,"05/21/2020",'Work Task_Log'!J1:J2003)</f>
        <v>0</v>
      </c>
      <c r="F47" s="7"/>
    </row>
    <row r="48" spans="1:6" ht="14.45" customHeight="1">
      <c r="A48" s="6"/>
      <c r="B48" s="66">
        <v>43971</v>
      </c>
      <c r="C48" s="95">
        <f>COUNTIF('Work Task_Log'!A:D,"5/20/2020")</f>
        <v>0</v>
      </c>
      <c r="D48" s="95">
        <f>SUMIF('Work Task_Log'!A1:A1969,"05/20/2020",'Work Task_Log'!I1:I2003)</f>
        <v>0</v>
      </c>
      <c r="E48" s="95">
        <f>SUMIF('Work Task_Log'!A1:A1969,"05/20/2020",'Work Task_Log'!J1:J2003)</f>
        <v>0</v>
      </c>
      <c r="F48" s="7"/>
    </row>
    <row r="49" spans="1:6" ht="14.45" customHeight="1">
      <c r="A49" s="6"/>
      <c r="B49" s="65">
        <v>43970</v>
      </c>
      <c r="C49" s="4">
        <f>COUNTIF('Work Task_Log'!A:D,"5/19/2020")</f>
        <v>0</v>
      </c>
      <c r="D49" s="4">
        <f>SUMIF('Work Task_Log'!A1:A1969,"05/19/2020",'Work Task_Log'!I1:I2003)</f>
        <v>0</v>
      </c>
      <c r="E49" s="4">
        <f>SUMIF('Work Task_Log'!A1:A1969,"05/19/2020",'Work Task_Log'!J1:J2003)</f>
        <v>0</v>
      </c>
      <c r="F49" s="7"/>
    </row>
    <row r="50" spans="1:6" ht="14.45" customHeight="1">
      <c r="A50" s="6"/>
      <c r="B50" s="66">
        <v>43969</v>
      </c>
      <c r="C50" s="95">
        <f>COUNTIF('Work Task_Log'!A:D,"5/18/2020")</f>
        <v>0</v>
      </c>
      <c r="D50" s="95">
        <f>SUMIF('Work Task_Log'!A1:A1969,"05/18/2020",'Work Task_Log'!I1:I2003)</f>
        <v>0</v>
      </c>
      <c r="E50" s="95">
        <f>SUMIF('Work Task_Log'!A1:A1969,"05/18/2020",'Work Task_Log'!J1:J2003)</f>
        <v>0</v>
      </c>
      <c r="F50" s="7"/>
    </row>
    <row r="51" spans="1:6" ht="14.45" customHeight="1">
      <c r="A51" s="6"/>
      <c r="B51" s="65">
        <v>43968</v>
      </c>
      <c r="C51" s="4">
        <f>COUNTIF('Work Task_Log'!A:D,"5/17/2020")</f>
        <v>0</v>
      </c>
      <c r="D51" s="4">
        <f>SUMIF('Work Task_Log'!A1:A1969,"05/17/2020",'Work Task_Log'!I1:I2003)</f>
        <v>0</v>
      </c>
      <c r="E51" s="4">
        <f>SUMIF('Work Task_Log'!A1:A1969,"05/17/2020",'Work Task_Log'!J1:J2003)</f>
        <v>0</v>
      </c>
      <c r="F51" s="7"/>
    </row>
    <row r="52" spans="1:6" ht="14.45" customHeight="1">
      <c r="A52" s="6"/>
      <c r="B52" s="66">
        <v>43967</v>
      </c>
      <c r="C52" s="95">
        <f>COUNTIF('Work Task_Log'!A:D,"5/16/2020")</f>
        <v>7</v>
      </c>
      <c r="D52" s="95">
        <f>SUMIF('Work Task_Log'!A1:A1969,"05/16/2020",'Work Task_Log'!I1:I2003)</f>
        <v>2.85</v>
      </c>
      <c r="E52" s="95">
        <f>SUMIF('Work Task_Log'!A1:A1969,"05/16/2020",'Work Task_Log'!J1:J2003)</f>
        <v>15</v>
      </c>
      <c r="F52" s="7"/>
    </row>
    <row r="53" spans="1:6" ht="14.45" customHeight="1">
      <c r="A53" s="6"/>
      <c r="B53" s="65">
        <v>43966</v>
      </c>
      <c r="C53" s="4">
        <f>COUNTIF('Work Task_Log'!A:D,"5/15/2020")</f>
        <v>2</v>
      </c>
      <c r="D53" s="4">
        <f>SUMIF('Work Task_Log'!A1:A1969,"05/15/2020",'Work Task_Log'!I1:I2003)</f>
        <v>1.5</v>
      </c>
      <c r="E53" s="4">
        <f>SUMIF('Work Task_Log'!A1:A1969,"05/15/2020",'Work Task_Log'!J1:J2003)</f>
        <v>4</v>
      </c>
      <c r="F53" s="7"/>
    </row>
    <row r="54" spans="1:6" ht="14.45" customHeight="1">
      <c r="A54" s="6"/>
      <c r="B54" s="66">
        <v>43965</v>
      </c>
      <c r="C54" s="95">
        <f>COUNTIF('Work Task_Log'!A:D,"5/14/2020")</f>
        <v>8</v>
      </c>
      <c r="D54" s="95">
        <f>SUMIF('Work Task_Log'!A1:A1969,"05/14/2020",'Work Task_Log'!I1:I2003)</f>
        <v>6.3</v>
      </c>
      <c r="E54" s="95">
        <f>SUMIF('Work Task_Log'!A1:A1969,"05/14/2020",'Work Task_Log'!J1:J2003)</f>
        <v>15</v>
      </c>
      <c r="F54" s="7"/>
    </row>
    <row r="55" spans="1:6" ht="14.45" customHeight="1">
      <c r="A55" s="6"/>
      <c r="B55" s="65">
        <v>43964</v>
      </c>
      <c r="C55" s="4">
        <f>COUNTIF('Work Task_Log'!A:D,"5/13/2020")</f>
        <v>6</v>
      </c>
      <c r="D55" s="4">
        <f>SUMIF('Work Task_Log'!A1:A1969,"05/13/2020",'Work Task_Log'!I1:I2003)</f>
        <v>5.0999999999999996</v>
      </c>
      <c r="E55" s="4">
        <f>SUMIF('Work Task_Log'!A1:A1969,"05/13/2020",'Work Task_Log'!J1:J2003)</f>
        <v>13</v>
      </c>
      <c r="F55" s="7"/>
    </row>
    <row r="56" spans="1:6" ht="14.45" customHeight="1">
      <c r="A56" s="6"/>
      <c r="B56" s="66">
        <v>43963</v>
      </c>
      <c r="C56" s="95">
        <f>COUNTIF('Work Task_Log'!A:D,"5/12/2020")</f>
        <v>8</v>
      </c>
      <c r="D56" s="95">
        <f>SUMIF('Work Task_Log'!A1:A1969,"05/12/2020",'Work Task_Log'!I1:I2003)</f>
        <v>9.5</v>
      </c>
      <c r="E56" s="95">
        <f>SUMIF('Work Task_Log'!A1:A1969,"05/12/2020",'Work Task_Log'!J1:J2003)</f>
        <v>18</v>
      </c>
      <c r="F56" s="7"/>
    </row>
    <row r="57" spans="1:6" ht="14.45" customHeight="1">
      <c r="A57" s="6"/>
      <c r="B57" s="65">
        <v>43962</v>
      </c>
      <c r="C57" s="4">
        <f>COUNTIF('Work Task_Log'!A:D,"5/11/2020")</f>
        <v>17</v>
      </c>
      <c r="D57" s="4">
        <f>SUMIF('Work Task_Log'!A1:A1969,"05/11/2020",'Work Task_Log'!I1:I2003)</f>
        <v>13.899999999999999</v>
      </c>
      <c r="E57" s="4">
        <f>SUMIF('Work Task_Log'!A1:A1969,"05/11/2020",'Work Task_Log'!J1:J2003)</f>
        <v>45</v>
      </c>
      <c r="F57" s="7"/>
    </row>
    <row r="58" spans="1:6" ht="14.45" customHeight="1">
      <c r="A58" s="6"/>
      <c r="B58" s="66">
        <v>43961</v>
      </c>
      <c r="C58" s="95">
        <f>COUNTIF('Work Task_Log'!A:D,"5/10/2020")</f>
        <v>5</v>
      </c>
      <c r="D58" s="95">
        <f>SUMIF('Work Task_Log'!A1:A1969,"05/10/2020",'Work Task_Log'!I1:I2003)</f>
        <v>4.5</v>
      </c>
      <c r="E58" s="95">
        <f>SUMIF('Work Task_Log'!A1:A1969,"05/10/2020",'Work Task_Log'!J1:J2003)</f>
        <v>7</v>
      </c>
      <c r="F58" s="7"/>
    </row>
    <row r="59" spans="1:6" ht="14.45" customHeight="1">
      <c r="A59" s="6"/>
      <c r="B59" s="65">
        <v>43960</v>
      </c>
      <c r="C59" s="4">
        <f>COUNTIF('Work Task_Log'!A:D,"5/9/2020")</f>
        <v>1</v>
      </c>
      <c r="D59" s="4">
        <f>SUMIF('Work Task_Log'!A1:A1969,"05/09/2020",'Work Task_Log'!I1:I2003)</f>
        <v>1.5</v>
      </c>
      <c r="E59" s="4">
        <f>SUMIF('Work Task_Log'!A1:A1969,"05/09/2020",'Work Task_Log'!J1:J2003)</f>
        <v>2</v>
      </c>
      <c r="F59" s="7"/>
    </row>
    <row r="60" spans="1:6" ht="14.45" customHeight="1">
      <c r="A60" s="6"/>
      <c r="B60" s="66">
        <v>43959</v>
      </c>
      <c r="C60" s="95">
        <f>COUNTIF('Work Task_Log'!A:D,"5/8/2020")</f>
        <v>4</v>
      </c>
      <c r="D60" s="95">
        <f>SUMIF('Work Task_Log'!A1:A1969,"05/08/2020",'Work Task_Log'!I1:I2003)</f>
        <v>3.3</v>
      </c>
      <c r="E60" s="95">
        <f>SUMIF('Work Task_Log'!A1:A1969,"05/08/2020",'Work Task_Log'!J1:J2003)</f>
        <v>8</v>
      </c>
      <c r="F60" s="7"/>
    </row>
    <row r="61" spans="1:6" ht="14.45" customHeight="1">
      <c r="A61" s="6"/>
      <c r="B61" s="65">
        <v>43958</v>
      </c>
      <c r="C61" s="4">
        <f>COUNTIF('Work Task_Log'!A:D,"5/7/2020")</f>
        <v>10</v>
      </c>
      <c r="D61" s="4">
        <f>SUMIF('Work Task_Log'!A1:A1969,"05/07/2020",'Work Task_Log'!I1:I2003)</f>
        <v>8</v>
      </c>
      <c r="E61" s="4">
        <f>SUMIF('Work Task_Log'!A1:A1969,"05/07/2020",'Work Task_Log'!J1:J2003)</f>
        <v>19</v>
      </c>
      <c r="F61" s="7"/>
    </row>
    <row r="62" spans="1:6" ht="14.45" customHeight="1">
      <c r="A62" s="6"/>
      <c r="B62" s="66">
        <v>43957</v>
      </c>
      <c r="C62" s="95">
        <f>COUNTIF('Work Task_Log'!A:D,"5/6/2020")</f>
        <v>8</v>
      </c>
      <c r="D62" s="95">
        <f>SUMIF('Work Task_Log'!A1:A1969,"05/06/2020",'Work Task_Log'!I1:I2003)</f>
        <v>4.7</v>
      </c>
      <c r="E62" s="95">
        <f>SUMIF('Work Task_Log'!A1:A1969,"05/06/2020",'Work Task_Log'!J1:J2003)</f>
        <v>23</v>
      </c>
      <c r="F62" s="7"/>
    </row>
    <row r="63" spans="1:6" ht="14.45" customHeight="1">
      <c r="A63" s="6"/>
      <c r="B63" s="65">
        <v>43956</v>
      </c>
      <c r="C63" s="4">
        <f>COUNTIF('Work Task_Log'!A:D,"5/5/2020")</f>
        <v>7</v>
      </c>
      <c r="D63" s="4">
        <f>SUMIF('Work Task_Log'!A1:A1969,"05/05/2020",'Work Task_Log'!I1:I2003)</f>
        <v>4.2</v>
      </c>
      <c r="E63" s="4">
        <f>SUMIF('Work Task_Log'!A1:A1969,"05/05/2020",'Work Task_Log'!J1:J2003)</f>
        <v>11</v>
      </c>
      <c r="F63" s="7"/>
    </row>
    <row r="64" spans="1:6" ht="14.45" customHeight="1">
      <c r="A64" s="6"/>
      <c r="B64" s="66">
        <v>43955</v>
      </c>
      <c r="C64" s="95">
        <f>COUNTIF('Work Task_Log'!A:D,"5/4/2020")</f>
        <v>2</v>
      </c>
      <c r="D64" s="95">
        <f>SUMIF('Work Task_Log'!A1:A1969,"05/04/2020",'Work Task_Log'!I1:I2003)</f>
        <v>3</v>
      </c>
      <c r="E64" s="95">
        <f>SUMIF('Work Task_Log'!A1:A1969,"05/04/2020",'Work Task_Log'!J1:J2003)</f>
        <v>4</v>
      </c>
      <c r="F64" s="7"/>
    </row>
    <row r="65" spans="1:6" ht="14.45" customHeight="1">
      <c r="A65" s="6"/>
      <c r="B65" s="65">
        <v>43954</v>
      </c>
      <c r="C65" s="4">
        <f>COUNTIF('Work Task_Log'!A:D,"5/3/2020")</f>
        <v>7</v>
      </c>
      <c r="D65" s="4">
        <f>SUMIF('Work Task_Log'!A1:A1969,"05/03/2020",'Work Task_Log'!I1:I2003)</f>
        <v>3</v>
      </c>
      <c r="E65" s="4">
        <f>SUMIF('Work Task_Log'!A1:A1969,"05/03/2020",'Work Task_Log'!J1:J2003)</f>
        <v>12</v>
      </c>
      <c r="F65" s="7"/>
    </row>
    <row r="66" spans="1:6" ht="14.45" customHeight="1">
      <c r="A66" s="6"/>
      <c r="B66" s="66">
        <v>43953</v>
      </c>
      <c r="C66" s="95">
        <f>COUNTIF('Work Task_Log'!A:D,"5/2/2020")</f>
        <v>3</v>
      </c>
      <c r="D66" s="95">
        <f>SUMIF('Work Task_Log'!A1:A1969,"05/02/2020",'Work Task_Log'!I1:I2003)</f>
        <v>0.9</v>
      </c>
      <c r="E66" s="95">
        <f>SUMIF('Work Task_Log'!A1:A1969,"05/02/2020",'Work Task_Log'!J1:J2003)</f>
        <v>6</v>
      </c>
      <c r="F66" s="7"/>
    </row>
    <row r="67" spans="1:6" ht="14.45" customHeight="1">
      <c r="A67" s="6"/>
      <c r="B67" s="65">
        <v>43952</v>
      </c>
      <c r="C67" s="4">
        <f>COUNTIF('Work Task_Log'!A:D,"5/1/2020")</f>
        <v>10</v>
      </c>
      <c r="D67" s="4">
        <f>SUMIF('Work Task_Log'!A1:A1969,"05/01/2020",'Work Task_Log'!I1:I2003)</f>
        <v>6.1</v>
      </c>
      <c r="E67" s="4">
        <f>SUMIF('Work Task_Log'!A1:A1969,"05/01/2020",'Work Task_Log'!J1:J2003)</f>
        <v>19</v>
      </c>
      <c r="F67" s="7"/>
    </row>
    <row r="68" spans="1:6" ht="14.45" customHeight="1">
      <c r="A68" s="6"/>
      <c r="B68" s="66">
        <v>43951</v>
      </c>
      <c r="C68" s="95">
        <f>COUNTIF('Work Task_Log'!A:D,"4/30/2020")</f>
        <v>8</v>
      </c>
      <c r="D68" s="95">
        <f>SUMIF('Work Task_Log'!A1:A1969,"04/30/2020",'Work Task_Log'!I1:I2003)</f>
        <v>8.8000000000000007</v>
      </c>
      <c r="E68" s="95">
        <f>SUMIF('Work Task_Log'!A1:A1969,"04/30/2020",'Work Task_Log'!J1:J2003)</f>
        <v>19</v>
      </c>
      <c r="F68" s="7"/>
    </row>
    <row r="69" spans="1:6" ht="15" customHeight="1">
      <c r="A69" s="6"/>
      <c r="B69" s="65">
        <v>43950</v>
      </c>
      <c r="C69" s="4">
        <f>COUNTIF('Work Task_Log'!A:D,"4/29/2020")</f>
        <v>7</v>
      </c>
      <c r="D69" s="4">
        <f>SUMIF('Work Task_Log'!A3:A1971,"04/29/2020",'Work Task_Log'!I3:I2005)</f>
        <v>6</v>
      </c>
      <c r="E69" s="4">
        <f>SUMIF('Work Task_Log'!A3:A1971,"04/29/2020",'Work Task_Log'!J3:J2005)</f>
        <v>14</v>
      </c>
      <c r="F69" s="7"/>
    </row>
    <row r="70" spans="1:6" ht="15" customHeight="1">
      <c r="A70" s="6"/>
      <c r="B70" s="66">
        <v>43949</v>
      </c>
      <c r="C70" s="95">
        <f>COUNTIF('Work Task_Log'!A:D,"4/28/2020")</f>
        <v>7</v>
      </c>
      <c r="D70" s="95">
        <f>SUMIF('Work Task_Log'!A3:A1971,"04/28/2020",'Work Task_Log'!I3:I2005)</f>
        <v>6</v>
      </c>
      <c r="E70" s="95">
        <f>SUMIF('Work Task_Log'!A3:A1971,"04/28/2020",'Work Task_Log'!J3:J2027)</f>
        <v>12</v>
      </c>
      <c r="F70" s="7"/>
    </row>
    <row r="71" spans="1:6" ht="15" customHeight="1">
      <c r="A71" s="6"/>
      <c r="B71" s="65">
        <v>43948</v>
      </c>
      <c r="C71" s="4">
        <f>COUNTIF('Work Task_Log'!A:D,"4/27/2020")</f>
        <v>8</v>
      </c>
      <c r="D71" s="4">
        <f>SUMIF('Work Task_Log'!A3:A1971,"04/27/2020",'Work Task_Log'!I3:I2005)</f>
        <v>4</v>
      </c>
      <c r="E71" s="4">
        <f>SUMIF('Work Task_Log'!A3:A1971,"04/27/2020",'Work Task_Log'!J3:J2027)</f>
        <v>13</v>
      </c>
      <c r="F71" s="7"/>
    </row>
    <row r="72" spans="1:6" ht="15" customHeight="1">
      <c r="A72" s="6"/>
      <c r="B72" s="66">
        <v>43947</v>
      </c>
      <c r="C72" s="95">
        <f>COUNTIF('Work Task_Log'!A:D,"4/26/2020")</f>
        <v>7</v>
      </c>
      <c r="D72" s="95">
        <f>SUMIF('Work Task_Log'!A3:A1971,"04/26/2020",'Work Task_Log'!I3:I2005)</f>
        <v>9.5</v>
      </c>
      <c r="E72" s="95">
        <f>SUMIF('Work Task_Log'!A3:A1971,"04/26/2020",'Work Task_Log'!J3:J2027)</f>
        <v>15</v>
      </c>
      <c r="F72" s="7"/>
    </row>
    <row r="73" spans="1:6" ht="15" customHeight="1">
      <c r="A73" s="6"/>
      <c r="B73" s="65">
        <v>43946</v>
      </c>
      <c r="C73" s="4">
        <f>COUNTIF('Work Task_Log'!A:D,"4/25/2020")</f>
        <v>0</v>
      </c>
      <c r="D73" s="4">
        <f>SUMIF('Work Task_Log'!A3:A1971,"04/25/2020",'Work Task_Log'!I3:I2005)</f>
        <v>0</v>
      </c>
      <c r="E73" s="4">
        <f>SUMIF('Work Task_Log'!A3:A1971,"04/25/2020",'Work Task_Log'!J3:J2027)</f>
        <v>0</v>
      </c>
      <c r="F73" s="7"/>
    </row>
    <row r="74" spans="1:6" ht="15" customHeight="1">
      <c r="A74" s="6"/>
      <c r="B74" s="66">
        <v>43945</v>
      </c>
      <c r="C74" s="95">
        <f>COUNTIF('Work Task_Log'!A:D,"4/24/2020")</f>
        <v>4</v>
      </c>
      <c r="D74" s="95">
        <f>SUMIF('Work Task_Log'!A3:A1971,"04/24/2020",'Work Task_Log'!I3:I2005)</f>
        <v>4</v>
      </c>
      <c r="E74" s="95">
        <f>SUMIF('Work Task_Log'!A3:A1971,"04/24/2020",'Work Task_Log'!J3:J2027)</f>
        <v>6</v>
      </c>
      <c r="F74" s="7"/>
    </row>
    <row r="75" spans="1:6" ht="15" customHeight="1">
      <c r="A75" s="6"/>
      <c r="B75" s="65">
        <v>43944</v>
      </c>
      <c r="C75" s="4">
        <f>COUNTIF('Work Task_Log'!A:D,"4/23/2020")</f>
        <v>7</v>
      </c>
      <c r="D75" s="4">
        <f>SUMIF('Work Task_Log'!A3:A1971,"04/23/2020",'Work Task_Log'!I3:I2005)</f>
        <v>8</v>
      </c>
      <c r="E75" s="4">
        <f>SUMIF('Work Task_Log'!A3:A1971,"04/23/2020",'Work Task_Log'!J3:J2027)</f>
        <v>15</v>
      </c>
      <c r="F75" s="7"/>
    </row>
    <row r="76" spans="1:6">
      <c r="A76" s="6"/>
      <c r="B76" s="66">
        <v>43943</v>
      </c>
      <c r="C76" s="95">
        <f>COUNTIF('Work Task_Log'!A:D,"4/22/2020")</f>
        <v>2</v>
      </c>
      <c r="D76" s="95">
        <f>SUMIF('Work Task_Log'!A3:A1971,"04/22/2020",'Work Task_Log'!I3:I2005)</f>
        <v>2</v>
      </c>
      <c r="E76" s="95">
        <f>SUMIF('Work Task_Log'!A3:A1971,"04/22/2020",'Work Task_Log'!J3:J2027)</f>
        <v>4</v>
      </c>
      <c r="F76" s="7"/>
    </row>
    <row r="77" spans="1:6">
      <c r="A77" s="6"/>
      <c r="B77" s="65">
        <v>43942</v>
      </c>
      <c r="C77" s="4">
        <f>COUNTIF('Work Task_Log'!A:D,"4/21/2020")</f>
        <v>0</v>
      </c>
      <c r="D77" s="4">
        <f>SUMIF('Work Task_Log'!A3:A1971,"04/21/2020",'Work Task_Log'!I3:I2005)</f>
        <v>0</v>
      </c>
      <c r="E77" s="4">
        <f>SUMIF('Work Task_Log'!A3:A1971,"04/21/2020",'Work Task_Log'!J3:J2027)</f>
        <v>0</v>
      </c>
      <c r="F77" s="7"/>
    </row>
    <row r="78" spans="1:6">
      <c r="A78" s="6"/>
      <c r="B78" s="66">
        <v>43941</v>
      </c>
      <c r="C78" s="95">
        <f>COUNTIF('Work Task_Log'!A:D,"4/20/2020")</f>
        <v>3</v>
      </c>
      <c r="D78" s="95">
        <f>SUMIF('Work Task_Log'!A3:A1971,"04/20/2020",'Work Task_Log'!I3:I2005)</f>
        <v>2</v>
      </c>
      <c r="E78" s="95">
        <f>SUMIF('Work Task_Log'!A3:A1971,"04/20/2020",'Work Task_Log'!J3:J2027)</f>
        <v>6</v>
      </c>
      <c r="F78" s="7"/>
    </row>
    <row r="79" spans="1:6">
      <c r="A79" s="6"/>
      <c r="B79" s="65">
        <v>43940</v>
      </c>
      <c r="C79" s="4">
        <f>COUNTIF('Work Task_Log'!A:D,"4/19/2020")</f>
        <v>0</v>
      </c>
      <c r="D79" s="4">
        <f>SUMIF('Work Task_Log'!A3:A1971,"04/19/2020",'Work Task_Log'!I3:I2005)</f>
        <v>0</v>
      </c>
      <c r="E79" s="4">
        <f>SUMIF('Work Task_Log'!A3:A1971,"04/19/2020",'Work Task_Log'!J3:J2027)</f>
        <v>0</v>
      </c>
      <c r="F79" s="7"/>
    </row>
    <row r="80" spans="1:6">
      <c r="A80" s="6"/>
      <c r="B80" s="66">
        <v>43939</v>
      </c>
      <c r="C80" s="95">
        <f>COUNTIF('Work Task_Log'!A:D,"4/18/2020")</f>
        <v>0</v>
      </c>
      <c r="D80" s="95">
        <f>SUMIF('Work Task_Log'!A3:A1971,"04/18/2020",'Work Task_Log'!I3:I2005)</f>
        <v>0</v>
      </c>
      <c r="E80" s="95">
        <f>SUMIF('Work Task_Log'!A3:A1971,"04/18/2020",'Work Task_Log'!J3:J2027)</f>
        <v>0</v>
      </c>
      <c r="F80" s="7"/>
    </row>
    <row r="81" spans="1:6">
      <c r="A81" s="6"/>
      <c r="B81" s="65">
        <v>43938</v>
      </c>
      <c r="C81" s="4">
        <f>COUNTIF('Work Task_Log'!A:D,"4/17/2020")</f>
        <v>2</v>
      </c>
      <c r="D81" s="4">
        <f>SUMIF('Work Task_Log'!A3:A1971,"04/17/2020",'Work Task_Log'!I3:I2005)</f>
        <v>2</v>
      </c>
      <c r="E81" s="4">
        <f>SUMIF('Work Task_Log'!A3:A1971,"04/17/2020",'Work Task_Log'!J3:J2027)</f>
        <v>3</v>
      </c>
      <c r="F81" s="7"/>
    </row>
    <row r="82" spans="1:6">
      <c r="A82" s="6"/>
      <c r="B82" s="66">
        <v>43937</v>
      </c>
      <c r="C82" s="95">
        <f>COUNTIF('Work Task_Log'!A:D,"4/16/2020")</f>
        <v>1</v>
      </c>
      <c r="D82" s="95">
        <f>SUMIF('Work Task_Log'!A3:A1971,"04/16/2020",'Work Task_Log'!I3:I2005)</f>
        <v>3</v>
      </c>
      <c r="E82" s="95">
        <f>SUMIF('Work Task_Log'!A3:A1971,"04/16/2020",'Work Task_Log'!J3:J2027)</f>
        <v>2</v>
      </c>
      <c r="F82" s="7"/>
    </row>
    <row r="83" spans="1:6">
      <c r="A83" s="6"/>
      <c r="B83" s="65">
        <v>43936</v>
      </c>
      <c r="C83" s="4">
        <f>COUNTIF('Work Task_Log'!A:D,"4/15/2020")</f>
        <v>11</v>
      </c>
      <c r="D83" s="4">
        <f>SUMIF('Work Task_Log'!A3:A1971,"04/15/2020",'Work Task_Log'!I3:I2005)</f>
        <v>10</v>
      </c>
      <c r="E83" s="4">
        <f>SUMIF('Work Task_Log'!A3:A1971,"04/15/2020",'Work Task_Log'!J3:J2027)</f>
        <v>22</v>
      </c>
      <c r="F83" s="7"/>
    </row>
    <row r="84" spans="1:6">
      <c r="A84" s="6"/>
      <c r="B84" s="66">
        <v>43935</v>
      </c>
      <c r="C84" s="95">
        <f>COUNTIF('Work Task_Log'!A:D,"4/14/2020")</f>
        <v>8</v>
      </c>
      <c r="D84" s="95">
        <f>SUMIF('Work Task_Log'!A3:A1971,"04/14/2020",'Work Task_Log'!I3:I2005)</f>
        <v>12</v>
      </c>
      <c r="E84" s="95">
        <f>SUMIF('Work Task_Log'!A3:A1971,"04/14/2020",'Work Task_Log'!J3:J2027)</f>
        <v>19</v>
      </c>
      <c r="F84" s="7"/>
    </row>
    <row r="85" spans="1:6">
      <c r="A85" s="6"/>
      <c r="B85" s="65">
        <v>43934</v>
      </c>
      <c r="C85" s="4">
        <f>COUNTIF('Work Task_Log'!A:D,"4/13/2020")</f>
        <v>3</v>
      </c>
      <c r="D85" s="4">
        <f>SUMIF('Work Task_Log'!A3:A1971,"04/13/2020",'Work Task_Log'!I3:I2005)</f>
        <v>3</v>
      </c>
      <c r="E85" s="4">
        <f>SUMIF('Work Task_Log'!A3:A1971,"04/13/2020",'Work Task_Log'!J3:J2027)</f>
        <v>6</v>
      </c>
      <c r="F85" s="7"/>
    </row>
    <row r="86" spans="1:6">
      <c r="A86" s="6"/>
      <c r="B86" s="66">
        <v>43933</v>
      </c>
      <c r="C86" s="95">
        <f>COUNTIF('Work Task_Log'!A:D,"4/12/2020")</f>
        <v>3</v>
      </c>
      <c r="D86" s="95">
        <f>SUMIF('Work Task_Log'!A3:A1971,"04/12/2020",'Work Task_Log'!I3:I2005)</f>
        <v>1.5</v>
      </c>
      <c r="E86" s="95">
        <f>SUMIF('Work Task_Log'!A3:A1971,"04/12/2020",'Work Task_Log'!J3:J2027)</f>
        <v>9</v>
      </c>
      <c r="F86" s="7"/>
    </row>
    <row r="87" spans="1:6">
      <c r="A87" s="6"/>
      <c r="B87" s="65">
        <v>43932</v>
      </c>
      <c r="C87" s="4">
        <f>COUNTIF('Work Task_Log'!A:D,"4/11/2020")</f>
        <v>1</v>
      </c>
      <c r="D87" s="4">
        <f>SUMIF('Work Task_Log'!A3:A1971,"04/11/2020",'Work Task_Log'!I3:I2005)</f>
        <v>1</v>
      </c>
      <c r="E87" s="4">
        <f>SUMIF('Work Task_Log'!A3:A1971,"04/11/2020",'Work Task_Log'!J3:J2027)</f>
        <v>2</v>
      </c>
      <c r="F87" s="7"/>
    </row>
    <row r="88" spans="1:6">
      <c r="A88" s="6"/>
      <c r="B88" s="66">
        <v>43931</v>
      </c>
      <c r="C88" s="95">
        <f>COUNTIF('Work Task_Log'!A:D,"4/10/2020")</f>
        <v>6</v>
      </c>
      <c r="D88" s="95">
        <f>SUMIF('Work Task_Log'!A3:A1971,"04/10/2020",'Work Task_Log'!I3:I2005)</f>
        <v>6</v>
      </c>
      <c r="E88" s="95">
        <f>SUMIF('Work Task_Log'!A3:A1971,"04/10/2020",'Work Task_Log'!J3:J2027)</f>
        <v>13</v>
      </c>
      <c r="F88" s="7"/>
    </row>
    <row r="89" spans="1:6">
      <c r="A89" s="6"/>
      <c r="B89" s="65">
        <v>43930</v>
      </c>
      <c r="C89" s="4">
        <f>COUNTIF('Work Task_Log'!A:D,"4/9/2020")</f>
        <v>8</v>
      </c>
      <c r="D89" s="4">
        <f>SUMIF('Work Task_Log'!A3:A1971,"04/9/2020",'Work Task_Log'!I3:I2005)</f>
        <v>10.5</v>
      </c>
      <c r="E89" s="4">
        <f>SUMIF('Work Task_Log'!A3:A1971,"04/9/2020",'Work Task_Log'!J3:J2027)</f>
        <v>16</v>
      </c>
      <c r="F89" s="7"/>
    </row>
    <row r="90" spans="1:6">
      <c r="A90" s="6"/>
      <c r="B90" s="66">
        <v>43929</v>
      </c>
      <c r="C90" s="95">
        <f>COUNTIF('Work Task_Log'!A:D,"4/8/2020")</f>
        <v>5</v>
      </c>
      <c r="D90" s="95">
        <f>SUMIF('Work Task_Log'!A3:A1971,"04/8/2020",'Work Task_Log'!I3:I2005)</f>
        <v>7.4</v>
      </c>
      <c r="E90" s="95">
        <f>SUMIF('Work Task_Log'!A3:A1971,"04/8/2020",'Work Task_Log'!J3:J2027)</f>
        <v>9</v>
      </c>
      <c r="F90" s="7"/>
    </row>
    <row r="91" spans="1:6">
      <c r="A91" s="6"/>
      <c r="B91" s="65">
        <v>43928</v>
      </c>
      <c r="C91" s="4">
        <f>COUNTIF('Work Task_Log'!A:D,"4/7/2020")</f>
        <v>6</v>
      </c>
      <c r="D91" s="135">
        <f>SUMIF('Work Task_Log'!A3:A1971,"04/07/2020",'Work Task_Log'!I3:I2005)</f>
        <v>12</v>
      </c>
      <c r="E91" s="135">
        <f>SUMIF('Work Task_Log'!A3:A1971,"04/07/2020",'Work Task_Log'!J3:J2027)</f>
        <v>13</v>
      </c>
      <c r="F91" s="7"/>
    </row>
    <row r="92" spans="1:6">
      <c r="A92" s="6"/>
      <c r="B92" s="66">
        <v>43927</v>
      </c>
      <c r="C92" s="8">
        <f>COUNTIF('Work Task_Log'!A:D,"4/6/2020")</f>
        <v>13</v>
      </c>
      <c r="D92" s="8">
        <v>8</v>
      </c>
      <c r="E92" s="8">
        <v>2</v>
      </c>
      <c r="F92" s="7"/>
    </row>
    <row r="93" spans="1:6">
      <c r="A93" s="6"/>
      <c r="B93" s="65">
        <v>43926</v>
      </c>
      <c r="C93" s="4">
        <f>COUNTIF('Work Task_Log'!A:D,"4/5/2020")</f>
        <v>0</v>
      </c>
      <c r="D93" s="4">
        <v>0</v>
      </c>
      <c r="E93" s="4">
        <v>0</v>
      </c>
      <c r="F93" s="7"/>
    </row>
    <row r="94" spans="1:6">
      <c r="A94" s="6"/>
      <c r="B94" s="66">
        <v>43925</v>
      </c>
      <c r="C94" s="8">
        <v>6</v>
      </c>
      <c r="D94" s="8">
        <v>8.5</v>
      </c>
      <c r="E94" s="8">
        <v>4</v>
      </c>
      <c r="F94" s="7"/>
    </row>
    <row r="95" spans="1:6">
      <c r="A95" s="6"/>
      <c r="B95" s="65">
        <v>43924</v>
      </c>
      <c r="C95" s="4">
        <v>7</v>
      </c>
      <c r="D95" s="4">
        <v>8</v>
      </c>
      <c r="E95" s="4">
        <v>2</v>
      </c>
      <c r="F95" s="7"/>
    </row>
    <row r="96" spans="1:6">
      <c r="A96" s="6"/>
      <c r="B96" s="66">
        <v>43923</v>
      </c>
      <c r="C96" s="8">
        <v>2</v>
      </c>
      <c r="D96" s="8">
        <v>2</v>
      </c>
      <c r="E96" s="8">
        <v>2</v>
      </c>
      <c r="F96" s="7"/>
    </row>
    <row r="97" spans="1:6">
      <c r="A97" s="6"/>
      <c r="B97" s="65">
        <v>43922</v>
      </c>
      <c r="C97" s="4">
        <v>13</v>
      </c>
      <c r="D97" s="4">
        <v>8.5</v>
      </c>
      <c r="E97" s="4">
        <v>3</v>
      </c>
      <c r="F97" s="7"/>
    </row>
    <row r="98" spans="1:6">
      <c r="A98" s="6"/>
      <c r="B98" s="66">
        <v>43921</v>
      </c>
      <c r="C98" s="8">
        <v>8</v>
      </c>
      <c r="D98" s="8">
        <v>11</v>
      </c>
      <c r="E98" s="8">
        <v>4</v>
      </c>
      <c r="F98" s="7"/>
    </row>
    <row r="99" spans="1:6">
      <c r="A99" s="6"/>
      <c r="B99" s="65">
        <v>43920</v>
      </c>
      <c r="C99" s="4">
        <v>3</v>
      </c>
      <c r="D99" s="4">
        <v>7.5</v>
      </c>
      <c r="E99" s="4">
        <v>3</v>
      </c>
      <c r="F99" s="6"/>
    </row>
    <row r="100" spans="1:6">
      <c r="A100" s="6"/>
      <c r="B100" s="66">
        <v>43919</v>
      </c>
      <c r="C100" s="8">
        <v>0</v>
      </c>
      <c r="D100" s="8">
        <v>0</v>
      </c>
      <c r="E100" s="8">
        <v>0</v>
      </c>
      <c r="F100" s="6"/>
    </row>
    <row r="101" spans="1:6">
      <c r="A101" s="6"/>
      <c r="B101" s="65">
        <v>43918</v>
      </c>
      <c r="C101" s="4">
        <v>6</v>
      </c>
      <c r="D101" s="4">
        <v>4</v>
      </c>
      <c r="E101" s="4">
        <v>4</v>
      </c>
      <c r="F101" s="6"/>
    </row>
    <row r="102" spans="1:6">
      <c r="A102" s="6"/>
      <c r="B102" s="66">
        <v>43917</v>
      </c>
      <c r="C102" s="8">
        <v>3</v>
      </c>
      <c r="D102" s="8">
        <v>3</v>
      </c>
      <c r="E102" s="8">
        <v>4</v>
      </c>
      <c r="F102" s="6"/>
    </row>
    <row r="103" spans="1:6">
      <c r="A103" s="6"/>
      <c r="B103" s="65">
        <v>43916</v>
      </c>
      <c r="C103" s="4">
        <v>1</v>
      </c>
      <c r="D103" s="4">
        <v>2.5</v>
      </c>
      <c r="E103" s="4">
        <v>4</v>
      </c>
      <c r="F103" s="6"/>
    </row>
    <row r="104" spans="1:6">
      <c r="A104" s="6"/>
      <c r="B104" s="66">
        <v>43915</v>
      </c>
      <c r="C104" s="8">
        <v>12</v>
      </c>
      <c r="D104" s="8">
        <v>6</v>
      </c>
      <c r="E104" s="8">
        <v>4</v>
      </c>
      <c r="F104" s="6"/>
    </row>
    <row r="105" spans="1:6">
      <c r="A105" s="6"/>
      <c r="B105" s="65">
        <v>43914</v>
      </c>
      <c r="C105" s="4">
        <v>3</v>
      </c>
      <c r="D105" s="4">
        <v>0.75</v>
      </c>
      <c r="E105" s="4">
        <v>4</v>
      </c>
      <c r="F105" s="6"/>
    </row>
    <row r="106" spans="1:6">
      <c r="A106" s="6"/>
      <c r="B106" s="66">
        <v>43913</v>
      </c>
      <c r="C106" s="8">
        <v>1</v>
      </c>
      <c r="D106" s="8">
        <v>0.5</v>
      </c>
      <c r="E106" s="8">
        <v>3</v>
      </c>
      <c r="F106" s="6"/>
    </row>
    <row r="107" spans="1:6">
      <c r="A107" s="6"/>
      <c r="B107" s="65">
        <v>43912</v>
      </c>
      <c r="C107" s="4">
        <v>0</v>
      </c>
      <c r="D107" s="4">
        <v>0</v>
      </c>
      <c r="E107" s="4">
        <v>0</v>
      </c>
      <c r="F107" s="6"/>
    </row>
    <row r="108" spans="1:6">
      <c r="A108" s="6"/>
      <c r="B108" s="66">
        <v>43911</v>
      </c>
      <c r="C108" s="8">
        <v>0</v>
      </c>
      <c r="D108" s="8">
        <v>0</v>
      </c>
      <c r="E108" s="8">
        <v>0</v>
      </c>
      <c r="F108" s="6"/>
    </row>
    <row r="109" spans="1:6">
      <c r="A109" s="6"/>
      <c r="B109" s="65">
        <v>43910</v>
      </c>
      <c r="C109" s="4">
        <v>0</v>
      </c>
      <c r="D109" s="4">
        <v>0</v>
      </c>
      <c r="E109" s="4">
        <v>0</v>
      </c>
      <c r="F109" s="6"/>
    </row>
    <row r="110" spans="1:6">
      <c r="A110" s="6"/>
      <c r="B110" s="66">
        <v>43909</v>
      </c>
      <c r="C110" s="8">
        <v>12</v>
      </c>
      <c r="D110" s="8">
        <v>8</v>
      </c>
      <c r="E110" s="8">
        <v>4</v>
      </c>
      <c r="F110" s="6"/>
    </row>
    <row r="111" spans="1:6">
      <c r="A111" s="6"/>
      <c r="B111" s="65">
        <v>43908</v>
      </c>
      <c r="C111" s="4">
        <v>6</v>
      </c>
      <c r="D111" s="4">
        <v>5.5</v>
      </c>
      <c r="E111" s="4">
        <v>4</v>
      </c>
      <c r="F111" s="6"/>
    </row>
    <row r="112" spans="1:6">
      <c r="A112" s="6"/>
      <c r="B112" s="66">
        <v>43907</v>
      </c>
      <c r="C112" s="8">
        <v>0</v>
      </c>
      <c r="D112" s="8">
        <v>0</v>
      </c>
      <c r="E112" s="8">
        <v>0</v>
      </c>
      <c r="F112" s="6"/>
    </row>
    <row r="113" spans="1:6">
      <c r="A113" s="6"/>
      <c r="B113" s="65">
        <v>43906</v>
      </c>
      <c r="C113" s="4">
        <v>6</v>
      </c>
      <c r="D113" s="4">
        <v>2.5</v>
      </c>
      <c r="E113" s="4">
        <v>3</v>
      </c>
      <c r="F113" s="6"/>
    </row>
    <row r="114" spans="1:6">
      <c r="A114" s="6"/>
      <c r="B114" s="66">
        <v>43905</v>
      </c>
      <c r="C114" s="8">
        <v>0</v>
      </c>
      <c r="D114" s="8">
        <v>0</v>
      </c>
      <c r="E114" s="8">
        <v>0</v>
      </c>
      <c r="F114" s="6"/>
    </row>
    <row r="115" spans="1:6">
      <c r="A115" s="6"/>
      <c r="B115" s="65">
        <v>43904</v>
      </c>
      <c r="C115" s="4">
        <v>7</v>
      </c>
      <c r="D115" s="4">
        <v>7</v>
      </c>
      <c r="E115" s="4">
        <v>4</v>
      </c>
      <c r="F115" s="6"/>
    </row>
    <row r="116" spans="1:6">
      <c r="A116" s="6"/>
      <c r="B116" s="66">
        <v>43903</v>
      </c>
      <c r="C116" s="8">
        <v>3</v>
      </c>
      <c r="D116" s="8">
        <v>4.5</v>
      </c>
      <c r="E116" s="8">
        <v>4</v>
      </c>
      <c r="F116" s="6"/>
    </row>
    <row r="117" spans="1:6">
      <c r="A117" s="6"/>
      <c r="B117" s="65">
        <v>43902</v>
      </c>
      <c r="C117" s="4">
        <v>3</v>
      </c>
      <c r="D117" s="4">
        <v>3</v>
      </c>
      <c r="E117" s="4">
        <v>4</v>
      </c>
      <c r="F117" s="6"/>
    </row>
    <row r="118" spans="1:6">
      <c r="A118" s="6"/>
      <c r="B118" s="66">
        <v>43901</v>
      </c>
      <c r="C118" s="8">
        <v>3</v>
      </c>
      <c r="D118" s="8">
        <v>0.5</v>
      </c>
      <c r="E118" s="8">
        <v>4</v>
      </c>
      <c r="F118" s="6"/>
    </row>
    <row r="119" spans="1:6">
      <c r="A119" s="6"/>
      <c r="B119" s="65">
        <v>43900</v>
      </c>
      <c r="C119" s="4">
        <v>3</v>
      </c>
      <c r="D119" s="4">
        <v>2.25</v>
      </c>
      <c r="E119" s="4">
        <v>4</v>
      </c>
      <c r="F119" s="6"/>
    </row>
    <row r="120" spans="1:6">
      <c r="A120" s="6"/>
      <c r="B120" s="66">
        <v>43899</v>
      </c>
      <c r="C120" s="8">
        <v>4</v>
      </c>
      <c r="D120" s="8">
        <v>7</v>
      </c>
      <c r="E120" s="8">
        <v>3</v>
      </c>
      <c r="F120" s="6"/>
    </row>
    <row r="121" spans="1:6">
      <c r="A121" s="6"/>
      <c r="B121" s="65">
        <v>43898</v>
      </c>
      <c r="C121" s="4">
        <v>9</v>
      </c>
      <c r="D121" s="4">
        <v>3.5</v>
      </c>
      <c r="E121" s="4">
        <v>4</v>
      </c>
      <c r="F121" s="6"/>
    </row>
    <row r="122" spans="1:6">
      <c r="A122" s="6"/>
      <c r="B122" s="66">
        <v>43897</v>
      </c>
      <c r="C122" s="8">
        <v>0</v>
      </c>
      <c r="D122" s="8">
        <v>0</v>
      </c>
      <c r="E122" s="8">
        <v>0</v>
      </c>
      <c r="F122" s="6"/>
    </row>
    <row r="123" spans="1:6">
      <c r="A123" s="6"/>
      <c r="B123" s="65">
        <v>43896</v>
      </c>
      <c r="C123" s="4">
        <v>9</v>
      </c>
      <c r="D123" s="4">
        <v>5</v>
      </c>
      <c r="E123" s="4">
        <v>4</v>
      </c>
      <c r="F123" s="6"/>
    </row>
    <row r="124" spans="1:6">
      <c r="A124" s="6"/>
      <c r="B124" s="66">
        <v>43895</v>
      </c>
      <c r="C124" s="8">
        <v>12</v>
      </c>
      <c r="D124" s="8">
        <v>13</v>
      </c>
      <c r="E124" s="8">
        <v>4</v>
      </c>
      <c r="F124" s="6"/>
    </row>
    <row r="125" spans="1:6">
      <c r="A125" s="6"/>
      <c r="B125" s="65">
        <v>43894</v>
      </c>
      <c r="C125" s="4">
        <v>6</v>
      </c>
      <c r="D125" s="4">
        <v>6.5</v>
      </c>
      <c r="E125" s="4">
        <v>4</v>
      </c>
      <c r="F125" s="6"/>
    </row>
    <row r="126" spans="1:6">
      <c r="A126" s="6"/>
      <c r="B126" s="66">
        <v>43893</v>
      </c>
      <c r="C126" s="8">
        <v>8</v>
      </c>
      <c r="D126" s="8">
        <v>7.5</v>
      </c>
      <c r="E126" s="8">
        <v>4</v>
      </c>
      <c r="F126" s="6"/>
    </row>
    <row r="127" spans="1:6">
      <c r="A127" s="6"/>
      <c r="B127" s="65">
        <v>43892</v>
      </c>
      <c r="C127" s="4">
        <v>4</v>
      </c>
      <c r="D127" s="4">
        <v>3.2</v>
      </c>
      <c r="E127" s="4">
        <v>3</v>
      </c>
      <c r="F127" s="6"/>
    </row>
    <row r="128" spans="1:6">
      <c r="A128" s="6"/>
      <c r="B128" s="66">
        <v>43891</v>
      </c>
      <c r="C128" s="8">
        <v>2</v>
      </c>
      <c r="D128" s="8">
        <v>1</v>
      </c>
      <c r="E128" s="8">
        <v>4</v>
      </c>
      <c r="F128" s="6"/>
    </row>
    <row r="129" spans="1:6">
      <c r="A129" s="6"/>
      <c r="B129" s="66">
        <v>43890</v>
      </c>
      <c r="C129" s="8">
        <v>4</v>
      </c>
      <c r="D129" s="8">
        <v>1</v>
      </c>
      <c r="E129" s="8">
        <v>4</v>
      </c>
      <c r="F129" s="6"/>
    </row>
    <row r="130" spans="1:6">
      <c r="A130" s="6"/>
      <c r="B130" s="65">
        <v>43889</v>
      </c>
      <c r="C130" s="4">
        <v>3</v>
      </c>
      <c r="D130" s="4">
        <v>2</v>
      </c>
      <c r="E130" s="4">
        <v>3</v>
      </c>
      <c r="F130" s="6"/>
    </row>
    <row r="131" spans="1:6">
      <c r="A131" s="6"/>
      <c r="B131" s="66">
        <v>43888</v>
      </c>
      <c r="C131" s="8">
        <v>9</v>
      </c>
      <c r="D131" s="8">
        <v>7</v>
      </c>
      <c r="E131" s="8">
        <v>0</v>
      </c>
      <c r="F131" s="6"/>
    </row>
    <row r="132" spans="1:6">
      <c r="A132" s="6"/>
      <c r="B132" s="65">
        <v>43887</v>
      </c>
      <c r="C132" s="4">
        <v>5</v>
      </c>
      <c r="D132" s="4">
        <v>4.5</v>
      </c>
      <c r="E132" s="4">
        <v>4</v>
      </c>
      <c r="F132" s="6"/>
    </row>
    <row r="133" spans="1:6">
      <c r="A133" s="6"/>
      <c r="B133" s="66">
        <v>43886</v>
      </c>
      <c r="C133" s="8">
        <v>5</v>
      </c>
      <c r="D133" s="8">
        <v>6.5</v>
      </c>
      <c r="E133" s="8">
        <v>4</v>
      </c>
      <c r="F133" s="6"/>
    </row>
    <row r="134" spans="1:6">
      <c r="A134" s="6"/>
      <c r="B134" s="65">
        <v>43885</v>
      </c>
      <c r="C134" s="4">
        <v>5</v>
      </c>
      <c r="D134" s="4">
        <v>9</v>
      </c>
      <c r="E134" s="4">
        <v>4</v>
      </c>
      <c r="F134" s="6"/>
    </row>
    <row r="135" spans="1:6">
      <c r="A135" s="6"/>
      <c r="B135" s="66">
        <v>43884</v>
      </c>
      <c r="C135" s="8">
        <v>0</v>
      </c>
      <c r="D135" s="8">
        <v>0</v>
      </c>
      <c r="E135" s="8">
        <v>0</v>
      </c>
      <c r="F135" s="6"/>
    </row>
    <row r="136" spans="1:6">
      <c r="A136" s="6"/>
      <c r="B136" s="65">
        <v>43883</v>
      </c>
      <c r="C136" s="4">
        <v>8</v>
      </c>
      <c r="D136" s="4">
        <v>4.5</v>
      </c>
      <c r="E136" s="4">
        <v>4</v>
      </c>
      <c r="F136" s="6"/>
    </row>
    <row r="137" spans="1:6">
      <c r="A137" s="6"/>
      <c r="B137" s="66">
        <v>43882</v>
      </c>
      <c r="C137" s="8">
        <v>5</v>
      </c>
      <c r="D137" s="8">
        <v>5.5</v>
      </c>
      <c r="E137" s="8">
        <v>3</v>
      </c>
      <c r="F137" s="6"/>
    </row>
    <row r="138" spans="1:6">
      <c r="A138" s="6"/>
      <c r="B138" s="65">
        <v>43881</v>
      </c>
      <c r="C138" s="4">
        <v>5</v>
      </c>
      <c r="D138" s="4">
        <v>3</v>
      </c>
      <c r="E138" s="4">
        <v>4</v>
      </c>
      <c r="F138" s="6"/>
    </row>
    <row r="139" spans="1:6">
      <c r="A139" s="6"/>
      <c r="B139" s="66">
        <v>43880</v>
      </c>
      <c r="C139" s="8">
        <v>8</v>
      </c>
      <c r="D139" s="8">
        <v>6</v>
      </c>
      <c r="E139" s="8">
        <v>4</v>
      </c>
      <c r="F139" s="6"/>
    </row>
    <row r="140" spans="1:6">
      <c r="A140" s="6"/>
      <c r="B140" s="65">
        <v>43879</v>
      </c>
      <c r="C140" s="4">
        <v>5</v>
      </c>
      <c r="D140" s="4">
        <v>4.5</v>
      </c>
      <c r="E140" s="4">
        <v>4</v>
      </c>
      <c r="F140" s="6"/>
    </row>
    <row r="141" spans="1:6">
      <c r="A141" s="6"/>
      <c r="B141" s="66">
        <v>43878</v>
      </c>
      <c r="C141" s="8">
        <v>13</v>
      </c>
      <c r="D141" s="8">
        <v>6</v>
      </c>
      <c r="E141" s="8">
        <v>4</v>
      </c>
      <c r="F141" s="6"/>
    </row>
    <row r="142" spans="1:6">
      <c r="A142" s="6"/>
      <c r="B142" s="65">
        <v>43877</v>
      </c>
      <c r="C142" s="4">
        <v>5</v>
      </c>
      <c r="D142" s="4">
        <v>4</v>
      </c>
      <c r="E142" s="4">
        <v>4</v>
      </c>
      <c r="F142" s="6"/>
    </row>
    <row r="143" spans="1:6">
      <c r="A143" s="6"/>
      <c r="B143" s="66">
        <v>43876</v>
      </c>
      <c r="C143" s="8">
        <v>4</v>
      </c>
      <c r="D143" s="8">
        <v>4</v>
      </c>
      <c r="E143" s="8">
        <v>4</v>
      </c>
      <c r="F143" s="6"/>
    </row>
    <row r="144" spans="1:6">
      <c r="A144" s="6"/>
      <c r="B144" s="65">
        <v>43875</v>
      </c>
      <c r="C144" s="4">
        <v>14</v>
      </c>
      <c r="D144" s="4">
        <v>15.5</v>
      </c>
      <c r="E144" s="4">
        <v>3</v>
      </c>
      <c r="F144" s="6"/>
    </row>
    <row r="145" spans="1:6">
      <c r="A145" s="6"/>
      <c r="B145" s="66">
        <v>43874</v>
      </c>
      <c r="C145" s="8">
        <v>7</v>
      </c>
      <c r="D145" s="8">
        <v>6</v>
      </c>
      <c r="E145" s="8">
        <v>4</v>
      </c>
      <c r="F145" s="6"/>
    </row>
    <row r="146" spans="1:6">
      <c r="A146" s="6"/>
      <c r="B146" s="65">
        <v>43873</v>
      </c>
      <c r="C146" s="4">
        <v>1</v>
      </c>
      <c r="D146" s="4">
        <v>1</v>
      </c>
      <c r="E146" s="4">
        <v>4</v>
      </c>
      <c r="F146" s="6"/>
    </row>
    <row r="147" spans="1:6">
      <c r="A147" s="6"/>
      <c r="B147" s="66">
        <v>43872</v>
      </c>
      <c r="C147" s="8">
        <v>3</v>
      </c>
      <c r="D147" s="8">
        <v>1</v>
      </c>
      <c r="E147" s="8">
        <v>4</v>
      </c>
      <c r="F147" s="6"/>
    </row>
    <row r="148" spans="1:6">
      <c r="A148" s="6"/>
      <c r="B148" s="65">
        <v>43871</v>
      </c>
      <c r="C148" s="4">
        <v>12</v>
      </c>
      <c r="D148" s="4">
        <v>10</v>
      </c>
      <c r="E148" s="4">
        <v>4</v>
      </c>
      <c r="F148" s="6"/>
    </row>
    <row r="149" spans="1:6">
      <c r="A149" s="6"/>
      <c r="B149" s="66">
        <v>43870</v>
      </c>
      <c r="C149" s="8">
        <v>6</v>
      </c>
      <c r="D149" s="8">
        <v>1</v>
      </c>
      <c r="E149" s="8">
        <v>4</v>
      </c>
      <c r="F149" s="6"/>
    </row>
    <row r="150" spans="1:6">
      <c r="A150" s="6"/>
      <c r="B150" s="65">
        <v>43869</v>
      </c>
      <c r="C150" s="4">
        <v>4</v>
      </c>
      <c r="D150" s="4">
        <v>1</v>
      </c>
      <c r="E150" s="4">
        <v>4</v>
      </c>
      <c r="F150" s="6"/>
    </row>
    <row r="151" spans="1:6">
      <c r="A151" s="6"/>
      <c r="B151" s="66">
        <v>43868</v>
      </c>
      <c r="C151" s="8">
        <v>9</v>
      </c>
      <c r="D151" s="8">
        <v>4.5</v>
      </c>
      <c r="E151" s="8">
        <v>3</v>
      </c>
      <c r="F151" s="6"/>
    </row>
    <row r="152" spans="1:6">
      <c r="A152" s="6"/>
      <c r="B152" s="65">
        <v>43867</v>
      </c>
      <c r="C152" s="4">
        <v>2</v>
      </c>
      <c r="D152" s="4">
        <v>0.5</v>
      </c>
      <c r="E152" s="4">
        <v>4</v>
      </c>
      <c r="F152" s="6"/>
    </row>
    <row r="153" spans="1:6">
      <c r="A153" s="6"/>
      <c r="B153" s="66">
        <v>43866</v>
      </c>
      <c r="C153" s="8">
        <v>8</v>
      </c>
      <c r="D153" s="8">
        <v>3.5</v>
      </c>
      <c r="E153" s="8">
        <v>4</v>
      </c>
      <c r="F153" s="6"/>
    </row>
    <row r="154" spans="1:6">
      <c r="A154" s="6"/>
      <c r="B154" s="65">
        <v>43865</v>
      </c>
      <c r="C154" s="4">
        <v>4</v>
      </c>
      <c r="D154" s="4">
        <v>2.2000000000000002</v>
      </c>
      <c r="E154" s="4">
        <v>4</v>
      </c>
      <c r="F154" s="6"/>
    </row>
    <row r="155" spans="1:6">
      <c r="A155" s="6"/>
      <c r="B155" s="66">
        <v>43864</v>
      </c>
      <c r="C155" s="8">
        <v>1</v>
      </c>
      <c r="D155" s="8">
        <v>1</v>
      </c>
      <c r="E155" s="8">
        <v>4</v>
      </c>
      <c r="F155" s="6"/>
    </row>
    <row r="156" spans="1:6">
      <c r="A156" s="6"/>
      <c r="B156" s="65">
        <v>43863</v>
      </c>
      <c r="C156" s="4">
        <v>0</v>
      </c>
      <c r="D156" s="4">
        <v>0</v>
      </c>
      <c r="E156" s="4">
        <v>0</v>
      </c>
      <c r="F156" s="6"/>
    </row>
    <row r="157" spans="1:6">
      <c r="A157" s="6"/>
      <c r="B157" s="66">
        <v>43862</v>
      </c>
      <c r="C157" s="8">
        <v>4</v>
      </c>
      <c r="D157" s="8">
        <v>4.5</v>
      </c>
      <c r="E157" s="8">
        <v>4</v>
      </c>
      <c r="F157" s="6"/>
    </row>
    <row r="158" spans="1:6">
      <c r="A158" s="6"/>
      <c r="B158" s="66">
        <v>43861</v>
      </c>
      <c r="C158" s="9">
        <v>1</v>
      </c>
      <c r="D158" s="8">
        <v>0.1</v>
      </c>
      <c r="E158" s="8">
        <v>4</v>
      </c>
      <c r="F158" s="6"/>
    </row>
    <row r="159" spans="1:6">
      <c r="A159" s="6"/>
      <c r="B159" s="65">
        <v>43860</v>
      </c>
      <c r="C159" s="10">
        <v>4</v>
      </c>
      <c r="D159" s="4">
        <v>4</v>
      </c>
      <c r="E159" s="4">
        <v>3</v>
      </c>
      <c r="F159" s="6"/>
    </row>
    <row r="160" spans="1:6">
      <c r="A160" s="6"/>
      <c r="B160" s="66">
        <v>43859</v>
      </c>
      <c r="C160" s="9">
        <v>3</v>
      </c>
      <c r="D160" s="8">
        <v>0.2</v>
      </c>
      <c r="E160" s="8">
        <v>0</v>
      </c>
      <c r="F160" s="6"/>
    </row>
    <row r="161" spans="1:6">
      <c r="A161" s="6"/>
      <c r="B161" s="65">
        <v>43858</v>
      </c>
      <c r="C161" s="10">
        <v>1</v>
      </c>
      <c r="D161" s="4">
        <v>1</v>
      </c>
      <c r="E161" s="4">
        <v>4</v>
      </c>
      <c r="F161" s="6"/>
    </row>
    <row r="162" spans="1:6">
      <c r="A162" s="6"/>
      <c r="B162" s="66">
        <v>43857</v>
      </c>
      <c r="C162" s="9">
        <v>4</v>
      </c>
      <c r="D162" s="8">
        <v>6.5</v>
      </c>
      <c r="E162" s="8">
        <v>4</v>
      </c>
      <c r="F162" s="6"/>
    </row>
    <row r="163" spans="1:6">
      <c r="A163" s="6"/>
      <c r="B163" s="65">
        <v>43856</v>
      </c>
      <c r="C163" s="10">
        <v>4</v>
      </c>
      <c r="D163" s="4">
        <v>2.5</v>
      </c>
      <c r="E163" s="4">
        <v>4</v>
      </c>
      <c r="F163" s="6"/>
    </row>
    <row r="164" spans="1:6">
      <c r="A164" s="6"/>
      <c r="B164" s="66">
        <v>43855</v>
      </c>
      <c r="C164" s="9">
        <v>0</v>
      </c>
      <c r="D164" s="8">
        <v>0</v>
      </c>
      <c r="E164" s="8">
        <v>0</v>
      </c>
      <c r="F164" s="6"/>
    </row>
    <row r="165" spans="1:6">
      <c r="A165" s="6"/>
      <c r="B165" s="65">
        <v>43854</v>
      </c>
      <c r="C165" s="10">
        <v>3</v>
      </c>
      <c r="D165" s="4">
        <v>6.25</v>
      </c>
      <c r="E165" s="4">
        <v>4</v>
      </c>
      <c r="F165" s="6"/>
    </row>
    <row r="166" spans="1:6">
      <c r="A166" s="6"/>
      <c r="B166" s="66">
        <v>43853</v>
      </c>
      <c r="C166" s="9">
        <v>2</v>
      </c>
      <c r="D166" s="8">
        <v>0.75</v>
      </c>
      <c r="E166" s="8">
        <v>3</v>
      </c>
      <c r="F166" s="6"/>
    </row>
    <row r="167" spans="1:6">
      <c r="A167" s="6"/>
      <c r="B167" s="65">
        <v>43852</v>
      </c>
      <c r="C167" s="10">
        <v>0</v>
      </c>
      <c r="D167" s="4">
        <v>0</v>
      </c>
      <c r="E167" s="4">
        <v>0</v>
      </c>
      <c r="F167" s="6"/>
    </row>
    <row r="168" spans="1:6">
      <c r="A168" s="6"/>
      <c r="B168" s="66">
        <v>43851</v>
      </c>
      <c r="C168" s="9">
        <v>4</v>
      </c>
      <c r="D168" s="8">
        <v>5.5</v>
      </c>
      <c r="E168" s="8">
        <v>4</v>
      </c>
      <c r="F168" s="6"/>
    </row>
    <row r="169" spans="1:6">
      <c r="A169" s="6"/>
      <c r="B169" s="65">
        <v>43850</v>
      </c>
      <c r="C169" s="10">
        <v>4</v>
      </c>
      <c r="D169" s="4">
        <v>4.5</v>
      </c>
      <c r="E169" s="4">
        <v>4</v>
      </c>
      <c r="F169" s="6"/>
    </row>
    <row r="170" spans="1:6">
      <c r="A170" s="6"/>
      <c r="B170" s="66">
        <v>43849</v>
      </c>
      <c r="C170" s="9">
        <v>2</v>
      </c>
      <c r="D170" s="8">
        <v>0.5</v>
      </c>
      <c r="E170" s="8">
        <v>4</v>
      </c>
      <c r="F170" s="6"/>
    </row>
    <row r="171" spans="1:6">
      <c r="A171" s="6"/>
      <c r="B171" s="65">
        <v>43848</v>
      </c>
      <c r="C171" s="10">
        <v>4</v>
      </c>
      <c r="D171" s="4">
        <v>3.5</v>
      </c>
      <c r="E171" s="4">
        <v>4</v>
      </c>
      <c r="F171" s="6"/>
    </row>
    <row r="172" spans="1:6">
      <c r="A172" s="6"/>
      <c r="B172" s="66">
        <v>43847</v>
      </c>
      <c r="C172" s="9">
        <v>1</v>
      </c>
      <c r="D172" s="8">
        <v>0.5</v>
      </c>
      <c r="E172" s="8">
        <v>4</v>
      </c>
      <c r="F172" s="6"/>
    </row>
    <row r="173" spans="1:6">
      <c r="A173" s="6"/>
      <c r="B173" s="65">
        <v>43846</v>
      </c>
      <c r="C173" s="10">
        <v>3</v>
      </c>
      <c r="D173" s="4">
        <v>1.5</v>
      </c>
      <c r="E173" s="4">
        <v>3</v>
      </c>
      <c r="F173" s="6"/>
    </row>
    <row r="174" spans="1:6">
      <c r="A174" s="6"/>
      <c r="B174" s="66">
        <v>43845</v>
      </c>
      <c r="C174" s="9">
        <v>8</v>
      </c>
      <c r="D174" s="8">
        <v>6</v>
      </c>
      <c r="E174" s="8">
        <v>4</v>
      </c>
      <c r="F174" s="6"/>
    </row>
    <row r="175" spans="1:6">
      <c r="A175" s="6"/>
      <c r="B175" s="65">
        <v>43844</v>
      </c>
      <c r="C175" s="10">
        <v>2</v>
      </c>
      <c r="D175" s="4">
        <v>1.5</v>
      </c>
      <c r="E175" s="4">
        <v>4</v>
      </c>
      <c r="F175" s="6"/>
    </row>
    <row r="176" spans="1:6">
      <c r="A176" s="6"/>
      <c r="B176" s="66">
        <v>43843</v>
      </c>
      <c r="C176" s="9">
        <v>6</v>
      </c>
      <c r="D176" s="95">
        <v>7</v>
      </c>
      <c r="E176" s="95">
        <v>4</v>
      </c>
      <c r="F176" s="6"/>
    </row>
    <row r="177" spans="1:6">
      <c r="A177" s="6"/>
      <c r="B177" s="65">
        <v>43842</v>
      </c>
      <c r="C177" s="10" t="s">
        <v>57</v>
      </c>
      <c r="D177" s="4"/>
      <c r="E177" s="4"/>
      <c r="F177" s="6"/>
    </row>
    <row r="178" spans="1:6">
      <c r="A178" s="6"/>
      <c r="B178" s="66">
        <v>43841</v>
      </c>
      <c r="C178" s="9" t="s">
        <v>57</v>
      </c>
      <c r="D178" s="8"/>
      <c r="E178" s="8"/>
      <c r="F178" s="6"/>
    </row>
    <row r="179" spans="1:6">
      <c r="A179" s="6"/>
      <c r="B179" s="65">
        <v>43840</v>
      </c>
      <c r="C179" s="10" t="s">
        <v>57</v>
      </c>
      <c r="D179" s="4"/>
      <c r="E179" s="4"/>
      <c r="F179" s="6"/>
    </row>
    <row r="180" spans="1:6">
      <c r="A180" s="6"/>
      <c r="B180" s="66">
        <v>43839</v>
      </c>
      <c r="C180" s="9" t="s">
        <v>57</v>
      </c>
      <c r="D180" s="8"/>
      <c r="E180" s="8"/>
      <c r="F180" s="6"/>
    </row>
    <row r="181" spans="1:6">
      <c r="A181" s="6"/>
      <c r="B181" s="65">
        <v>43838</v>
      </c>
      <c r="C181" s="10" t="s">
        <v>57</v>
      </c>
      <c r="D181" s="4"/>
      <c r="E181" s="4"/>
      <c r="F181" s="6"/>
    </row>
    <row r="182" spans="1:6">
      <c r="A182" s="6"/>
      <c r="B182" s="66">
        <v>43837</v>
      </c>
      <c r="C182" s="9" t="s">
        <v>57</v>
      </c>
      <c r="D182" s="8"/>
      <c r="E182" s="8"/>
      <c r="F182" s="6"/>
    </row>
    <row r="183" spans="1:6">
      <c r="A183" s="6"/>
      <c r="B183" s="65">
        <v>43836</v>
      </c>
      <c r="C183" s="10" t="s">
        <v>57</v>
      </c>
      <c r="D183" s="4"/>
      <c r="E183" s="4"/>
      <c r="F183" s="6"/>
    </row>
    <row r="184" spans="1:6">
      <c r="A184" s="6"/>
      <c r="B184" s="66">
        <v>43835</v>
      </c>
      <c r="C184" s="9" t="s">
        <v>57</v>
      </c>
      <c r="D184" s="8"/>
      <c r="E184" s="8"/>
      <c r="F184" s="6"/>
    </row>
    <row r="185" spans="1:6">
      <c r="A185" s="6"/>
      <c r="B185" s="65">
        <v>43834</v>
      </c>
      <c r="C185" s="10" t="s">
        <v>57</v>
      </c>
      <c r="D185" s="4"/>
      <c r="E185" s="4"/>
      <c r="F185" s="6"/>
    </row>
    <row r="186" spans="1:6">
      <c r="A186" s="6"/>
      <c r="B186" s="66">
        <v>43833</v>
      </c>
      <c r="C186" s="9" t="s">
        <v>57</v>
      </c>
      <c r="D186" s="8"/>
      <c r="E186" s="8"/>
      <c r="F186" s="6"/>
    </row>
    <row r="187" spans="1:6">
      <c r="A187" s="6"/>
      <c r="B187" s="65">
        <v>43832</v>
      </c>
      <c r="C187" s="10" t="s">
        <v>57</v>
      </c>
      <c r="D187" s="4"/>
      <c r="E187" s="4"/>
      <c r="F187" s="6"/>
    </row>
    <row r="188" spans="1:6">
      <c r="A188" s="6"/>
      <c r="B188" s="66">
        <v>43831</v>
      </c>
      <c r="C188" s="9" t="s">
        <v>57</v>
      </c>
      <c r="D188" s="8"/>
      <c r="E188" s="8"/>
      <c r="F188" s="6"/>
    </row>
    <row r="189" spans="1:6">
      <c r="A189" s="6"/>
      <c r="B189" s="72" t="s">
        <v>56</v>
      </c>
      <c r="C189" s="71">
        <f>SUM(C6:C188)</f>
        <v>602</v>
      </c>
      <c r="D189" s="71">
        <f>SUM(D6:D188)</f>
        <v>518.25</v>
      </c>
      <c r="E189" s="71">
        <f>SUM(E6:E188)</f>
        <v>704</v>
      </c>
      <c r="F189" s="6"/>
    </row>
    <row r="190" spans="1:6" ht="7.5" customHeight="1">
      <c r="A190" s="6"/>
      <c r="B190" s="6"/>
      <c r="C190" s="69"/>
      <c r="D190" s="69"/>
      <c r="E190" s="69"/>
      <c r="F190" s="6"/>
    </row>
    <row r="191" spans="1:6">
      <c r="B191" s="73"/>
      <c r="C191" s="74"/>
      <c r="D191" s="74"/>
      <c r="E191" s="74"/>
    </row>
  </sheetData>
  <sheetProtection algorithmName="SHA-512" hashValue="nkKfiL/uXoSqxZ/aui4s8d9oW1UyfhoPL19PyRvcJr7w3KpITGBXFUPXvBzKpeOUZzwOy4PbBNF+hvZACrRvTQ==" saltValue="8WtX1YZCYXuzY3TTZt8Pgw==" spinCount="100000" sheet="1" objects="1" scenarios="1"/>
  <mergeCells count="7">
    <mergeCell ref="G5:T5"/>
    <mergeCell ref="A1:G1"/>
    <mergeCell ref="H1:U1"/>
    <mergeCell ref="R3:T3"/>
    <mergeCell ref="C3:E3"/>
    <mergeCell ref="H3:J3"/>
    <mergeCell ref="M3:O3"/>
  </mergeCells>
  <hyperlinks>
    <hyperlink ref="A1" location="DASHBOARD!A1" display="Back to Dashboard" xr:uid="{00000000-0004-0000-0D00-000000000000}"/>
  </hyperlinks>
  <printOptions horizontalCentered="1"/>
  <pageMargins left="0.25" right="0.25" top="0.75" bottom="0.75" header="0.3" footer="0.3"/>
  <pageSetup scale="8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L2028"/>
  <sheetViews>
    <sheetView zoomScale="142" zoomScaleNormal="142" zoomScaleSheetLayoutView="130" workbookViewId="0">
      <pane ySplit="2" topLeftCell="A243" activePane="bottomLeft" state="frozen"/>
      <selection pane="bottomLeft" sqref="A1:D1"/>
    </sheetView>
  </sheetViews>
  <sheetFormatPr defaultColWidth="8.7109375" defaultRowHeight="15"/>
  <cols>
    <col min="1" max="1" width="10.42578125" style="1" bestFit="1" customWidth="1"/>
    <col min="2" max="2" width="10.42578125" style="1" customWidth="1"/>
    <col min="3" max="3" width="8.7109375" style="491"/>
    <col min="4" max="4" width="8.140625" style="1" customWidth="1"/>
    <col min="5" max="5" width="39.28515625" style="1" customWidth="1"/>
    <col min="6" max="6" width="30.42578125" style="491" customWidth="1"/>
    <col min="7" max="7" width="11.5703125" style="1" customWidth="1"/>
    <col min="8" max="11" width="11.42578125" style="1" customWidth="1"/>
    <col min="12" max="12" width="21.28515625" style="1" bestFit="1" customWidth="1"/>
    <col min="13" max="16384" width="8.7109375" style="1"/>
  </cols>
  <sheetData>
    <row r="1" spans="1:12" s="233" customFormat="1" ht="46.5">
      <c r="A1" s="745" t="s">
        <v>313</v>
      </c>
      <c r="B1" s="746"/>
      <c r="C1" s="746"/>
      <c r="D1" s="747"/>
      <c r="E1" s="748" t="s">
        <v>944</v>
      </c>
      <c r="F1" s="749"/>
      <c r="G1" s="749"/>
      <c r="H1" s="749"/>
      <c r="I1" s="749"/>
      <c r="J1" s="749"/>
      <c r="K1" s="749"/>
      <c r="L1" s="749"/>
    </row>
    <row r="2" spans="1:12" ht="63" customHeight="1">
      <c r="A2" s="120" t="s">
        <v>198</v>
      </c>
      <c r="B2" s="120" t="s">
        <v>95</v>
      </c>
      <c r="C2" s="121" t="s">
        <v>195</v>
      </c>
      <c r="D2" s="121" t="s">
        <v>199</v>
      </c>
      <c r="E2" s="120" t="s">
        <v>196</v>
      </c>
      <c r="F2" s="121" t="s">
        <v>1096</v>
      </c>
      <c r="G2" s="121" t="s">
        <v>197</v>
      </c>
      <c r="H2" s="121" t="s">
        <v>239</v>
      </c>
      <c r="I2" s="256" t="s">
        <v>1026</v>
      </c>
      <c r="J2" s="256" t="s">
        <v>544</v>
      </c>
      <c r="K2" s="256" t="s">
        <v>151</v>
      </c>
      <c r="L2" s="122" t="s">
        <v>242</v>
      </c>
    </row>
    <row r="3" spans="1:12">
      <c r="A3" s="137">
        <v>43923</v>
      </c>
      <c r="B3" s="106" t="s">
        <v>96</v>
      </c>
      <c r="C3" s="107" t="s">
        <v>323</v>
      </c>
      <c r="D3" s="106"/>
      <c r="E3" s="106" t="s">
        <v>324</v>
      </c>
      <c r="F3" s="107" t="s">
        <v>266</v>
      </c>
      <c r="G3" s="106" t="s">
        <v>158</v>
      </c>
      <c r="H3" s="106" t="s">
        <v>225</v>
      </c>
      <c r="I3" s="381"/>
      <c r="J3" s="106"/>
      <c r="K3" s="137">
        <v>43923</v>
      </c>
      <c r="L3" s="106" t="s">
        <v>325</v>
      </c>
    </row>
    <row r="4" spans="1:12" ht="30">
      <c r="A4" s="137">
        <v>43923</v>
      </c>
      <c r="B4" s="106" t="s">
        <v>96</v>
      </c>
      <c r="C4" s="107" t="s">
        <v>326</v>
      </c>
      <c r="D4" s="106"/>
      <c r="E4" s="106" t="s">
        <v>328</v>
      </c>
      <c r="F4" s="107" t="s">
        <v>266</v>
      </c>
      <c r="G4" s="106" t="s">
        <v>158</v>
      </c>
      <c r="H4" s="106" t="s">
        <v>225</v>
      </c>
      <c r="I4" s="381"/>
      <c r="J4" s="106"/>
      <c r="K4" s="137">
        <v>43923</v>
      </c>
      <c r="L4" s="106" t="s">
        <v>325</v>
      </c>
    </row>
    <row r="5" spans="1:12">
      <c r="A5" s="137">
        <v>43923</v>
      </c>
      <c r="B5" s="106" t="s">
        <v>96</v>
      </c>
      <c r="C5" s="107" t="s">
        <v>234</v>
      </c>
      <c r="D5" s="106"/>
      <c r="E5" s="106" t="s">
        <v>327</v>
      </c>
      <c r="F5" s="107" t="s">
        <v>266</v>
      </c>
      <c r="G5" s="106" t="s">
        <v>158</v>
      </c>
      <c r="H5" s="106" t="s">
        <v>225</v>
      </c>
      <c r="I5" s="381"/>
      <c r="J5" s="106"/>
      <c r="K5" s="137">
        <v>43923</v>
      </c>
      <c r="L5" s="106" t="s">
        <v>329</v>
      </c>
    </row>
    <row r="6" spans="1:12">
      <c r="A6" s="137">
        <v>43923</v>
      </c>
      <c r="B6" s="106" t="s">
        <v>96</v>
      </c>
      <c r="C6" s="107" t="s">
        <v>330</v>
      </c>
      <c r="D6" s="106"/>
      <c r="E6" s="106" t="s">
        <v>331</v>
      </c>
      <c r="F6" s="107" t="s">
        <v>266</v>
      </c>
      <c r="G6" s="106" t="s">
        <v>158</v>
      </c>
      <c r="H6" s="106" t="s">
        <v>225</v>
      </c>
      <c r="I6" s="381"/>
      <c r="J6" s="106"/>
      <c r="K6" s="137">
        <v>43923</v>
      </c>
      <c r="L6" s="106" t="s">
        <v>329</v>
      </c>
    </row>
    <row r="7" spans="1:12">
      <c r="A7" s="137">
        <v>43924</v>
      </c>
      <c r="B7" s="137" t="s">
        <v>98</v>
      </c>
      <c r="C7" s="107" t="s">
        <v>258</v>
      </c>
      <c r="D7" s="106"/>
      <c r="E7" s="106" t="s">
        <v>224</v>
      </c>
      <c r="F7" s="107" t="s">
        <v>240</v>
      </c>
      <c r="G7" s="106" t="s">
        <v>158</v>
      </c>
      <c r="H7" s="106" t="s">
        <v>225</v>
      </c>
      <c r="I7" s="381">
        <v>1</v>
      </c>
      <c r="J7" s="106">
        <v>2</v>
      </c>
      <c r="K7" s="137">
        <v>43924</v>
      </c>
      <c r="L7" s="106" t="s">
        <v>226</v>
      </c>
    </row>
    <row r="8" spans="1:12">
      <c r="A8" s="137">
        <v>43924</v>
      </c>
      <c r="B8" s="137" t="s">
        <v>98</v>
      </c>
      <c r="C8" s="107" t="s">
        <v>257</v>
      </c>
      <c r="D8" s="106"/>
      <c r="E8" s="106" t="s">
        <v>227</v>
      </c>
      <c r="F8" s="107" t="s">
        <v>228</v>
      </c>
      <c r="G8" s="106" t="s">
        <v>158</v>
      </c>
      <c r="H8" s="106" t="s">
        <v>225</v>
      </c>
      <c r="I8" s="381">
        <v>1</v>
      </c>
      <c r="J8" s="106">
        <v>2</v>
      </c>
      <c r="K8" s="137">
        <v>43924</v>
      </c>
      <c r="L8" s="106" t="s">
        <v>226</v>
      </c>
    </row>
    <row r="9" spans="1:12">
      <c r="A9" s="137">
        <v>43924</v>
      </c>
      <c r="B9" s="137" t="s">
        <v>98</v>
      </c>
      <c r="C9" s="107" t="s">
        <v>257</v>
      </c>
      <c r="D9" s="106"/>
      <c r="E9" s="106" t="s">
        <v>229</v>
      </c>
      <c r="F9" s="107" t="s">
        <v>240</v>
      </c>
      <c r="G9" s="137" t="s">
        <v>158</v>
      </c>
      <c r="H9" s="137" t="s">
        <v>225</v>
      </c>
      <c r="I9" s="381"/>
      <c r="J9" s="137"/>
      <c r="K9" s="137">
        <v>43924</v>
      </c>
      <c r="L9" s="106" t="s">
        <v>226</v>
      </c>
    </row>
    <row r="10" spans="1:12">
      <c r="A10" s="137">
        <v>43924</v>
      </c>
      <c r="B10" s="137" t="s">
        <v>98</v>
      </c>
      <c r="C10" s="107" t="s">
        <v>42</v>
      </c>
      <c r="D10" s="106"/>
      <c r="E10" s="106" t="s">
        <v>230</v>
      </c>
      <c r="F10" s="107" t="s">
        <v>231</v>
      </c>
      <c r="G10" s="106" t="s">
        <v>158</v>
      </c>
      <c r="H10" s="106" t="s">
        <v>158</v>
      </c>
      <c r="I10" s="381">
        <v>3</v>
      </c>
      <c r="J10" s="106">
        <v>2</v>
      </c>
      <c r="K10" s="137">
        <v>43924</v>
      </c>
      <c r="L10" s="106" t="s">
        <v>226</v>
      </c>
    </row>
    <row r="11" spans="1:12" ht="30">
      <c r="A11" s="137">
        <v>43924</v>
      </c>
      <c r="B11" s="137" t="s">
        <v>98</v>
      </c>
      <c r="C11" s="107" t="s">
        <v>232</v>
      </c>
      <c r="D11" s="106"/>
      <c r="E11" s="106" t="s">
        <v>233</v>
      </c>
      <c r="F11" s="107" t="s">
        <v>252</v>
      </c>
      <c r="G11" s="106" t="s">
        <v>158</v>
      </c>
      <c r="H11" s="106" t="s">
        <v>158</v>
      </c>
      <c r="I11" s="381">
        <v>3</v>
      </c>
      <c r="J11" s="106">
        <v>2</v>
      </c>
      <c r="K11" s="137">
        <v>43924</v>
      </c>
      <c r="L11" s="106" t="s">
        <v>226</v>
      </c>
    </row>
    <row r="12" spans="1:12">
      <c r="A12" s="137">
        <v>43924</v>
      </c>
      <c r="B12" s="137" t="s">
        <v>98</v>
      </c>
      <c r="C12" s="107" t="s">
        <v>234</v>
      </c>
      <c r="D12" s="106"/>
      <c r="E12" s="106" t="s">
        <v>235</v>
      </c>
      <c r="F12" s="107" t="s">
        <v>236</v>
      </c>
      <c r="G12" s="106" t="s">
        <v>158</v>
      </c>
      <c r="H12" s="106" t="s">
        <v>225</v>
      </c>
      <c r="I12" s="381">
        <v>1</v>
      </c>
      <c r="J12" s="106">
        <v>2</v>
      </c>
      <c r="K12" s="137">
        <v>43924</v>
      </c>
      <c r="L12" s="106" t="s">
        <v>226</v>
      </c>
    </row>
    <row r="13" spans="1:12">
      <c r="A13" s="137">
        <v>43924</v>
      </c>
      <c r="B13" s="137" t="s">
        <v>98</v>
      </c>
      <c r="C13" s="107" t="s">
        <v>255</v>
      </c>
      <c r="D13" s="106"/>
      <c r="E13" s="106" t="s">
        <v>238</v>
      </c>
      <c r="F13" s="107" t="s">
        <v>236</v>
      </c>
      <c r="G13" s="106" t="s">
        <v>158</v>
      </c>
      <c r="H13" s="106" t="s">
        <v>225</v>
      </c>
      <c r="I13" s="381">
        <v>1</v>
      </c>
      <c r="J13" s="106">
        <v>2</v>
      </c>
      <c r="K13" s="137">
        <v>43924</v>
      </c>
      <c r="L13" s="106" t="s">
        <v>226</v>
      </c>
    </row>
    <row r="14" spans="1:12">
      <c r="A14" s="137">
        <v>43924</v>
      </c>
      <c r="B14" s="106" t="s">
        <v>96</v>
      </c>
      <c r="C14" s="107" t="s">
        <v>332</v>
      </c>
      <c r="D14" s="106"/>
      <c r="E14" s="106" t="s">
        <v>333</v>
      </c>
      <c r="F14" s="107" t="s">
        <v>266</v>
      </c>
      <c r="G14" s="106" t="s">
        <v>158</v>
      </c>
      <c r="H14" s="106" t="s">
        <v>225</v>
      </c>
      <c r="I14" s="381"/>
      <c r="J14" s="106"/>
      <c r="K14" s="137">
        <v>43924</v>
      </c>
      <c r="L14" s="106" t="s">
        <v>325</v>
      </c>
    </row>
    <row r="15" spans="1:12">
      <c r="A15" s="137">
        <v>43924</v>
      </c>
      <c r="B15" s="106" t="s">
        <v>96</v>
      </c>
      <c r="C15" s="107" t="s">
        <v>334</v>
      </c>
      <c r="D15" s="106"/>
      <c r="E15" s="106" t="s">
        <v>335</v>
      </c>
      <c r="F15" s="107" t="s">
        <v>266</v>
      </c>
      <c r="G15" s="106" t="s">
        <v>158</v>
      </c>
      <c r="H15" s="106" t="s">
        <v>225</v>
      </c>
      <c r="I15" s="381"/>
      <c r="J15" s="106"/>
      <c r="K15" s="137">
        <v>43924</v>
      </c>
      <c r="L15" s="106" t="s">
        <v>329</v>
      </c>
    </row>
    <row r="16" spans="1:12">
      <c r="A16" s="137">
        <v>43924</v>
      </c>
      <c r="B16" s="106" t="s">
        <v>96</v>
      </c>
      <c r="C16" s="107" t="s">
        <v>336</v>
      </c>
      <c r="D16" s="106"/>
      <c r="E16" s="106" t="s">
        <v>337</v>
      </c>
      <c r="F16" s="107" t="s">
        <v>266</v>
      </c>
      <c r="G16" s="106" t="s">
        <v>158</v>
      </c>
      <c r="H16" s="106" t="s">
        <v>225</v>
      </c>
      <c r="I16" s="381"/>
      <c r="J16" s="106"/>
      <c r="K16" s="137">
        <v>43924</v>
      </c>
      <c r="L16" s="106" t="s">
        <v>325</v>
      </c>
    </row>
    <row r="17" spans="1:12">
      <c r="A17" s="137">
        <v>43925</v>
      </c>
      <c r="B17" s="137" t="s">
        <v>98</v>
      </c>
      <c r="C17" s="107" t="s">
        <v>256</v>
      </c>
      <c r="D17" s="106"/>
      <c r="E17" s="106" t="s">
        <v>246</v>
      </c>
      <c r="F17" s="107" t="s">
        <v>254</v>
      </c>
      <c r="G17" s="106" t="s">
        <v>158</v>
      </c>
      <c r="H17" s="106" t="s">
        <v>225</v>
      </c>
      <c r="I17" s="381">
        <v>1</v>
      </c>
      <c r="J17" s="106">
        <v>2</v>
      </c>
      <c r="K17" s="137">
        <v>43925</v>
      </c>
      <c r="L17" s="106" t="s">
        <v>226</v>
      </c>
    </row>
    <row r="18" spans="1:12">
      <c r="A18" s="137">
        <v>43925</v>
      </c>
      <c r="B18" s="137" t="s">
        <v>98</v>
      </c>
      <c r="C18" s="107" t="s">
        <v>237</v>
      </c>
      <c r="D18" s="106"/>
      <c r="E18" s="106" t="s">
        <v>247</v>
      </c>
      <c r="F18" s="107" t="s">
        <v>248</v>
      </c>
      <c r="G18" s="106" t="s">
        <v>158</v>
      </c>
      <c r="H18" s="106" t="s">
        <v>225</v>
      </c>
      <c r="I18" s="381">
        <v>2</v>
      </c>
      <c r="J18" s="106">
        <v>2</v>
      </c>
      <c r="K18" s="137">
        <v>43925</v>
      </c>
      <c r="L18" s="106" t="s">
        <v>226</v>
      </c>
    </row>
    <row r="19" spans="1:12" ht="30">
      <c r="A19" s="137">
        <v>43925</v>
      </c>
      <c r="B19" s="137" t="s">
        <v>98</v>
      </c>
      <c r="C19" s="107" t="s">
        <v>249</v>
      </c>
      <c r="D19" s="106"/>
      <c r="E19" s="106" t="s">
        <v>250</v>
      </c>
      <c r="F19" s="107" t="s">
        <v>251</v>
      </c>
      <c r="G19" s="106" t="s">
        <v>158</v>
      </c>
      <c r="H19" s="106" t="s">
        <v>225</v>
      </c>
      <c r="I19" s="381">
        <v>2</v>
      </c>
      <c r="J19" s="106">
        <v>2</v>
      </c>
      <c r="K19" s="137">
        <v>43925</v>
      </c>
      <c r="L19" s="106" t="s">
        <v>226</v>
      </c>
    </row>
    <row r="20" spans="1:12">
      <c r="A20" s="137">
        <v>43925</v>
      </c>
      <c r="B20" s="106" t="s">
        <v>98</v>
      </c>
      <c r="C20" s="107" t="s">
        <v>42</v>
      </c>
      <c r="D20" s="106"/>
      <c r="E20" s="106" t="s">
        <v>253</v>
      </c>
      <c r="F20" s="107" t="s">
        <v>231</v>
      </c>
      <c r="G20" s="106" t="s">
        <v>158</v>
      </c>
      <c r="H20" s="106" t="s">
        <v>158</v>
      </c>
      <c r="I20" s="381"/>
      <c r="J20" s="106"/>
      <c r="K20" s="137">
        <v>43925</v>
      </c>
      <c r="L20" s="106" t="s">
        <v>226</v>
      </c>
    </row>
    <row r="21" spans="1:12">
      <c r="A21" s="137">
        <v>43925</v>
      </c>
      <c r="B21" s="106" t="s">
        <v>96</v>
      </c>
      <c r="C21" s="107" t="s">
        <v>338</v>
      </c>
      <c r="D21" s="106"/>
      <c r="E21" s="106" t="s">
        <v>337</v>
      </c>
      <c r="F21" s="107" t="s">
        <v>266</v>
      </c>
      <c r="G21" s="106" t="s">
        <v>158</v>
      </c>
      <c r="H21" s="106" t="s">
        <v>225</v>
      </c>
      <c r="I21" s="381"/>
      <c r="J21" s="106"/>
      <c r="K21" s="137">
        <v>43925</v>
      </c>
      <c r="L21" s="106" t="s">
        <v>325</v>
      </c>
    </row>
    <row r="22" spans="1:12">
      <c r="A22" s="137">
        <v>43925</v>
      </c>
      <c r="B22" s="106" t="s">
        <v>96</v>
      </c>
      <c r="C22" s="107" t="s">
        <v>339</v>
      </c>
      <c r="D22" s="106"/>
      <c r="E22" s="106" t="s">
        <v>340</v>
      </c>
      <c r="F22" s="107" t="s">
        <v>266</v>
      </c>
      <c r="G22" s="106" t="s">
        <v>158</v>
      </c>
      <c r="H22" s="106" t="s">
        <v>158</v>
      </c>
      <c r="I22" s="381"/>
      <c r="J22" s="106"/>
      <c r="K22" s="137">
        <v>43925</v>
      </c>
      <c r="L22" s="106" t="s">
        <v>325</v>
      </c>
    </row>
    <row r="23" spans="1:12">
      <c r="A23" s="137">
        <v>43925</v>
      </c>
      <c r="B23" s="106" t="s">
        <v>97</v>
      </c>
      <c r="C23" s="107" t="s">
        <v>343</v>
      </c>
      <c r="D23" s="106"/>
      <c r="E23" s="106" t="s">
        <v>346</v>
      </c>
      <c r="F23" s="107" t="s">
        <v>347</v>
      </c>
      <c r="G23" s="106" t="s">
        <v>225</v>
      </c>
      <c r="H23" s="106" t="s">
        <v>225</v>
      </c>
      <c r="I23" s="381"/>
      <c r="J23" s="106"/>
      <c r="K23" s="137">
        <v>43925</v>
      </c>
      <c r="L23" s="106" t="s">
        <v>345</v>
      </c>
    </row>
    <row r="24" spans="1:12">
      <c r="A24" s="137">
        <v>43925</v>
      </c>
      <c r="B24" s="106" t="s">
        <v>97</v>
      </c>
      <c r="C24" s="107" t="s">
        <v>341</v>
      </c>
      <c r="D24" s="106"/>
      <c r="E24" s="106" t="s">
        <v>342</v>
      </c>
      <c r="F24" s="107" t="s">
        <v>344</v>
      </c>
      <c r="G24" s="106" t="s">
        <v>225</v>
      </c>
      <c r="H24" s="106" t="s">
        <v>158</v>
      </c>
      <c r="I24" s="381"/>
      <c r="J24" s="106"/>
      <c r="K24" s="137">
        <v>43925</v>
      </c>
      <c r="L24" s="106" t="s">
        <v>348</v>
      </c>
    </row>
    <row r="25" spans="1:12">
      <c r="A25" s="137">
        <v>43927</v>
      </c>
      <c r="B25" s="106" t="s">
        <v>98</v>
      </c>
      <c r="C25" s="107" t="s">
        <v>255</v>
      </c>
      <c r="D25" s="106"/>
      <c r="E25" s="106" t="s">
        <v>388</v>
      </c>
      <c r="F25" s="107" t="s">
        <v>390</v>
      </c>
      <c r="G25" s="106" t="s">
        <v>158</v>
      </c>
      <c r="H25" s="106" t="s">
        <v>225</v>
      </c>
      <c r="I25" s="381">
        <v>1</v>
      </c>
      <c r="J25" s="106">
        <v>2</v>
      </c>
      <c r="K25" s="137">
        <v>43927</v>
      </c>
      <c r="L25" s="106" t="s">
        <v>45</v>
      </c>
    </row>
    <row r="26" spans="1:12">
      <c r="A26" s="137">
        <v>43927</v>
      </c>
      <c r="B26" s="106" t="s">
        <v>98</v>
      </c>
      <c r="C26" s="107" t="s">
        <v>256</v>
      </c>
      <c r="D26" s="106"/>
      <c r="E26" s="106" t="s">
        <v>389</v>
      </c>
      <c r="F26" s="107" t="s">
        <v>390</v>
      </c>
      <c r="G26" s="106" t="s">
        <v>158</v>
      </c>
      <c r="H26" s="106" t="s">
        <v>225</v>
      </c>
      <c r="I26" s="381">
        <v>1</v>
      </c>
      <c r="J26" s="106">
        <v>2</v>
      </c>
      <c r="K26" s="137">
        <v>43927</v>
      </c>
      <c r="L26" s="106" t="s">
        <v>45</v>
      </c>
    </row>
    <row r="27" spans="1:12">
      <c r="A27" s="137">
        <v>43927</v>
      </c>
      <c r="B27" s="106" t="s">
        <v>98</v>
      </c>
      <c r="C27" s="107" t="s">
        <v>256</v>
      </c>
      <c r="D27" s="106" t="s">
        <v>392</v>
      </c>
      <c r="E27" s="106" t="s">
        <v>391</v>
      </c>
      <c r="F27" s="107" t="s">
        <v>393</v>
      </c>
      <c r="G27" s="106" t="s">
        <v>158</v>
      </c>
      <c r="H27" s="106" t="s">
        <v>158</v>
      </c>
      <c r="I27" s="381">
        <v>1</v>
      </c>
      <c r="J27" s="106">
        <v>2</v>
      </c>
      <c r="K27" s="137">
        <v>43927</v>
      </c>
      <c r="L27" s="106" t="s">
        <v>45</v>
      </c>
    </row>
    <row r="28" spans="1:12">
      <c r="A28" s="137">
        <v>43927</v>
      </c>
      <c r="B28" s="106" t="s">
        <v>98</v>
      </c>
      <c r="C28" s="107" t="s">
        <v>256</v>
      </c>
      <c r="D28" s="106"/>
      <c r="E28" s="106" t="s">
        <v>395</v>
      </c>
      <c r="F28" s="107" t="s">
        <v>394</v>
      </c>
      <c r="G28" s="106" t="s">
        <v>158</v>
      </c>
      <c r="H28" s="106" t="s">
        <v>225</v>
      </c>
      <c r="I28" s="381">
        <v>2</v>
      </c>
      <c r="J28" s="106">
        <v>2</v>
      </c>
      <c r="K28" s="137">
        <v>43927</v>
      </c>
      <c r="L28" s="106" t="s">
        <v>397</v>
      </c>
    </row>
    <row r="29" spans="1:12">
      <c r="A29" s="137">
        <v>43927</v>
      </c>
      <c r="B29" s="106" t="s">
        <v>98</v>
      </c>
      <c r="C29" s="107" t="s">
        <v>232</v>
      </c>
      <c r="D29" s="106"/>
      <c r="E29" s="106" t="s">
        <v>398</v>
      </c>
      <c r="F29" s="107" t="s">
        <v>396</v>
      </c>
      <c r="G29" s="106" t="s">
        <v>158</v>
      </c>
      <c r="H29" s="106" t="s">
        <v>225</v>
      </c>
      <c r="I29" s="381"/>
      <c r="J29" s="106"/>
      <c r="K29" s="137">
        <v>43927</v>
      </c>
      <c r="L29" s="106" t="s">
        <v>397</v>
      </c>
    </row>
    <row r="30" spans="1:12" ht="30">
      <c r="A30" s="137">
        <v>43927</v>
      </c>
      <c r="B30" s="106" t="s">
        <v>514</v>
      </c>
      <c r="C30" s="107" t="s">
        <v>326</v>
      </c>
      <c r="D30" s="106"/>
      <c r="E30" s="106" t="s">
        <v>516</v>
      </c>
      <c r="F30" s="107" t="s">
        <v>515</v>
      </c>
      <c r="G30" s="106" t="s">
        <v>158</v>
      </c>
      <c r="H30" s="106" t="s">
        <v>225</v>
      </c>
      <c r="I30" s="381"/>
      <c r="J30" s="106"/>
      <c r="K30" s="137">
        <v>43927</v>
      </c>
      <c r="L30" s="106" t="s">
        <v>520</v>
      </c>
    </row>
    <row r="31" spans="1:12" ht="30">
      <c r="A31" s="137">
        <v>43927</v>
      </c>
      <c r="B31" s="106" t="s">
        <v>514</v>
      </c>
      <c r="C31" s="107" t="s">
        <v>517</v>
      </c>
      <c r="D31" s="106"/>
      <c r="E31" s="106" t="s">
        <v>518</v>
      </c>
      <c r="F31" s="107" t="s">
        <v>519</v>
      </c>
      <c r="G31" s="106" t="s">
        <v>158</v>
      </c>
      <c r="H31" s="106" t="s">
        <v>225</v>
      </c>
      <c r="I31" s="381"/>
      <c r="J31" s="106"/>
      <c r="K31" s="137">
        <v>43927</v>
      </c>
      <c r="L31" s="106" t="s">
        <v>524</v>
      </c>
    </row>
    <row r="32" spans="1:12">
      <c r="A32" s="137">
        <v>43927</v>
      </c>
      <c r="B32" s="106" t="s">
        <v>514</v>
      </c>
      <c r="C32" s="107" t="s">
        <v>521</v>
      </c>
      <c r="D32" s="106" t="s">
        <v>522</v>
      </c>
      <c r="E32" s="106" t="s">
        <v>523</v>
      </c>
      <c r="F32" s="107" t="s">
        <v>525</v>
      </c>
      <c r="G32" s="106" t="s">
        <v>158</v>
      </c>
      <c r="H32" s="106" t="s">
        <v>158</v>
      </c>
      <c r="I32" s="381"/>
      <c r="J32" s="106"/>
      <c r="K32" s="137">
        <v>43927</v>
      </c>
      <c r="L32" s="106" t="s">
        <v>524</v>
      </c>
    </row>
    <row r="33" spans="1:12" ht="30">
      <c r="A33" s="137">
        <v>43927</v>
      </c>
      <c r="B33" s="106" t="s">
        <v>514</v>
      </c>
      <c r="C33" s="107" t="s">
        <v>526</v>
      </c>
      <c r="D33" s="106" t="s">
        <v>527</v>
      </c>
      <c r="E33" s="106" t="s">
        <v>528</v>
      </c>
      <c r="F33" s="107" t="s">
        <v>529</v>
      </c>
      <c r="G33" s="106" t="s">
        <v>158</v>
      </c>
      <c r="H33" s="106" t="s">
        <v>225</v>
      </c>
      <c r="I33" s="381"/>
      <c r="J33" s="106"/>
      <c r="K33" s="137">
        <v>43927</v>
      </c>
      <c r="L33" s="106" t="s">
        <v>524</v>
      </c>
    </row>
    <row r="34" spans="1:12">
      <c r="A34" s="137">
        <v>43927</v>
      </c>
      <c r="B34" s="106" t="s">
        <v>514</v>
      </c>
      <c r="C34" s="107" t="s">
        <v>530</v>
      </c>
      <c r="D34" s="106" t="s">
        <v>531</v>
      </c>
      <c r="E34" s="106" t="s">
        <v>532</v>
      </c>
      <c r="F34" s="107" t="s">
        <v>533</v>
      </c>
      <c r="G34" s="106" t="s">
        <v>158</v>
      </c>
      <c r="H34" s="106" t="s">
        <v>225</v>
      </c>
      <c r="I34" s="381" t="s">
        <v>2</v>
      </c>
      <c r="J34" s="106"/>
      <c r="K34" s="137">
        <v>43927</v>
      </c>
      <c r="L34" s="106" t="s">
        <v>524</v>
      </c>
    </row>
    <row r="35" spans="1:12">
      <c r="A35" s="137">
        <v>43927</v>
      </c>
      <c r="B35" s="106" t="s">
        <v>514</v>
      </c>
      <c r="C35" s="107" t="s">
        <v>534</v>
      </c>
      <c r="D35" s="106" t="s">
        <v>535</v>
      </c>
      <c r="E35" s="106" t="s">
        <v>337</v>
      </c>
      <c r="F35" s="107" t="s">
        <v>536</v>
      </c>
      <c r="G35" s="106" t="s">
        <v>158</v>
      </c>
      <c r="H35" s="106" t="s">
        <v>225</v>
      </c>
      <c r="I35" s="381" t="s">
        <v>2</v>
      </c>
      <c r="J35" s="106"/>
      <c r="K35" s="137">
        <v>43927</v>
      </c>
      <c r="L35" s="106" t="s">
        <v>524</v>
      </c>
    </row>
    <row r="36" spans="1:12">
      <c r="A36" s="137">
        <v>43927</v>
      </c>
      <c r="B36" s="106" t="s">
        <v>98</v>
      </c>
      <c r="C36" s="107" t="s">
        <v>341</v>
      </c>
      <c r="D36" s="106"/>
      <c r="E36" s="106" t="s">
        <v>540</v>
      </c>
      <c r="F36" s="107" t="s">
        <v>541</v>
      </c>
      <c r="G36" s="106" t="s">
        <v>225</v>
      </c>
      <c r="H36" s="106" t="s">
        <v>158</v>
      </c>
      <c r="I36" s="381" t="s">
        <v>2</v>
      </c>
      <c r="J36" s="106"/>
      <c r="K36" s="137">
        <v>43927</v>
      </c>
      <c r="L36" s="106" t="s">
        <v>226</v>
      </c>
    </row>
    <row r="37" spans="1:12">
      <c r="A37" s="137">
        <v>43927</v>
      </c>
      <c r="B37" s="106" t="s">
        <v>98</v>
      </c>
      <c r="C37" s="107" t="s">
        <v>232</v>
      </c>
      <c r="D37" s="106"/>
      <c r="E37" s="106" t="s">
        <v>542</v>
      </c>
      <c r="F37" s="107" t="s">
        <v>231</v>
      </c>
      <c r="G37" s="106" t="s">
        <v>158</v>
      </c>
      <c r="H37" s="106" t="s">
        <v>158</v>
      </c>
      <c r="I37" s="381">
        <v>8</v>
      </c>
      <c r="J37" s="106">
        <v>2</v>
      </c>
      <c r="K37" s="137">
        <v>43927</v>
      </c>
      <c r="L37" s="106" t="s">
        <v>226</v>
      </c>
    </row>
    <row r="38" spans="1:12">
      <c r="A38" s="137">
        <v>43928</v>
      </c>
      <c r="B38" s="106" t="s">
        <v>514</v>
      </c>
      <c r="C38" s="107" t="s">
        <v>945</v>
      </c>
      <c r="D38" s="106"/>
      <c r="E38" s="106" t="s">
        <v>946</v>
      </c>
      <c r="F38" s="107" t="s">
        <v>266</v>
      </c>
      <c r="G38" s="106" t="s">
        <v>225</v>
      </c>
      <c r="H38" s="106" t="s">
        <v>158</v>
      </c>
      <c r="I38" s="381">
        <v>0.5</v>
      </c>
      <c r="J38" s="106">
        <v>2</v>
      </c>
      <c r="K38" s="137">
        <v>43928</v>
      </c>
      <c r="L38" s="106" t="s">
        <v>345</v>
      </c>
    </row>
    <row r="39" spans="1:12" ht="30">
      <c r="A39" s="137">
        <v>43928</v>
      </c>
      <c r="B39" s="106" t="s">
        <v>514</v>
      </c>
      <c r="C39" s="107" t="s">
        <v>947</v>
      </c>
      <c r="D39" s="106"/>
      <c r="E39" s="106" t="s">
        <v>948</v>
      </c>
      <c r="F39" s="107" t="s">
        <v>949</v>
      </c>
      <c r="G39" s="106" t="s">
        <v>225</v>
      </c>
      <c r="H39" s="106" t="s">
        <v>158</v>
      </c>
      <c r="I39" s="381">
        <v>2</v>
      </c>
      <c r="J39" s="106">
        <v>2</v>
      </c>
      <c r="K39" s="137">
        <v>43928</v>
      </c>
      <c r="L39" s="106" t="s">
        <v>950</v>
      </c>
    </row>
    <row r="40" spans="1:12">
      <c r="A40" s="137">
        <v>43928</v>
      </c>
      <c r="B40" s="106" t="s">
        <v>514</v>
      </c>
      <c r="C40" s="107" t="s">
        <v>951</v>
      </c>
      <c r="D40" s="106"/>
      <c r="E40" s="106" t="s">
        <v>952</v>
      </c>
      <c r="F40" s="107" t="s">
        <v>266</v>
      </c>
      <c r="G40" s="106" t="s">
        <v>225</v>
      </c>
      <c r="H40" s="106" t="s">
        <v>225</v>
      </c>
      <c r="I40" s="381">
        <v>0.5</v>
      </c>
      <c r="J40" s="106">
        <v>2</v>
      </c>
      <c r="K40" s="137">
        <v>43928</v>
      </c>
      <c r="L40" s="106" t="s">
        <v>345</v>
      </c>
    </row>
    <row r="41" spans="1:12">
      <c r="A41" s="137">
        <v>43928</v>
      </c>
      <c r="B41" s="106" t="s">
        <v>514</v>
      </c>
      <c r="C41" s="107" t="s">
        <v>232</v>
      </c>
      <c r="D41" s="106" t="s">
        <v>954</v>
      </c>
      <c r="E41" s="106" t="s">
        <v>953</v>
      </c>
      <c r="F41" s="107" t="s">
        <v>266</v>
      </c>
      <c r="G41" s="106" t="s">
        <v>158</v>
      </c>
      <c r="H41" s="106" t="s">
        <v>225</v>
      </c>
      <c r="I41" s="381">
        <v>1</v>
      </c>
      <c r="J41" s="106">
        <v>3</v>
      </c>
      <c r="K41" s="137">
        <v>43928</v>
      </c>
      <c r="L41" s="106" t="s">
        <v>955</v>
      </c>
    </row>
    <row r="42" spans="1:12">
      <c r="A42" s="137">
        <v>43928</v>
      </c>
      <c r="B42" s="106" t="s">
        <v>956</v>
      </c>
      <c r="C42" s="107" t="s">
        <v>81</v>
      </c>
      <c r="D42" s="106"/>
      <c r="E42" s="106" t="s">
        <v>253</v>
      </c>
      <c r="F42" s="107" t="s">
        <v>266</v>
      </c>
      <c r="G42" s="106" t="s">
        <v>158</v>
      </c>
      <c r="H42" s="106" t="s">
        <v>158</v>
      </c>
      <c r="I42" s="381">
        <v>1</v>
      </c>
      <c r="J42" s="106">
        <v>2</v>
      </c>
      <c r="K42" s="137">
        <v>43929</v>
      </c>
      <c r="L42" s="106" t="s">
        <v>226</v>
      </c>
    </row>
    <row r="43" spans="1:12">
      <c r="A43" s="137">
        <v>43928</v>
      </c>
      <c r="B43" s="106" t="s">
        <v>956</v>
      </c>
      <c r="C43" s="107" t="s">
        <v>232</v>
      </c>
      <c r="D43" s="106"/>
      <c r="E43" s="106" t="s">
        <v>957</v>
      </c>
      <c r="F43" s="107" t="s">
        <v>266</v>
      </c>
      <c r="G43" s="106" t="s">
        <v>158</v>
      </c>
      <c r="H43" s="106" t="s">
        <v>158</v>
      </c>
      <c r="I43" s="381">
        <v>7</v>
      </c>
      <c r="J43" s="106">
        <v>2</v>
      </c>
      <c r="K43" s="137">
        <v>43929</v>
      </c>
      <c r="L43" s="106" t="s">
        <v>226</v>
      </c>
    </row>
    <row r="44" spans="1:12">
      <c r="A44" s="137">
        <v>43929</v>
      </c>
      <c r="B44" s="106" t="s">
        <v>1011</v>
      </c>
      <c r="C44" s="107" t="s">
        <v>1012</v>
      </c>
      <c r="D44" s="106"/>
      <c r="E44" s="106" t="s">
        <v>1013</v>
      </c>
      <c r="F44" s="107" t="s">
        <v>266</v>
      </c>
      <c r="G44" s="106" t="s">
        <v>158</v>
      </c>
      <c r="H44" s="106" t="s">
        <v>225</v>
      </c>
      <c r="I44" s="381">
        <v>0.2</v>
      </c>
      <c r="J44" s="106">
        <v>2</v>
      </c>
      <c r="K44" s="137">
        <v>43929</v>
      </c>
      <c r="L44" s="106" t="s">
        <v>1014</v>
      </c>
    </row>
    <row r="45" spans="1:12" ht="30">
      <c r="A45" s="137">
        <v>43929</v>
      </c>
      <c r="B45" s="106" t="s">
        <v>1011</v>
      </c>
      <c r="C45" s="107" t="s">
        <v>1015</v>
      </c>
      <c r="D45" s="106"/>
      <c r="E45" s="106" t="s">
        <v>1016</v>
      </c>
      <c r="F45" s="107" t="s">
        <v>266</v>
      </c>
      <c r="G45" s="106" t="s">
        <v>158</v>
      </c>
      <c r="H45" s="106" t="s">
        <v>225</v>
      </c>
      <c r="I45" s="381">
        <v>0.2</v>
      </c>
      <c r="J45" s="106">
        <v>2</v>
      </c>
      <c r="K45" s="137">
        <v>43929</v>
      </c>
      <c r="L45" s="106" t="s">
        <v>1017</v>
      </c>
    </row>
    <row r="46" spans="1:12">
      <c r="A46" s="137">
        <v>43929</v>
      </c>
      <c r="B46" s="106" t="s">
        <v>514</v>
      </c>
      <c r="C46" s="107" t="s">
        <v>90</v>
      </c>
      <c r="D46" s="106"/>
      <c r="E46" s="106" t="s">
        <v>1021</v>
      </c>
      <c r="F46" s="107" t="s">
        <v>266</v>
      </c>
      <c r="G46" s="106" t="s">
        <v>158</v>
      </c>
      <c r="H46" s="106" t="s">
        <v>158</v>
      </c>
      <c r="I46" s="381">
        <v>1</v>
      </c>
      <c r="J46" s="106">
        <v>1</v>
      </c>
      <c r="K46" s="137">
        <v>43929</v>
      </c>
      <c r="L46" s="106" t="s">
        <v>50</v>
      </c>
    </row>
    <row r="47" spans="1:12">
      <c r="A47" s="137">
        <v>43929</v>
      </c>
      <c r="B47" s="106" t="s">
        <v>514</v>
      </c>
      <c r="C47" s="107" t="s">
        <v>1019</v>
      </c>
      <c r="D47" s="106"/>
      <c r="E47" s="106" t="s">
        <v>1020</v>
      </c>
      <c r="F47" s="107" t="s">
        <v>266</v>
      </c>
      <c r="G47" s="106" t="s">
        <v>158</v>
      </c>
      <c r="H47" s="106" t="s">
        <v>158</v>
      </c>
      <c r="I47" s="381">
        <v>1</v>
      </c>
      <c r="J47" s="106">
        <v>2</v>
      </c>
      <c r="K47" s="137">
        <v>43930</v>
      </c>
      <c r="L47" s="106" t="s">
        <v>1075</v>
      </c>
    </row>
    <row r="48" spans="1:12">
      <c r="A48" s="137">
        <v>43929</v>
      </c>
      <c r="B48" s="106" t="s">
        <v>98</v>
      </c>
      <c r="C48" s="107" t="s">
        <v>232</v>
      </c>
      <c r="D48" s="106"/>
      <c r="E48" s="106" t="s">
        <v>1074</v>
      </c>
      <c r="F48" s="107"/>
      <c r="G48" s="106" t="s">
        <v>158</v>
      </c>
      <c r="H48" s="106" t="s">
        <v>158</v>
      </c>
      <c r="I48" s="381">
        <v>5</v>
      </c>
      <c r="J48" s="106">
        <v>2</v>
      </c>
      <c r="K48" s="137">
        <v>43930</v>
      </c>
      <c r="L48" s="106" t="s">
        <v>226</v>
      </c>
    </row>
    <row r="49" spans="1:12" ht="30">
      <c r="A49" s="137">
        <v>43930</v>
      </c>
      <c r="B49" s="106" t="s">
        <v>514</v>
      </c>
      <c r="C49" s="107" t="s">
        <v>1076</v>
      </c>
      <c r="D49" s="106"/>
      <c r="E49" s="106" t="s">
        <v>1077</v>
      </c>
      <c r="F49" s="107" t="s">
        <v>266</v>
      </c>
      <c r="G49" s="106" t="s">
        <v>158</v>
      </c>
      <c r="H49" s="106" t="s">
        <v>225</v>
      </c>
      <c r="I49" s="381">
        <v>1</v>
      </c>
      <c r="J49" s="106">
        <v>2</v>
      </c>
      <c r="K49" s="137">
        <v>43930</v>
      </c>
      <c r="L49" s="106" t="s">
        <v>520</v>
      </c>
    </row>
    <row r="50" spans="1:12">
      <c r="A50" s="137">
        <v>43930</v>
      </c>
      <c r="B50" s="106" t="s">
        <v>514</v>
      </c>
      <c r="C50" s="107" t="s">
        <v>234</v>
      </c>
      <c r="D50" s="106"/>
      <c r="E50" s="107" t="s">
        <v>1078</v>
      </c>
      <c r="F50" s="107" t="s">
        <v>266</v>
      </c>
      <c r="G50" s="106" t="s">
        <v>158</v>
      </c>
      <c r="H50" s="106" t="s">
        <v>225</v>
      </c>
      <c r="I50" s="381">
        <v>1</v>
      </c>
      <c r="J50" s="106">
        <v>2</v>
      </c>
      <c r="K50" s="137">
        <v>43930</v>
      </c>
      <c r="L50" s="106" t="s">
        <v>520</v>
      </c>
    </row>
    <row r="51" spans="1:12">
      <c r="A51" s="137">
        <v>43930</v>
      </c>
      <c r="B51" s="106" t="s">
        <v>514</v>
      </c>
      <c r="C51" s="107" t="s">
        <v>1080</v>
      </c>
      <c r="D51" s="106" t="s">
        <v>1079</v>
      </c>
      <c r="E51" s="106" t="s">
        <v>1081</v>
      </c>
      <c r="F51" s="107" t="s">
        <v>266</v>
      </c>
      <c r="G51" s="106" t="s">
        <v>158</v>
      </c>
      <c r="H51" s="106" t="s">
        <v>158</v>
      </c>
      <c r="I51" s="381">
        <v>0.5</v>
      </c>
      <c r="J51" s="106">
        <v>2</v>
      </c>
      <c r="K51" s="137">
        <v>43930</v>
      </c>
      <c r="L51" s="106" t="s">
        <v>520</v>
      </c>
    </row>
    <row r="52" spans="1:12" ht="30">
      <c r="A52" s="137">
        <v>43930</v>
      </c>
      <c r="B52" s="106" t="s">
        <v>956</v>
      </c>
      <c r="C52" s="107" t="s">
        <v>1084</v>
      </c>
      <c r="D52" s="106"/>
      <c r="E52" s="106" t="s">
        <v>1085</v>
      </c>
      <c r="F52" s="107" t="s">
        <v>394</v>
      </c>
      <c r="G52" s="106" t="s">
        <v>158</v>
      </c>
      <c r="H52" s="106" t="s">
        <v>225</v>
      </c>
      <c r="I52" s="381">
        <v>2</v>
      </c>
      <c r="J52" s="106">
        <v>2</v>
      </c>
      <c r="K52" s="137">
        <v>43930</v>
      </c>
      <c r="L52" s="106" t="s">
        <v>226</v>
      </c>
    </row>
    <row r="53" spans="1:12">
      <c r="A53" s="137">
        <v>43930</v>
      </c>
      <c r="B53" s="106" t="s">
        <v>956</v>
      </c>
      <c r="C53" s="107" t="s">
        <v>81</v>
      </c>
      <c r="D53" s="106"/>
      <c r="E53" s="106" t="s">
        <v>230</v>
      </c>
      <c r="F53" s="107" t="s">
        <v>266</v>
      </c>
      <c r="G53" s="106" t="s">
        <v>158</v>
      </c>
      <c r="H53" s="106" t="s">
        <v>158</v>
      </c>
      <c r="I53" s="381">
        <v>3</v>
      </c>
      <c r="J53" s="106">
        <v>2</v>
      </c>
      <c r="K53" s="137">
        <v>43930</v>
      </c>
      <c r="L53" s="106" t="s">
        <v>226</v>
      </c>
    </row>
    <row r="54" spans="1:12" ht="30">
      <c r="A54" s="137">
        <v>43930</v>
      </c>
      <c r="B54" s="106" t="s">
        <v>956</v>
      </c>
      <c r="C54" s="107" t="s">
        <v>1086</v>
      </c>
      <c r="D54" s="106"/>
      <c r="E54" s="106" t="s">
        <v>1087</v>
      </c>
      <c r="F54" s="107" t="s">
        <v>1088</v>
      </c>
      <c r="G54" s="106" t="s">
        <v>158</v>
      </c>
      <c r="H54" s="106" t="s">
        <v>158</v>
      </c>
      <c r="I54" s="381">
        <v>1</v>
      </c>
      <c r="J54" s="106">
        <v>2</v>
      </c>
      <c r="K54" s="137">
        <v>43930</v>
      </c>
      <c r="L54" s="106" t="s">
        <v>226</v>
      </c>
    </row>
    <row r="55" spans="1:12">
      <c r="A55" s="137">
        <v>43930</v>
      </c>
      <c r="B55" s="106" t="s">
        <v>956</v>
      </c>
      <c r="C55" s="107" t="s">
        <v>232</v>
      </c>
      <c r="D55" s="106"/>
      <c r="E55" s="106" t="s">
        <v>1089</v>
      </c>
      <c r="F55" s="107" t="s">
        <v>1090</v>
      </c>
      <c r="G55" s="106" t="s">
        <v>158</v>
      </c>
      <c r="H55" s="106" t="s">
        <v>158</v>
      </c>
      <c r="I55" s="381">
        <v>1</v>
      </c>
      <c r="J55" s="106">
        <v>2</v>
      </c>
      <c r="K55" s="137">
        <v>43930</v>
      </c>
      <c r="L55" s="106" t="s">
        <v>226</v>
      </c>
    </row>
    <row r="56" spans="1:12">
      <c r="A56" s="137">
        <v>43930</v>
      </c>
      <c r="B56" s="106" t="s">
        <v>956</v>
      </c>
      <c r="C56" s="107" t="s">
        <v>1019</v>
      </c>
      <c r="D56" s="106"/>
      <c r="E56" s="106" t="s">
        <v>540</v>
      </c>
      <c r="F56" s="107" t="s">
        <v>541</v>
      </c>
      <c r="G56" s="106" t="s">
        <v>225</v>
      </c>
      <c r="H56" s="106" t="s">
        <v>225</v>
      </c>
      <c r="I56" s="381">
        <v>1</v>
      </c>
      <c r="J56" s="106">
        <v>2</v>
      </c>
      <c r="K56" s="137">
        <v>43930</v>
      </c>
      <c r="L56" s="106" t="s">
        <v>226</v>
      </c>
    </row>
    <row r="57" spans="1:12">
      <c r="A57" s="137">
        <v>43931</v>
      </c>
      <c r="B57" s="106" t="s">
        <v>514</v>
      </c>
      <c r="C57" s="107" t="s">
        <v>1098</v>
      </c>
      <c r="D57" s="106"/>
      <c r="E57" s="106" t="s">
        <v>1099</v>
      </c>
      <c r="F57" s="107" t="s">
        <v>1100</v>
      </c>
      <c r="G57" s="106" t="s">
        <v>158</v>
      </c>
      <c r="H57" s="106" t="s">
        <v>225</v>
      </c>
      <c r="I57" s="381">
        <v>0.5</v>
      </c>
      <c r="J57" s="106">
        <v>2</v>
      </c>
      <c r="K57" s="137">
        <v>43931</v>
      </c>
      <c r="L57" s="106" t="s">
        <v>1101</v>
      </c>
    </row>
    <row r="58" spans="1:12" ht="30">
      <c r="A58" s="137">
        <v>43931</v>
      </c>
      <c r="B58" s="106" t="s">
        <v>514</v>
      </c>
      <c r="C58" s="107" t="s">
        <v>517</v>
      </c>
      <c r="D58" s="106"/>
      <c r="E58" s="106" t="s">
        <v>1102</v>
      </c>
      <c r="F58" s="107" t="s">
        <v>525</v>
      </c>
      <c r="G58" s="106" t="s">
        <v>158</v>
      </c>
      <c r="H58" s="106" t="s">
        <v>225</v>
      </c>
      <c r="I58" s="381">
        <v>0.5</v>
      </c>
      <c r="J58" s="106">
        <v>2</v>
      </c>
      <c r="K58" s="137">
        <v>43931</v>
      </c>
      <c r="L58" s="106" t="s">
        <v>1101</v>
      </c>
    </row>
    <row r="59" spans="1:12">
      <c r="A59" s="137">
        <v>43931</v>
      </c>
      <c r="B59" s="106" t="s">
        <v>514</v>
      </c>
      <c r="C59" s="107" t="s">
        <v>339</v>
      </c>
      <c r="D59" s="106"/>
      <c r="E59" s="106" t="s">
        <v>1103</v>
      </c>
      <c r="F59" s="107" t="s">
        <v>541</v>
      </c>
      <c r="G59" s="106" t="s">
        <v>225</v>
      </c>
      <c r="H59" s="106" t="s">
        <v>158</v>
      </c>
      <c r="I59" s="381">
        <v>1</v>
      </c>
      <c r="J59" s="106">
        <v>3</v>
      </c>
      <c r="K59" s="137">
        <v>43931</v>
      </c>
      <c r="L59" s="106" t="s">
        <v>1104</v>
      </c>
    </row>
    <row r="60" spans="1:12">
      <c r="A60" s="137">
        <v>43931</v>
      </c>
      <c r="B60" s="106" t="s">
        <v>956</v>
      </c>
      <c r="C60" s="107" t="s">
        <v>81</v>
      </c>
      <c r="D60" s="106"/>
      <c r="E60" s="106" t="s">
        <v>253</v>
      </c>
      <c r="F60" s="107" t="s">
        <v>253</v>
      </c>
      <c r="G60" s="106" t="s">
        <v>158</v>
      </c>
      <c r="H60" s="106" t="s">
        <v>158</v>
      </c>
      <c r="I60" s="381">
        <v>1</v>
      </c>
      <c r="J60" s="106">
        <v>2</v>
      </c>
      <c r="K60" s="137">
        <v>43931</v>
      </c>
      <c r="L60" s="106" t="s">
        <v>226</v>
      </c>
    </row>
    <row r="61" spans="1:12" ht="30">
      <c r="A61" s="137">
        <v>43931</v>
      </c>
      <c r="B61" s="106" t="s">
        <v>956</v>
      </c>
      <c r="C61" s="107" t="s">
        <v>1019</v>
      </c>
      <c r="D61" s="106"/>
      <c r="E61" s="106" t="s">
        <v>1105</v>
      </c>
      <c r="F61" s="107" t="s">
        <v>1106</v>
      </c>
      <c r="G61" s="106" t="s">
        <v>158</v>
      </c>
      <c r="H61" s="106" t="s">
        <v>158</v>
      </c>
      <c r="I61" s="381">
        <v>1</v>
      </c>
      <c r="J61" s="106">
        <v>2</v>
      </c>
      <c r="K61" s="137">
        <v>43931</v>
      </c>
      <c r="L61" s="106" t="s">
        <v>226</v>
      </c>
    </row>
    <row r="62" spans="1:12" ht="30">
      <c r="A62" s="137">
        <v>43931</v>
      </c>
      <c r="B62" s="106" t="s">
        <v>956</v>
      </c>
      <c r="C62" s="107" t="s">
        <v>81</v>
      </c>
      <c r="D62" s="106"/>
      <c r="E62" s="106" t="s">
        <v>1107</v>
      </c>
      <c r="F62" s="107" t="s">
        <v>1108</v>
      </c>
      <c r="G62" s="106" t="s">
        <v>158</v>
      </c>
      <c r="H62" s="106" t="s">
        <v>158</v>
      </c>
      <c r="I62" s="381">
        <v>2</v>
      </c>
      <c r="J62" s="106">
        <v>2</v>
      </c>
      <c r="K62" s="137">
        <v>43931</v>
      </c>
      <c r="L62" s="106" t="s">
        <v>226</v>
      </c>
    </row>
    <row r="63" spans="1:12" ht="30">
      <c r="A63" s="137">
        <v>43932</v>
      </c>
      <c r="B63" s="106" t="s">
        <v>1011</v>
      </c>
      <c r="C63" s="107" t="s">
        <v>1109</v>
      </c>
      <c r="D63" s="106"/>
      <c r="E63" s="106" t="s">
        <v>540</v>
      </c>
      <c r="F63" s="107" t="s">
        <v>1110</v>
      </c>
      <c r="G63" s="106" t="s">
        <v>225</v>
      </c>
      <c r="H63" s="106" t="s">
        <v>158</v>
      </c>
      <c r="I63" s="381">
        <v>1</v>
      </c>
      <c r="J63" s="498">
        <v>2</v>
      </c>
      <c r="K63" s="137">
        <v>43932</v>
      </c>
      <c r="L63" s="106" t="s">
        <v>1111</v>
      </c>
    </row>
    <row r="64" spans="1:12" ht="30">
      <c r="A64" s="137">
        <v>43933</v>
      </c>
      <c r="B64" s="106" t="s">
        <v>514</v>
      </c>
      <c r="C64" s="107" t="s">
        <v>1128</v>
      </c>
      <c r="D64" s="106"/>
      <c r="E64" s="106" t="s">
        <v>1129</v>
      </c>
      <c r="F64" s="107" t="s">
        <v>525</v>
      </c>
      <c r="G64" s="106" t="s">
        <v>158</v>
      </c>
      <c r="H64" s="106" t="s">
        <v>225</v>
      </c>
      <c r="I64" s="381">
        <v>0.5</v>
      </c>
      <c r="J64" s="106">
        <v>3</v>
      </c>
      <c r="K64" s="137">
        <v>43933</v>
      </c>
      <c r="L64" s="106" t="s">
        <v>524</v>
      </c>
    </row>
    <row r="65" spans="1:12" ht="30">
      <c r="A65" s="137">
        <v>43933</v>
      </c>
      <c r="B65" s="106" t="s">
        <v>514</v>
      </c>
      <c r="C65" s="107" t="s">
        <v>1084</v>
      </c>
      <c r="D65" s="106"/>
      <c r="E65" s="106" t="s">
        <v>1130</v>
      </c>
      <c r="F65" s="107" t="s">
        <v>1131</v>
      </c>
      <c r="G65" s="106" t="s">
        <v>158</v>
      </c>
      <c r="H65" s="106" t="s">
        <v>225</v>
      </c>
      <c r="I65" s="381">
        <v>0.5</v>
      </c>
      <c r="J65" s="106">
        <v>3</v>
      </c>
      <c r="K65" s="137">
        <v>43933</v>
      </c>
      <c r="L65" s="106" t="s">
        <v>524</v>
      </c>
    </row>
    <row r="66" spans="1:12" ht="30">
      <c r="A66" s="137">
        <v>43933</v>
      </c>
      <c r="B66" s="106" t="s">
        <v>514</v>
      </c>
      <c r="C66" s="107" t="s">
        <v>1015</v>
      </c>
      <c r="D66" s="106"/>
      <c r="E66" s="106" t="s">
        <v>1132</v>
      </c>
      <c r="F66" s="107" t="s">
        <v>1133</v>
      </c>
      <c r="G66" s="106" t="s">
        <v>158</v>
      </c>
      <c r="H66" s="106" t="s">
        <v>225</v>
      </c>
      <c r="I66" s="381">
        <v>0.5</v>
      </c>
      <c r="J66" s="106">
        <v>3</v>
      </c>
      <c r="K66" s="137">
        <v>43933</v>
      </c>
      <c r="L66" s="106" t="s">
        <v>524</v>
      </c>
    </row>
    <row r="67" spans="1:12">
      <c r="A67" s="137">
        <v>43934</v>
      </c>
      <c r="B67" s="106" t="s">
        <v>956</v>
      </c>
      <c r="C67" s="107" t="s">
        <v>1164</v>
      </c>
      <c r="D67" s="106"/>
      <c r="E67" s="106" t="s">
        <v>1165</v>
      </c>
      <c r="F67" s="107" t="s">
        <v>236</v>
      </c>
      <c r="G67" s="106" t="s">
        <v>158</v>
      </c>
      <c r="H67" s="106" t="s">
        <v>225</v>
      </c>
      <c r="I67" s="381">
        <v>1</v>
      </c>
      <c r="J67" s="106">
        <v>2</v>
      </c>
      <c r="K67" s="137">
        <v>43934</v>
      </c>
      <c r="L67" s="106" t="s">
        <v>226</v>
      </c>
    </row>
    <row r="68" spans="1:12">
      <c r="A68" s="137">
        <v>43934</v>
      </c>
      <c r="B68" s="106" t="s">
        <v>956</v>
      </c>
      <c r="C68" s="107" t="s">
        <v>1164</v>
      </c>
      <c r="D68" s="106"/>
      <c r="E68" s="106" t="s">
        <v>1132</v>
      </c>
      <c r="F68" s="107" t="s">
        <v>390</v>
      </c>
      <c r="G68" s="106" t="s">
        <v>158</v>
      </c>
      <c r="H68" s="106" t="s">
        <v>225</v>
      </c>
      <c r="I68" s="381">
        <v>1</v>
      </c>
      <c r="J68" s="106">
        <v>2</v>
      </c>
      <c r="K68" s="137">
        <v>43934</v>
      </c>
      <c r="L68" s="106" t="s">
        <v>226</v>
      </c>
    </row>
    <row r="69" spans="1:12">
      <c r="A69" s="137">
        <v>43934</v>
      </c>
      <c r="B69" s="106" t="s">
        <v>956</v>
      </c>
      <c r="C69" s="107" t="s">
        <v>234</v>
      </c>
      <c r="D69" s="106"/>
      <c r="E69" s="106" t="s">
        <v>1166</v>
      </c>
      <c r="F69" s="107" t="s">
        <v>1167</v>
      </c>
      <c r="G69" s="106" t="s">
        <v>158</v>
      </c>
      <c r="H69" s="106" t="s">
        <v>225</v>
      </c>
      <c r="I69" s="381">
        <v>1</v>
      </c>
      <c r="J69" s="106">
        <v>2</v>
      </c>
      <c r="K69" s="137">
        <v>43934</v>
      </c>
      <c r="L69" s="106" t="s">
        <v>226</v>
      </c>
    </row>
    <row r="70" spans="1:12">
      <c r="A70" s="137">
        <v>43935</v>
      </c>
      <c r="B70" s="106" t="s">
        <v>1011</v>
      </c>
      <c r="C70" s="107" t="s">
        <v>234</v>
      </c>
      <c r="D70" s="106"/>
      <c r="E70" s="106" t="s">
        <v>1176</v>
      </c>
      <c r="F70" s="107" t="s">
        <v>1177</v>
      </c>
      <c r="G70" s="106" t="s">
        <v>158</v>
      </c>
      <c r="H70" s="106" t="s">
        <v>225</v>
      </c>
      <c r="I70" s="381">
        <v>1</v>
      </c>
      <c r="J70" s="106">
        <v>2</v>
      </c>
      <c r="K70" s="137">
        <v>43935</v>
      </c>
      <c r="L70" s="106" t="s">
        <v>1178</v>
      </c>
    </row>
    <row r="71" spans="1:12">
      <c r="A71" s="137">
        <v>43935</v>
      </c>
      <c r="B71" s="106" t="s">
        <v>1011</v>
      </c>
      <c r="C71" s="107" t="s">
        <v>1179</v>
      </c>
      <c r="D71" s="106"/>
      <c r="E71" s="106" t="s">
        <v>1180</v>
      </c>
      <c r="F71" s="107" t="s">
        <v>347</v>
      </c>
      <c r="G71" s="106" t="s">
        <v>158</v>
      </c>
      <c r="H71" s="106" t="s">
        <v>225</v>
      </c>
      <c r="I71" s="381">
        <v>1</v>
      </c>
      <c r="J71" s="106">
        <v>2</v>
      </c>
      <c r="K71" s="137">
        <v>43935</v>
      </c>
      <c r="L71" s="106" t="s">
        <v>1181</v>
      </c>
    </row>
    <row r="72" spans="1:12" ht="30">
      <c r="A72" s="137">
        <v>43935</v>
      </c>
      <c r="B72" s="106" t="s">
        <v>514</v>
      </c>
      <c r="C72" s="107" t="s">
        <v>336</v>
      </c>
      <c r="D72" s="106"/>
      <c r="E72" s="106" t="s">
        <v>1190</v>
      </c>
      <c r="F72" s="107" t="s">
        <v>1191</v>
      </c>
      <c r="G72" s="106" t="s">
        <v>158</v>
      </c>
      <c r="H72" s="106" t="s">
        <v>225</v>
      </c>
      <c r="I72" s="381">
        <v>0.5</v>
      </c>
      <c r="J72" s="106">
        <v>3</v>
      </c>
      <c r="K72" s="137">
        <v>43935</v>
      </c>
      <c r="L72" s="106" t="s">
        <v>1195</v>
      </c>
    </row>
    <row r="73" spans="1:12" ht="30">
      <c r="A73" s="137">
        <v>43935</v>
      </c>
      <c r="B73" s="106" t="s">
        <v>514</v>
      </c>
      <c r="C73" s="107" t="s">
        <v>517</v>
      </c>
      <c r="D73" s="106"/>
      <c r="E73" s="106" t="s">
        <v>1192</v>
      </c>
      <c r="F73" s="107" t="s">
        <v>1131</v>
      </c>
      <c r="G73" s="106" t="s">
        <v>158</v>
      </c>
      <c r="H73" s="106" t="s">
        <v>225</v>
      </c>
      <c r="I73" s="381">
        <v>0.5</v>
      </c>
      <c r="J73" s="106">
        <v>3</v>
      </c>
      <c r="K73" s="137">
        <v>43935</v>
      </c>
      <c r="L73" s="106" t="s">
        <v>1195</v>
      </c>
    </row>
    <row r="74" spans="1:12" ht="30">
      <c r="A74" s="137">
        <v>43935</v>
      </c>
      <c r="B74" s="106" t="s">
        <v>514</v>
      </c>
      <c r="C74" s="107" t="s">
        <v>1189</v>
      </c>
      <c r="D74" s="106"/>
      <c r="E74" s="106" t="s">
        <v>1193</v>
      </c>
      <c r="F74" s="107" t="s">
        <v>1194</v>
      </c>
      <c r="G74" s="106" t="s">
        <v>158</v>
      </c>
      <c r="H74" s="106" t="s">
        <v>225</v>
      </c>
      <c r="I74" s="381">
        <v>1</v>
      </c>
      <c r="J74" s="106">
        <v>3</v>
      </c>
      <c r="K74" s="137">
        <v>43935</v>
      </c>
      <c r="L74" s="106" t="s">
        <v>1195</v>
      </c>
    </row>
    <row r="75" spans="1:12" ht="30">
      <c r="A75" s="137">
        <v>43935</v>
      </c>
      <c r="B75" s="106" t="s">
        <v>956</v>
      </c>
      <c r="C75" s="107" t="s">
        <v>947</v>
      </c>
      <c r="D75" s="106"/>
      <c r="E75" s="106" t="s">
        <v>1182</v>
      </c>
      <c r="F75" s="107" t="s">
        <v>1183</v>
      </c>
      <c r="G75" s="106" t="s">
        <v>225</v>
      </c>
      <c r="H75" s="106" t="s">
        <v>158</v>
      </c>
      <c r="I75" s="381">
        <v>1</v>
      </c>
      <c r="J75" s="106">
        <v>2</v>
      </c>
      <c r="K75" s="137">
        <v>43935</v>
      </c>
      <c r="L75" s="106" t="s">
        <v>226</v>
      </c>
    </row>
    <row r="76" spans="1:12">
      <c r="A76" s="137">
        <v>43935</v>
      </c>
      <c r="B76" s="106" t="s">
        <v>956</v>
      </c>
      <c r="C76" s="107" t="s">
        <v>1184</v>
      </c>
      <c r="D76" s="106"/>
      <c r="E76" s="106" t="s">
        <v>1185</v>
      </c>
      <c r="F76" s="107"/>
      <c r="G76" s="106" t="s">
        <v>158</v>
      </c>
      <c r="H76" s="106" t="s">
        <v>158</v>
      </c>
      <c r="I76" s="381">
        <v>4</v>
      </c>
      <c r="J76" s="106">
        <v>2</v>
      </c>
      <c r="K76" s="137">
        <v>43935</v>
      </c>
      <c r="L76" s="106" t="s">
        <v>226</v>
      </c>
    </row>
    <row r="77" spans="1:12" ht="30">
      <c r="A77" s="137">
        <v>43935</v>
      </c>
      <c r="B77" s="106" t="s">
        <v>956</v>
      </c>
      <c r="C77" s="107"/>
      <c r="D77" s="106"/>
      <c r="E77" s="106" t="s">
        <v>1186</v>
      </c>
      <c r="F77" s="107" t="s">
        <v>1187</v>
      </c>
      <c r="G77" s="106" t="s">
        <v>158</v>
      </c>
      <c r="H77" s="106" t="s">
        <v>158</v>
      </c>
      <c r="I77" s="381">
        <v>3</v>
      </c>
      <c r="J77" s="106">
        <v>2</v>
      </c>
      <c r="K77" s="137">
        <v>43935</v>
      </c>
      <c r="L77" s="106" t="s">
        <v>226</v>
      </c>
    </row>
    <row r="78" spans="1:12">
      <c r="A78" s="137">
        <v>43936</v>
      </c>
      <c r="B78" s="106" t="s">
        <v>514</v>
      </c>
      <c r="C78" s="107" t="s">
        <v>1197</v>
      </c>
      <c r="D78" s="106" t="s">
        <v>1196</v>
      </c>
      <c r="E78" s="106" t="s">
        <v>1198</v>
      </c>
      <c r="F78" s="107" t="s">
        <v>1199</v>
      </c>
      <c r="G78" s="106" t="s">
        <v>158</v>
      </c>
      <c r="H78" s="106" t="s">
        <v>158</v>
      </c>
      <c r="I78" s="381">
        <v>0.5</v>
      </c>
      <c r="J78" s="106">
        <v>2</v>
      </c>
      <c r="K78" s="137">
        <v>43936</v>
      </c>
      <c r="L78" s="106" t="s">
        <v>1101</v>
      </c>
    </row>
    <row r="79" spans="1:12" ht="30">
      <c r="A79" s="137">
        <v>43936</v>
      </c>
      <c r="B79" s="106" t="s">
        <v>514</v>
      </c>
      <c r="C79" s="107" t="s">
        <v>1128</v>
      </c>
      <c r="D79" s="106"/>
      <c r="E79" s="106" t="s">
        <v>1200</v>
      </c>
      <c r="F79" s="107" t="s">
        <v>1194</v>
      </c>
      <c r="G79" s="106" t="s">
        <v>158</v>
      </c>
      <c r="H79" s="106" t="s">
        <v>225</v>
      </c>
      <c r="I79" s="381">
        <v>0.5</v>
      </c>
      <c r="J79" s="106">
        <v>2</v>
      </c>
      <c r="K79" s="137">
        <v>43936</v>
      </c>
      <c r="L79" s="106" t="s">
        <v>1101</v>
      </c>
    </row>
    <row r="80" spans="1:12">
      <c r="A80" s="137">
        <v>43936</v>
      </c>
      <c r="B80" s="106" t="s">
        <v>514</v>
      </c>
      <c r="C80" s="107" t="s">
        <v>1201</v>
      </c>
      <c r="D80" s="106"/>
      <c r="E80" s="106" t="s">
        <v>1202</v>
      </c>
      <c r="F80" s="107" t="s">
        <v>1203</v>
      </c>
      <c r="G80" s="106" t="s">
        <v>158</v>
      </c>
      <c r="H80" s="106" t="s">
        <v>225</v>
      </c>
      <c r="I80" s="381">
        <v>0.5</v>
      </c>
      <c r="J80" s="106">
        <v>2</v>
      </c>
      <c r="K80" s="137">
        <v>43936</v>
      </c>
      <c r="L80" s="106" t="s">
        <v>1101</v>
      </c>
    </row>
    <row r="81" spans="1:12" ht="30">
      <c r="A81" s="137">
        <v>43936</v>
      </c>
      <c r="B81" s="106" t="s">
        <v>514</v>
      </c>
      <c r="C81" s="107" t="s">
        <v>1204</v>
      </c>
      <c r="D81" s="106"/>
      <c r="E81" s="106" t="s">
        <v>1205</v>
      </c>
      <c r="F81" s="107" t="s">
        <v>1131</v>
      </c>
      <c r="G81" s="106" t="s">
        <v>158</v>
      </c>
      <c r="H81" s="106" t="s">
        <v>225</v>
      </c>
      <c r="I81" s="381">
        <v>0.5</v>
      </c>
      <c r="J81" s="106">
        <v>2</v>
      </c>
      <c r="K81" s="137">
        <v>43936</v>
      </c>
      <c r="L81" s="106" t="s">
        <v>1101</v>
      </c>
    </row>
    <row r="82" spans="1:12">
      <c r="A82" s="137">
        <v>43936</v>
      </c>
      <c r="B82" s="106" t="s">
        <v>514</v>
      </c>
      <c r="C82" s="107" t="s">
        <v>1206</v>
      </c>
      <c r="D82" s="106"/>
      <c r="E82" s="106" t="s">
        <v>1207</v>
      </c>
      <c r="F82" s="107" t="s">
        <v>1208</v>
      </c>
      <c r="G82" s="106" t="s">
        <v>158</v>
      </c>
      <c r="H82" s="106" t="s">
        <v>225</v>
      </c>
      <c r="I82" s="381">
        <v>0.5</v>
      </c>
      <c r="J82" s="106">
        <v>2</v>
      </c>
      <c r="K82" s="137">
        <v>43936</v>
      </c>
      <c r="L82" s="106" t="s">
        <v>1101</v>
      </c>
    </row>
    <row r="83" spans="1:12" ht="30">
      <c r="A83" s="137">
        <v>43936</v>
      </c>
      <c r="B83" s="106" t="s">
        <v>514</v>
      </c>
      <c r="C83" s="107" t="s">
        <v>1189</v>
      </c>
      <c r="D83" s="106"/>
      <c r="E83" s="106" t="s">
        <v>1209</v>
      </c>
      <c r="F83" s="107" t="s">
        <v>1210</v>
      </c>
      <c r="G83" s="106" t="s">
        <v>158</v>
      </c>
      <c r="H83" s="106" t="s">
        <v>225</v>
      </c>
      <c r="I83" s="381">
        <v>0.5</v>
      </c>
      <c r="J83" s="106">
        <v>2</v>
      </c>
      <c r="K83" s="137">
        <v>43936</v>
      </c>
      <c r="L83" s="106" t="s">
        <v>1101</v>
      </c>
    </row>
    <row r="84" spans="1:12" ht="30">
      <c r="A84" s="137">
        <v>43936</v>
      </c>
      <c r="B84" s="106" t="s">
        <v>514</v>
      </c>
      <c r="C84" s="107" t="s">
        <v>1015</v>
      </c>
      <c r="D84" s="106"/>
      <c r="E84" s="106" t="s">
        <v>1211</v>
      </c>
      <c r="F84" s="107" t="s">
        <v>1212</v>
      </c>
      <c r="G84" s="106" t="s">
        <v>158</v>
      </c>
      <c r="H84" s="106" t="s">
        <v>225</v>
      </c>
      <c r="I84" s="381">
        <v>1</v>
      </c>
      <c r="J84" s="106">
        <v>2</v>
      </c>
      <c r="K84" s="137">
        <v>43936</v>
      </c>
      <c r="L84" s="106" t="s">
        <v>1101</v>
      </c>
    </row>
    <row r="85" spans="1:12" ht="30">
      <c r="A85" s="137">
        <v>43936</v>
      </c>
      <c r="B85" s="106" t="s">
        <v>1011</v>
      </c>
      <c r="C85" s="107" t="s">
        <v>1128</v>
      </c>
      <c r="D85" s="106"/>
      <c r="E85" s="106" t="s">
        <v>1213</v>
      </c>
      <c r="F85" s="107" t="s">
        <v>1214</v>
      </c>
      <c r="G85" s="106" t="s">
        <v>158</v>
      </c>
      <c r="H85" s="106" t="s">
        <v>225</v>
      </c>
      <c r="I85" s="381">
        <v>1</v>
      </c>
      <c r="J85" s="106">
        <v>2</v>
      </c>
      <c r="K85" s="137">
        <v>43936</v>
      </c>
      <c r="L85" s="106" t="s">
        <v>1017</v>
      </c>
    </row>
    <row r="86" spans="1:12">
      <c r="A86" s="137">
        <v>43936</v>
      </c>
      <c r="B86" s="106" t="s">
        <v>1011</v>
      </c>
      <c r="C86" s="107" t="s">
        <v>1215</v>
      </c>
      <c r="D86" s="106"/>
      <c r="E86" s="106" t="s">
        <v>1216</v>
      </c>
      <c r="F86" s="107" t="s">
        <v>1217</v>
      </c>
      <c r="G86" s="106" t="s">
        <v>225</v>
      </c>
      <c r="H86" s="106" t="s">
        <v>225</v>
      </c>
      <c r="I86" s="381">
        <v>2</v>
      </c>
      <c r="J86" s="106">
        <v>2</v>
      </c>
      <c r="K86" s="137">
        <v>43936</v>
      </c>
      <c r="L86" s="106" t="s">
        <v>1017</v>
      </c>
    </row>
    <row r="87" spans="1:12">
      <c r="A87" s="137">
        <v>43936</v>
      </c>
      <c r="B87" s="106" t="s">
        <v>98</v>
      </c>
      <c r="C87" s="107" t="s">
        <v>1164</v>
      </c>
      <c r="D87" s="106" t="s">
        <v>1219</v>
      </c>
      <c r="E87" s="106" t="s">
        <v>1220</v>
      </c>
      <c r="F87" s="107" t="s">
        <v>519</v>
      </c>
      <c r="G87" s="106" t="s">
        <v>158</v>
      </c>
      <c r="H87" s="106" t="s">
        <v>158</v>
      </c>
      <c r="I87" s="381">
        <v>2</v>
      </c>
      <c r="J87" s="106">
        <v>2</v>
      </c>
      <c r="K87" s="137">
        <v>43936</v>
      </c>
      <c r="L87" s="106" t="s">
        <v>226</v>
      </c>
    </row>
    <row r="88" spans="1:12">
      <c r="A88" s="137">
        <v>43936</v>
      </c>
      <c r="B88" s="106" t="s">
        <v>98</v>
      </c>
      <c r="C88" s="107" t="s">
        <v>1164</v>
      </c>
      <c r="D88" s="106" t="s">
        <v>1219</v>
      </c>
      <c r="E88" s="106" t="s">
        <v>1221</v>
      </c>
      <c r="F88" s="107" t="s">
        <v>1222</v>
      </c>
      <c r="G88" s="106" t="s">
        <v>158</v>
      </c>
      <c r="H88" s="106" t="s">
        <v>1223</v>
      </c>
      <c r="I88" s="381">
        <v>1</v>
      </c>
      <c r="J88" s="106">
        <v>2</v>
      </c>
      <c r="K88" s="137">
        <v>43936</v>
      </c>
      <c r="L88" s="106" t="s">
        <v>226</v>
      </c>
    </row>
    <row r="89" spans="1:12">
      <c r="A89" s="137">
        <v>43937</v>
      </c>
      <c r="B89" s="106" t="s">
        <v>98</v>
      </c>
      <c r="C89" s="107" t="s">
        <v>81</v>
      </c>
      <c r="D89" s="106"/>
      <c r="E89" s="106" t="s">
        <v>230</v>
      </c>
      <c r="F89" s="107" t="s">
        <v>1225</v>
      </c>
      <c r="G89" s="106" t="s">
        <v>158</v>
      </c>
      <c r="H89" s="106" t="s">
        <v>158</v>
      </c>
      <c r="I89" s="381">
        <v>3</v>
      </c>
      <c r="J89" s="106">
        <v>2</v>
      </c>
      <c r="K89" s="137">
        <v>43937</v>
      </c>
      <c r="L89" s="106" t="s">
        <v>226</v>
      </c>
    </row>
    <row r="90" spans="1:12">
      <c r="A90" s="137">
        <v>43938</v>
      </c>
      <c r="B90" s="106" t="s">
        <v>98</v>
      </c>
      <c r="C90" s="107" t="s">
        <v>81</v>
      </c>
      <c r="D90" s="106"/>
      <c r="E90" s="106" t="s">
        <v>253</v>
      </c>
      <c r="F90" s="107" t="s">
        <v>253</v>
      </c>
      <c r="G90" s="106" t="s">
        <v>158</v>
      </c>
      <c r="H90" s="106" t="s">
        <v>158</v>
      </c>
      <c r="I90" s="381">
        <v>1</v>
      </c>
      <c r="J90" s="106">
        <v>1</v>
      </c>
      <c r="K90" s="137">
        <v>43938</v>
      </c>
      <c r="L90" s="106" t="s">
        <v>45</v>
      </c>
    </row>
    <row r="91" spans="1:12" ht="30">
      <c r="A91" s="137">
        <v>43938</v>
      </c>
      <c r="B91" s="106" t="s">
        <v>98</v>
      </c>
      <c r="C91" s="107" t="s">
        <v>249</v>
      </c>
      <c r="D91" s="106"/>
      <c r="E91" s="106" t="s">
        <v>1230</v>
      </c>
      <c r="F91" s="107" t="s">
        <v>1231</v>
      </c>
      <c r="G91" s="106" t="s">
        <v>158</v>
      </c>
      <c r="H91" s="106" t="s">
        <v>225</v>
      </c>
      <c r="I91" s="381">
        <v>1</v>
      </c>
      <c r="J91" s="106">
        <v>2</v>
      </c>
      <c r="K91" s="137">
        <v>43938</v>
      </c>
      <c r="L91" s="106" t="s">
        <v>226</v>
      </c>
    </row>
    <row r="92" spans="1:12" ht="30">
      <c r="A92" s="137">
        <v>43941</v>
      </c>
      <c r="B92" s="106" t="s">
        <v>96</v>
      </c>
      <c r="C92" s="107" t="s">
        <v>1237</v>
      </c>
      <c r="D92" s="106"/>
      <c r="E92" s="106" t="s">
        <v>328</v>
      </c>
      <c r="F92" s="107" t="s">
        <v>1238</v>
      </c>
      <c r="G92" s="106" t="s">
        <v>158</v>
      </c>
      <c r="H92" s="106" t="s">
        <v>225</v>
      </c>
      <c r="I92" s="381">
        <v>0.5</v>
      </c>
      <c r="J92" s="106">
        <v>2</v>
      </c>
      <c r="K92" s="137">
        <v>43941</v>
      </c>
      <c r="L92" s="106" t="s">
        <v>1239</v>
      </c>
    </row>
    <row r="93" spans="1:12">
      <c r="A93" s="137">
        <v>43941</v>
      </c>
      <c r="B93" s="106" t="s">
        <v>96</v>
      </c>
      <c r="C93" s="107" t="s">
        <v>951</v>
      </c>
      <c r="D93" s="106"/>
      <c r="E93" s="106" t="s">
        <v>1207</v>
      </c>
      <c r="F93" s="107" t="s">
        <v>1240</v>
      </c>
      <c r="G93" s="106" t="s">
        <v>158</v>
      </c>
      <c r="H93" s="106" t="s">
        <v>225</v>
      </c>
      <c r="I93" s="381">
        <v>0.5</v>
      </c>
      <c r="J93" s="106">
        <v>2</v>
      </c>
      <c r="K93" s="137">
        <v>43941</v>
      </c>
      <c r="L93" s="106" t="s">
        <v>1241</v>
      </c>
    </row>
    <row r="94" spans="1:12">
      <c r="A94" s="137">
        <v>43941</v>
      </c>
      <c r="B94" s="106" t="s">
        <v>98</v>
      </c>
      <c r="C94" s="107" t="s">
        <v>521</v>
      </c>
      <c r="D94" s="106" t="s">
        <v>1243</v>
      </c>
      <c r="E94" s="106" t="s">
        <v>1242</v>
      </c>
      <c r="F94" s="107" t="s">
        <v>393</v>
      </c>
      <c r="G94" s="106" t="s">
        <v>158</v>
      </c>
      <c r="H94" s="106" t="s">
        <v>158</v>
      </c>
      <c r="I94" s="381">
        <v>1</v>
      </c>
      <c r="J94" s="106">
        <v>2</v>
      </c>
      <c r="K94" s="137">
        <v>43941</v>
      </c>
      <c r="L94" s="106" t="s">
        <v>226</v>
      </c>
    </row>
    <row r="95" spans="1:12">
      <c r="A95" s="137">
        <v>43943</v>
      </c>
      <c r="B95" s="106" t="s">
        <v>98</v>
      </c>
      <c r="C95" s="107" t="s">
        <v>1246</v>
      </c>
      <c r="D95" s="106" t="s">
        <v>1247</v>
      </c>
      <c r="E95" s="106" t="s">
        <v>1248</v>
      </c>
      <c r="F95" s="107" t="s">
        <v>1249</v>
      </c>
      <c r="G95" s="106" t="s">
        <v>158</v>
      </c>
      <c r="H95" s="106" t="s">
        <v>158</v>
      </c>
      <c r="I95" s="381">
        <v>1</v>
      </c>
      <c r="J95" s="106">
        <v>2</v>
      </c>
      <c r="K95" s="137">
        <v>43943</v>
      </c>
      <c r="L95" s="106" t="s">
        <v>226</v>
      </c>
    </row>
    <row r="96" spans="1:12">
      <c r="A96" s="137">
        <v>43943</v>
      </c>
      <c r="B96" s="106" t="s">
        <v>98</v>
      </c>
      <c r="C96" s="107" t="s">
        <v>1253</v>
      </c>
      <c r="D96" s="106" t="s">
        <v>1252</v>
      </c>
      <c r="E96" s="106" t="s">
        <v>1251</v>
      </c>
      <c r="F96" s="107" t="s">
        <v>1250</v>
      </c>
      <c r="G96" s="106" t="s">
        <v>225</v>
      </c>
      <c r="H96" s="106" t="s">
        <v>158</v>
      </c>
      <c r="I96" s="381">
        <v>1</v>
      </c>
      <c r="J96" s="106">
        <v>2</v>
      </c>
      <c r="K96" s="137">
        <v>43943</v>
      </c>
      <c r="L96" s="106" t="s">
        <v>226</v>
      </c>
    </row>
    <row r="97" spans="1:12" ht="30">
      <c r="A97" s="137">
        <v>43944</v>
      </c>
      <c r="B97" s="106" t="s">
        <v>514</v>
      </c>
      <c r="C97" s="107" t="s">
        <v>1423</v>
      </c>
      <c r="D97" s="106" t="s">
        <v>1430</v>
      </c>
      <c r="E97" s="106" t="s">
        <v>1431</v>
      </c>
      <c r="F97" s="107" t="s">
        <v>1432</v>
      </c>
      <c r="G97" s="106" t="s">
        <v>158</v>
      </c>
      <c r="H97" s="106" t="s">
        <v>158</v>
      </c>
      <c r="I97" s="381">
        <v>2</v>
      </c>
      <c r="J97" s="106">
        <v>2</v>
      </c>
      <c r="K97" s="137">
        <v>43944</v>
      </c>
      <c r="L97" s="106" t="s">
        <v>520</v>
      </c>
    </row>
    <row r="98" spans="1:12" ht="30">
      <c r="A98" s="137">
        <v>43944</v>
      </c>
      <c r="B98" s="106" t="s">
        <v>514</v>
      </c>
      <c r="C98" s="107" t="s">
        <v>1424</v>
      </c>
      <c r="D98" s="106" t="s">
        <v>1429</v>
      </c>
      <c r="E98" s="106" t="s">
        <v>1428</v>
      </c>
      <c r="F98" s="107" t="s">
        <v>1427</v>
      </c>
      <c r="G98" s="106" t="s">
        <v>158</v>
      </c>
      <c r="H98" s="106" t="s">
        <v>158</v>
      </c>
      <c r="I98" s="381">
        <v>1.5</v>
      </c>
      <c r="J98" s="106">
        <v>2</v>
      </c>
      <c r="K98" s="137">
        <v>43944</v>
      </c>
      <c r="L98" s="106" t="s">
        <v>520</v>
      </c>
    </row>
    <row r="99" spans="1:12" ht="30">
      <c r="A99" s="137">
        <v>43944</v>
      </c>
      <c r="B99" s="106" t="s">
        <v>514</v>
      </c>
      <c r="C99" s="107" t="s">
        <v>517</v>
      </c>
      <c r="D99" s="106"/>
      <c r="E99" s="106" t="s">
        <v>1425</v>
      </c>
      <c r="F99" s="107" t="s">
        <v>1426</v>
      </c>
      <c r="G99" s="106" t="s">
        <v>158</v>
      </c>
      <c r="H99" s="106" t="s">
        <v>225</v>
      </c>
      <c r="I99" s="381">
        <v>0.5</v>
      </c>
      <c r="J99" s="106">
        <v>2</v>
      </c>
      <c r="K99" s="137">
        <v>43944</v>
      </c>
      <c r="L99" s="106" t="s">
        <v>520</v>
      </c>
    </row>
    <row r="100" spans="1:12">
      <c r="A100" s="137">
        <v>43944</v>
      </c>
      <c r="B100" s="106" t="s">
        <v>956</v>
      </c>
      <c r="C100" s="107" t="s">
        <v>1433</v>
      </c>
      <c r="D100" s="106" t="s">
        <v>1434</v>
      </c>
      <c r="E100" s="106" t="s">
        <v>1435</v>
      </c>
      <c r="F100" s="107" t="s">
        <v>1436</v>
      </c>
      <c r="G100" s="106" t="s">
        <v>225</v>
      </c>
      <c r="H100" s="106" t="s">
        <v>158</v>
      </c>
      <c r="I100" s="381">
        <v>1</v>
      </c>
      <c r="J100" s="106">
        <v>3</v>
      </c>
      <c r="K100" s="137">
        <v>43944</v>
      </c>
      <c r="L100" s="106" t="s">
        <v>1437</v>
      </c>
    </row>
    <row r="101" spans="1:12" ht="45">
      <c r="A101" s="137">
        <v>43944</v>
      </c>
      <c r="B101" s="106" t="s">
        <v>956</v>
      </c>
      <c r="C101" s="107" t="s">
        <v>1438</v>
      </c>
      <c r="D101" s="106" t="s">
        <v>1439</v>
      </c>
      <c r="E101" s="106" t="s">
        <v>1440</v>
      </c>
      <c r="F101" s="107" t="s">
        <v>1441</v>
      </c>
      <c r="G101" s="106" t="s">
        <v>158</v>
      </c>
      <c r="H101" s="106" t="s">
        <v>158</v>
      </c>
      <c r="I101" s="381">
        <v>1</v>
      </c>
      <c r="J101" s="106">
        <v>2</v>
      </c>
      <c r="K101" s="137">
        <v>43944</v>
      </c>
      <c r="L101" s="106" t="s">
        <v>226</v>
      </c>
    </row>
    <row r="102" spans="1:12">
      <c r="A102" s="137">
        <v>43944</v>
      </c>
      <c r="B102" s="106" t="s">
        <v>956</v>
      </c>
      <c r="C102" s="107" t="s">
        <v>1164</v>
      </c>
      <c r="D102" s="106" t="s">
        <v>1467</v>
      </c>
      <c r="E102" s="106" t="s">
        <v>1468</v>
      </c>
      <c r="F102" s="107" t="s">
        <v>1469</v>
      </c>
      <c r="G102" s="106" t="s">
        <v>158</v>
      </c>
      <c r="H102" s="106" t="s">
        <v>158</v>
      </c>
      <c r="I102" s="381">
        <v>1</v>
      </c>
      <c r="J102" s="106">
        <v>2</v>
      </c>
      <c r="K102" s="137">
        <v>43944</v>
      </c>
      <c r="L102" s="106" t="s">
        <v>226</v>
      </c>
    </row>
    <row r="103" spans="1:12">
      <c r="A103" s="137">
        <v>43944</v>
      </c>
      <c r="B103" s="106" t="s">
        <v>956</v>
      </c>
      <c r="C103" s="107" t="s">
        <v>255</v>
      </c>
      <c r="D103" s="106"/>
      <c r="E103" s="106" t="s">
        <v>1470</v>
      </c>
      <c r="F103" s="107" t="s">
        <v>1469</v>
      </c>
      <c r="G103" s="106" t="s">
        <v>158</v>
      </c>
      <c r="H103" s="106" t="s">
        <v>158</v>
      </c>
      <c r="I103" s="381">
        <v>1</v>
      </c>
      <c r="J103" s="106">
        <v>2</v>
      </c>
      <c r="K103" s="137">
        <v>43944</v>
      </c>
      <c r="L103" s="106" t="s">
        <v>226</v>
      </c>
    </row>
    <row r="104" spans="1:12">
      <c r="A104" s="137">
        <v>43945</v>
      </c>
      <c r="B104" s="106" t="s">
        <v>514</v>
      </c>
      <c r="C104" s="107" t="s">
        <v>530</v>
      </c>
      <c r="D104" s="106" t="s">
        <v>1582</v>
      </c>
      <c r="E104" s="106" t="s">
        <v>1584</v>
      </c>
      <c r="F104" s="107" t="s">
        <v>1585</v>
      </c>
      <c r="G104" s="106" t="s">
        <v>158</v>
      </c>
      <c r="H104" s="106" t="s">
        <v>158</v>
      </c>
      <c r="I104" s="381">
        <v>0.5</v>
      </c>
      <c r="J104" s="106">
        <v>2</v>
      </c>
      <c r="K104" s="137">
        <v>43945</v>
      </c>
      <c r="L104" s="106" t="s">
        <v>1101</v>
      </c>
    </row>
    <row r="105" spans="1:12" ht="30">
      <c r="A105" s="137">
        <v>43945</v>
      </c>
      <c r="B105" s="106" t="s">
        <v>514</v>
      </c>
      <c r="C105" s="107" t="s">
        <v>947</v>
      </c>
      <c r="D105" s="106" t="s">
        <v>1583</v>
      </c>
      <c r="E105" s="106" t="s">
        <v>1586</v>
      </c>
      <c r="F105" s="107" t="s">
        <v>1587</v>
      </c>
      <c r="G105" s="106" t="s">
        <v>158</v>
      </c>
      <c r="H105" s="106" t="s">
        <v>158</v>
      </c>
      <c r="I105" s="381">
        <v>0.5</v>
      </c>
      <c r="J105" s="106">
        <v>2</v>
      </c>
      <c r="K105" s="137">
        <v>43945</v>
      </c>
      <c r="L105" s="106" t="s">
        <v>1101</v>
      </c>
    </row>
    <row r="106" spans="1:12">
      <c r="A106" s="137">
        <v>43945</v>
      </c>
      <c r="B106" s="106" t="s">
        <v>956</v>
      </c>
      <c r="C106" s="107" t="s">
        <v>256</v>
      </c>
      <c r="D106" s="106" t="s">
        <v>1588</v>
      </c>
      <c r="E106" s="106" t="s">
        <v>1589</v>
      </c>
      <c r="F106" s="107" t="s">
        <v>236</v>
      </c>
      <c r="G106" s="106" t="s">
        <v>158</v>
      </c>
      <c r="H106" s="106" t="s">
        <v>158</v>
      </c>
      <c r="I106" s="381">
        <v>1</v>
      </c>
      <c r="J106" s="106">
        <v>1</v>
      </c>
      <c r="K106" s="137">
        <v>43945</v>
      </c>
      <c r="L106" s="106" t="s">
        <v>45</v>
      </c>
    </row>
    <row r="107" spans="1:12">
      <c r="A107" s="137">
        <v>43945</v>
      </c>
      <c r="B107" s="106" t="s">
        <v>956</v>
      </c>
      <c r="C107" s="107" t="s">
        <v>81</v>
      </c>
      <c r="D107" s="106"/>
      <c r="E107" s="106" t="s">
        <v>253</v>
      </c>
      <c r="F107" s="107" t="s">
        <v>253</v>
      </c>
      <c r="G107" s="106" t="s">
        <v>158</v>
      </c>
      <c r="H107" s="106" t="s">
        <v>158</v>
      </c>
      <c r="I107" s="381">
        <v>2</v>
      </c>
      <c r="J107" s="106">
        <v>1</v>
      </c>
      <c r="K107" s="137">
        <v>43945</v>
      </c>
      <c r="L107" s="106" t="s">
        <v>45</v>
      </c>
    </row>
    <row r="108" spans="1:12" ht="45">
      <c r="A108" s="137">
        <v>43947</v>
      </c>
      <c r="B108" s="106" t="s">
        <v>514</v>
      </c>
      <c r="C108" s="107" t="s">
        <v>1647</v>
      </c>
      <c r="D108" s="106"/>
      <c r="E108" s="106" t="s">
        <v>1648</v>
      </c>
      <c r="F108" s="107" t="s">
        <v>1649</v>
      </c>
      <c r="G108" s="106" t="s">
        <v>158</v>
      </c>
      <c r="H108" s="106" t="s">
        <v>225</v>
      </c>
      <c r="I108" s="381">
        <v>1</v>
      </c>
      <c r="J108" s="106">
        <v>3</v>
      </c>
      <c r="K108" s="137">
        <v>43947</v>
      </c>
      <c r="L108" s="106" t="s">
        <v>524</v>
      </c>
    </row>
    <row r="109" spans="1:12" ht="30">
      <c r="A109" s="137">
        <v>43947</v>
      </c>
      <c r="B109" s="106" t="s">
        <v>514</v>
      </c>
      <c r="C109" s="107" t="s">
        <v>517</v>
      </c>
      <c r="D109" s="106"/>
      <c r="E109" s="106" t="s">
        <v>1650</v>
      </c>
      <c r="F109" s="107" t="s">
        <v>525</v>
      </c>
      <c r="G109" s="106" t="s">
        <v>158</v>
      </c>
      <c r="H109" s="106" t="s">
        <v>225</v>
      </c>
      <c r="I109" s="381">
        <v>0.5</v>
      </c>
      <c r="J109" s="106">
        <v>3</v>
      </c>
      <c r="K109" s="137">
        <v>43947</v>
      </c>
      <c r="L109" s="106" t="s">
        <v>524</v>
      </c>
    </row>
    <row r="110" spans="1:12">
      <c r="A110" s="137">
        <v>43947</v>
      </c>
      <c r="B110" s="106" t="s">
        <v>1011</v>
      </c>
      <c r="C110" s="107" t="s">
        <v>1206</v>
      </c>
      <c r="D110" s="106"/>
      <c r="E110" s="106" t="s">
        <v>1662</v>
      </c>
      <c r="F110" s="107" t="s">
        <v>1663</v>
      </c>
      <c r="G110" s="106" t="s">
        <v>158</v>
      </c>
      <c r="H110" s="106" t="s">
        <v>225</v>
      </c>
      <c r="I110" s="381">
        <v>1</v>
      </c>
      <c r="J110" s="106">
        <v>2</v>
      </c>
      <c r="K110" s="137">
        <v>43947</v>
      </c>
      <c r="L110" s="106" t="s">
        <v>1670</v>
      </c>
    </row>
    <row r="111" spans="1:12">
      <c r="A111" s="137">
        <v>43947</v>
      </c>
      <c r="B111" s="106" t="s">
        <v>1011</v>
      </c>
      <c r="C111" s="107" t="s">
        <v>256</v>
      </c>
      <c r="D111" s="106"/>
      <c r="E111" s="106" t="s">
        <v>1664</v>
      </c>
      <c r="F111" s="107" t="s">
        <v>1665</v>
      </c>
      <c r="G111" s="106" t="s">
        <v>158</v>
      </c>
      <c r="H111" s="106" t="s">
        <v>158</v>
      </c>
      <c r="I111" s="381">
        <v>1</v>
      </c>
      <c r="J111" s="106">
        <v>2</v>
      </c>
      <c r="K111" s="137">
        <v>43947</v>
      </c>
      <c r="L111" s="106" t="s">
        <v>1670</v>
      </c>
    </row>
    <row r="112" spans="1:12">
      <c r="A112" s="137">
        <v>43947</v>
      </c>
      <c r="B112" s="106" t="s">
        <v>1011</v>
      </c>
      <c r="C112" s="107" t="s">
        <v>90</v>
      </c>
      <c r="D112" s="106"/>
      <c r="E112" s="106" t="s">
        <v>1666</v>
      </c>
      <c r="F112" s="107" t="s">
        <v>1667</v>
      </c>
      <c r="G112" s="106" t="s">
        <v>158</v>
      </c>
      <c r="H112" s="106" t="s">
        <v>158</v>
      </c>
      <c r="I112" s="381">
        <v>1</v>
      </c>
      <c r="J112" s="106">
        <v>2</v>
      </c>
      <c r="K112" s="137">
        <v>43947</v>
      </c>
      <c r="L112" s="106" t="s">
        <v>1670</v>
      </c>
    </row>
    <row r="113" spans="1:12">
      <c r="A113" s="137">
        <v>43947</v>
      </c>
      <c r="B113" s="106" t="s">
        <v>1011</v>
      </c>
      <c r="C113" s="107" t="s">
        <v>951</v>
      </c>
      <c r="D113" s="106"/>
      <c r="E113" s="106" t="s">
        <v>1668</v>
      </c>
      <c r="F113" s="107" t="s">
        <v>1669</v>
      </c>
      <c r="G113" s="106" t="s">
        <v>158</v>
      </c>
      <c r="H113" s="106" t="s">
        <v>158</v>
      </c>
      <c r="I113" s="381">
        <v>1</v>
      </c>
      <c r="J113" s="106">
        <v>2</v>
      </c>
      <c r="K113" s="137">
        <v>43947</v>
      </c>
      <c r="L113" s="106" t="s">
        <v>1670</v>
      </c>
    </row>
    <row r="114" spans="1:12">
      <c r="A114" s="137">
        <v>43947</v>
      </c>
      <c r="B114" s="106" t="s">
        <v>956</v>
      </c>
      <c r="C114" s="107" t="s">
        <v>232</v>
      </c>
      <c r="D114" s="106"/>
      <c r="E114" s="106" t="s">
        <v>1671</v>
      </c>
      <c r="F114" s="107" t="s">
        <v>1672</v>
      </c>
      <c r="G114" s="106" t="s">
        <v>158</v>
      </c>
      <c r="H114" s="106" t="s">
        <v>158</v>
      </c>
      <c r="I114" s="381">
        <v>4</v>
      </c>
      <c r="J114" s="106">
        <v>1</v>
      </c>
      <c r="K114" s="137">
        <v>43947</v>
      </c>
      <c r="L114" s="106" t="s">
        <v>45</v>
      </c>
    </row>
    <row r="115" spans="1:12">
      <c r="A115" s="137">
        <v>43948</v>
      </c>
      <c r="B115" s="106" t="s">
        <v>1011</v>
      </c>
      <c r="C115" s="107" t="s">
        <v>1712</v>
      </c>
      <c r="D115" s="106"/>
      <c r="E115" s="106" t="s">
        <v>1713</v>
      </c>
      <c r="F115" s="107" t="s">
        <v>1714</v>
      </c>
      <c r="G115" s="106" t="s">
        <v>158</v>
      </c>
      <c r="H115" s="106" t="s">
        <v>225</v>
      </c>
      <c r="I115" s="381">
        <v>0.5</v>
      </c>
      <c r="J115" s="106">
        <v>2</v>
      </c>
      <c r="K115" s="106" t="s">
        <v>1715</v>
      </c>
      <c r="L115" s="106" t="s">
        <v>49</v>
      </c>
    </row>
    <row r="116" spans="1:12">
      <c r="A116" s="137">
        <v>43948</v>
      </c>
      <c r="B116" s="106" t="s">
        <v>1716</v>
      </c>
      <c r="C116" s="107" t="s">
        <v>338</v>
      </c>
      <c r="D116" s="106"/>
      <c r="E116" s="106" t="s">
        <v>331</v>
      </c>
      <c r="F116" s="107" t="s">
        <v>536</v>
      </c>
      <c r="G116" s="106" t="s">
        <v>158</v>
      </c>
      <c r="H116" s="106" t="s">
        <v>225</v>
      </c>
      <c r="I116" s="381">
        <v>0.5</v>
      </c>
      <c r="J116" s="106">
        <v>1</v>
      </c>
      <c r="K116" s="137">
        <v>43948</v>
      </c>
      <c r="L116" s="106" t="s">
        <v>49</v>
      </c>
    </row>
    <row r="117" spans="1:12">
      <c r="A117" s="137">
        <v>43948</v>
      </c>
      <c r="B117" s="106" t="s">
        <v>1011</v>
      </c>
      <c r="C117" s="107" t="s">
        <v>1717</v>
      </c>
      <c r="D117" s="106"/>
      <c r="E117" s="106" t="s">
        <v>1718</v>
      </c>
      <c r="F117" s="107" t="s">
        <v>1719</v>
      </c>
      <c r="G117" s="106" t="s">
        <v>158</v>
      </c>
      <c r="H117" s="106" t="s">
        <v>158</v>
      </c>
      <c r="I117" s="381">
        <v>0.5</v>
      </c>
      <c r="J117" s="106">
        <v>1</v>
      </c>
      <c r="K117" s="137">
        <v>43948</v>
      </c>
      <c r="L117" s="106" t="s">
        <v>49</v>
      </c>
    </row>
    <row r="118" spans="1:12">
      <c r="A118" s="137">
        <v>43948</v>
      </c>
      <c r="B118" s="106" t="s">
        <v>1011</v>
      </c>
      <c r="C118" s="107" t="s">
        <v>1086</v>
      </c>
      <c r="D118" s="106"/>
      <c r="E118" s="106" t="s">
        <v>1718</v>
      </c>
      <c r="F118" s="107" t="s">
        <v>1719</v>
      </c>
      <c r="G118" s="106" t="s">
        <v>158</v>
      </c>
      <c r="H118" s="106" t="s">
        <v>158</v>
      </c>
      <c r="I118" s="381">
        <v>0.5</v>
      </c>
      <c r="J118" s="106">
        <v>1</v>
      </c>
      <c r="K118" s="137">
        <v>43948</v>
      </c>
      <c r="L118" s="106" t="s">
        <v>1723</v>
      </c>
    </row>
    <row r="119" spans="1:12">
      <c r="A119" s="137">
        <v>43948</v>
      </c>
      <c r="B119" s="106" t="s">
        <v>1011</v>
      </c>
      <c r="C119" s="107" t="s">
        <v>1720</v>
      </c>
      <c r="D119" s="106"/>
      <c r="E119" s="106" t="s">
        <v>1721</v>
      </c>
      <c r="F119" s="107" t="s">
        <v>1722</v>
      </c>
      <c r="G119" s="106" t="s">
        <v>158</v>
      </c>
      <c r="H119" s="106" t="s">
        <v>158</v>
      </c>
      <c r="I119" s="381">
        <v>0.5</v>
      </c>
      <c r="J119" s="106">
        <v>1</v>
      </c>
      <c r="K119" s="137">
        <v>43948</v>
      </c>
      <c r="L119" s="106" t="s">
        <v>1014</v>
      </c>
    </row>
    <row r="120" spans="1:12" ht="30">
      <c r="A120" s="137">
        <v>43948</v>
      </c>
      <c r="B120" s="106" t="s">
        <v>514</v>
      </c>
      <c r="C120" s="107" t="s">
        <v>1189</v>
      </c>
      <c r="D120" s="106"/>
      <c r="E120" s="106" t="s">
        <v>1730</v>
      </c>
      <c r="F120" s="107" t="s">
        <v>1131</v>
      </c>
      <c r="G120" s="106" t="s">
        <v>158</v>
      </c>
      <c r="H120" s="106" t="s">
        <v>225</v>
      </c>
      <c r="I120" s="381">
        <v>0.5</v>
      </c>
      <c r="J120" s="106">
        <v>3</v>
      </c>
      <c r="K120" s="137">
        <v>43948</v>
      </c>
      <c r="L120" s="106" t="s">
        <v>524</v>
      </c>
    </row>
    <row r="121" spans="1:12">
      <c r="A121" s="137">
        <v>43948</v>
      </c>
      <c r="B121" s="106" t="s">
        <v>514</v>
      </c>
      <c r="C121" s="107" t="s">
        <v>255</v>
      </c>
      <c r="D121" s="106"/>
      <c r="E121" s="106" t="s">
        <v>1728</v>
      </c>
      <c r="F121" s="107" t="s">
        <v>1729</v>
      </c>
      <c r="G121" s="106" t="s">
        <v>158</v>
      </c>
      <c r="H121" s="106" t="s">
        <v>225</v>
      </c>
      <c r="I121" s="381">
        <v>0.5</v>
      </c>
      <c r="J121" s="106">
        <v>3</v>
      </c>
      <c r="K121" s="137">
        <v>43948</v>
      </c>
      <c r="L121" s="106" t="s">
        <v>524</v>
      </c>
    </row>
    <row r="122" spans="1:12">
      <c r="A122" s="137">
        <v>43948</v>
      </c>
      <c r="B122" s="106" t="s">
        <v>514</v>
      </c>
      <c r="C122" s="107" t="s">
        <v>1724</v>
      </c>
      <c r="D122" s="106" t="s">
        <v>1725</v>
      </c>
      <c r="E122" s="106" t="s">
        <v>1726</v>
      </c>
      <c r="F122" s="107" t="s">
        <v>1727</v>
      </c>
      <c r="G122" s="106" t="s">
        <v>158</v>
      </c>
      <c r="H122" s="106" t="s">
        <v>158</v>
      </c>
      <c r="I122" s="381">
        <v>0.5</v>
      </c>
      <c r="J122" s="106">
        <v>1</v>
      </c>
      <c r="K122" s="137">
        <v>43948</v>
      </c>
      <c r="L122" s="106" t="s">
        <v>47</v>
      </c>
    </row>
    <row r="123" spans="1:12">
      <c r="A123" s="137">
        <v>43949</v>
      </c>
      <c r="B123" s="106" t="s">
        <v>1011</v>
      </c>
      <c r="C123" s="107" t="s">
        <v>1744</v>
      </c>
      <c r="D123" s="106"/>
      <c r="E123" s="106" t="s">
        <v>1745</v>
      </c>
      <c r="F123" s="107" t="s">
        <v>1746</v>
      </c>
      <c r="G123" s="106" t="s">
        <v>158</v>
      </c>
      <c r="H123" s="106" t="s">
        <v>225</v>
      </c>
      <c r="I123" s="381">
        <v>0.5</v>
      </c>
      <c r="J123" s="106">
        <v>1</v>
      </c>
      <c r="K123" s="137">
        <v>43949</v>
      </c>
      <c r="L123" s="106" t="s">
        <v>49</v>
      </c>
    </row>
    <row r="124" spans="1:12">
      <c r="A124" s="137">
        <v>43949</v>
      </c>
      <c r="B124" s="106" t="s">
        <v>1011</v>
      </c>
      <c r="C124" s="107" t="s">
        <v>1747</v>
      </c>
      <c r="D124" s="106"/>
      <c r="E124" s="106" t="s">
        <v>1748</v>
      </c>
      <c r="F124" s="107" t="s">
        <v>1746</v>
      </c>
      <c r="G124" s="106" t="s">
        <v>158</v>
      </c>
      <c r="H124" s="106" t="s">
        <v>225</v>
      </c>
      <c r="I124" s="381">
        <v>0.5</v>
      </c>
      <c r="J124" s="106">
        <v>1</v>
      </c>
      <c r="K124" s="137">
        <v>43949</v>
      </c>
      <c r="L124" s="106" t="s">
        <v>49</v>
      </c>
    </row>
    <row r="125" spans="1:12">
      <c r="A125" s="137">
        <v>43949</v>
      </c>
      <c r="B125" s="106" t="s">
        <v>1011</v>
      </c>
      <c r="C125" s="107" t="s">
        <v>530</v>
      </c>
      <c r="D125" s="106"/>
      <c r="E125" s="106" t="s">
        <v>1748</v>
      </c>
      <c r="F125" s="107" t="s">
        <v>1746</v>
      </c>
      <c r="G125" s="106" t="s">
        <v>158</v>
      </c>
      <c r="H125" s="106" t="s">
        <v>225</v>
      </c>
      <c r="I125" s="381">
        <v>0.5</v>
      </c>
      <c r="J125" s="106">
        <v>1</v>
      </c>
      <c r="K125" s="137">
        <v>43949</v>
      </c>
      <c r="L125" s="106" t="s">
        <v>49</v>
      </c>
    </row>
    <row r="126" spans="1:12">
      <c r="A126" s="137">
        <v>43949</v>
      </c>
      <c r="B126" s="106" t="s">
        <v>1011</v>
      </c>
      <c r="C126" s="107" t="s">
        <v>530</v>
      </c>
      <c r="D126" s="106" t="s">
        <v>1749</v>
      </c>
      <c r="E126" s="106" t="s">
        <v>1750</v>
      </c>
      <c r="F126" s="107" t="s">
        <v>1751</v>
      </c>
      <c r="G126" s="106" t="s">
        <v>158</v>
      </c>
      <c r="H126" s="106" t="s">
        <v>158</v>
      </c>
      <c r="I126" s="381">
        <v>0.5</v>
      </c>
      <c r="J126" s="106">
        <v>2</v>
      </c>
      <c r="K126" s="137">
        <v>43949</v>
      </c>
      <c r="L126" s="106" t="s">
        <v>1014</v>
      </c>
    </row>
    <row r="127" spans="1:12">
      <c r="A127" s="137">
        <v>43949</v>
      </c>
      <c r="B127" s="106" t="s">
        <v>1011</v>
      </c>
      <c r="C127" s="107" t="s">
        <v>1753</v>
      </c>
      <c r="D127" s="106" t="s">
        <v>1752</v>
      </c>
      <c r="E127" s="106" t="s">
        <v>1754</v>
      </c>
      <c r="F127" s="107" t="s">
        <v>1755</v>
      </c>
      <c r="G127" s="106" t="s">
        <v>225</v>
      </c>
      <c r="H127" s="106" t="s">
        <v>158</v>
      </c>
      <c r="I127" s="381">
        <v>1</v>
      </c>
      <c r="J127" s="106">
        <v>3</v>
      </c>
      <c r="K127" s="137">
        <v>43949</v>
      </c>
      <c r="L127" s="106" t="s">
        <v>1756</v>
      </c>
    </row>
    <row r="128" spans="1:12">
      <c r="A128" s="137">
        <v>43949</v>
      </c>
      <c r="B128" s="106" t="s">
        <v>956</v>
      </c>
      <c r="C128" s="107"/>
      <c r="D128" s="106"/>
      <c r="E128" s="106" t="s">
        <v>253</v>
      </c>
      <c r="F128" s="107" t="s">
        <v>253</v>
      </c>
      <c r="G128" s="106" t="s">
        <v>158</v>
      </c>
      <c r="H128" s="106" t="s">
        <v>158</v>
      </c>
      <c r="I128" s="381">
        <v>2</v>
      </c>
      <c r="J128" s="106">
        <v>2</v>
      </c>
      <c r="K128" s="137">
        <v>43949</v>
      </c>
      <c r="L128" s="106" t="s">
        <v>226</v>
      </c>
    </row>
    <row r="129" spans="1:12" ht="30">
      <c r="A129" s="137">
        <v>43949</v>
      </c>
      <c r="B129" s="106" t="s">
        <v>956</v>
      </c>
      <c r="C129" s="107" t="s">
        <v>232</v>
      </c>
      <c r="D129" s="106"/>
      <c r="E129" s="106" t="s">
        <v>1757</v>
      </c>
      <c r="F129" s="107" t="s">
        <v>1758</v>
      </c>
      <c r="G129" s="106" t="s">
        <v>225</v>
      </c>
      <c r="H129" s="106" t="s">
        <v>158</v>
      </c>
      <c r="I129" s="381">
        <v>1</v>
      </c>
      <c r="J129" s="106">
        <v>2</v>
      </c>
      <c r="K129" s="137">
        <v>43949</v>
      </c>
      <c r="L129" s="106" t="s">
        <v>226</v>
      </c>
    </row>
    <row r="130" spans="1:12">
      <c r="A130" s="137">
        <v>43950</v>
      </c>
      <c r="B130" s="106" t="s">
        <v>1011</v>
      </c>
      <c r="C130" s="107" t="s">
        <v>1764</v>
      </c>
      <c r="D130" s="106"/>
      <c r="E130" s="106" t="s">
        <v>1748</v>
      </c>
      <c r="F130" s="107" t="s">
        <v>1746</v>
      </c>
      <c r="G130" s="106" t="s">
        <v>158</v>
      </c>
      <c r="H130" s="106" t="s">
        <v>225</v>
      </c>
      <c r="I130" s="381">
        <v>0.5</v>
      </c>
      <c r="J130" s="106">
        <v>1</v>
      </c>
      <c r="K130" s="137">
        <v>43950</v>
      </c>
      <c r="L130" s="106" t="s">
        <v>49</v>
      </c>
    </row>
    <row r="131" spans="1:12">
      <c r="A131" s="137">
        <v>43950</v>
      </c>
      <c r="B131" s="106" t="s">
        <v>1011</v>
      </c>
      <c r="C131" s="107" t="s">
        <v>1764</v>
      </c>
      <c r="D131" s="106"/>
      <c r="E131" s="106" t="s">
        <v>1750</v>
      </c>
      <c r="F131" s="107" t="s">
        <v>1751</v>
      </c>
      <c r="G131" s="106" t="s">
        <v>158</v>
      </c>
      <c r="H131" s="106" t="s">
        <v>225</v>
      </c>
      <c r="I131" s="381">
        <v>0.5</v>
      </c>
      <c r="J131" s="106">
        <v>1</v>
      </c>
      <c r="K131" s="137">
        <v>43950</v>
      </c>
      <c r="L131" s="106" t="s">
        <v>49</v>
      </c>
    </row>
    <row r="132" spans="1:12">
      <c r="A132" s="137">
        <v>43950</v>
      </c>
      <c r="B132" s="106" t="s">
        <v>1011</v>
      </c>
      <c r="C132" s="107" t="s">
        <v>1019</v>
      </c>
      <c r="D132" s="106"/>
      <c r="E132" s="106" t="s">
        <v>1748</v>
      </c>
      <c r="F132" s="107" t="s">
        <v>1746</v>
      </c>
      <c r="G132" s="106" t="s">
        <v>158</v>
      </c>
      <c r="H132" s="106" t="s">
        <v>225</v>
      </c>
      <c r="I132" s="381">
        <v>0.5</v>
      </c>
      <c r="J132" s="106">
        <v>3</v>
      </c>
      <c r="K132" s="137">
        <v>43950</v>
      </c>
      <c r="L132" s="106" t="s">
        <v>1756</v>
      </c>
    </row>
    <row r="133" spans="1:12">
      <c r="A133" s="137">
        <v>43950</v>
      </c>
      <c r="B133" s="106" t="s">
        <v>1011</v>
      </c>
      <c r="C133" s="107" t="s">
        <v>1019</v>
      </c>
      <c r="D133" s="106"/>
      <c r="E133" s="106" t="s">
        <v>1750</v>
      </c>
      <c r="F133" s="107" t="s">
        <v>1751</v>
      </c>
      <c r="G133" s="106" t="s">
        <v>158</v>
      </c>
      <c r="H133" s="106" t="s">
        <v>225</v>
      </c>
      <c r="I133" s="381">
        <v>0.5</v>
      </c>
      <c r="J133" s="106">
        <v>3</v>
      </c>
      <c r="K133" s="137">
        <v>43950</v>
      </c>
      <c r="L133" s="106" t="s">
        <v>1756</v>
      </c>
    </row>
    <row r="134" spans="1:12" ht="30">
      <c r="A134" s="137">
        <v>43950</v>
      </c>
      <c r="B134" s="106" t="s">
        <v>514</v>
      </c>
      <c r="C134" s="107" t="s">
        <v>1015</v>
      </c>
      <c r="D134" s="106"/>
      <c r="E134" s="106" t="s">
        <v>1765</v>
      </c>
      <c r="F134" s="107" t="s">
        <v>1766</v>
      </c>
      <c r="G134" s="106" t="s">
        <v>158</v>
      </c>
      <c r="H134" s="106" t="s">
        <v>225</v>
      </c>
      <c r="I134" s="381">
        <v>0.5</v>
      </c>
      <c r="J134" s="106">
        <v>3</v>
      </c>
      <c r="K134" s="137">
        <v>43950</v>
      </c>
      <c r="L134" s="106" t="s">
        <v>524</v>
      </c>
    </row>
    <row r="135" spans="1:12">
      <c r="A135" s="137">
        <v>43950</v>
      </c>
      <c r="B135" s="106" t="s">
        <v>514</v>
      </c>
      <c r="C135" s="107" t="s">
        <v>400</v>
      </c>
      <c r="D135" s="106"/>
      <c r="E135" s="106" t="s">
        <v>1768</v>
      </c>
      <c r="F135" s="107" t="s">
        <v>1767</v>
      </c>
      <c r="G135" s="106" t="s">
        <v>158</v>
      </c>
      <c r="H135" s="106" t="s">
        <v>158</v>
      </c>
      <c r="I135" s="381">
        <v>0.5</v>
      </c>
      <c r="J135" s="106">
        <v>1</v>
      </c>
      <c r="K135" s="137">
        <v>43950</v>
      </c>
      <c r="L135" s="106" t="s">
        <v>50</v>
      </c>
    </row>
    <row r="136" spans="1:12" ht="30">
      <c r="A136" s="137">
        <v>43950</v>
      </c>
      <c r="B136" s="106" t="s">
        <v>956</v>
      </c>
      <c r="C136" s="107" t="s">
        <v>232</v>
      </c>
      <c r="D136" s="106"/>
      <c r="E136" s="106" t="s">
        <v>1769</v>
      </c>
      <c r="F136" s="107" t="s">
        <v>1187</v>
      </c>
      <c r="G136" s="106" t="s">
        <v>158</v>
      </c>
      <c r="H136" s="106" t="s">
        <v>158</v>
      </c>
      <c r="I136" s="381">
        <v>3</v>
      </c>
      <c r="J136" s="106">
        <v>2</v>
      </c>
      <c r="K136" s="137">
        <v>43951</v>
      </c>
      <c r="L136" s="106" t="s">
        <v>226</v>
      </c>
    </row>
    <row r="137" spans="1:12">
      <c r="A137" s="137">
        <v>43951</v>
      </c>
      <c r="B137" s="106" t="s">
        <v>1011</v>
      </c>
      <c r="C137" s="107" t="s">
        <v>1772</v>
      </c>
      <c r="D137" s="106"/>
      <c r="E137" s="106" t="s">
        <v>1584</v>
      </c>
      <c r="F137" s="107" t="s">
        <v>1751</v>
      </c>
      <c r="G137" s="106" t="s">
        <v>158</v>
      </c>
      <c r="H137" s="106" t="s">
        <v>225</v>
      </c>
      <c r="I137" s="381">
        <v>0.5</v>
      </c>
      <c r="J137" s="106">
        <v>3</v>
      </c>
      <c r="K137" s="137">
        <v>43951</v>
      </c>
      <c r="L137" s="106" t="s">
        <v>1756</v>
      </c>
    </row>
    <row r="138" spans="1:12">
      <c r="A138" s="137">
        <v>43951</v>
      </c>
      <c r="B138" s="106" t="s">
        <v>1011</v>
      </c>
      <c r="C138" s="107" t="s">
        <v>1773</v>
      </c>
      <c r="D138" s="106"/>
      <c r="E138" s="106" t="s">
        <v>1013</v>
      </c>
      <c r="F138" s="107" t="s">
        <v>1746</v>
      </c>
      <c r="G138" s="106" t="s">
        <v>158</v>
      </c>
      <c r="H138" s="106" t="s">
        <v>225</v>
      </c>
      <c r="I138" s="381">
        <v>0.5</v>
      </c>
      <c r="J138" s="106">
        <v>3</v>
      </c>
      <c r="K138" s="137">
        <v>43951</v>
      </c>
      <c r="L138" s="106" t="s">
        <v>1756</v>
      </c>
    </row>
    <row r="139" spans="1:12">
      <c r="A139" s="137">
        <v>43951</v>
      </c>
      <c r="B139" s="106" t="s">
        <v>1011</v>
      </c>
      <c r="C139" s="107" t="s">
        <v>1774</v>
      </c>
      <c r="D139" s="106"/>
      <c r="E139" s="106" t="s">
        <v>1775</v>
      </c>
      <c r="F139" s="107" t="s">
        <v>1776</v>
      </c>
      <c r="G139" s="106" t="s">
        <v>158</v>
      </c>
      <c r="H139" s="106" t="s">
        <v>225</v>
      </c>
      <c r="I139" s="381">
        <v>0.5</v>
      </c>
      <c r="J139" s="106">
        <v>3</v>
      </c>
      <c r="K139" s="137">
        <v>43951</v>
      </c>
      <c r="L139" s="106" t="s">
        <v>1756</v>
      </c>
    </row>
    <row r="140" spans="1:12">
      <c r="A140" s="137">
        <v>43951</v>
      </c>
      <c r="B140" s="106" t="s">
        <v>1011</v>
      </c>
      <c r="C140" s="107" t="s">
        <v>1777</v>
      </c>
      <c r="D140" s="106" t="s">
        <v>1779</v>
      </c>
      <c r="E140" s="106" t="s">
        <v>1778</v>
      </c>
      <c r="F140" s="107" t="s">
        <v>1751</v>
      </c>
      <c r="G140" s="106" t="s">
        <v>158</v>
      </c>
      <c r="H140" s="106" t="s">
        <v>158</v>
      </c>
      <c r="I140" s="381">
        <v>0.5</v>
      </c>
      <c r="J140" s="106">
        <v>3</v>
      </c>
      <c r="K140" s="137">
        <v>43951</v>
      </c>
      <c r="L140" s="106" t="s">
        <v>1756</v>
      </c>
    </row>
    <row r="141" spans="1:12">
      <c r="A141" s="137">
        <v>43951</v>
      </c>
      <c r="B141" s="106" t="s">
        <v>514</v>
      </c>
      <c r="C141" s="107" t="s">
        <v>1080</v>
      </c>
      <c r="D141" s="106" t="s">
        <v>1781</v>
      </c>
      <c r="E141" s="106" t="s">
        <v>1778</v>
      </c>
      <c r="F141" s="107" t="s">
        <v>1780</v>
      </c>
      <c r="G141" s="106" t="s">
        <v>158</v>
      </c>
      <c r="H141" s="106" t="s">
        <v>158</v>
      </c>
      <c r="I141" s="381">
        <v>0.5</v>
      </c>
      <c r="J141" s="106">
        <v>1</v>
      </c>
      <c r="K141" s="137">
        <v>43951</v>
      </c>
      <c r="L141" s="106" t="s">
        <v>50</v>
      </c>
    </row>
    <row r="142" spans="1:12">
      <c r="A142" s="137">
        <v>43951</v>
      </c>
      <c r="B142" s="106" t="s">
        <v>956</v>
      </c>
      <c r="C142" s="107" t="s">
        <v>81</v>
      </c>
      <c r="D142" s="106"/>
      <c r="E142" s="106" t="s">
        <v>230</v>
      </c>
      <c r="F142" s="107" t="s">
        <v>1782</v>
      </c>
      <c r="G142" s="106" t="s">
        <v>158</v>
      </c>
      <c r="H142" s="106" t="s">
        <v>158</v>
      </c>
      <c r="I142" s="381">
        <v>3</v>
      </c>
      <c r="J142" s="106">
        <v>2</v>
      </c>
      <c r="K142" s="137">
        <v>43951</v>
      </c>
      <c r="L142" s="106" t="s">
        <v>226</v>
      </c>
    </row>
    <row r="143" spans="1:12" ht="30">
      <c r="A143" s="137">
        <v>43951</v>
      </c>
      <c r="B143" s="106" t="s">
        <v>956</v>
      </c>
      <c r="C143" s="107" t="s">
        <v>232</v>
      </c>
      <c r="D143" s="106"/>
      <c r="E143" s="106" t="s">
        <v>1783</v>
      </c>
      <c r="F143" s="107" t="s">
        <v>1187</v>
      </c>
      <c r="G143" s="106" t="s">
        <v>158</v>
      </c>
      <c r="H143" s="106" t="s">
        <v>158</v>
      </c>
      <c r="I143" s="381">
        <v>3</v>
      </c>
      <c r="J143" s="106">
        <v>2</v>
      </c>
      <c r="K143" s="137">
        <v>43951</v>
      </c>
      <c r="L143" s="106" t="s">
        <v>226</v>
      </c>
    </row>
    <row r="144" spans="1:12">
      <c r="A144" s="137">
        <v>43951</v>
      </c>
      <c r="B144" s="106" t="s">
        <v>956</v>
      </c>
      <c r="C144" s="107" t="s">
        <v>237</v>
      </c>
      <c r="D144" s="106"/>
      <c r="E144" s="106" t="s">
        <v>1784</v>
      </c>
      <c r="F144" s="107" t="s">
        <v>1785</v>
      </c>
      <c r="G144" s="106" t="s">
        <v>158</v>
      </c>
      <c r="H144" s="106" t="s">
        <v>225</v>
      </c>
      <c r="I144" s="381">
        <v>0.3</v>
      </c>
      <c r="J144" s="106">
        <v>2</v>
      </c>
      <c r="K144" s="137">
        <v>43951</v>
      </c>
      <c r="L144" s="106" t="s">
        <v>226</v>
      </c>
    </row>
    <row r="145" spans="1:12">
      <c r="A145" s="137">
        <v>43952</v>
      </c>
      <c r="B145" s="106" t="s">
        <v>1011</v>
      </c>
      <c r="C145" s="107" t="s">
        <v>1786</v>
      </c>
      <c r="D145" s="106"/>
      <c r="E145" s="106" t="s">
        <v>1778</v>
      </c>
      <c r="F145" s="107" t="s">
        <v>1751</v>
      </c>
      <c r="G145" s="106" t="s">
        <v>158</v>
      </c>
      <c r="H145" s="106" t="s">
        <v>225</v>
      </c>
      <c r="I145" s="381">
        <v>0.5</v>
      </c>
      <c r="J145" s="106">
        <v>2</v>
      </c>
      <c r="K145" s="137">
        <v>43952</v>
      </c>
      <c r="L145" s="106" t="s">
        <v>329</v>
      </c>
    </row>
    <row r="146" spans="1:12">
      <c r="A146" s="137">
        <v>43952</v>
      </c>
      <c r="B146" s="106" t="s">
        <v>1011</v>
      </c>
      <c r="C146" s="107" t="s">
        <v>1789</v>
      </c>
      <c r="D146" s="106"/>
      <c r="E146" s="106" t="s">
        <v>1787</v>
      </c>
      <c r="F146" s="107" t="s">
        <v>1788</v>
      </c>
      <c r="G146" s="106" t="s">
        <v>158</v>
      </c>
      <c r="H146" s="106" t="s">
        <v>225</v>
      </c>
      <c r="I146" s="381">
        <v>0.3</v>
      </c>
      <c r="J146" s="106">
        <v>2</v>
      </c>
      <c r="K146" s="137">
        <v>43952</v>
      </c>
      <c r="L146" s="106" t="s">
        <v>329</v>
      </c>
    </row>
    <row r="147" spans="1:12">
      <c r="A147" s="137">
        <v>43952</v>
      </c>
      <c r="B147" s="106" t="s">
        <v>1011</v>
      </c>
      <c r="C147" s="107" t="s">
        <v>1790</v>
      </c>
      <c r="D147" s="106"/>
      <c r="E147" s="106" t="s">
        <v>1791</v>
      </c>
      <c r="F147" s="107" t="s">
        <v>1792</v>
      </c>
      <c r="G147" s="106" t="s">
        <v>158</v>
      </c>
      <c r="H147" s="106" t="s">
        <v>225</v>
      </c>
      <c r="I147" s="381">
        <v>0.3</v>
      </c>
      <c r="J147" s="106">
        <v>2</v>
      </c>
      <c r="K147" s="137">
        <v>43952</v>
      </c>
      <c r="L147" s="106" t="s">
        <v>329</v>
      </c>
    </row>
    <row r="148" spans="1:12">
      <c r="A148" s="137">
        <v>43952</v>
      </c>
      <c r="B148" s="106" t="s">
        <v>1011</v>
      </c>
      <c r="C148" s="107" t="s">
        <v>1790</v>
      </c>
      <c r="D148" s="106"/>
      <c r="E148" s="106" t="s">
        <v>1793</v>
      </c>
      <c r="F148" s="107" t="s">
        <v>1788</v>
      </c>
      <c r="G148" s="106" t="s">
        <v>158</v>
      </c>
      <c r="H148" s="106" t="s">
        <v>225</v>
      </c>
      <c r="I148" s="381">
        <v>0.5</v>
      </c>
      <c r="J148" s="106">
        <v>2</v>
      </c>
      <c r="K148" s="137">
        <v>43952</v>
      </c>
      <c r="L148" s="106" t="s">
        <v>329</v>
      </c>
    </row>
    <row r="149" spans="1:12">
      <c r="A149" s="137">
        <v>43952</v>
      </c>
      <c r="B149" s="106" t="s">
        <v>1011</v>
      </c>
      <c r="C149" s="107" t="s">
        <v>1794</v>
      </c>
      <c r="D149" s="106" t="s">
        <v>1795</v>
      </c>
      <c r="E149" s="106" t="s">
        <v>1796</v>
      </c>
      <c r="F149" s="107" t="s">
        <v>1797</v>
      </c>
      <c r="G149" s="106" t="s">
        <v>158</v>
      </c>
      <c r="H149" s="106" t="s">
        <v>158</v>
      </c>
      <c r="I149" s="381">
        <v>1</v>
      </c>
      <c r="J149" s="106">
        <v>2</v>
      </c>
      <c r="K149" s="137">
        <v>43952</v>
      </c>
      <c r="L149" s="106" t="s">
        <v>329</v>
      </c>
    </row>
    <row r="150" spans="1:12" ht="30">
      <c r="A150" s="137">
        <v>43952</v>
      </c>
      <c r="B150" s="106" t="s">
        <v>1011</v>
      </c>
      <c r="C150" s="107" t="s">
        <v>1798</v>
      </c>
      <c r="D150" s="106" t="s">
        <v>1799</v>
      </c>
      <c r="E150" s="106" t="s">
        <v>1778</v>
      </c>
      <c r="F150" s="107" t="s">
        <v>1751</v>
      </c>
      <c r="G150" s="106" t="s">
        <v>158</v>
      </c>
      <c r="H150" s="106" t="s">
        <v>158</v>
      </c>
      <c r="I150" s="381">
        <v>0.5</v>
      </c>
      <c r="J150" s="106">
        <v>2</v>
      </c>
      <c r="K150" s="137">
        <v>43952</v>
      </c>
      <c r="L150" s="106" t="s">
        <v>329</v>
      </c>
    </row>
    <row r="151" spans="1:12" ht="60">
      <c r="A151" s="137">
        <v>43952</v>
      </c>
      <c r="B151" s="106" t="s">
        <v>514</v>
      </c>
      <c r="C151" s="107" t="s">
        <v>1800</v>
      </c>
      <c r="D151" s="106"/>
      <c r="E151" s="106" t="s">
        <v>1801</v>
      </c>
      <c r="F151" s="107" t="s">
        <v>1802</v>
      </c>
      <c r="G151" s="106" t="s">
        <v>158</v>
      </c>
      <c r="H151" s="106" t="s">
        <v>225</v>
      </c>
      <c r="I151" s="381">
        <v>1</v>
      </c>
      <c r="J151" s="106">
        <v>2</v>
      </c>
      <c r="K151" s="137">
        <v>43952</v>
      </c>
      <c r="L151" s="106" t="s">
        <v>1101</v>
      </c>
    </row>
    <row r="152" spans="1:12">
      <c r="A152" s="137">
        <v>43952</v>
      </c>
      <c r="B152" s="106" t="s">
        <v>514</v>
      </c>
      <c r="C152" s="107" t="s">
        <v>1803</v>
      </c>
      <c r="D152" s="106" t="s">
        <v>1807</v>
      </c>
      <c r="E152" s="106" t="s">
        <v>1808</v>
      </c>
      <c r="F152" s="107" t="s">
        <v>1809</v>
      </c>
      <c r="G152" s="106" t="s">
        <v>158</v>
      </c>
      <c r="H152" s="106" t="s">
        <v>158</v>
      </c>
      <c r="I152" s="381">
        <v>0.5</v>
      </c>
      <c r="J152" s="106">
        <v>2</v>
      </c>
      <c r="K152" s="137">
        <v>43952</v>
      </c>
      <c r="L152" s="106" t="s">
        <v>1101</v>
      </c>
    </row>
    <row r="153" spans="1:12" ht="30">
      <c r="A153" s="137">
        <v>43952</v>
      </c>
      <c r="B153" s="106" t="s">
        <v>514</v>
      </c>
      <c r="C153" s="107" t="s">
        <v>947</v>
      </c>
      <c r="D153" s="106" t="s">
        <v>1804</v>
      </c>
      <c r="E153" s="106" t="s">
        <v>1805</v>
      </c>
      <c r="F153" s="107" t="s">
        <v>1806</v>
      </c>
      <c r="G153" s="106" t="s">
        <v>158</v>
      </c>
      <c r="H153" s="106" t="s">
        <v>158</v>
      </c>
      <c r="I153" s="381">
        <v>0.5</v>
      </c>
      <c r="J153" s="106">
        <v>2</v>
      </c>
      <c r="K153" s="137">
        <v>43952</v>
      </c>
      <c r="L153" s="106" t="s">
        <v>1101</v>
      </c>
    </row>
    <row r="154" spans="1:12">
      <c r="A154" s="137">
        <v>43952</v>
      </c>
      <c r="B154" s="106" t="s">
        <v>956</v>
      </c>
      <c r="C154" s="107" t="s">
        <v>81</v>
      </c>
      <c r="D154" s="106"/>
      <c r="E154" s="106" t="s">
        <v>253</v>
      </c>
      <c r="F154" s="107" t="s">
        <v>253</v>
      </c>
      <c r="G154" s="106" t="s">
        <v>158</v>
      </c>
      <c r="H154" s="106" t="s">
        <v>158</v>
      </c>
      <c r="I154" s="381">
        <v>1</v>
      </c>
      <c r="J154" s="106">
        <v>1</v>
      </c>
      <c r="K154" s="137">
        <v>43952</v>
      </c>
      <c r="L154" s="106" t="s">
        <v>45</v>
      </c>
    </row>
    <row r="155" spans="1:12">
      <c r="A155" s="137">
        <v>43953</v>
      </c>
      <c r="B155" s="106" t="s">
        <v>1011</v>
      </c>
      <c r="C155" s="107" t="s">
        <v>81</v>
      </c>
      <c r="D155" s="106" t="s">
        <v>1810</v>
      </c>
      <c r="E155" s="106" t="s">
        <v>1811</v>
      </c>
      <c r="F155" s="107" t="s">
        <v>1812</v>
      </c>
      <c r="G155" s="106" t="s">
        <v>158</v>
      </c>
      <c r="H155" s="106" t="s">
        <v>158</v>
      </c>
      <c r="I155" s="381">
        <v>0.3</v>
      </c>
      <c r="J155" s="106">
        <v>2</v>
      </c>
      <c r="K155" s="137">
        <v>43953</v>
      </c>
      <c r="L155" s="106" t="s">
        <v>1111</v>
      </c>
    </row>
    <row r="156" spans="1:12">
      <c r="A156" s="137">
        <v>43953</v>
      </c>
      <c r="B156" s="106" t="s">
        <v>1011</v>
      </c>
      <c r="C156" s="107" t="s">
        <v>81</v>
      </c>
      <c r="D156" s="106" t="s">
        <v>1813</v>
      </c>
      <c r="E156" s="106" t="s">
        <v>1814</v>
      </c>
      <c r="F156" s="107" t="s">
        <v>1815</v>
      </c>
      <c r="G156" s="106" t="s">
        <v>158</v>
      </c>
      <c r="H156" s="106" t="s">
        <v>225</v>
      </c>
      <c r="I156" s="381">
        <v>0.2</v>
      </c>
      <c r="J156" s="106">
        <v>2</v>
      </c>
      <c r="K156" s="137">
        <v>43953</v>
      </c>
      <c r="L156" s="106" t="s">
        <v>1816</v>
      </c>
    </row>
    <row r="157" spans="1:12">
      <c r="A157" s="137">
        <v>43953</v>
      </c>
      <c r="B157" s="106" t="s">
        <v>1011</v>
      </c>
      <c r="C157" s="107" t="s">
        <v>81</v>
      </c>
      <c r="D157" s="106" t="s">
        <v>1817</v>
      </c>
      <c r="E157" s="106" t="s">
        <v>1818</v>
      </c>
      <c r="F157" s="107" t="s">
        <v>1766</v>
      </c>
      <c r="G157" s="106" t="s">
        <v>158</v>
      </c>
      <c r="H157" s="106" t="s">
        <v>225</v>
      </c>
      <c r="I157" s="381">
        <v>0.4</v>
      </c>
      <c r="J157" s="106">
        <v>2</v>
      </c>
      <c r="K157" s="137">
        <v>43953</v>
      </c>
      <c r="L157" s="106" t="s">
        <v>1816</v>
      </c>
    </row>
    <row r="158" spans="1:12">
      <c r="A158" s="137">
        <v>43954</v>
      </c>
      <c r="B158" s="106" t="s">
        <v>956</v>
      </c>
      <c r="C158" s="107" t="s">
        <v>81</v>
      </c>
      <c r="D158" s="106" t="s">
        <v>1819</v>
      </c>
      <c r="E158" s="106" t="s">
        <v>1820</v>
      </c>
      <c r="F158" s="107" t="s">
        <v>1824</v>
      </c>
      <c r="G158" s="106" t="s">
        <v>158</v>
      </c>
      <c r="H158" s="106" t="s">
        <v>158</v>
      </c>
      <c r="I158" s="381"/>
      <c r="J158" s="106"/>
      <c r="K158" s="106"/>
      <c r="L158" s="106" t="s">
        <v>38</v>
      </c>
    </row>
    <row r="159" spans="1:12">
      <c r="A159" s="137">
        <v>43954</v>
      </c>
      <c r="B159" s="106" t="s">
        <v>1011</v>
      </c>
      <c r="C159" s="107" t="s">
        <v>1828</v>
      </c>
      <c r="D159" s="106" t="s">
        <v>1829</v>
      </c>
      <c r="E159" s="106" t="s">
        <v>1830</v>
      </c>
      <c r="F159" s="107" t="s">
        <v>1831</v>
      </c>
      <c r="G159" s="106" t="s">
        <v>158</v>
      </c>
      <c r="H159" s="106" t="s">
        <v>158</v>
      </c>
      <c r="I159" s="381">
        <v>1.5</v>
      </c>
      <c r="J159" s="106">
        <v>2</v>
      </c>
      <c r="K159" s="137">
        <v>43954</v>
      </c>
      <c r="L159" s="106" t="s">
        <v>1670</v>
      </c>
    </row>
    <row r="160" spans="1:12">
      <c r="A160" s="137">
        <v>43954</v>
      </c>
      <c r="B160" s="106" t="s">
        <v>1011</v>
      </c>
      <c r="C160" s="107" t="s">
        <v>1832</v>
      </c>
      <c r="D160" s="106" t="s">
        <v>1833</v>
      </c>
      <c r="E160" s="106" t="s">
        <v>1835</v>
      </c>
      <c r="F160" s="107" t="s">
        <v>1751</v>
      </c>
      <c r="G160" s="106" t="s">
        <v>158</v>
      </c>
      <c r="H160" s="106" t="s">
        <v>158</v>
      </c>
      <c r="I160" s="381">
        <v>0.3</v>
      </c>
      <c r="J160" s="106">
        <v>2</v>
      </c>
      <c r="K160" s="137">
        <v>43954</v>
      </c>
      <c r="L160" s="106" t="s">
        <v>1670</v>
      </c>
    </row>
    <row r="161" spans="1:12">
      <c r="A161" s="137">
        <v>43954</v>
      </c>
      <c r="B161" s="106" t="s">
        <v>1011</v>
      </c>
      <c r="C161" s="107" t="s">
        <v>951</v>
      </c>
      <c r="D161" s="106" t="s">
        <v>1836</v>
      </c>
      <c r="E161" s="106" t="s">
        <v>1835</v>
      </c>
      <c r="F161" s="107" t="s">
        <v>1751</v>
      </c>
      <c r="G161" s="106" t="s">
        <v>158</v>
      </c>
      <c r="H161" s="106" t="s">
        <v>158</v>
      </c>
      <c r="I161" s="381">
        <v>0.3</v>
      </c>
      <c r="J161" s="106">
        <v>2</v>
      </c>
      <c r="K161" s="137">
        <v>43954</v>
      </c>
      <c r="L161" s="106" t="s">
        <v>1670</v>
      </c>
    </row>
    <row r="162" spans="1:12">
      <c r="A162" s="137">
        <v>43954</v>
      </c>
      <c r="B162" s="106" t="s">
        <v>1011</v>
      </c>
      <c r="C162" s="107" t="s">
        <v>1839</v>
      </c>
      <c r="D162" s="106" t="s">
        <v>1837</v>
      </c>
      <c r="E162" s="106" t="s">
        <v>1834</v>
      </c>
      <c r="F162" s="107" t="s">
        <v>1838</v>
      </c>
      <c r="G162" s="106" t="s">
        <v>158</v>
      </c>
      <c r="H162" s="106" t="s">
        <v>158</v>
      </c>
      <c r="I162" s="381">
        <v>0.1</v>
      </c>
      <c r="J162" s="106">
        <v>2</v>
      </c>
      <c r="K162" s="137">
        <v>43954</v>
      </c>
      <c r="L162" s="106" t="s">
        <v>1670</v>
      </c>
    </row>
    <row r="163" spans="1:12">
      <c r="A163" s="137">
        <v>43954</v>
      </c>
      <c r="B163" s="106" t="s">
        <v>1011</v>
      </c>
      <c r="C163" s="107" t="s">
        <v>343</v>
      </c>
      <c r="D163" s="106" t="s">
        <v>1840</v>
      </c>
      <c r="E163" s="106" t="s">
        <v>1841</v>
      </c>
      <c r="F163" s="107" t="s">
        <v>1842</v>
      </c>
      <c r="G163" s="106" t="s">
        <v>158</v>
      </c>
      <c r="H163" s="106" t="s">
        <v>158</v>
      </c>
      <c r="I163" s="381">
        <v>0.5</v>
      </c>
      <c r="J163" s="106">
        <v>2</v>
      </c>
      <c r="K163" s="137">
        <v>43954</v>
      </c>
      <c r="L163" s="106" t="s">
        <v>1670</v>
      </c>
    </row>
    <row r="164" spans="1:12">
      <c r="A164" s="137">
        <v>43954</v>
      </c>
      <c r="B164" s="106" t="s">
        <v>1011</v>
      </c>
      <c r="C164" s="107" t="s">
        <v>951</v>
      </c>
      <c r="D164" s="106" t="s">
        <v>1843</v>
      </c>
      <c r="E164" s="106" t="s">
        <v>1013</v>
      </c>
      <c r="F164" s="107" t="s">
        <v>1746</v>
      </c>
      <c r="G164" s="106" t="s">
        <v>158</v>
      </c>
      <c r="H164" s="106" t="s">
        <v>158</v>
      </c>
      <c r="I164" s="381">
        <v>0.3</v>
      </c>
      <c r="J164" s="106">
        <v>2</v>
      </c>
      <c r="K164" s="137">
        <v>43954</v>
      </c>
      <c r="L164" s="106" t="s">
        <v>1670</v>
      </c>
    </row>
    <row r="165" spans="1:12" ht="30">
      <c r="A165" s="137">
        <v>43955</v>
      </c>
      <c r="B165" s="106" t="s">
        <v>956</v>
      </c>
      <c r="C165" s="107" t="s">
        <v>1850</v>
      </c>
      <c r="D165" s="106" t="s">
        <v>1851</v>
      </c>
      <c r="E165" s="106" t="s">
        <v>1852</v>
      </c>
      <c r="F165" s="107" t="s">
        <v>1853</v>
      </c>
      <c r="G165" s="106" t="s">
        <v>158</v>
      </c>
      <c r="H165" s="106" t="s">
        <v>158</v>
      </c>
      <c r="I165" s="381">
        <v>1.5</v>
      </c>
      <c r="J165" s="106">
        <v>2</v>
      </c>
      <c r="K165" s="137">
        <v>43955</v>
      </c>
      <c r="L165" s="106" t="s">
        <v>226</v>
      </c>
    </row>
    <row r="166" spans="1:12" ht="30">
      <c r="A166" s="137">
        <v>43955</v>
      </c>
      <c r="B166" s="106" t="s">
        <v>956</v>
      </c>
      <c r="C166" s="107" t="s">
        <v>1854</v>
      </c>
      <c r="D166" s="106" t="s">
        <v>1855</v>
      </c>
      <c r="E166" s="106" t="s">
        <v>1856</v>
      </c>
      <c r="F166" s="107" t="s">
        <v>1853</v>
      </c>
      <c r="G166" s="106" t="s">
        <v>158</v>
      </c>
      <c r="H166" s="106" t="s">
        <v>158</v>
      </c>
      <c r="I166" s="381">
        <v>1.5</v>
      </c>
      <c r="J166" s="106">
        <v>2</v>
      </c>
      <c r="K166" s="137">
        <v>43955</v>
      </c>
      <c r="L166" s="106" t="s">
        <v>226</v>
      </c>
    </row>
    <row r="167" spans="1:12" ht="30">
      <c r="A167" s="137">
        <v>43956</v>
      </c>
      <c r="B167" s="106" t="s">
        <v>1011</v>
      </c>
      <c r="C167" s="107" t="s">
        <v>1424</v>
      </c>
      <c r="D167" s="106" t="s">
        <v>1857</v>
      </c>
      <c r="E167" s="106" t="s">
        <v>1858</v>
      </c>
      <c r="F167" s="107" t="s">
        <v>1859</v>
      </c>
      <c r="G167" s="106" t="s">
        <v>158</v>
      </c>
      <c r="H167" s="106" t="s">
        <v>158</v>
      </c>
      <c r="I167" s="381">
        <v>1</v>
      </c>
      <c r="J167" s="106">
        <v>1</v>
      </c>
      <c r="K167" s="137">
        <v>43956</v>
      </c>
      <c r="L167" s="106" t="s">
        <v>53</v>
      </c>
    </row>
    <row r="168" spans="1:12">
      <c r="A168" s="137">
        <v>43956</v>
      </c>
      <c r="B168" s="106" t="s">
        <v>1011</v>
      </c>
      <c r="C168" s="107" t="s">
        <v>1773</v>
      </c>
      <c r="D168" s="106" t="s">
        <v>1860</v>
      </c>
      <c r="E168" s="106" t="s">
        <v>1861</v>
      </c>
      <c r="F168" s="107" t="s">
        <v>1751</v>
      </c>
      <c r="G168" s="106" t="s">
        <v>158</v>
      </c>
      <c r="H168" s="106" t="s">
        <v>158</v>
      </c>
      <c r="I168" s="381">
        <v>0.3</v>
      </c>
      <c r="J168" s="106">
        <v>2</v>
      </c>
      <c r="K168" s="137">
        <v>43956</v>
      </c>
      <c r="L168" s="106" t="s">
        <v>1670</v>
      </c>
    </row>
    <row r="169" spans="1:12" ht="30">
      <c r="A169" s="137">
        <v>43956</v>
      </c>
      <c r="B169" s="106" t="s">
        <v>1011</v>
      </c>
      <c r="C169" s="107" t="s">
        <v>947</v>
      </c>
      <c r="D169" s="106" t="s">
        <v>1862</v>
      </c>
      <c r="E169" s="106" t="s">
        <v>1863</v>
      </c>
      <c r="F169" s="107" t="s">
        <v>1864</v>
      </c>
      <c r="G169" s="106" t="s">
        <v>158</v>
      </c>
      <c r="H169" s="106" t="s">
        <v>158</v>
      </c>
      <c r="I169" s="381">
        <v>0.3</v>
      </c>
      <c r="J169" s="106">
        <v>2</v>
      </c>
      <c r="K169" s="137">
        <v>43956</v>
      </c>
      <c r="L169" s="106" t="s">
        <v>1670</v>
      </c>
    </row>
    <row r="170" spans="1:12">
      <c r="A170" s="137">
        <v>43956</v>
      </c>
      <c r="B170" s="106" t="s">
        <v>1011</v>
      </c>
      <c r="C170" s="107" t="s">
        <v>1012</v>
      </c>
      <c r="D170" s="106" t="s">
        <v>1865</v>
      </c>
      <c r="E170" s="106" t="s">
        <v>1866</v>
      </c>
      <c r="F170" s="107" t="s">
        <v>1751</v>
      </c>
      <c r="G170" s="106" t="s">
        <v>158</v>
      </c>
      <c r="H170" s="106" t="s">
        <v>158</v>
      </c>
      <c r="I170" s="381">
        <v>0.3</v>
      </c>
      <c r="J170" s="106">
        <v>2</v>
      </c>
      <c r="K170" s="137">
        <v>43956</v>
      </c>
      <c r="L170" s="106" t="s">
        <v>1670</v>
      </c>
    </row>
    <row r="171" spans="1:12">
      <c r="A171" s="137">
        <v>43956</v>
      </c>
      <c r="B171" s="106" t="s">
        <v>1011</v>
      </c>
      <c r="C171" s="107" t="s">
        <v>1867</v>
      </c>
      <c r="D171" s="106" t="s">
        <v>1868</v>
      </c>
      <c r="E171" s="106" t="s">
        <v>1750</v>
      </c>
      <c r="F171" s="107" t="s">
        <v>1751</v>
      </c>
      <c r="G171" s="106" t="s">
        <v>158</v>
      </c>
      <c r="H171" s="106" t="s">
        <v>158</v>
      </c>
      <c r="I171" s="381">
        <v>0.3</v>
      </c>
      <c r="J171" s="106">
        <v>2</v>
      </c>
      <c r="K171" s="137">
        <v>43956</v>
      </c>
      <c r="L171" s="106" t="s">
        <v>1670</v>
      </c>
    </row>
    <row r="172" spans="1:12">
      <c r="A172" s="137">
        <v>43956</v>
      </c>
      <c r="B172" s="106" t="s">
        <v>956</v>
      </c>
      <c r="C172" s="107" t="s">
        <v>81</v>
      </c>
      <c r="D172" s="106"/>
      <c r="E172" s="106" t="s">
        <v>253</v>
      </c>
      <c r="F172" s="107" t="s">
        <v>253</v>
      </c>
      <c r="G172" s="106" t="s">
        <v>158</v>
      </c>
      <c r="H172" s="106" t="s">
        <v>158</v>
      </c>
      <c r="I172" s="381">
        <v>1</v>
      </c>
      <c r="J172" s="106">
        <v>1</v>
      </c>
      <c r="K172" s="137">
        <v>43956</v>
      </c>
      <c r="L172" s="106" t="s">
        <v>45</v>
      </c>
    </row>
    <row r="173" spans="1:12" ht="30">
      <c r="A173" s="137">
        <v>43956</v>
      </c>
      <c r="B173" s="106" t="s">
        <v>956</v>
      </c>
      <c r="C173" s="107" t="s">
        <v>1869</v>
      </c>
      <c r="D173" s="106" t="s">
        <v>1870</v>
      </c>
      <c r="E173" s="106" t="s">
        <v>1871</v>
      </c>
      <c r="F173" s="107" t="s">
        <v>1872</v>
      </c>
      <c r="G173" s="106" t="s">
        <v>158</v>
      </c>
      <c r="H173" s="106" t="s">
        <v>158</v>
      </c>
      <c r="I173" s="381">
        <v>1</v>
      </c>
      <c r="J173" s="106">
        <v>1</v>
      </c>
      <c r="K173" s="106"/>
      <c r="L173" s="106" t="s">
        <v>45</v>
      </c>
    </row>
    <row r="174" spans="1:12" ht="30">
      <c r="A174" s="137">
        <v>43957</v>
      </c>
      <c r="B174" s="106" t="s">
        <v>1011</v>
      </c>
      <c r="C174" s="107" t="s">
        <v>1874</v>
      </c>
      <c r="D174" s="106"/>
      <c r="E174" s="106" t="s">
        <v>1875</v>
      </c>
      <c r="F174" s="107" t="s">
        <v>1876</v>
      </c>
      <c r="G174" s="106" t="s">
        <v>158</v>
      </c>
      <c r="H174" s="106" t="s">
        <v>225</v>
      </c>
      <c r="I174" s="381">
        <v>0.3</v>
      </c>
      <c r="J174" s="106">
        <v>3</v>
      </c>
      <c r="K174" s="137">
        <v>43957</v>
      </c>
      <c r="L174" s="106" t="s">
        <v>1756</v>
      </c>
    </row>
    <row r="175" spans="1:12" ht="30">
      <c r="A175" s="137">
        <v>43957</v>
      </c>
      <c r="B175" s="106" t="s">
        <v>1011</v>
      </c>
      <c r="C175" s="107" t="s">
        <v>1877</v>
      </c>
      <c r="D175" s="106"/>
      <c r="E175" s="106" t="s">
        <v>1878</v>
      </c>
      <c r="F175" s="107" t="s">
        <v>1879</v>
      </c>
      <c r="G175" s="106" t="s">
        <v>158</v>
      </c>
      <c r="H175" s="106" t="s">
        <v>225</v>
      </c>
      <c r="I175" s="381">
        <v>0.5</v>
      </c>
      <c r="J175" s="106">
        <v>3</v>
      </c>
      <c r="K175" s="137">
        <v>43957</v>
      </c>
      <c r="L175" s="106" t="s">
        <v>1756</v>
      </c>
    </row>
    <row r="176" spans="1:12">
      <c r="A176" s="137">
        <v>43957</v>
      </c>
      <c r="B176" s="106" t="s">
        <v>1011</v>
      </c>
      <c r="C176" s="107" t="s">
        <v>1832</v>
      </c>
      <c r="D176" s="106" t="s">
        <v>1880</v>
      </c>
      <c r="E176" s="106" t="s">
        <v>1750</v>
      </c>
      <c r="F176" s="107" t="s">
        <v>1751</v>
      </c>
      <c r="G176" s="106" t="s">
        <v>158</v>
      </c>
      <c r="H176" s="106" t="s">
        <v>158</v>
      </c>
      <c r="I176" s="381">
        <v>0.3</v>
      </c>
      <c r="J176" s="106">
        <v>3</v>
      </c>
      <c r="K176" s="137">
        <v>43957</v>
      </c>
      <c r="L176" s="106" t="s">
        <v>1756</v>
      </c>
    </row>
    <row r="177" spans="1:12" ht="30">
      <c r="A177" s="137">
        <v>43957</v>
      </c>
      <c r="B177" s="106" t="s">
        <v>1011</v>
      </c>
      <c r="C177" s="107" t="s">
        <v>237</v>
      </c>
      <c r="D177" s="106" t="s">
        <v>1881</v>
      </c>
      <c r="E177" s="106" t="s">
        <v>1882</v>
      </c>
      <c r="F177" s="107" t="s">
        <v>1883</v>
      </c>
      <c r="G177" s="106" t="s">
        <v>158</v>
      </c>
      <c r="H177" s="106" t="s">
        <v>158</v>
      </c>
      <c r="I177" s="381">
        <v>0.5</v>
      </c>
      <c r="J177" s="106">
        <v>3</v>
      </c>
      <c r="K177" s="137">
        <v>43957</v>
      </c>
      <c r="L177" s="106" t="s">
        <v>1756</v>
      </c>
    </row>
    <row r="178" spans="1:12">
      <c r="A178" s="137">
        <v>43957</v>
      </c>
      <c r="B178" s="106" t="s">
        <v>1011</v>
      </c>
      <c r="C178" s="107" t="s">
        <v>1080</v>
      </c>
      <c r="D178" s="106" t="s">
        <v>1884</v>
      </c>
      <c r="E178" s="106" t="s">
        <v>1885</v>
      </c>
      <c r="F178" s="107" t="s">
        <v>1751</v>
      </c>
      <c r="G178" s="106" t="s">
        <v>158</v>
      </c>
      <c r="H178" s="106" t="s">
        <v>158</v>
      </c>
      <c r="I178" s="381">
        <v>0.3</v>
      </c>
      <c r="J178" s="106">
        <v>3</v>
      </c>
      <c r="K178" s="137">
        <v>43957</v>
      </c>
      <c r="L178" s="106" t="s">
        <v>1756</v>
      </c>
    </row>
    <row r="179" spans="1:12" ht="30">
      <c r="A179" s="137">
        <v>43957</v>
      </c>
      <c r="B179" s="106" t="s">
        <v>1011</v>
      </c>
      <c r="C179" s="107" t="s">
        <v>521</v>
      </c>
      <c r="D179" s="106" t="s">
        <v>1886</v>
      </c>
      <c r="E179" s="106" t="s">
        <v>1887</v>
      </c>
      <c r="F179" s="107" t="s">
        <v>1888</v>
      </c>
      <c r="G179" s="106" t="s">
        <v>158</v>
      </c>
      <c r="H179" s="106" t="s">
        <v>158</v>
      </c>
      <c r="I179" s="381">
        <v>0.3</v>
      </c>
      <c r="J179" s="106">
        <v>3</v>
      </c>
      <c r="K179" s="137">
        <v>43957</v>
      </c>
      <c r="L179" s="106" t="s">
        <v>1756</v>
      </c>
    </row>
    <row r="180" spans="1:12" ht="60">
      <c r="A180" s="137">
        <v>43957</v>
      </c>
      <c r="B180" s="106" t="s">
        <v>1011</v>
      </c>
      <c r="C180" s="107" t="s">
        <v>1889</v>
      </c>
      <c r="D180" s="106" t="s">
        <v>1870</v>
      </c>
      <c r="E180" s="106" t="s">
        <v>1890</v>
      </c>
      <c r="F180" s="107" t="s">
        <v>1891</v>
      </c>
      <c r="G180" s="106" t="s">
        <v>158</v>
      </c>
      <c r="H180" s="106" t="s">
        <v>158</v>
      </c>
      <c r="I180" s="381">
        <v>1.5</v>
      </c>
      <c r="J180" s="106">
        <v>3</v>
      </c>
      <c r="K180" s="137">
        <v>43957</v>
      </c>
      <c r="L180" s="106" t="s">
        <v>1756</v>
      </c>
    </row>
    <row r="181" spans="1:12">
      <c r="A181" s="137">
        <v>43957</v>
      </c>
      <c r="B181" s="106" t="s">
        <v>514</v>
      </c>
      <c r="C181" s="107" t="s">
        <v>237</v>
      </c>
      <c r="D181" s="106"/>
      <c r="E181" s="106" t="s">
        <v>1892</v>
      </c>
      <c r="F181" s="107" t="s">
        <v>1893</v>
      </c>
      <c r="G181" s="106" t="s">
        <v>158</v>
      </c>
      <c r="H181" s="106" t="s">
        <v>158</v>
      </c>
      <c r="I181" s="381">
        <v>1</v>
      </c>
      <c r="J181" s="106">
        <v>2</v>
      </c>
      <c r="K181" s="137">
        <v>43957</v>
      </c>
      <c r="L181" s="106" t="s">
        <v>1894</v>
      </c>
    </row>
    <row r="182" spans="1:12" ht="30">
      <c r="A182" s="137">
        <v>43958</v>
      </c>
      <c r="B182" s="106" t="s">
        <v>514</v>
      </c>
      <c r="C182" s="107" t="s">
        <v>249</v>
      </c>
      <c r="D182" s="106" t="s">
        <v>1898</v>
      </c>
      <c r="E182" s="106" t="s">
        <v>1902</v>
      </c>
      <c r="F182" s="107" t="s">
        <v>1903</v>
      </c>
      <c r="G182" s="106" t="s">
        <v>158</v>
      </c>
      <c r="H182" s="106" t="s">
        <v>158</v>
      </c>
      <c r="I182" s="106">
        <v>0.5</v>
      </c>
      <c r="J182" s="106">
        <v>1</v>
      </c>
      <c r="K182" s="137">
        <v>43958</v>
      </c>
      <c r="L182" s="106" t="s">
        <v>47</v>
      </c>
    </row>
    <row r="183" spans="1:12">
      <c r="A183" s="137">
        <v>43958</v>
      </c>
      <c r="B183" s="106" t="s">
        <v>514</v>
      </c>
      <c r="C183" s="107" t="s">
        <v>1810</v>
      </c>
      <c r="D183" s="106" t="s">
        <v>1899</v>
      </c>
      <c r="E183" s="106" t="s">
        <v>1584</v>
      </c>
      <c r="F183" s="107" t="s">
        <v>1903</v>
      </c>
      <c r="G183" s="106" t="s">
        <v>158</v>
      </c>
      <c r="H183" s="106" t="s">
        <v>158</v>
      </c>
      <c r="I183" s="106">
        <v>0.5</v>
      </c>
      <c r="J183" s="106">
        <v>1</v>
      </c>
      <c r="K183" s="137">
        <v>43958</v>
      </c>
      <c r="L183" s="106" t="s">
        <v>47</v>
      </c>
    </row>
    <row r="184" spans="1:12" ht="30">
      <c r="A184" s="137">
        <v>43958</v>
      </c>
      <c r="B184" s="106" t="s">
        <v>514</v>
      </c>
      <c r="C184" s="107" t="s">
        <v>1204</v>
      </c>
      <c r="D184" s="106" t="s">
        <v>1900</v>
      </c>
      <c r="E184" s="106" t="s">
        <v>1901</v>
      </c>
      <c r="F184" s="107" t="s">
        <v>525</v>
      </c>
      <c r="G184" s="106" t="s">
        <v>158</v>
      </c>
      <c r="H184" s="106" t="s">
        <v>158</v>
      </c>
      <c r="I184" s="106">
        <v>0.5</v>
      </c>
      <c r="J184" s="106">
        <v>2</v>
      </c>
      <c r="K184" s="137">
        <v>43958</v>
      </c>
      <c r="L184" s="106" t="s">
        <v>1896</v>
      </c>
    </row>
    <row r="185" spans="1:12">
      <c r="A185" s="137">
        <v>43958</v>
      </c>
      <c r="B185" s="106" t="s">
        <v>514</v>
      </c>
      <c r="C185" s="107" t="s">
        <v>1080</v>
      </c>
      <c r="D185" s="106" t="s">
        <v>1897</v>
      </c>
      <c r="E185" s="106" t="s">
        <v>1081</v>
      </c>
      <c r="F185" s="107" t="s">
        <v>1585</v>
      </c>
      <c r="G185" s="106" t="s">
        <v>158</v>
      </c>
      <c r="H185" s="106" t="s">
        <v>158</v>
      </c>
      <c r="I185" s="106">
        <v>0.5</v>
      </c>
      <c r="J185" s="106">
        <v>1</v>
      </c>
      <c r="K185" s="137">
        <v>43958</v>
      </c>
      <c r="L185" s="106" t="s">
        <v>47</v>
      </c>
    </row>
    <row r="186" spans="1:12">
      <c r="A186" s="137">
        <v>43958</v>
      </c>
      <c r="B186" s="106" t="s">
        <v>956</v>
      </c>
      <c r="C186" s="107" t="s">
        <v>1904</v>
      </c>
      <c r="D186" s="106"/>
      <c r="E186" s="106" t="s">
        <v>1905</v>
      </c>
      <c r="F186" s="107" t="s">
        <v>1906</v>
      </c>
      <c r="G186" s="106" t="s">
        <v>225</v>
      </c>
      <c r="H186" s="106" t="s">
        <v>225</v>
      </c>
      <c r="I186" s="381">
        <v>1</v>
      </c>
      <c r="J186" s="106">
        <v>2</v>
      </c>
      <c r="K186" s="137">
        <v>43958</v>
      </c>
      <c r="L186" s="106" t="s">
        <v>226</v>
      </c>
    </row>
    <row r="187" spans="1:12" ht="30">
      <c r="A187" s="137">
        <v>43958</v>
      </c>
      <c r="B187" s="106" t="s">
        <v>956</v>
      </c>
      <c r="C187" s="107" t="s">
        <v>1904</v>
      </c>
      <c r="D187" s="106"/>
      <c r="E187" s="106" t="s">
        <v>1907</v>
      </c>
      <c r="F187" s="107" t="s">
        <v>1908</v>
      </c>
      <c r="G187" s="106" t="s">
        <v>225</v>
      </c>
      <c r="H187" s="106" t="s">
        <v>225</v>
      </c>
      <c r="I187" s="381">
        <v>1</v>
      </c>
      <c r="J187" s="106">
        <v>2</v>
      </c>
      <c r="K187" s="137">
        <v>43958</v>
      </c>
      <c r="L187" s="106" t="s">
        <v>226</v>
      </c>
    </row>
    <row r="188" spans="1:12">
      <c r="A188" s="137">
        <v>43958</v>
      </c>
      <c r="B188" s="106" t="s">
        <v>956</v>
      </c>
      <c r="C188" s="107" t="s">
        <v>81</v>
      </c>
      <c r="D188" s="106"/>
      <c r="E188" s="106" t="s">
        <v>230</v>
      </c>
      <c r="F188" s="107" t="s">
        <v>1782</v>
      </c>
      <c r="G188" s="106" t="s">
        <v>158</v>
      </c>
      <c r="H188" s="106" t="s">
        <v>158</v>
      </c>
      <c r="I188" s="381">
        <v>1</v>
      </c>
      <c r="J188" s="106">
        <v>2</v>
      </c>
      <c r="K188" s="137">
        <v>43958</v>
      </c>
      <c r="L188" s="106" t="s">
        <v>226</v>
      </c>
    </row>
    <row r="189" spans="1:12">
      <c r="A189" s="137">
        <v>43958</v>
      </c>
      <c r="B189" s="106" t="s">
        <v>956</v>
      </c>
      <c r="C189" s="107" t="s">
        <v>1910</v>
      </c>
      <c r="D189" s="106"/>
      <c r="E189" s="106" t="s">
        <v>1911</v>
      </c>
      <c r="F189" s="107" t="s">
        <v>1909</v>
      </c>
      <c r="G189" s="106" t="s">
        <v>158</v>
      </c>
      <c r="H189" s="106" t="s">
        <v>225</v>
      </c>
      <c r="I189" s="381">
        <v>1</v>
      </c>
      <c r="J189" s="106">
        <v>2</v>
      </c>
      <c r="K189" s="137">
        <v>43958</v>
      </c>
      <c r="L189" s="106" t="s">
        <v>226</v>
      </c>
    </row>
    <row r="190" spans="1:12" ht="30">
      <c r="A190" s="137">
        <v>43958</v>
      </c>
      <c r="B190" s="106" t="s">
        <v>1011</v>
      </c>
      <c r="C190" s="107" t="s">
        <v>947</v>
      </c>
      <c r="D190" s="106" t="s">
        <v>1939</v>
      </c>
      <c r="E190" s="106" t="s">
        <v>1940</v>
      </c>
      <c r="F190" s="107" t="s">
        <v>1941</v>
      </c>
      <c r="G190" s="106" t="s">
        <v>158</v>
      </c>
      <c r="H190" s="106" t="s">
        <v>158</v>
      </c>
      <c r="I190" s="381">
        <v>1.5</v>
      </c>
      <c r="J190" s="106">
        <v>3</v>
      </c>
      <c r="K190" s="137">
        <v>43958</v>
      </c>
      <c r="L190" s="106" t="s">
        <v>1756</v>
      </c>
    </row>
    <row r="191" spans="1:12">
      <c r="A191" s="137">
        <v>43958</v>
      </c>
      <c r="B191" s="106" t="s">
        <v>1011</v>
      </c>
      <c r="C191" s="107" t="s">
        <v>1942</v>
      </c>
      <c r="D191" s="106" t="s">
        <v>1939</v>
      </c>
      <c r="E191" s="106" t="s">
        <v>1943</v>
      </c>
      <c r="F191" s="107" t="s">
        <v>1944</v>
      </c>
      <c r="G191" s="106" t="s">
        <v>158</v>
      </c>
      <c r="H191" s="106" t="s">
        <v>158</v>
      </c>
      <c r="I191" s="381">
        <v>0.5</v>
      </c>
      <c r="J191" s="106">
        <v>3</v>
      </c>
      <c r="K191" s="137">
        <v>43958</v>
      </c>
      <c r="L191" s="106" t="s">
        <v>1756</v>
      </c>
    </row>
    <row r="192" spans="1:12">
      <c r="A192" s="137">
        <v>43959</v>
      </c>
      <c r="B192" s="106" t="s">
        <v>1011</v>
      </c>
      <c r="C192" s="107" t="s">
        <v>1948</v>
      </c>
      <c r="D192" s="106" t="s">
        <v>1949</v>
      </c>
      <c r="E192" s="106" t="s">
        <v>1890</v>
      </c>
      <c r="F192" s="107" t="s">
        <v>1945</v>
      </c>
      <c r="G192" s="106" t="s">
        <v>158</v>
      </c>
      <c r="H192" s="106" t="s">
        <v>158</v>
      </c>
      <c r="I192" s="381">
        <v>1</v>
      </c>
      <c r="J192" s="106">
        <v>2</v>
      </c>
      <c r="K192" s="137">
        <v>43959</v>
      </c>
      <c r="L192" s="106" t="s">
        <v>329</v>
      </c>
    </row>
    <row r="193" spans="1:12">
      <c r="A193" s="137">
        <v>43959</v>
      </c>
      <c r="B193" s="106" t="s">
        <v>1011</v>
      </c>
      <c r="C193" s="107" t="s">
        <v>1777</v>
      </c>
      <c r="D193" s="106" t="s">
        <v>1946</v>
      </c>
      <c r="E193" s="106" t="s">
        <v>1947</v>
      </c>
      <c r="F193" s="107" t="s">
        <v>1751</v>
      </c>
      <c r="G193" s="106" t="s">
        <v>158</v>
      </c>
      <c r="H193" s="106" t="s">
        <v>158</v>
      </c>
      <c r="I193" s="381">
        <v>0.3</v>
      </c>
      <c r="J193" s="106">
        <v>2</v>
      </c>
      <c r="K193" s="137">
        <v>43959</v>
      </c>
      <c r="L193" s="106" t="s">
        <v>329</v>
      </c>
    </row>
    <row r="194" spans="1:12">
      <c r="A194" s="137">
        <v>43959</v>
      </c>
      <c r="B194" s="106" t="s">
        <v>1950</v>
      </c>
      <c r="C194" s="107" t="s">
        <v>1951</v>
      </c>
      <c r="D194" s="106"/>
      <c r="E194" s="106" t="s">
        <v>1952</v>
      </c>
      <c r="F194" s="107" t="s">
        <v>1953</v>
      </c>
      <c r="G194" s="106" t="s">
        <v>225</v>
      </c>
      <c r="H194" s="106" t="s">
        <v>225</v>
      </c>
      <c r="I194" s="381">
        <v>1</v>
      </c>
      <c r="J194" s="106">
        <v>2</v>
      </c>
      <c r="K194" s="137">
        <v>43959</v>
      </c>
      <c r="L194" s="106" t="s">
        <v>1954</v>
      </c>
    </row>
    <row r="195" spans="1:12">
      <c r="A195" s="137">
        <v>43959</v>
      </c>
      <c r="B195" s="106" t="s">
        <v>956</v>
      </c>
      <c r="C195" s="107" t="s">
        <v>1955</v>
      </c>
      <c r="D195" s="106"/>
      <c r="E195" s="106" t="s">
        <v>1952</v>
      </c>
      <c r="F195" s="107" t="s">
        <v>1953</v>
      </c>
      <c r="G195" s="106" t="s">
        <v>225</v>
      </c>
      <c r="H195" s="106" t="s">
        <v>225</v>
      </c>
      <c r="I195" s="381">
        <v>1</v>
      </c>
      <c r="J195" s="106">
        <v>2</v>
      </c>
      <c r="K195" s="137">
        <v>43959</v>
      </c>
      <c r="L195" s="106" t="s">
        <v>1954</v>
      </c>
    </row>
    <row r="196" spans="1:12" ht="30">
      <c r="A196" s="137">
        <v>43960</v>
      </c>
      <c r="B196" s="106" t="s">
        <v>956</v>
      </c>
      <c r="C196" s="107" t="s">
        <v>87</v>
      </c>
      <c r="D196" s="106" t="s">
        <v>1957</v>
      </c>
      <c r="E196" s="106" t="s">
        <v>1959</v>
      </c>
      <c r="F196" s="107" t="s">
        <v>1958</v>
      </c>
      <c r="G196" s="106" t="s">
        <v>225</v>
      </c>
      <c r="H196" s="106" t="s">
        <v>158</v>
      </c>
      <c r="I196" s="381">
        <v>1.5</v>
      </c>
      <c r="J196" s="106">
        <v>2</v>
      </c>
      <c r="K196" s="137">
        <v>43960</v>
      </c>
      <c r="L196" s="106" t="s">
        <v>226</v>
      </c>
    </row>
    <row r="197" spans="1:12">
      <c r="A197" s="137">
        <v>43961</v>
      </c>
      <c r="B197" s="106" t="s">
        <v>956</v>
      </c>
      <c r="C197" s="107" t="s">
        <v>1951</v>
      </c>
      <c r="D197" s="106"/>
      <c r="E197" s="106" t="s">
        <v>1887</v>
      </c>
      <c r="F197" s="107" t="s">
        <v>1960</v>
      </c>
      <c r="G197" s="106" t="s">
        <v>225</v>
      </c>
      <c r="H197" s="106" t="s">
        <v>225</v>
      </c>
      <c r="I197" s="381">
        <v>0.5</v>
      </c>
      <c r="J197" s="106">
        <v>1</v>
      </c>
      <c r="K197" s="137">
        <v>43961</v>
      </c>
      <c r="L197" s="106" t="s">
        <v>48</v>
      </c>
    </row>
    <row r="198" spans="1:12">
      <c r="A198" s="137">
        <v>43961</v>
      </c>
      <c r="B198" s="106" t="s">
        <v>956</v>
      </c>
      <c r="C198" s="107" t="s">
        <v>81</v>
      </c>
      <c r="D198" s="106"/>
      <c r="E198" s="106" t="s">
        <v>253</v>
      </c>
      <c r="F198" s="107" t="s">
        <v>253</v>
      </c>
      <c r="G198" s="106" t="s">
        <v>158</v>
      </c>
      <c r="H198" s="106" t="s">
        <v>158</v>
      </c>
      <c r="I198" s="381">
        <v>1</v>
      </c>
      <c r="J198" s="106">
        <v>1</v>
      </c>
      <c r="K198" s="137">
        <v>43961</v>
      </c>
      <c r="L198" s="106" t="s">
        <v>48</v>
      </c>
    </row>
    <row r="199" spans="1:12">
      <c r="A199" s="137">
        <v>43961</v>
      </c>
      <c r="B199" s="106" t="s">
        <v>956</v>
      </c>
      <c r="C199" s="107" t="s">
        <v>81</v>
      </c>
      <c r="D199" s="106" t="s">
        <v>1962</v>
      </c>
      <c r="E199" s="106" t="s">
        <v>1963</v>
      </c>
      <c r="F199" s="107" t="s">
        <v>1964</v>
      </c>
      <c r="G199" s="106" t="s">
        <v>1965</v>
      </c>
      <c r="H199" s="106" t="s">
        <v>1223</v>
      </c>
      <c r="I199" s="381">
        <v>1</v>
      </c>
      <c r="J199" s="106">
        <v>1</v>
      </c>
      <c r="K199" s="137">
        <v>43961</v>
      </c>
      <c r="L199" s="106" t="s">
        <v>48</v>
      </c>
    </row>
    <row r="200" spans="1:12" ht="30">
      <c r="A200" s="137">
        <v>43962</v>
      </c>
      <c r="B200" s="106" t="s">
        <v>514</v>
      </c>
      <c r="C200" s="107" t="s">
        <v>1015</v>
      </c>
      <c r="D200" s="106"/>
      <c r="E200" s="106" t="s">
        <v>1975</v>
      </c>
      <c r="F200" s="107" t="s">
        <v>1968</v>
      </c>
      <c r="G200" s="106" t="s">
        <v>158</v>
      </c>
      <c r="H200" s="106" t="s">
        <v>225</v>
      </c>
      <c r="I200" s="381">
        <v>1</v>
      </c>
      <c r="J200" s="106">
        <v>4</v>
      </c>
      <c r="K200" s="137">
        <v>43962</v>
      </c>
      <c r="L200" s="106" t="s">
        <v>1967</v>
      </c>
    </row>
    <row r="201" spans="1:12" ht="30">
      <c r="A201" s="137">
        <v>43962</v>
      </c>
      <c r="B201" s="106" t="s">
        <v>514</v>
      </c>
      <c r="C201" s="107" t="s">
        <v>1204</v>
      </c>
      <c r="D201" s="106"/>
      <c r="E201" s="106" t="s">
        <v>1974</v>
      </c>
      <c r="F201" s="107" t="s">
        <v>1969</v>
      </c>
      <c r="G201" s="106" t="s">
        <v>158</v>
      </c>
      <c r="H201" s="106" t="s">
        <v>158</v>
      </c>
      <c r="I201" s="381">
        <v>0.5</v>
      </c>
      <c r="J201" s="106">
        <v>4</v>
      </c>
      <c r="K201" s="137">
        <v>43962</v>
      </c>
      <c r="L201" s="106" t="s">
        <v>1967</v>
      </c>
    </row>
    <row r="202" spans="1:12" ht="30">
      <c r="A202" s="137">
        <v>43962</v>
      </c>
      <c r="B202" s="106" t="s">
        <v>514</v>
      </c>
      <c r="C202" s="107" t="s">
        <v>1977</v>
      </c>
      <c r="D202" s="106" t="s">
        <v>1970</v>
      </c>
      <c r="E202" s="106" t="s">
        <v>1972</v>
      </c>
      <c r="F202" s="107" t="s">
        <v>1976</v>
      </c>
      <c r="G202" s="107" t="s">
        <v>225</v>
      </c>
      <c r="H202" s="106" t="s">
        <v>158</v>
      </c>
      <c r="I202" s="381">
        <v>0.5</v>
      </c>
      <c r="J202" s="106">
        <v>4</v>
      </c>
      <c r="K202" s="137">
        <v>43962</v>
      </c>
      <c r="L202" s="106" t="s">
        <v>1967</v>
      </c>
    </row>
    <row r="203" spans="1:12" ht="30">
      <c r="A203" s="137">
        <v>43962</v>
      </c>
      <c r="B203" s="106" t="s">
        <v>514</v>
      </c>
      <c r="C203" s="107"/>
      <c r="D203" s="106" t="s">
        <v>1971</v>
      </c>
      <c r="E203" s="106" t="s">
        <v>1973</v>
      </c>
      <c r="F203" s="107" t="s">
        <v>1976</v>
      </c>
      <c r="G203" s="106" t="s">
        <v>225</v>
      </c>
      <c r="H203" s="106" t="s">
        <v>158</v>
      </c>
      <c r="I203" s="381">
        <v>1</v>
      </c>
      <c r="J203" s="106">
        <v>4</v>
      </c>
      <c r="K203" s="137">
        <v>43962</v>
      </c>
      <c r="L203" s="106" t="s">
        <v>1967</v>
      </c>
    </row>
    <row r="204" spans="1:12">
      <c r="A204" s="137">
        <v>43961</v>
      </c>
      <c r="B204" s="106" t="s">
        <v>956</v>
      </c>
      <c r="C204" s="107" t="s">
        <v>1978</v>
      </c>
      <c r="D204" s="106" t="s">
        <v>1979</v>
      </c>
      <c r="E204" s="106" t="s">
        <v>1887</v>
      </c>
      <c r="F204" s="107" t="s">
        <v>1199</v>
      </c>
      <c r="G204" s="106" t="s">
        <v>225</v>
      </c>
      <c r="H204" s="106" t="s">
        <v>158</v>
      </c>
      <c r="I204" s="381">
        <v>1</v>
      </c>
      <c r="J204" s="106">
        <v>2</v>
      </c>
      <c r="K204" s="137">
        <v>43961</v>
      </c>
      <c r="L204" s="106" t="s">
        <v>1954</v>
      </c>
    </row>
    <row r="205" spans="1:12">
      <c r="A205" s="137">
        <v>43961</v>
      </c>
      <c r="B205" s="106" t="s">
        <v>956</v>
      </c>
      <c r="C205" s="107"/>
      <c r="D205" s="106"/>
      <c r="E205" s="106" t="s">
        <v>1981</v>
      </c>
      <c r="F205" s="107" t="s">
        <v>1980</v>
      </c>
      <c r="G205" s="106" t="s">
        <v>158</v>
      </c>
      <c r="H205" s="106" t="s">
        <v>225</v>
      </c>
      <c r="I205" s="381">
        <v>1</v>
      </c>
      <c r="J205" s="106">
        <v>2</v>
      </c>
      <c r="K205" s="137">
        <v>43961</v>
      </c>
      <c r="L205" s="106" t="s">
        <v>1954</v>
      </c>
    </row>
    <row r="206" spans="1:12" ht="30">
      <c r="A206" s="137">
        <v>43962</v>
      </c>
      <c r="B206" s="106" t="s">
        <v>1011</v>
      </c>
      <c r="C206" s="107" t="s">
        <v>947</v>
      </c>
      <c r="D206" s="106" t="s">
        <v>1993</v>
      </c>
      <c r="E206" s="106" t="s">
        <v>1994</v>
      </c>
      <c r="F206" s="107" t="s">
        <v>1995</v>
      </c>
      <c r="G206" s="106" t="s">
        <v>158</v>
      </c>
      <c r="H206" s="106" t="s">
        <v>158</v>
      </c>
      <c r="I206" s="381">
        <v>0.5</v>
      </c>
      <c r="J206" s="106">
        <v>3</v>
      </c>
      <c r="K206" s="137">
        <v>43962</v>
      </c>
      <c r="L206" s="106" t="s">
        <v>1756</v>
      </c>
    </row>
    <row r="207" spans="1:12">
      <c r="A207" s="137">
        <v>43962</v>
      </c>
      <c r="B207" s="106" t="s">
        <v>1011</v>
      </c>
      <c r="C207" s="107" t="s">
        <v>1996</v>
      </c>
      <c r="D207" s="106" t="s">
        <v>1997</v>
      </c>
      <c r="E207" s="106" t="s">
        <v>1998</v>
      </c>
      <c r="F207" s="107" t="s">
        <v>1999</v>
      </c>
      <c r="G207" s="106" t="s">
        <v>158</v>
      </c>
      <c r="H207" s="106" t="s">
        <v>158</v>
      </c>
      <c r="I207" s="381">
        <v>0.3</v>
      </c>
      <c r="J207" s="106">
        <v>2</v>
      </c>
      <c r="K207" s="137">
        <v>43962</v>
      </c>
      <c r="L207" s="106" t="s">
        <v>1756</v>
      </c>
    </row>
    <row r="208" spans="1:12" ht="30">
      <c r="A208" s="137">
        <v>43962</v>
      </c>
      <c r="B208" s="106" t="s">
        <v>1011</v>
      </c>
      <c r="C208" s="107" t="s">
        <v>326</v>
      </c>
      <c r="D208" s="106" t="s">
        <v>2000</v>
      </c>
      <c r="E208" s="106" t="s">
        <v>2001</v>
      </c>
      <c r="F208" s="107" t="s">
        <v>1797</v>
      </c>
      <c r="G208" s="106" t="s">
        <v>158</v>
      </c>
      <c r="H208" s="106" t="s">
        <v>158</v>
      </c>
      <c r="I208" s="381">
        <v>0.3</v>
      </c>
      <c r="J208" s="106">
        <v>3</v>
      </c>
      <c r="K208" s="137">
        <v>43962</v>
      </c>
      <c r="L208" s="106" t="s">
        <v>1756</v>
      </c>
    </row>
    <row r="209" spans="1:12" ht="30">
      <c r="A209" s="137">
        <v>43962</v>
      </c>
      <c r="B209" s="106" t="s">
        <v>1011</v>
      </c>
      <c r="C209" s="107" t="s">
        <v>2010</v>
      </c>
      <c r="D209" s="106"/>
      <c r="E209" s="106" t="s">
        <v>2006</v>
      </c>
      <c r="F209" s="107" t="s">
        <v>2002</v>
      </c>
      <c r="G209" s="106" t="s">
        <v>158</v>
      </c>
      <c r="H209" s="106" t="s">
        <v>225</v>
      </c>
      <c r="I209" s="381">
        <v>1</v>
      </c>
      <c r="J209" s="106">
        <v>3</v>
      </c>
      <c r="K209" s="137">
        <v>43962</v>
      </c>
      <c r="L209" s="106" t="s">
        <v>1756</v>
      </c>
    </row>
    <row r="210" spans="1:12">
      <c r="A210" s="137">
        <v>43962</v>
      </c>
      <c r="B210" s="106" t="s">
        <v>1011</v>
      </c>
      <c r="C210" s="107" t="s">
        <v>1744</v>
      </c>
      <c r="D210" s="106" t="s">
        <v>2003</v>
      </c>
      <c r="E210" s="106" t="s">
        <v>2004</v>
      </c>
      <c r="F210" s="107" t="s">
        <v>2005</v>
      </c>
      <c r="G210" s="106" t="s">
        <v>158</v>
      </c>
      <c r="H210" s="106" t="s">
        <v>158</v>
      </c>
      <c r="I210" s="381">
        <v>1</v>
      </c>
      <c r="J210" s="106">
        <v>3</v>
      </c>
      <c r="K210" s="137">
        <v>43962</v>
      </c>
      <c r="L210" s="106" t="s">
        <v>1756</v>
      </c>
    </row>
    <row r="211" spans="1:12" ht="30">
      <c r="A211" s="137">
        <v>43962</v>
      </c>
      <c r="B211" s="106" t="s">
        <v>1011</v>
      </c>
      <c r="C211" s="107" t="s">
        <v>1080</v>
      </c>
      <c r="D211" s="106" t="s">
        <v>2007</v>
      </c>
      <c r="E211" s="106" t="s">
        <v>2008</v>
      </c>
      <c r="F211" s="107" t="s">
        <v>2009</v>
      </c>
      <c r="G211" s="106" t="s">
        <v>158</v>
      </c>
      <c r="H211" s="106" t="s">
        <v>158</v>
      </c>
      <c r="I211" s="381">
        <v>0.3</v>
      </c>
      <c r="J211" s="106">
        <v>3</v>
      </c>
      <c r="K211" s="137">
        <v>43962</v>
      </c>
      <c r="L211" s="106" t="s">
        <v>1756</v>
      </c>
    </row>
    <row r="212" spans="1:12" ht="30">
      <c r="A212" s="137">
        <v>43962</v>
      </c>
      <c r="B212" s="106" t="s">
        <v>514</v>
      </c>
      <c r="C212" s="107" t="s">
        <v>2011</v>
      </c>
      <c r="D212" s="106"/>
      <c r="E212" s="106" t="s">
        <v>2012</v>
      </c>
      <c r="F212" s="107" t="s">
        <v>2013</v>
      </c>
      <c r="G212" s="106" t="s">
        <v>158</v>
      </c>
      <c r="H212" s="106" t="s">
        <v>158</v>
      </c>
      <c r="I212" s="381">
        <v>1.5</v>
      </c>
      <c r="J212" s="106">
        <v>2</v>
      </c>
      <c r="K212" s="137">
        <v>43962</v>
      </c>
      <c r="L212" s="106" t="s">
        <v>520</v>
      </c>
    </row>
    <row r="213" spans="1:12">
      <c r="A213" s="137">
        <v>43962</v>
      </c>
      <c r="B213" s="106" t="s">
        <v>514</v>
      </c>
      <c r="C213" s="107" t="s">
        <v>1828</v>
      </c>
      <c r="D213" s="106"/>
      <c r="E213" s="106" t="s">
        <v>2014</v>
      </c>
      <c r="F213" s="107" t="s">
        <v>2015</v>
      </c>
      <c r="G213" s="106" t="s">
        <v>158</v>
      </c>
      <c r="H213" s="106" t="s">
        <v>158</v>
      </c>
      <c r="I213" s="381">
        <v>1.5</v>
      </c>
      <c r="J213" s="106">
        <v>1</v>
      </c>
      <c r="K213" s="137">
        <v>43962</v>
      </c>
      <c r="L213" s="106" t="s">
        <v>50</v>
      </c>
    </row>
    <row r="214" spans="1:12" ht="30">
      <c r="A214" s="137">
        <v>43962</v>
      </c>
      <c r="B214" s="106" t="s">
        <v>514</v>
      </c>
      <c r="C214" s="107" t="s">
        <v>947</v>
      </c>
      <c r="D214" s="106" t="s">
        <v>2016</v>
      </c>
      <c r="E214" s="106" t="s">
        <v>2017</v>
      </c>
      <c r="F214" s="107" t="s">
        <v>1903</v>
      </c>
      <c r="G214" s="106" t="s">
        <v>158</v>
      </c>
      <c r="H214" s="106" t="s">
        <v>158</v>
      </c>
      <c r="I214" s="381">
        <v>0.5</v>
      </c>
      <c r="J214" s="106">
        <v>1</v>
      </c>
      <c r="K214" s="137">
        <v>43962</v>
      </c>
      <c r="L214" s="106" t="s">
        <v>47</v>
      </c>
    </row>
    <row r="215" spans="1:12">
      <c r="A215" s="137">
        <v>43962</v>
      </c>
      <c r="B215" s="106" t="s">
        <v>956</v>
      </c>
      <c r="C215" s="107" t="s">
        <v>521</v>
      </c>
      <c r="D215" s="106" t="s">
        <v>1979</v>
      </c>
      <c r="E215" s="106" t="s">
        <v>2019</v>
      </c>
      <c r="F215" s="107" t="s">
        <v>2020</v>
      </c>
      <c r="G215" s="106" t="s">
        <v>158</v>
      </c>
      <c r="H215" s="106" t="s">
        <v>158</v>
      </c>
      <c r="I215" s="381">
        <v>1</v>
      </c>
      <c r="J215" s="106">
        <v>2</v>
      </c>
      <c r="K215" s="137">
        <v>43962</v>
      </c>
      <c r="L215" s="106" t="s">
        <v>226</v>
      </c>
    </row>
    <row r="216" spans="1:12">
      <c r="A216" s="137">
        <v>43962</v>
      </c>
      <c r="B216" s="106" t="s">
        <v>956</v>
      </c>
      <c r="C216" s="107" t="s">
        <v>521</v>
      </c>
      <c r="D216" s="106" t="s">
        <v>2021</v>
      </c>
      <c r="E216" s="106" t="s">
        <v>2022</v>
      </c>
      <c r="F216" s="107" t="s">
        <v>2023</v>
      </c>
      <c r="G216" s="106" t="s">
        <v>158</v>
      </c>
      <c r="H216" s="106" t="s">
        <v>158</v>
      </c>
      <c r="I216" s="381">
        <v>1</v>
      </c>
      <c r="J216" s="106">
        <v>2</v>
      </c>
      <c r="K216" s="137">
        <v>43962</v>
      </c>
      <c r="L216" s="106" t="s">
        <v>226</v>
      </c>
    </row>
    <row r="217" spans="1:12">
      <c r="A217" s="137">
        <v>43962</v>
      </c>
      <c r="B217" s="106" t="s">
        <v>956</v>
      </c>
      <c r="C217" s="107" t="s">
        <v>255</v>
      </c>
      <c r="D217" s="106" t="s">
        <v>1962</v>
      </c>
      <c r="E217" s="106" t="s">
        <v>2024</v>
      </c>
      <c r="F217" s="107" t="s">
        <v>1469</v>
      </c>
      <c r="G217" s="106" t="s">
        <v>225</v>
      </c>
      <c r="H217" s="106" t="s">
        <v>158</v>
      </c>
      <c r="I217" s="381">
        <v>1</v>
      </c>
      <c r="J217" s="106">
        <v>2</v>
      </c>
      <c r="K217" s="137">
        <v>43962</v>
      </c>
      <c r="L217" s="106" t="s">
        <v>226</v>
      </c>
    </row>
    <row r="218" spans="1:12">
      <c r="A218" s="137">
        <v>43962</v>
      </c>
      <c r="B218" s="106" t="s">
        <v>956</v>
      </c>
      <c r="C218" s="107" t="s">
        <v>2026</v>
      </c>
      <c r="D218" s="106" t="s">
        <v>2025</v>
      </c>
      <c r="E218" s="106" t="s">
        <v>2027</v>
      </c>
      <c r="F218" s="107" t="s">
        <v>2028</v>
      </c>
      <c r="G218" s="106" t="s">
        <v>225</v>
      </c>
      <c r="H218" s="106" t="s">
        <v>158</v>
      </c>
      <c r="I218" s="381">
        <v>1</v>
      </c>
      <c r="J218" s="106">
        <v>2</v>
      </c>
      <c r="K218" s="137">
        <v>43962</v>
      </c>
      <c r="L218" s="106" t="s">
        <v>226</v>
      </c>
    </row>
    <row r="219" spans="1:12" ht="30">
      <c r="A219" s="137">
        <v>43963</v>
      </c>
      <c r="B219" s="106" t="s">
        <v>514</v>
      </c>
      <c r="C219" s="107" t="s">
        <v>2041</v>
      </c>
      <c r="D219" s="106"/>
      <c r="E219" s="106" t="s">
        <v>2043</v>
      </c>
      <c r="F219" s="107" t="s">
        <v>1131</v>
      </c>
      <c r="G219" s="106" t="s">
        <v>158</v>
      </c>
      <c r="H219" s="106" t="s">
        <v>225</v>
      </c>
      <c r="I219" s="381">
        <v>0.5</v>
      </c>
      <c r="J219" s="106">
        <v>3</v>
      </c>
      <c r="K219" s="137">
        <v>43963</v>
      </c>
      <c r="L219" s="106" t="s">
        <v>2040</v>
      </c>
    </row>
    <row r="220" spans="1:12" ht="30">
      <c r="A220" s="137">
        <v>43963</v>
      </c>
      <c r="B220" s="106" t="s">
        <v>514</v>
      </c>
      <c r="C220" s="107" t="s">
        <v>1015</v>
      </c>
      <c r="D220" s="106"/>
      <c r="E220" s="106" t="s">
        <v>2044</v>
      </c>
      <c r="F220" s="107" t="s">
        <v>1133</v>
      </c>
      <c r="G220" s="106" t="s">
        <v>158</v>
      </c>
      <c r="H220" s="106" t="s">
        <v>225</v>
      </c>
      <c r="I220" s="381">
        <v>0.5</v>
      </c>
      <c r="J220" s="106">
        <v>3</v>
      </c>
      <c r="K220" s="137">
        <v>43963</v>
      </c>
      <c r="L220" s="106" t="s">
        <v>2040</v>
      </c>
    </row>
    <row r="221" spans="1:12">
      <c r="A221" s="137">
        <v>43963</v>
      </c>
      <c r="B221" s="106" t="s">
        <v>514</v>
      </c>
      <c r="C221" s="107" t="s">
        <v>2042</v>
      </c>
      <c r="D221" s="106"/>
      <c r="E221" s="106" t="s">
        <v>337</v>
      </c>
      <c r="F221" s="107" t="s">
        <v>536</v>
      </c>
      <c r="G221" s="106" t="s">
        <v>158</v>
      </c>
      <c r="H221" s="106" t="s">
        <v>225</v>
      </c>
      <c r="I221" s="381">
        <v>0.5</v>
      </c>
      <c r="J221" s="106">
        <v>3</v>
      </c>
      <c r="K221" s="137">
        <v>43963</v>
      </c>
      <c r="L221" s="106" t="s">
        <v>2040</v>
      </c>
    </row>
    <row r="222" spans="1:12">
      <c r="A222" s="137">
        <v>43963</v>
      </c>
      <c r="B222" s="106" t="s">
        <v>514</v>
      </c>
      <c r="C222" s="107" t="s">
        <v>2046</v>
      </c>
      <c r="D222" s="106"/>
      <c r="E222" s="106" t="s">
        <v>2045</v>
      </c>
      <c r="F222" s="107" t="s">
        <v>1727</v>
      </c>
      <c r="G222" s="106" t="s">
        <v>158</v>
      </c>
      <c r="H222" s="106" t="s">
        <v>158</v>
      </c>
      <c r="I222" s="381">
        <v>0.5</v>
      </c>
      <c r="J222" s="106">
        <v>1</v>
      </c>
      <c r="K222" s="137">
        <v>43963</v>
      </c>
      <c r="L222" s="106" t="s">
        <v>47</v>
      </c>
    </row>
    <row r="223" spans="1:12" ht="30">
      <c r="A223" s="137">
        <v>43963</v>
      </c>
      <c r="B223" s="106" t="s">
        <v>514</v>
      </c>
      <c r="C223" s="107" t="s">
        <v>2053</v>
      </c>
      <c r="D223" s="106" t="s">
        <v>2052</v>
      </c>
      <c r="E223" s="106" t="s">
        <v>1207</v>
      </c>
      <c r="F223" s="107" t="s">
        <v>2047</v>
      </c>
      <c r="G223" s="106" t="s">
        <v>158</v>
      </c>
      <c r="H223" s="106" t="s">
        <v>158</v>
      </c>
      <c r="I223" s="381">
        <v>0.5</v>
      </c>
      <c r="J223" s="106">
        <v>1</v>
      </c>
      <c r="K223" s="137">
        <v>43963</v>
      </c>
      <c r="L223" s="106" t="s">
        <v>47</v>
      </c>
    </row>
    <row r="224" spans="1:12" ht="30">
      <c r="A224" s="106"/>
      <c r="B224" s="106" t="s">
        <v>514</v>
      </c>
      <c r="C224" s="107" t="s">
        <v>2048</v>
      </c>
      <c r="D224" s="106" t="s">
        <v>2049</v>
      </c>
      <c r="E224" s="106" t="s">
        <v>2050</v>
      </c>
      <c r="F224" s="107" t="s">
        <v>2051</v>
      </c>
      <c r="G224" s="106" t="s">
        <v>158</v>
      </c>
      <c r="H224" s="106" t="s">
        <v>158</v>
      </c>
      <c r="I224" s="381">
        <v>0.5</v>
      </c>
      <c r="J224" s="106">
        <v>1</v>
      </c>
      <c r="K224" s="137">
        <v>43963</v>
      </c>
      <c r="L224" s="106" t="s">
        <v>52</v>
      </c>
    </row>
    <row r="225" spans="1:12">
      <c r="A225" s="137">
        <v>43963</v>
      </c>
      <c r="B225" s="106" t="s">
        <v>956</v>
      </c>
      <c r="C225" s="107" t="s">
        <v>1012</v>
      </c>
      <c r="D225" s="106" t="s">
        <v>2054</v>
      </c>
      <c r="E225" s="106" t="s">
        <v>2055</v>
      </c>
      <c r="F225" s="107" t="s">
        <v>1249</v>
      </c>
      <c r="G225" s="106" t="s">
        <v>158</v>
      </c>
      <c r="H225" s="106" t="s">
        <v>158</v>
      </c>
      <c r="I225" s="381">
        <v>1</v>
      </c>
      <c r="J225" s="106">
        <v>2</v>
      </c>
      <c r="K225" s="137">
        <v>43963</v>
      </c>
      <c r="L225" s="106" t="s">
        <v>2056</v>
      </c>
    </row>
    <row r="226" spans="1:12" ht="30">
      <c r="A226" s="137">
        <v>43963</v>
      </c>
      <c r="B226" s="106" t="s">
        <v>956</v>
      </c>
      <c r="C226" s="107" t="s">
        <v>947</v>
      </c>
      <c r="D226" s="106"/>
      <c r="E226" s="106" t="s">
        <v>2057</v>
      </c>
      <c r="F226" s="107" t="s">
        <v>2058</v>
      </c>
      <c r="G226" s="106" t="s">
        <v>158</v>
      </c>
      <c r="H226" s="106" t="s">
        <v>158</v>
      </c>
      <c r="I226" s="381">
        <v>5</v>
      </c>
      <c r="J226" s="106">
        <v>3</v>
      </c>
      <c r="K226" s="137">
        <v>43963</v>
      </c>
      <c r="L226" s="106" t="s">
        <v>2059</v>
      </c>
    </row>
    <row r="227" spans="1:12">
      <c r="A227" s="137">
        <v>43963</v>
      </c>
      <c r="B227" s="106" t="s">
        <v>956</v>
      </c>
      <c r="C227" s="107" t="s">
        <v>81</v>
      </c>
      <c r="D227" s="106"/>
      <c r="E227" s="106" t="s">
        <v>253</v>
      </c>
      <c r="F227" s="107" t="s">
        <v>253</v>
      </c>
      <c r="G227" s="106" t="s">
        <v>158</v>
      </c>
      <c r="H227" s="106" t="s">
        <v>158</v>
      </c>
      <c r="I227" s="381">
        <v>1</v>
      </c>
      <c r="J227" s="106">
        <v>2</v>
      </c>
      <c r="K227" s="137">
        <v>43963</v>
      </c>
      <c r="L227" s="106" t="s">
        <v>226</v>
      </c>
    </row>
    <row r="228" spans="1:12">
      <c r="A228" s="137">
        <v>43964</v>
      </c>
      <c r="B228" s="106" t="s">
        <v>1011</v>
      </c>
      <c r="C228" s="107" t="s">
        <v>2060</v>
      </c>
      <c r="D228" s="106" t="s">
        <v>2061</v>
      </c>
      <c r="E228" s="106" t="s">
        <v>2062</v>
      </c>
      <c r="F228" s="107" t="s">
        <v>1751</v>
      </c>
      <c r="G228" s="106" t="s">
        <v>158</v>
      </c>
      <c r="H228" s="106" t="s">
        <v>158</v>
      </c>
      <c r="I228" s="381">
        <v>0.3</v>
      </c>
      <c r="J228" s="106">
        <v>3</v>
      </c>
      <c r="K228" s="137">
        <v>43964</v>
      </c>
      <c r="L228" s="106" t="s">
        <v>1756</v>
      </c>
    </row>
    <row r="229" spans="1:12">
      <c r="A229" s="137">
        <v>43964</v>
      </c>
      <c r="B229" s="106" t="s">
        <v>1011</v>
      </c>
      <c r="C229" s="107" t="s">
        <v>334</v>
      </c>
      <c r="D229" s="106" t="s">
        <v>2063</v>
      </c>
      <c r="E229" s="106" t="s">
        <v>2064</v>
      </c>
      <c r="F229" s="107" t="s">
        <v>1751</v>
      </c>
      <c r="G229" s="106" t="s">
        <v>158</v>
      </c>
      <c r="H229" s="106" t="s">
        <v>158</v>
      </c>
      <c r="I229" s="381">
        <v>0.3</v>
      </c>
      <c r="J229" s="106">
        <v>3</v>
      </c>
      <c r="K229" s="137">
        <v>43964</v>
      </c>
      <c r="L229" s="106" t="s">
        <v>1756</v>
      </c>
    </row>
    <row r="230" spans="1:12" ht="30">
      <c r="A230" s="137">
        <v>43964</v>
      </c>
      <c r="B230" s="106" t="s">
        <v>514</v>
      </c>
      <c r="C230" s="107" t="s">
        <v>2065</v>
      </c>
      <c r="D230" s="106"/>
      <c r="E230" s="106" t="s">
        <v>2066</v>
      </c>
      <c r="F230" s="107" t="s">
        <v>1131</v>
      </c>
      <c r="G230" s="106" t="s">
        <v>158</v>
      </c>
      <c r="H230" s="106" t="s">
        <v>225</v>
      </c>
      <c r="I230" s="381">
        <v>0.5</v>
      </c>
      <c r="J230" s="106">
        <v>3</v>
      </c>
      <c r="K230" s="137">
        <v>43964</v>
      </c>
      <c r="L230" s="106" t="s">
        <v>2040</v>
      </c>
    </row>
    <row r="231" spans="1:12" ht="30">
      <c r="A231" s="137">
        <v>43964</v>
      </c>
      <c r="B231" s="106" t="s">
        <v>514</v>
      </c>
      <c r="C231" s="107" t="s">
        <v>947</v>
      </c>
      <c r="D231" s="106"/>
      <c r="E231" s="106" t="s">
        <v>2068</v>
      </c>
      <c r="F231" s="107" t="s">
        <v>2067</v>
      </c>
      <c r="G231" s="106" t="s">
        <v>158</v>
      </c>
      <c r="H231" s="106" t="s">
        <v>158</v>
      </c>
      <c r="I231" s="381">
        <v>2</v>
      </c>
      <c r="J231" s="106">
        <v>1</v>
      </c>
      <c r="K231" s="137">
        <v>43964</v>
      </c>
      <c r="L231" s="106" t="s">
        <v>47</v>
      </c>
    </row>
    <row r="232" spans="1:12" ht="30">
      <c r="A232" s="137">
        <v>43964</v>
      </c>
      <c r="B232" s="106" t="s">
        <v>514</v>
      </c>
      <c r="C232" s="107" t="s">
        <v>947</v>
      </c>
      <c r="D232" s="106"/>
      <c r="E232" s="106" t="s">
        <v>2069</v>
      </c>
      <c r="F232" s="107" t="s">
        <v>2070</v>
      </c>
      <c r="G232" s="106" t="s">
        <v>158</v>
      </c>
      <c r="H232" s="106" t="s">
        <v>158</v>
      </c>
      <c r="I232" s="381">
        <v>1</v>
      </c>
      <c r="J232" s="106">
        <v>1</v>
      </c>
      <c r="K232" s="137">
        <v>43964</v>
      </c>
      <c r="L232" s="106" t="s">
        <v>47</v>
      </c>
    </row>
    <row r="233" spans="1:12">
      <c r="A233" s="137">
        <v>43964</v>
      </c>
      <c r="B233" s="106" t="s">
        <v>956</v>
      </c>
      <c r="C233" s="107" t="s">
        <v>2071</v>
      </c>
      <c r="D233" s="106" t="s">
        <v>2072</v>
      </c>
      <c r="E233" s="106" t="s">
        <v>1721</v>
      </c>
      <c r="F233" s="107" t="s">
        <v>2073</v>
      </c>
      <c r="G233" s="106" t="s">
        <v>158</v>
      </c>
      <c r="H233" s="106" t="s">
        <v>158</v>
      </c>
      <c r="I233" s="381">
        <v>1</v>
      </c>
      <c r="J233" s="106">
        <v>2</v>
      </c>
      <c r="K233" s="137">
        <v>43964</v>
      </c>
      <c r="L233" s="106" t="s">
        <v>226</v>
      </c>
    </row>
    <row r="234" spans="1:12">
      <c r="A234" s="137">
        <v>43965</v>
      </c>
      <c r="B234" s="106" t="s">
        <v>1011</v>
      </c>
      <c r="C234" s="107" t="s">
        <v>2094</v>
      </c>
      <c r="D234" s="106" t="s">
        <v>2095</v>
      </c>
      <c r="E234" s="106" t="s">
        <v>1207</v>
      </c>
      <c r="F234" s="107" t="s">
        <v>1751</v>
      </c>
      <c r="G234" s="106" t="s">
        <v>158</v>
      </c>
      <c r="H234" s="106" t="s">
        <v>158</v>
      </c>
      <c r="I234" s="381">
        <v>0.3</v>
      </c>
      <c r="J234" s="106">
        <v>3</v>
      </c>
      <c r="K234" s="137">
        <v>43965</v>
      </c>
      <c r="L234" s="106" t="s">
        <v>1756</v>
      </c>
    </row>
    <row r="235" spans="1:12" ht="30">
      <c r="A235" s="137">
        <v>43965</v>
      </c>
      <c r="B235" s="106" t="s">
        <v>514</v>
      </c>
      <c r="C235" s="107" t="s">
        <v>517</v>
      </c>
      <c r="D235" s="106"/>
      <c r="E235" s="106" t="s">
        <v>2100</v>
      </c>
      <c r="F235" s="107" t="s">
        <v>2101</v>
      </c>
      <c r="G235" s="106" t="s">
        <v>158</v>
      </c>
      <c r="H235" s="106" t="s">
        <v>225</v>
      </c>
      <c r="I235" s="381">
        <v>1</v>
      </c>
      <c r="J235" s="106">
        <v>3</v>
      </c>
      <c r="K235" s="137">
        <v>43965</v>
      </c>
      <c r="L235" s="106" t="s">
        <v>2040</v>
      </c>
    </row>
    <row r="236" spans="1:12" ht="30">
      <c r="A236" s="137">
        <v>43965</v>
      </c>
      <c r="B236" s="106" t="s">
        <v>514</v>
      </c>
      <c r="C236" s="107" t="s">
        <v>2096</v>
      </c>
      <c r="D236" s="106">
        <v>2221</v>
      </c>
      <c r="E236" s="106" t="s">
        <v>2098</v>
      </c>
      <c r="F236" s="107" t="s">
        <v>2099</v>
      </c>
      <c r="G236" s="106" t="s">
        <v>158</v>
      </c>
      <c r="H236" s="106" t="s">
        <v>158</v>
      </c>
      <c r="I236" s="381">
        <v>0.5</v>
      </c>
      <c r="J236" s="106">
        <v>1</v>
      </c>
      <c r="K236" s="137">
        <v>43965</v>
      </c>
      <c r="L236" s="106" t="s">
        <v>47</v>
      </c>
    </row>
    <row r="237" spans="1:12">
      <c r="A237" s="137">
        <v>43965</v>
      </c>
      <c r="B237" s="106" t="s">
        <v>514</v>
      </c>
      <c r="C237" s="107" t="s">
        <v>2097</v>
      </c>
      <c r="D237" s="106"/>
      <c r="E237" s="106" t="s">
        <v>1207</v>
      </c>
      <c r="F237" s="107" t="s">
        <v>1585</v>
      </c>
      <c r="G237" s="106" t="s">
        <v>158</v>
      </c>
      <c r="H237" s="106" t="s">
        <v>225</v>
      </c>
      <c r="I237" s="381">
        <v>0.5</v>
      </c>
      <c r="J237" s="106">
        <v>1</v>
      </c>
      <c r="K237" s="137">
        <v>43965</v>
      </c>
      <c r="L237" s="106" t="s">
        <v>47</v>
      </c>
    </row>
    <row r="238" spans="1:12">
      <c r="A238" s="137">
        <v>43965</v>
      </c>
      <c r="B238" s="106" t="s">
        <v>514</v>
      </c>
      <c r="C238" s="107" t="s">
        <v>1012</v>
      </c>
      <c r="D238" s="106">
        <v>2219</v>
      </c>
      <c r="E238" s="106" t="s">
        <v>1207</v>
      </c>
      <c r="F238" s="107" t="s">
        <v>1585</v>
      </c>
      <c r="G238" s="106" t="s">
        <v>158</v>
      </c>
      <c r="H238" s="106" t="s">
        <v>158</v>
      </c>
      <c r="I238" s="381">
        <v>0.5</v>
      </c>
      <c r="J238" s="106">
        <v>1</v>
      </c>
      <c r="K238" s="137">
        <v>43965</v>
      </c>
      <c r="L238" s="106" t="s">
        <v>35</v>
      </c>
    </row>
    <row r="239" spans="1:12">
      <c r="A239" s="137">
        <v>43965</v>
      </c>
      <c r="B239" s="106" t="s">
        <v>956</v>
      </c>
      <c r="C239" s="107" t="s">
        <v>1164</v>
      </c>
      <c r="D239" s="106"/>
      <c r="E239" s="106" t="s">
        <v>2102</v>
      </c>
      <c r="F239" s="107" t="s">
        <v>2013</v>
      </c>
      <c r="G239" s="106" t="s">
        <v>158</v>
      </c>
      <c r="H239" s="106" t="s">
        <v>225</v>
      </c>
      <c r="I239" s="381">
        <v>1.5</v>
      </c>
      <c r="J239" s="106">
        <v>2</v>
      </c>
      <c r="K239" s="137">
        <v>43965</v>
      </c>
      <c r="L239" s="106" t="s">
        <v>226</v>
      </c>
    </row>
    <row r="240" spans="1:12">
      <c r="A240" s="137">
        <v>43965</v>
      </c>
      <c r="B240" s="106" t="s">
        <v>956</v>
      </c>
      <c r="C240" s="107" t="s">
        <v>1164</v>
      </c>
      <c r="D240" s="106"/>
      <c r="E240" s="106" t="s">
        <v>2103</v>
      </c>
      <c r="F240" s="107" t="s">
        <v>1133</v>
      </c>
      <c r="G240" s="106" t="s">
        <v>158</v>
      </c>
      <c r="H240" s="106" t="s">
        <v>225</v>
      </c>
      <c r="I240" s="381">
        <v>1</v>
      </c>
      <c r="J240" s="106">
        <v>2</v>
      </c>
      <c r="K240" s="137">
        <v>43965</v>
      </c>
      <c r="L240" s="106" t="s">
        <v>226</v>
      </c>
    </row>
    <row r="241" spans="1:12">
      <c r="A241" s="137">
        <v>43965</v>
      </c>
      <c r="B241" s="106" t="s">
        <v>956</v>
      </c>
      <c r="C241" s="107" t="s">
        <v>81</v>
      </c>
      <c r="D241" s="106"/>
      <c r="E241" s="106" t="s">
        <v>230</v>
      </c>
      <c r="F241" s="107" t="s">
        <v>1782</v>
      </c>
      <c r="G241" s="106" t="s">
        <v>158</v>
      </c>
      <c r="H241" s="106" t="s">
        <v>158</v>
      </c>
      <c r="I241" s="381">
        <v>1</v>
      </c>
      <c r="J241" s="106">
        <v>2</v>
      </c>
      <c r="K241" s="137">
        <v>43965</v>
      </c>
      <c r="L241" s="106" t="s">
        <v>226</v>
      </c>
    </row>
    <row r="242" spans="1:12" ht="30">
      <c r="A242" s="137">
        <v>43966</v>
      </c>
      <c r="B242" s="106" t="s">
        <v>1011</v>
      </c>
      <c r="C242" s="107" t="s">
        <v>2116</v>
      </c>
      <c r="D242" s="106">
        <v>2232</v>
      </c>
      <c r="E242" s="106" t="s">
        <v>2117</v>
      </c>
      <c r="F242" s="107" t="s">
        <v>2115</v>
      </c>
      <c r="G242" s="106" t="s">
        <v>158</v>
      </c>
      <c r="H242" s="106" t="s">
        <v>158</v>
      </c>
      <c r="I242" s="381">
        <v>0.5</v>
      </c>
      <c r="J242" s="106">
        <v>2</v>
      </c>
      <c r="K242" s="137">
        <v>43965</v>
      </c>
      <c r="L242" s="106" t="s">
        <v>329</v>
      </c>
    </row>
    <row r="243" spans="1:12" ht="30">
      <c r="A243" s="137">
        <v>43966</v>
      </c>
      <c r="B243" s="106" t="s">
        <v>956</v>
      </c>
      <c r="C243" s="107" t="s">
        <v>947</v>
      </c>
      <c r="D243" s="106">
        <v>2248</v>
      </c>
      <c r="E243" s="106" t="s">
        <v>1586</v>
      </c>
      <c r="F243" s="107" t="s">
        <v>2118</v>
      </c>
      <c r="G243" s="106" t="s">
        <v>158</v>
      </c>
      <c r="H243" s="106" t="s">
        <v>158</v>
      </c>
      <c r="I243" s="381">
        <v>1</v>
      </c>
      <c r="J243" s="106">
        <v>2</v>
      </c>
      <c r="K243" s="137">
        <v>43966</v>
      </c>
      <c r="L243" s="106" t="s">
        <v>226</v>
      </c>
    </row>
    <row r="244" spans="1:12">
      <c r="A244" s="137">
        <v>43967</v>
      </c>
      <c r="B244" s="106" t="s">
        <v>956</v>
      </c>
      <c r="C244" s="107" t="s">
        <v>2121</v>
      </c>
      <c r="D244" s="106"/>
      <c r="E244" s="106" t="s">
        <v>2122</v>
      </c>
      <c r="F244" s="107" t="s">
        <v>2123</v>
      </c>
      <c r="G244" s="106" t="s">
        <v>158</v>
      </c>
      <c r="H244" s="106" t="s">
        <v>225</v>
      </c>
      <c r="I244" s="381">
        <v>1</v>
      </c>
      <c r="J244" s="106">
        <v>2</v>
      </c>
      <c r="K244" s="137">
        <v>43967</v>
      </c>
      <c r="L244" s="106" t="s">
        <v>226</v>
      </c>
    </row>
    <row r="245" spans="1:12">
      <c r="A245" s="137">
        <v>43967</v>
      </c>
      <c r="B245" s="106" t="s">
        <v>2132</v>
      </c>
      <c r="C245" s="107" t="s">
        <v>2133</v>
      </c>
      <c r="D245" s="106">
        <v>2251</v>
      </c>
      <c r="E245" s="106" t="s">
        <v>2134</v>
      </c>
      <c r="F245" s="107" t="s">
        <v>1812</v>
      </c>
      <c r="G245" s="106" t="s">
        <v>158</v>
      </c>
      <c r="H245" s="106" t="s">
        <v>158</v>
      </c>
      <c r="I245" s="381">
        <v>0.15</v>
      </c>
      <c r="J245" s="106">
        <v>2</v>
      </c>
      <c r="K245" s="137">
        <v>43967</v>
      </c>
      <c r="L245" s="106" t="s">
        <v>1816</v>
      </c>
    </row>
    <row r="246" spans="1:12">
      <c r="A246" s="137">
        <v>43967</v>
      </c>
      <c r="B246" s="106" t="s">
        <v>2132</v>
      </c>
      <c r="C246" s="107" t="s">
        <v>91</v>
      </c>
      <c r="D246" s="106">
        <v>2252</v>
      </c>
      <c r="E246" s="106" t="s">
        <v>2135</v>
      </c>
      <c r="F246" s="107" t="s">
        <v>2136</v>
      </c>
      <c r="G246" s="106" t="s">
        <v>158</v>
      </c>
      <c r="H246" s="106" t="s">
        <v>158</v>
      </c>
      <c r="I246" s="381">
        <v>0.2</v>
      </c>
      <c r="J246" s="106">
        <v>2</v>
      </c>
      <c r="K246" s="137">
        <v>43967</v>
      </c>
      <c r="L246" s="106" t="s">
        <v>1816</v>
      </c>
    </row>
    <row r="247" spans="1:12">
      <c r="A247" s="137">
        <v>43967</v>
      </c>
      <c r="B247" s="106" t="s">
        <v>2132</v>
      </c>
      <c r="C247" s="107" t="s">
        <v>2137</v>
      </c>
      <c r="D247" s="106">
        <v>2253</v>
      </c>
      <c r="E247" s="106" t="s">
        <v>2138</v>
      </c>
      <c r="F247" s="107" t="s">
        <v>2139</v>
      </c>
      <c r="G247" s="106" t="s">
        <v>158</v>
      </c>
      <c r="H247" s="106" t="s">
        <v>158</v>
      </c>
      <c r="I247" s="381">
        <v>0.15</v>
      </c>
      <c r="J247" s="106">
        <v>2</v>
      </c>
      <c r="K247" s="137">
        <v>43967</v>
      </c>
      <c r="L247" s="106" t="s">
        <v>1816</v>
      </c>
    </row>
    <row r="248" spans="1:12" ht="30">
      <c r="A248" s="137">
        <v>43967</v>
      </c>
      <c r="B248" s="106" t="s">
        <v>2132</v>
      </c>
      <c r="C248" s="107" t="s">
        <v>2133</v>
      </c>
      <c r="D248" s="106">
        <v>2256</v>
      </c>
      <c r="E248" s="106" t="s">
        <v>2143</v>
      </c>
      <c r="F248" s="107" t="s">
        <v>1110</v>
      </c>
      <c r="G248" s="106" t="s">
        <v>158</v>
      </c>
      <c r="H248" s="106" t="s">
        <v>225</v>
      </c>
      <c r="I248" s="381">
        <v>1</v>
      </c>
      <c r="J248" s="106">
        <v>2</v>
      </c>
      <c r="K248" s="137">
        <v>43967</v>
      </c>
      <c r="L248" s="106" t="s">
        <v>1816</v>
      </c>
    </row>
    <row r="249" spans="1:12">
      <c r="A249" s="137">
        <v>43967</v>
      </c>
      <c r="B249" s="106" t="s">
        <v>2132</v>
      </c>
      <c r="C249" s="107" t="s">
        <v>2140</v>
      </c>
      <c r="D249" s="106">
        <v>2264</v>
      </c>
      <c r="E249" s="106" t="s">
        <v>2141</v>
      </c>
      <c r="F249" s="107" t="s">
        <v>2142</v>
      </c>
      <c r="G249" s="106" t="s">
        <v>158</v>
      </c>
      <c r="H249" s="106" t="s">
        <v>158</v>
      </c>
      <c r="I249" s="381">
        <v>0.15</v>
      </c>
      <c r="J249" s="106">
        <v>2</v>
      </c>
      <c r="K249" s="137">
        <v>43967</v>
      </c>
      <c r="L249" s="106" t="s">
        <v>1816</v>
      </c>
    </row>
    <row r="250" spans="1:12" ht="30">
      <c r="A250" s="137">
        <v>43967</v>
      </c>
      <c r="B250" s="106" t="s">
        <v>514</v>
      </c>
      <c r="C250" s="107" t="s">
        <v>2140</v>
      </c>
      <c r="D250" s="106">
        <v>2265</v>
      </c>
      <c r="E250" s="106" t="s">
        <v>2143</v>
      </c>
      <c r="F250" s="107" t="s">
        <v>1110</v>
      </c>
      <c r="G250" s="106" t="s">
        <v>225</v>
      </c>
      <c r="H250" s="106" t="s">
        <v>158</v>
      </c>
      <c r="I250" s="381">
        <v>0.2</v>
      </c>
      <c r="J250" s="106">
        <v>3</v>
      </c>
      <c r="K250" s="137">
        <v>43967</v>
      </c>
      <c r="L250" s="106" t="s">
        <v>2144</v>
      </c>
    </row>
    <row r="251" spans="1:12">
      <c r="A251" s="106"/>
      <c r="B251" s="106"/>
      <c r="C251" s="107"/>
      <c r="D251" s="106"/>
      <c r="E251" s="106"/>
      <c r="F251" s="107"/>
      <c r="G251" s="106"/>
      <c r="H251" s="106"/>
      <c r="I251" s="381"/>
      <c r="J251" s="106"/>
      <c r="K251" s="106"/>
      <c r="L251" s="106"/>
    </row>
    <row r="252" spans="1:12">
      <c r="A252" s="106"/>
      <c r="B252" s="106"/>
      <c r="C252" s="107"/>
      <c r="D252" s="106"/>
      <c r="E252" s="106"/>
      <c r="F252" s="107"/>
      <c r="G252" s="106"/>
      <c r="H252" s="106"/>
      <c r="I252" s="381"/>
      <c r="J252" s="106"/>
      <c r="K252" s="106"/>
      <c r="L252" s="106"/>
    </row>
    <row r="253" spans="1:12">
      <c r="A253" s="106"/>
      <c r="B253" s="106"/>
      <c r="C253" s="107"/>
      <c r="D253" s="106"/>
      <c r="E253" s="106"/>
      <c r="F253" s="107"/>
      <c r="G253" s="106"/>
      <c r="H253" s="106"/>
      <c r="I253" s="381"/>
      <c r="J253" s="106"/>
      <c r="K253" s="106"/>
      <c r="L253" s="106"/>
    </row>
    <row r="254" spans="1:12">
      <c r="A254" s="106"/>
      <c r="B254" s="106"/>
      <c r="C254" s="107"/>
      <c r="D254" s="106"/>
      <c r="E254" s="106"/>
      <c r="F254" s="107"/>
      <c r="G254" s="106"/>
      <c r="H254" s="106"/>
      <c r="I254" s="381"/>
      <c r="J254" s="106"/>
      <c r="K254" s="106"/>
      <c r="L254" s="106"/>
    </row>
    <row r="255" spans="1:12">
      <c r="A255" s="106"/>
      <c r="B255" s="106"/>
      <c r="C255" s="107"/>
      <c r="D255" s="106"/>
      <c r="E255" s="106"/>
      <c r="F255" s="107"/>
      <c r="G255" s="106"/>
      <c r="H255" s="106"/>
      <c r="I255" s="381"/>
      <c r="J255" s="106"/>
      <c r="K255" s="106"/>
      <c r="L255" s="106"/>
    </row>
    <row r="256" spans="1:12">
      <c r="A256" s="106"/>
      <c r="B256" s="106"/>
      <c r="C256" s="107"/>
      <c r="D256" s="106"/>
      <c r="E256" s="106"/>
      <c r="F256" s="107"/>
      <c r="G256" s="106"/>
      <c r="H256" s="106"/>
      <c r="I256" s="381"/>
      <c r="J256" s="106"/>
      <c r="K256" s="106"/>
      <c r="L256" s="106"/>
    </row>
    <row r="257" spans="1:12">
      <c r="A257" s="106"/>
      <c r="B257" s="106"/>
      <c r="C257" s="107"/>
      <c r="D257" s="106"/>
      <c r="E257" s="106"/>
      <c r="F257" s="107"/>
      <c r="G257" s="106"/>
      <c r="H257" s="106"/>
      <c r="I257" s="381"/>
      <c r="J257" s="106"/>
      <c r="K257" s="106"/>
      <c r="L257" s="106"/>
    </row>
    <row r="258" spans="1:12">
      <c r="A258" s="106"/>
      <c r="B258" s="106"/>
      <c r="C258" s="107"/>
      <c r="D258" s="106"/>
      <c r="E258" s="106"/>
      <c r="F258" s="107"/>
      <c r="G258" s="106"/>
      <c r="H258" s="106"/>
      <c r="I258" s="381"/>
      <c r="J258" s="106"/>
      <c r="K258" s="106"/>
      <c r="L258" s="106"/>
    </row>
    <row r="259" spans="1:12">
      <c r="A259" s="106"/>
      <c r="B259" s="106"/>
      <c r="C259" s="107"/>
      <c r="D259" s="106"/>
      <c r="E259" s="106"/>
      <c r="F259" s="107"/>
      <c r="G259" s="106"/>
      <c r="H259" s="106"/>
      <c r="I259" s="381"/>
      <c r="J259" s="106"/>
      <c r="K259" s="106"/>
      <c r="L259" s="106"/>
    </row>
    <row r="260" spans="1:12">
      <c r="A260" s="106"/>
      <c r="B260" s="106"/>
      <c r="C260" s="107"/>
      <c r="D260" s="106"/>
      <c r="E260" s="106"/>
      <c r="F260" s="107"/>
      <c r="G260" s="106"/>
      <c r="H260" s="106"/>
      <c r="I260" s="381"/>
      <c r="J260" s="106"/>
      <c r="K260" s="106"/>
      <c r="L260" s="106"/>
    </row>
    <row r="261" spans="1:12">
      <c r="A261" s="106"/>
      <c r="B261" s="106"/>
      <c r="C261" s="107"/>
      <c r="D261" s="106"/>
      <c r="E261" s="106"/>
      <c r="F261" s="107"/>
      <c r="G261" s="106"/>
      <c r="H261" s="106"/>
      <c r="I261" s="381"/>
      <c r="J261" s="106"/>
      <c r="K261" s="106"/>
      <c r="L261" s="106"/>
    </row>
    <row r="262" spans="1:12">
      <c r="A262" s="106"/>
      <c r="B262" s="106"/>
      <c r="C262" s="107"/>
      <c r="D262" s="106"/>
      <c r="E262" s="106"/>
      <c r="F262" s="107"/>
      <c r="G262" s="106"/>
      <c r="H262" s="106"/>
      <c r="I262" s="381"/>
      <c r="J262" s="106"/>
      <c r="K262" s="106"/>
      <c r="L262" s="106"/>
    </row>
    <row r="263" spans="1:12">
      <c r="A263" s="106"/>
      <c r="B263" s="106"/>
      <c r="C263" s="107"/>
      <c r="D263" s="106"/>
      <c r="E263" s="106"/>
      <c r="F263" s="107"/>
      <c r="G263" s="106"/>
      <c r="H263" s="106"/>
      <c r="I263" s="381"/>
      <c r="J263" s="106"/>
      <c r="K263" s="106"/>
      <c r="L263" s="106"/>
    </row>
    <row r="264" spans="1:12">
      <c r="A264" s="106"/>
      <c r="B264" s="106"/>
      <c r="C264" s="107"/>
      <c r="D264" s="106"/>
      <c r="E264" s="106"/>
      <c r="F264" s="107"/>
      <c r="G264" s="106"/>
      <c r="H264" s="106"/>
      <c r="I264" s="381"/>
      <c r="J264" s="106"/>
      <c r="K264" s="106"/>
      <c r="L264" s="106"/>
    </row>
    <row r="265" spans="1:12">
      <c r="A265" s="106"/>
      <c r="B265" s="106"/>
      <c r="C265" s="107"/>
      <c r="D265" s="106"/>
      <c r="E265" s="106"/>
      <c r="F265" s="107"/>
      <c r="G265" s="106"/>
      <c r="H265" s="106"/>
      <c r="I265" s="381"/>
      <c r="J265" s="106"/>
      <c r="K265" s="106"/>
      <c r="L265" s="106"/>
    </row>
    <row r="266" spans="1:12">
      <c r="A266" s="106"/>
      <c r="B266" s="106"/>
      <c r="C266" s="107"/>
      <c r="D266" s="106"/>
      <c r="E266" s="106"/>
      <c r="F266" s="107"/>
      <c r="G266" s="106"/>
      <c r="H266" s="106"/>
      <c r="I266" s="381"/>
      <c r="J266" s="106"/>
      <c r="K266" s="106"/>
      <c r="L266" s="106"/>
    </row>
    <row r="267" spans="1:12">
      <c r="A267" s="106"/>
      <c r="B267" s="106"/>
      <c r="C267" s="107"/>
      <c r="D267" s="106"/>
      <c r="E267" s="106"/>
      <c r="F267" s="107"/>
      <c r="G267" s="106"/>
      <c r="H267" s="106"/>
      <c r="I267" s="381"/>
      <c r="J267" s="106"/>
      <c r="K267" s="106"/>
      <c r="L267" s="106"/>
    </row>
    <row r="268" spans="1:12">
      <c r="A268" s="106"/>
      <c r="B268" s="106"/>
      <c r="C268" s="107"/>
      <c r="D268" s="106"/>
      <c r="E268" s="106"/>
      <c r="F268" s="107"/>
      <c r="G268" s="106"/>
      <c r="H268" s="106"/>
      <c r="I268" s="381"/>
      <c r="J268" s="106"/>
      <c r="K268" s="106"/>
      <c r="L268" s="106"/>
    </row>
    <row r="269" spans="1:12">
      <c r="A269" s="106"/>
      <c r="B269" s="106"/>
      <c r="C269" s="107"/>
      <c r="D269" s="106"/>
      <c r="E269" s="106"/>
      <c r="F269" s="107"/>
      <c r="G269" s="106"/>
      <c r="H269" s="106"/>
      <c r="I269" s="381"/>
      <c r="J269" s="106"/>
      <c r="K269" s="106"/>
      <c r="L269" s="106"/>
    </row>
    <row r="270" spans="1:12">
      <c r="A270" s="106"/>
      <c r="B270" s="106"/>
      <c r="C270" s="107"/>
      <c r="D270" s="106"/>
      <c r="E270" s="106"/>
      <c r="F270" s="107"/>
      <c r="G270" s="106"/>
      <c r="H270" s="106"/>
      <c r="I270" s="381"/>
      <c r="J270" s="106"/>
      <c r="K270" s="106"/>
      <c r="L270" s="106"/>
    </row>
    <row r="271" spans="1:12">
      <c r="A271" s="106"/>
      <c r="B271" s="106"/>
      <c r="C271" s="107"/>
      <c r="D271" s="106"/>
      <c r="E271" s="106"/>
      <c r="F271" s="107"/>
      <c r="G271" s="106"/>
      <c r="H271" s="106"/>
      <c r="I271" s="381"/>
      <c r="J271" s="106"/>
      <c r="K271" s="106"/>
      <c r="L271" s="106"/>
    </row>
    <row r="272" spans="1:12">
      <c r="A272" s="106"/>
      <c r="B272" s="106"/>
      <c r="C272" s="107"/>
      <c r="D272" s="106"/>
      <c r="E272" s="106"/>
      <c r="F272" s="107"/>
      <c r="G272" s="106"/>
      <c r="H272" s="106"/>
      <c r="I272" s="381"/>
      <c r="J272" s="106"/>
      <c r="K272" s="106"/>
      <c r="L272" s="106"/>
    </row>
    <row r="273" spans="1:12">
      <c r="A273" s="106"/>
      <c r="B273" s="106"/>
      <c r="C273" s="107"/>
      <c r="D273" s="106"/>
      <c r="E273" s="106"/>
      <c r="F273" s="107"/>
      <c r="G273" s="106"/>
      <c r="H273" s="106"/>
      <c r="I273" s="381"/>
      <c r="J273" s="106"/>
      <c r="K273" s="106"/>
      <c r="L273" s="106"/>
    </row>
    <row r="274" spans="1:12">
      <c r="A274" s="106"/>
      <c r="B274" s="106"/>
      <c r="C274" s="107"/>
      <c r="D274" s="106"/>
      <c r="E274" s="106"/>
      <c r="F274" s="107"/>
      <c r="G274" s="106"/>
      <c r="H274" s="106"/>
      <c r="I274" s="381"/>
      <c r="J274" s="106"/>
      <c r="K274" s="106"/>
      <c r="L274" s="106"/>
    </row>
    <row r="275" spans="1:12">
      <c r="A275" s="106"/>
      <c r="B275" s="106"/>
      <c r="C275" s="107"/>
      <c r="D275" s="106"/>
      <c r="E275" s="106"/>
      <c r="F275" s="107"/>
      <c r="G275" s="106"/>
      <c r="H275" s="106"/>
      <c r="I275" s="381"/>
      <c r="J275" s="106"/>
      <c r="K275" s="106"/>
      <c r="L275" s="106"/>
    </row>
    <row r="276" spans="1:12">
      <c r="A276" s="106"/>
      <c r="B276" s="106"/>
      <c r="C276" s="107"/>
      <c r="D276" s="106"/>
      <c r="E276" s="106"/>
      <c r="F276" s="107"/>
      <c r="G276" s="106"/>
      <c r="H276" s="106"/>
      <c r="I276" s="381"/>
      <c r="J276" s="106"/>
      <c r="K276" s="106"/>
      <c r="L276" s="106"/>
    </row>
    <row r="277" spans="1:12">
      <c r="A277" s="106"/>
      <c r="B277" s="106"/>
      <c r="C277" s="107"/>
      <c r="D277" s="106"/>
      <c r="E277" s="106"/>
      <c r="F277" s="107"/>
      <c r="G277" s="106"/>
      <c r="H277" s="106"/>
      <c r="I277" s="381"/>
      <c r="J277" s="106"/>
      <c r="K277" s="106"/>
      <c r="L277" s="106"/>
    </row>
    <row r="278" spans="1:12">
      <c r="A278" s="106"/>
      <c r="B278" s="106"/>
      <c r="C278" s="107"/>
      <c r="D278" s="106"/>
      <c r="E278" s="106"/>
      <c r="F278" s="107"/>
      <c r="G278" s="106"/>
      <c r="H278" s="106"/>
      <c r="I278" s="381"/>
      <c r="J278" s="106"/>
      <c r="K278" s="106"/>
      <c r="L278" s="106"/>
    </row>
    <row r="279" spans="1:12">
      <c r="A279" s="106"/>
      <c r="B279" s="106"/>
      <c r="C279" s="107"/>
      <c r="D279" s="106"/>
      <c r="E279" s="106"/>
      <c r="F279" s="107"/>
      <c r="G279" s="106"/>
      <c r="H279" s="106"/>
      <c r="I279" s="381"/>
      <c r="J279" s="106"/>
      <c r="K279" s="106"/>
      <c r="L279" s="106"/>
    </row>
    <row r="280" spans="1:12">
      <c r="A280" s="106"/>
      <c r="B280" s="106"/>
      <c r="C280" s="107"/>
      <c r="D280" s="106"/>
      <c r="E280" s="106"/>
      <c r="F280" s="107"/>
      <c r="G280" s="106"/>
      <c r="H280" s="106"/>
      <c r="I280" s="381"/>
      <c r="J280" s="106"/>
      <c r="K280" s="106"/>
      <c r="L280" s="106"/>
    </row>
    <row r="281" spans="1:12">
      <c r="A281" s="106"/>
      <c r="B281" s="106"/>
      <c r="C281" s="107"/>
      <c r="D281" s="106"/>
      <c r="E281" s="106"/>
      <c r="F281" s="107"/>
      <c r="G281" s="106"/>
      <c r="H281" s="106"/>
      <c r="I281" s="381"/>
      <c r="J281" s="106"/>
      <c r="K281" s="106"/>
      <c r="L281" s="106"/>
    </row>
    <row r="282" spans="1:12">
      <c r="A282" s="106"/>
      <c r="B282" s="106"/>
      <c r="C282" s="107"/>
      <c r="D282" s="106"/>
      <c r="E282" s="106"/>
      <c r="F282" s="107"/>
      <c r="G282" s="106"/>
      <c r="H282" s="106"/>
      <c r="I282" s="381"/>
      <c r="J282" s="106"/>
      <c r="K282" s="106"/>
      <c r="L282" s="106"/>
    </row>
    <row r="283" spans="1:12">
      <c r="A283" s="106"/>
      <c r="B283" s="106"/>
      <c r="C283" s="107"/>
      <c r="D283" s="106"/>
      <c r="E283" s="106"/>
      <c r="F283" s="107"/>
      <c r="G283" s="106"/>
      <c r="H283" s="106"/>
      <c r="I283" s="381"/>
      <c r="J283" s="106"/>
      <c r="K283" s="106"/>
      <c r="L283" s="106"/>
    </row>
    <row r="284" spans="1:12">
      <c r="A284" s="106"/>
      <c r="B284" s="106"/>
      <c r="C284" s="107"/>
      <c r="D284" s="106"/>
      <c r="E284" s="106"/>
      <c r="F284" s="107"/>
      <c r="G284" s="106"/>
      <c r="H284" s="106"/>
      <c r="I284" s="381"/>
      <c r="J284" s="106"/>
      <c r="K284" s="106"/>
      <c r="L284" s="106"/>
    </row>
    <row r="285" spans="1:12">
      <c r="A285" s="106"/>
      <c r="B285" s="106"/>
      <c r="C285" s="107"/>
      <c r="D285" s="106"/>
      <c r="E285" s="106"/>
      <c r="F285" s="107"/>
      <c r="G285" s="106"/>
      <c r="H285" s="106"/>
      <c r="I285" s="381"/>
      <c r="J285" s="106"/>
      <c r="K285" s="106"/>
      <c r="L285" s="106"/>
    </row>
    <row r="286" spans="1:12">
      <c r="A286" s="106"/>
      <c r="B286" s="106"/>
      <c r="C286" s="107"/>
      <c r="D286" s="106"/>
      <c r="E286" s="106"/>
      <c r="F286" s="107"/>
      <c r="G286" s="106"/>
      <c r="H286" s="106"/>
      <c r="I286" s="381"/>
      <c r="J286" s="106"/>
      <c r="K286" s="106"/>
      <c r="L286" s="106"/>
    </row>
    <row r="287" spans="1:12">
      <c r="A287" s="106"/>
      <c r="B287" s="106"/>
      <c r="C287" s="107"/>
      <c r="D287" s="106"/>
      <c r="E287" s="106"/>
      <c r="F287" s="107"/>
      <c r="G287" s="106"/>
      <c r="H287" s="106"/>
      <c r="I287" s="381"/>
      <c r="J287" s="106"/>
      <c r="K287" s="106"/>
      <c r="L287" s="106"/>
    </row>
    <row r="288" spans="1:12">
      <c r="A288" s="106"/>
      <c r="B288" s="106"/>
      <c r="C288" s="107"/>
      <c r="D288" s="106"/>
      <c r="E288" s="106"/>
      <c r="F288" s="107"/>
      <c r="G288" s="106"/>
      <c r="H288" s="106"/>
      <c r="I288" s="381"/>
      <c r="J288" s="106"/>
      <c r="K288" s="106"/>
      <c r="L288" s="106"/>
    </row>
    <row r="289" spans="1:12">
      <c r="A289" s="106"/>
      <c r="B289" s="106"/>
      <c r="C289" s="107"/>
      <c r="D289" s="106"/>
      <c r="E289" s="106"/>
      <c r="F289" s="107"/>
      <c r="G289" s="106"/>
      <c r="H289" s="106"/>
      <c r="I289" s="381"/>
      <c r="J289" s="106"/>
      <c r="K289" s="106"/>
      <c r="L289" s="106"/>
    </row>
    <row r="290" spans="1:12">
      <c r="A290" s="106"/>
      <c r="B290" s="106"/>
      <c r="C290" s="107"/>
      <c r="D290" s="106"/>
      <c r="E290" s="106"/>
      <c r="F290" s="107"/>
      <c r="G290" s="106"/>
      <c r="H290" s="106"/>
      <c r="I290" s="381"/>
      <c r="J290" s="106"/>
      <c r="K290" s="106"/>
      <c r="L290" s="106"/>
    </row>
    <row r="291" spans="1:12">
      <c r="A291" s="106"/>
      <c r="B291" s="106"/>
      <c r="C291" s="107"/>
      <c r="D291" s="106"/>
      <c r="E291" s="106"/>
      <c r="F291" s="107"/>
      <c r="G291" s="106"/>
      <c r="H291" s="106"/>
      <c r="I291" s="381"/>
      <c r="J291" s="106"/>
      <c r="K291" s="106"/>
      <c r="L291" s="106"/>
    </row>
    <row r="292" spans="1:12">
      <c r="A292" s="106"/>
      <c r="B292" s="106"/>
      <c r="C292" s="107"/>
      <c r="D292" s="106"/>
      <c r="E292" s="106"/>
      <c r="F292" s="107"/>
      <c r="G292" s="106"/>
      <c r="H292" s="106"/>
      <c r="I292" s="381"/>
      <c r="J292" s="106"/>
      <c r="K292" s="106"/>
      <c r="L292" s="106"/>
    </row>
    <row r="293" spans="1:12">
      <c r="A293" s="106"/>
      <c r="B293" s="106"/>
      <c r="C293" s="107"/>
      <c r="D293" s="106"/>
      <c r="E293" s="106"/>
      <c r="F293" s="107"/>
      <c r="G293" s="106"/>
      <c r="H293" s="106"/>
      <c r="I293" s="381"/>
      <c r="J293" s="106"/>
      <c r="K293" s="106"/>
      <c r="L293" s="106"/>
    </row>
    <row r="294" spans="1:12">
      <c r="A294" s="106"/>
      <c r="B294" s="106"/>
      <c r="C294" s="107"/>
      <c r="D294" s="106"/>
      <c r="E294" s="106"/>
      <c r="F294" s="107"/>
      <c r="G294" s="106"/>
      <c r="H294" s="106"/>
      <c r="I294" s="381"/>
      <c r="J294" s="106"/>
      <c r="K294" s="106"/>
      <c r="L294" s="106"/>
    </row>
    <row r="295" spans="1:12">
      <c r="A295" s="106"/>
      <c r="B295" s="106"/>
      <c r="C295" s="107"/>
      <c r="D295" s="106"/>
      <c r="E295" s="106"/>
      <c r="F295" s="107"/>
      <c r="G295" s="106"/>
      <c r="H295" s="106"/>
      <c r="I295" s="381"/>
      <c r="J295" s="106"/>
      <c r="K295" s="106"/>
      <c r="L295" s="106"/>
    </row>
    <row r="296" spans="1:12">
      <c r="A296" s="106"/>
      <c r="B296" s="106"/>
      <c r="C296" s="107"/>
      <c r="D296" s="106"/>
      <c r="E296" s="106"/>
      <c r="F296" s="107"/>
      <c r="G296" s="106"/>
      <c r="H296" s="106"/>
      <c r="I296" s="381"/>
      <c r="J296" s="106"/>
      <c r="K296" s="106"/>
      <c r="L296" s="106"/>
    </row>
    <row r="297" spans="1:12">
      <c r="A297" s="106"/>
      <c r="B297" s="106"/>
      <c r="C297" s="107"/>
      <c r="D297" s="106"/>
      <c r="E297" s="106"/>
      <c r="F297" s="107"/>
      <c r="G297" s="106"/>
      <c r="H297" s="106"/>
      <c r="I297" s="381"/>
      <c r="J297" s="106"/>
      <c r="K297" s="106"/>
      <c r="L297" s="106"/>
    </row>
    <row r="298" spans="1:12">
      <c r="A298" s="106"/>
      <c r="B298" s="106"/>
      <c r="C298" s="107"/>
      <c r="D298" s="106"/>
      <c r="E298" s="106"/>
      <c r="F298" s="107"/>
      <c r="G298" s="106"/>
      <c r="H298" s="106"/>
      <c r="I298" s="381"/>
      <c r="J298" s="106"/>
      <c r="K298" s="106"/>
      <c r="L298" s="106"/>
    </row>
    <row r="299" spans="1:12">
      <c r="A299" s="106"/>
      <c r="B299" s="106"/>
      <c r="C299" s="107"/>
      <c r="D299" s="106"/>
      <c r="E299" s="106"/>
      <c r="F299" s="107"/>
      <c r="G299" s="106"/>
      <c r="H299" s="106"/>
      <c r="I299" s="381"/>
      <c r="J299" s="106"/>
      <c r="K299" s="106"/>
      <c r="L299" s="106"/>
    </row>
    <row r="300" spans="1:12">
      <c r="A300" s="106"/>
      <c r="B300" s="106"/>
      <c r="C300" s="107"/>
      <c r="D300" s="106"/>
      <c r="E300" s="106"/>
      <c r="F300" s="107"/>
      <c r="G300" s="106"/>
      <c r="H300" s="106"/>
      <c r="I300" s="381"/>
      <c r="J300" s="106"/>
      <c r="K300" s="106"/>
      <c r="L300" s="106"/>
    </row>
    <row r="301" spans="1:12">
      <c r="A301" s="106"/>
      <c r="B301" s="106"/>
      <c r="C301" s="107"/>
      <c r="D301" s="106"/>
      <c r="E301" s="106"/>
      <c r="F301" s="107"/>
      <c r="G301" s="106"/>
      <c r="H301" s="106"/>
      <c r="I301" s="381"/>
      <c r="J301" s="106"/>
      <c r="K301" s="106"/>
      <c r="L301" s="106"/>
    </row>
    <row r="302" spans="1:12">
      <c r="A302" s="106"/>
      <c r="B302" s="106"/>
      <c r="C302" s="107"/>
      <c r="D302" s="106"/>
      <c r="E302" s="106"/>
      <c r="F302" s="107"/>
      <c r="G302" s="106"/>
      <c r="H302" s="106"/>
      <c r="I302" s="381"/>
      <c r="J302" s="106"/>
      <c r="K302" s="106"/>
      <c r="L302" s="106"/>
    </row>
    <row r="303" spans="1:12">
      <c r="A303" s="106"/>
      <c r="B303" s="106"/>
      <c r="C303" s="107"/>
      <c r="D303" s="106"/>
      <c r="E303" s="106"/>
      <c r="F303" s="107"/>
      <c r="G303" s="106"/>
      <c r="H303" s="106"/>
      <c r="I303" s="381"/>
      <c r="J303" s="106"/>
      <c r="K303" s="106"/>
      <c r="L303" s="106"/>
    </row>
    <row r="304" spans="1:12">
      <c r="A304" s="106"/>
      <c r="B304" s="106"/>
      <c r="C304" s="107"/>
      <c r="D304" s="106"/>
      <c r="E304" s="106"/>
      <c r="F304" s="107"/>
      <c r="G304" s="106"/>
      <c r="H304" s="106"/>
      <c r="I304" s="381"/>
      <c r="J304" s="106"/>
      <c r="K304" s="106"/>
      <c r="L304" s="106"/>
    </row>
    <row r="305" spans="1:12">
      <c r="A305" s="106"/>
      <c r="B305" s="106"/>
      <c r="C305" s="107"/>
      <c r="D305" s="106"/>
      <c r="E305" s="106"/>
      <c r="F305" s="107"/>
      <c r="G305" s="106"/>
      <c r="H305" s="106"/>
      <c r="I305" s="381"/>
      <c r="J305" s="106"/>
      <c r="K305" s="106"/>
      <c r="L305" s="106"/>
    </row>
    <row r="306" spans="1:12">
      <c r="A306" s="106"/>
      <c r="B306" s="106"/>
      <c r="C306" s="107"/>
      <c r="D306" s="106"/>
      <c r="E306" s="106"/>
      <c r="F306" s="107"/>
      <c r="G306" s="106"/>
      <c r="H306" s="106"/>
      <c r="I306" s="381"/>
      <c r="J306" s="106"/>
      <c r="K306" s="106"/>
      <c r="L306" s="106"/>
    </row>
    <row r="307" spans="1:12">
      <c r="A307" s="106"/>
      <c r="B307" s="106"/>
      <c r="C307" s="107"/>
      <c r="D307" s="106"/>
      <c r="E307" s="106"/>
      <c r="F307" s="107"/>
      <c r="G307" s="106"/>
      <c r="H307" s="106"/>
      <c r="I307" s="381"/>
      <c r="J307" s="106"/>
      <c r="K307" s="106"/>
      <c r="L307" s="106"/>
    </row>
    <row r="308" spans="1:12">
      <c r="A308" s="106"/>
      <c r="B308" s="106"/>
      <c r="C308" s="107"/>
      <c r="D308" s="106"/>
      <c r="E308" s="106"/>
      <c r="F308" s="107"/>
      <c r="G308" s="106"/>
      <c r="H308" s="106"/>
      <c r="I308" s="381"/>
      <c r="J308" s="106"/>
      <c r="K308" s="106"/>
      <c r="L308" s="106"/>
    </row>
    <row r="309" spans="1:12">
      <c r="A309" s="106"/>
      <c r="B309" s="106"/>
      <c r="C309" s="107"/>
      <c r="D309" s="106"/>
      <c r="E309" s="106"/>
      <c r="F309" s="107"/>
      <c r="G309" s="106"/>
      <c r="H309" s="106"/>
      <c r="I309" s="381"/>
      <c r="J309" s="106"/>
      <c r="K309" s="106"/>
      <c r="L309" s="106"/>
    </row>
    <row r="310" spans="1:12">
      <c r="A310" s="106"/>
      <c r="B310" s="106"/>
      <c r="C310" s="107"/>
      <c r="D310" s="106"/>
      <c r="E310" s="106"/>
      <c r="F310" s="107"/>
      <c r="G310" s="106"/>
      <c r="H310" s="106"/>
      <c r="I310" s="381"/>
      <c r="J310" s="106"/>
      <c r="K310" s="106"/>
      <c r="L310" s="106"/>
    </row>
    <row r="311" spans="1:12">
      <c r="A311" s="106"/>
      <c r="B311" s="106"/>
      <c r="C311" s="107"/>
      <c r="D311" s="106"/>
      <c r="E311" s="106"/>
      <c r="F311" s="107"/>
      <c r="G311" s="106"/>
      <c r="H311" s="106"/>
      <c r="I311" s="381"/>
      <c r="J311" s="106"/>
      <c r="K311" s="106"/>
      <c r="L311" s="106"/>
    </row>
    <row r="312" spans="1:12">
      <c r="A312" s="106"/>
      <c r="B312" s="106"/>
      <c r="C312" s="107"/>
      <c r="D312" s="106"/>
      <c r="E312" s="106"/>
      <c r="F312" s="107"/>
      <c r="G312" s="106"/>
      <c r="H312" s="106"/>
      <c r="I312" s="381"/>
      <c r="J312" s="106"/>
      <c r="K312" s="106"/>
      <c r="L312" s="106"/>
    </row>
    <row r="313" spans="1:12">
      <c r="A313" s="106"/>
      <c r="B313" s="106"/>
      <c r="C313" s="107"/>
      <c r="D313" s="106"/>
      <c r="E313" s="106"/>
      <c r="F313" s="107"/>
      <c r="G313" s="106"/>
      <c r="H313" s="106"/>
      <c r="I313" s="381"/>
      <c r="J313" s="106"/>
      <c r="K313" s="106"/>
      <c r="L313" s="106"/>
    </row>
    <row r="314" spans="1:12">
      <c r="A314" s="106"/>
      <c r="B314" s="106"/>
      <c r="C314" s="107"/>
      <c r="D314" s="106"/>
      <c r="E314" s="106"/>
      <c r="F314" s="107"/>
      <c r="G314" s="106"/>
      <c r="H314" s="106"/>
      <c r="I314" s="381"/>
      <c r="J314" s="106"/>
      <c r="K314" s="106"/>
      <c r="L314" s="106"/>
    </row>
    <row r="315" spans="1:12">
      <c r="A315" s="106"/>
      <c r="B315" s="106"/>
      <c r="C315" s="107"/>
      <c r="D315" s="106"/>
      <c r="E315" s="106"/>
      <c r="F315" s="107"/>
      <c r="G315" s="106"/>
      <c r="H315" s="106"/>
      <c r="I315" s="381"/>
      <c r="J315" s="106"/>
      <c r="K315" s="106"/>
      <c r="L315" s="106"/>
    </row>
    <row r="316" spans="1:12">
      <c r="A316" s="106"/>
      <c r="B316" s="106"/>
      <c r="C316" s="107"/>
      <c r="D316" s="106"/>
      <c r="E316" s="106"/>
      <c r="F316" s="107"/>
      <c r="G316" s="106"/>
      <c r="H316" s="106"/>
      <c r="I316" s="381"/>
      <c r="J316" s="106"/>
      <c r="K316" s="106"/>
      <c r="L316" s="106"/>
    </row>
    <row r="317" spans="1:12">
      <c r="A317" s="106"/>
      <c r="B317" s="106"/>
      <c r="C317" s="107"/>
      <c r="D317" s="106"/>
      <c r="E317" s="106"/>
      <c r="F317" s="107"/>
      <c r="G317" s="106"/>
      <c r="H317" s="106"/>
      <c r="I317" s="381"/>
      <c r="J317" s="106"/>
      <c r="K317" s="106"/>
      <c r="L317" s="106"/>
    </row>
    <row r="318" spans="1:12">
      <c r="A318" s="106"/>
      <c r="B318" s="106"/>
      <c r="C318" s="107"/>
      <c r="D318" s="106"/>
      <c r="E318" s="106"/>
      <c r="F318" s="107"/>
      <c r="G318" s="106"/>
      <c r="H318" s="106"/>
      <c r="I318" s="381"/>
      <c r="J318" s="106"/>
      <c r="K318" s="106"/>
      <c r="L318" s="106"/>
    </row>
    <row r="319" spans="1:12">
      <c r="A319" s="106"/>
      <c r="B319" s="106"/>
      <c r="C319" s="107"/>
      <c r="D319" s="106"/>
      <c r="E319" s="106"/>
      <c r="F319" s="107"/>
      <c r="G319" s="106"/>
      <c r="H319" s="106"/>
      <c r="I319" s="381"/>
      <c r="J319" s="106"/>
      <c r="K319" s="106"/>
      <c r="L319" s="106"/>
    </row>
    <row r="320" spans="1:12">
      <c r="A320" s="106"/>
      <c r="B320" s="106"/>
      <c r="C320" s="107"/>
      <c r="D320" s="106"/>
      <c r="E320" s="106"/>
      <c r="F320" s="107"/>
      <c r="G320" s="106"/>
      <c r="H320" s="106"/>
      <c r="I320" s="381"/>
      <c r="J320" s="106"/>
      <c r="K320" s="106"/>
      <c r="L320" s="106"/>
    </row>
    <row r="321" spans="1:12">
      <c r="A321" s="106"/>
      <c r="B321" s="106"/>
      <c r="C321" s="107"/>
      <c r="D321" s="106"/>
      <c r="E321" s="106"/>
      <c r="F321" s="107"/>
      <c r="G321" s="106"/>
      <c r="H321" s="106"/>
      <c r="I321" s="381"/>
      <c r="J321" s="106"/>
      <c r="K321" s="106"/>
      <c r="L321" s="106"/>
    </row>
    <row r="322" spans="1:12">
      <c r="A322" s="106"/>
      <c r="B322" s="106"/>
      <c r="C322" s="107"/>
      <c r="D322" s="106"/>
      <c r="E322" s="106"/>
      <c r="F322" s="107"/>
      <c r="G322" s="106"/>
      <c r="H322" s="106"/>
      <c r="I322" s="381"/>
      <c r="J322" s="106"/>
      <c r="K322" s="106"/>
      <c r="L322" s="106"/>
    </row>
    <row r="323" spans="1:12">
      <c r="A323" s="106"/>
      <c r="B323" s="106"/>
      <c r="C323" s="107"/>
      <c r="D323" s="106"/>
      <c r="E323" s="106"/>
      <c r="F323" s="107"/>
      <c r="G323" s="106"/>
      <c r="H323" s="106"/>
      <c r="I323" s="381"/>
      <c r="J323" s="106"/>
      <c r="K323" s="106"/>
      <c r="L323" s="106"/>
    </row>
    <row r="324" spans="1:12">
      <c r="A324" s="106"/>
      <c r="B324" s="106"/>
      <c r="C324" s="107"/>
      <c r="D324" s="106"/>
      <c r="E324" s="106"/>
      <c r="F324" s="107"/>
      <c r="G324" s="106"/>
      <c r="H324" s="106"/>
      <c r="I324" s="381"/>
      <c r="J324" s="106"/>
      <c r="K324" s="106"/>
      <c r="L324" s="106"/>
    </row>
    <row r="325" spans="1:12">
      <c r="A325" s="106"/>
      <c r="B325" s="106"/>
      <c r="C325" s="107"/>
      <c r="D325" s="106"/>
      <c r="E325" s="106"/>
      <c r="F325" s="107"/>
      <c r="G325" s="106"/>
      <c r="H325" s="106"/>
      <c r="I325" s="381"/>
      <c r="J325" s="106"/>
      <c r="K325" s="106"/>
      <c r="L325" s="106"/>
    </row>
    <row r="326" spans="1:12">
      <c r="A326" s="106"/>
      <c r="B326" s="106"/>
      <c r="C326" s="107"/>
      <c r="D326" s="106"/>
      <c r="E326" s="106"/>
      <c r="F326" s="107"/>
      <c r="G326" s="106"/>
      <c r="H326" s="106"/>
      <c r="I326" s="381"/>
      <c r="J326" s="106"/>
      <c r="K326" s="106"/>
      <c r="L326" s="106"/>
    </row>
    <row r="327" spans="1:12">
      <c r="A327" s="106"/>
      <c r="B327" s="106"/>
      <c r="C327" s="107"/>
      <c r="D327" s="106"/>
      <c r="E327" s="106"/>
      <c r="F327" s="107"/>
      <c r="G327" s="106"/>
      <c r="H327" s="106"/>
      <c r="I327" s="381"/>
      <c r="J327" s="106"/>
      <c r="K327" s="106"/>
      <c r="L327" s="106"/>
    </row>
    <row r="328" spans="1:12">
      <c r="A328" s="106"/>
      <c r="B328" s="106"/>
      <c r="C328" s="107"/>
      <c r="D328" s="106"/>
      <c r="E328" s="106"/>
      <c r="F328" s="107"/>
      <c r="G328" s="106"/>
      <c r="H328" s="106"/>
      <c r="I328" s="381"/>
      <c r="J328" s="106"/>
      <c r="K328" s="106"/>
      <c r="L328" s="106"/>
    </row>
    <row r="329" spans="1:12">
      <c r="A329" s="106"/>
      <c r="B329" s="106"/>
      <c r="C329" s="107"/>
      <c r="D329" s="106"/>
      <c r="E329" s="106"/>
      <c r="F329" s="107"/>
      <c r="G329" s="106"/>
      <c r="H329" s="106"/>
      <c r="I329" s="381"/>
      <c r="J329" s="106"/>
      <c r="K329" s="106"/>
      <c r="L329" s="106"/>
    </row>
    <row r="330" spans="1:12">
      <c r="A330" s="106"/>
      <c r="B330" s="106"/>
      <c r="C330" s="107"/>
      <c r="D330" s="106"/>
      <c r="E330" s="106"/>
      <c r="F330" s="107"/>
      <c r="G330" s="106"/>
      <c r="H330" s="106"/>
      <c r="I330" s="381"/>
      <c r="J330" s="106"/>
      <c r="K330" s="106"/>
      <c r="L330" s="106"/>
    </row>
    <row r="331" spans="1:12">
      <c r="A331" s="106"/>
      <c r="B331" s="106"/>
      <c r="C331" s="107"/>
      <c r="D331" s="106"/>
      <c r="E331" s="106"/>
      <c r="F331" s="107"/>
      <c r="G331" s="106"/>
      <c r="H331" s="106"/>
      <c r="I331" s="381"/>
      <c r="J331" s="106"/>
      <c r="K331" s="106"/>
      <c r="L331" s="106"/>
    </row>
    <row r="332" spans="1:12">
      <c r="A332" s="106"/>
      <c r="B332" s="106"/>
      <c r="C332" s="107"/>
      <c r="D332" s="106"/>
      <c r="E332" s="106"/>
      <c r="F332" s="107"/>
      <c r="G332" s="106"/>
      <c r="H332" s="106"/>
      <c r="I332" s="381"/>
      <c r="J332" s="106"/>
      <c r="K332" s="106"/>
      <c r="L332" s="106"/>
    </row>
    <row r="333" spans="1:12">
      <c r="A333" s="106"/>
      <c r="B333" s="106"/>
      <c r="C333" s="107"/>
      <c r="D333" s="106"/>
      <c r="E333" s="106"/>
      <c r="F333" s="107"/>
      <c r="G333" s="106"/>
      <c r="H333" s="106"/>
      <c r="I333" s="381"/>
      <c r="J333" s="106"/>
      <c r="K333" s="106"/>
      <c r="L333" s="106"/>
    </row>
    <row r="334" spans="1:12">
      <c r="A334" s="106"/>
      <c r="B334" s="106"/>
      <c r="C334" s="107"/>
      <c r="D334" s="106"/>
      <c r="E334" s="106"/>
      <c r="F334" s="107"/>
      <c r="G334" s="106"/>
      <c r="H334" s="106"/>
      <c r="I334" s="381"/>
      <c r="J334" s="106"/>
      <c r="K334" s="106"/>
      <c r="L334" s="106"/>
    </row>
    <row r="335" spans="1:12">
      <c r="A335" s="106"/>
      <c r="B335" s="106"/>
      <c r="C335" s="107"/>
      <c r="D335" s="106"/>
      <c r="E335" s="106"/>
      <c r="F335" s="107"/>
      <c r="G335" s="106"/>
      <c r="H335" s="106"/>
      <c r="I335" s="381"/>
      <c r="J335" s="106"/>
      <c r="K335" s="106"/>
      <c r="L335" s="106"/>
    </row>
    <row r="336" spans="1:12">
      <c r="A336" s="106"/>
      <c r="B336" s="106"/>
      <c r="C336" s="107"/>
      <c r="D336" s="106"/>
      <c r="E336" s="106"/>
      <c r="F336" s="107"/>
      <c r="G336" s="106"/>
      <c r="H336" s="106"/>
      <c r="I336" s="381"/>
      <c r="J336" s="106"/>
      <c r="K336" s="106"/>
      <c r="L336" s="106"/>
    </row>
    <row r="337" spans="1:12">
      <c r="A337" s="106"/>
      <c r="B337" s="106"/>
      <c r="C337" s="107"/>
      <c r="D337" s="106"/>
      <c r="E337" s="106"/>
      <c r="F337" s="107"/>
      <c r="G337" s="106"/>
      <c r="H337" s="106"/>
      <c r="I337" s="381"/>
      <c r="J337" s="106"/>
      <c r="K337" s="106"/>
      <c r="L337" s="106"/>
    </row>
    <row r="338" spans="1:12">
      <c r="A338" s="106"/>
      <c r="B338" s="106"/>
      <c r="C338" s="107"/>
      <c r="D338" s="106"/>
      <c r="E338" s="106"/>
      <c r="F338" s="107"/>
      <c r="G338" s="106"/>
      <c r="H338" s="106"/>
      <c r="I338" s="381"/>
      <c r="J338" s="106"/>
      <c r="K338" s="106"/>
      <c r="L338" s="106"/>
    </row>
    <row r="339" spans="1:12">
      <c r="A339" s="106"/>
      <c r="B339" s="106"/>
      <c r="C339" s="107"/>
      <c r="D339" s="106"/>
      <c r="E339" s="106"/>
      <c r="F339" s="107"/>
      <c r="G339" s="106"/>
      <c r="H339" s="106"/>
      <c r="I339" s="381"/>
      <c r="J339" s="106"/>
      <c r="K339" s="106"/>
      <c r="L339" s="106"/>
    </row>
    <row r="340" spans="1:12">
      <c r="A340" s="106"/>
      <c r="B340" s="106"/>
      <c r="C340" s="107"/>
      <c r="D340" s="106"/>
      <c r="E340" s="106"/>
      <c r="F340" s="107"/>
      <c r="G340" s="106"/>
      <c r="H340" s="106"/>
      <c r="I340" s="381"/>
      <c r="J340" s="106"/>
      <c r="K340" s="106"/>
      <c r="L340" s="106"/>
    </row>
    <row r="341" spans="1:12">
      <c r="A341" s="106"/>
      <c r="B341" s="106"/>
      <c r="C341" s="107"/>
      <c r="D341" s="106"/>
      <c r="E341" s="106"/>
      <c r="F341" s="107"/>
      <c r="G341" s="106"/>
      <c r="H341" s="106"/>
      <c r="I341" s="381"/>
      <c r="J341" s="106"/>
      <c r="K341" s="106"/>
      <c r="L341" s="106"/>
    </row>
    <row r="342" spans="1:12">
      <c r="A342" s="106"/>
      <c r="B342" s="106"/>
      <c r="C342" s="107"/>
      <c r="D342" s="106"/>
      <c r="E342" s="106"/>
      <c r="F342" s="107"/>
      <c r="G342" s="106"/>
      <c r="H342" s="106"/>
      <c r="I342" s="381"/>
      <c r="J342" s="106"/>
      <c r="K342" s="106"/>
      <c r="L342" s="106"/>
    </row>
    <row r="343" spans="1:12">
      <c r="A343" s="106"/>
      <c r="B343" s="106"/>
      <c r="C343" s="107"/>
      <c r="D343" s="106"/>
      <c r="E343" s="106"/>
      <c r="F343" s="107"/>
      <c r="G343" s="106"/>
      <c r="H343" s="106"/>
      <c r="I343" s="381"/>
      <c r="J343" s="106"/>
      <c r="K343" s="106"/>
      <c r="L343" s="106"/>
    </row>
    <row r="344" spans="1:12">
      <c r="A344" s="106"/>
      <c r="B344" s="106"/>
      <c r="C344" s="107"/>
      <c r="D344" s="106"/>
      <c r="E344" s="106"/>
      <c r="F344" s="107"/>
      <c r="G344" s="106"/>
      <c r="H344" s="106"/>
      <c r="I344" s="381"/>
      <c r="J344" s="106"/>
      <c r="K344" s="106"/>
      <c r="L344" s="106"/>
    </row>
    <row r="345" spans="1:12">
      <c r="A345" s="106"/>
      <c r="B345" s="106"/>
      <c r="C345" s="107"/>
      <c r="D345" s="106"/>
      <c r="E345" s="106"/>
      <c r="F345" s="107"/>
      <c r="G345" s="106"/>
      <c r="H345" s="106"/>
      <c r="I345" s="381"/>
      <c r="J345" s="106"/>
      <c r="K345" s="106"/>
      <c r="L345" s="106"/>
    </row>
    <row r="346" spans="1:12">
      <c r="A346" s="106"/>
      <c r="B346" s="106"/>
      <c r="C346" s="107"/>
      <c r="D346" s="106"/>
      <c r="E346" s="106"/>
      <c r="F346" s="107"/>
      <c r="G346" s="106"/>
      <c r="H346" s="106"/>
      <c r="I346" s="381"/>
      <c r="J346" s="106"/>
      <c r="K346" s="106"/>
      <c r="L346" s="106"/>
    </row>
    <row r="347" spans="1:12">
      <c r="A347" s="106"/>
      <c r="B347" s="106"/>
      <c r="C347" s="107"/>
      <c r="D347" s="106"/>
      <c r="E347" s="106"/>
      <c r="F347" s="107"/>
      <c r="G347" s="106"/>
      <c r="H347" s="106"/>
      <c r="I347" s="381"/>
      <c r="J347" s="106"/>
      <c r="K347" s="106"/>
      <c r="L347" s="106"/>
    </row>
    <row r="348" spans="1:12">
      <c r="A348" s="106"/>
      <c r="B348" s="106"/>
      <c r="C348" s="107"/>
      <c r="D348" s="106"/>
      <c r="E348" s="106"/>
      <c r="F348" s="107"/>
      <c r="G348" s="106"/>
      <c r="H348" s="106"/>
      <c r="I348" s="381"/>
      <c r="J348" s="106"/>
      <c r="K348" s="106"/>
      <c r="L348" s="106"/>
    </row>
    <row r="349" spans="1:12">
      <c r="A349" s="106"/>
      <c r="B349" s="106"/>
      <c r="C349" s="107"/>
      <c r="D349" s="106"/>
      <c r="E349" s="106"/>
      <c r="F349" s="107"/>
      <c r="G349" s="106"/>
      <c r="H349" s="106"/>
      <c r="I349" s="381"/>
      <c r="J349" s="106"/>
      <c r="K349" s="106"/>
      <c r="L349" s="106"/>
    </row>
    <row r="350" spans="1:12">
      <c r="A350" s="106"/>
      <c r="B350" s="106"/>
      <c r="C350" s="107"/>
      <c r="D350" s="106"/>
      <c r="E350" s="106"/>
      <c r="F350" s="107"/>
      <c r="G350" s="106"/>
      <c r="H350" s="106"/>
      <c r="I350" s="381"/>
      <c r="J350" s="106"/>
      <c r="K350" s="106"/>
      <c r="L350" s="106"/>
    </row>
    <row r="351" spans="1:12">
      <c r="A351" s="106"/>
      <c r="B351" s="106"/>
      <c r="C351" s="107"/>
      <c r="D351" s="106"/>
      <c r="E351" s="106"/>
      <c r="F351" s="107"/>
      <c r="G351" s="106"/>
      <c r="H351" s="106"/>
      <c r="I351" s="381"/>
      <c r="J351" s="106"/>
      <c r="K351" s="106"/>
      <c r="L351" s="106"/>
    </row>
    <row r="352" spans="1:12">
      <c r="A352" s="106"/>
      <c r="B352" s="106"/>
      <c r="C352" s="107"/>
      <c r="D352" s="106"/>
      <c r="E352" s="106"/>
      <c r="F352" s="107"/>
      <c r="G352" s="106"/>
      <c r="H352" s="106"/>
      <c r="I352" s="381"/>
      <c r="J352" s="106"/>
      <c r="K352" s="106"/>
      <c r="L352" s="106"/>
    </row>
    <row r="353" spans="1:12">
      <c r="A353" s="106"/>
      <c r="B353" s="106"/>
      <c r="C353" s="107"/>
      <c r="D353" s="106"/>
      <c r="E353" s="106"/>
      <c r="F353" s="107"/>
      <c r="G353" s="106"/>
      <c r="H353" s="106"/>
      <c r="I353" s="381"/>
      <c r="J353" s="106"/>
      <c r="K353" s="106"/>
      <c r="L353" s="106"/>
    </row>
    <row r="354" spans="1:12">
      <c r="A354" s="106"/>
      <c r="B354" s="106"/>
      <c r="C354" s="107"/>
      <c r="D354" s="106"/>
      <c r="E354" s="106"/>
      <c r="F354" s="107"/>
      <c r="G354" s="106"/>
      <c r="H354" s="106"/>
      <c r="I354" s="381"/>
      <c r="J354" s="106"/>
      <c r="K354" s="106"/>
      <c r="L354" s="106"/>
    </row>
    <row r="355" spans="1:12">
      <c r="A355" s="106"/>
      <c r="B355" s="106"/>
      <c r="C355" s="107"/>
      <c r="D355" s="106"/>
      <c r="E355" s="106"/>
      <c r="F355" s="107"/>
      <c r="G355" s="106"/>
      <c r="H355" s="106"/>
      <c r="I355" s="381"/>
      <c r="J355" s="106"/>
      <c r="K355" s="106"/>
      <c r="L355" s="106"/>
    </row>
    <row r="356" spans="1:12">
      <c r="A356" s="106"/>
      <c r="B356" s="106"/>
      <c r="C356" s="107"/>
      <c r="D356" s="106"/>
      <c r="E356" s="106"/>
      <c r="F356" s="107"/>
      <c r="G356" s="106"/>
      <c r="H356" s="106"/>
      <c r="I356" s="381"/>
      <c r="J356" s="106"/>
      <c r="K356" s="106"/>
      <c r="L356" s="106"/>
    </row>
    <row r="357" spans="1:12">
      <c r="A357" s="106"/>
      <c r="B357" s="106"/>
      <c r="C357" s="107"/>
      <c r="D357" s="106"/>
      <c r="E357" s="106"/>
      <c r="F357" s="107"/>
      <c r="G357" s="106"/>
      <c r="H357" s="106"/>
      <c r="I357" s="381"/>
      <c r="J357" s="106"/>
      <c r="K357" s="106"/>
      <c r="L357" s="106"/>
    </row>
    <row r="358" spans="1:12">
      <c r="A358" s="106"/>
      <c r="B358" s="106"/>
      <c r="C358" s="107"/>
      <c r="D358" s="106"/>
      <c r="E358" s="106"/>
      <c r="F358" s="107"/>
      <c r="G358" s="106"/>
      <c r="H358" s="106"/>
      <c r="I358" s="381"/>
      <c r="J358" s="106"/>
      <c r="K358" s="106"/>
      <c r="L358" s="106"/>
    </row>
    <row r="359" spans="1:12">
      <c r="A359" s="106"/>
      <c r="B359" s="106"/>
      <c r="C359" s="107"/>
      <c r="D359" s="106"/>
      <c r="E359" s="106"/>
      <c r="F359" s="107"/>
      <c r="G359" s="106"/>
      <c r="H359" s="106"/>
      <c r="I359" s="381"/>
      <c r="J359" s="106"/>
      <c r="K359" s="106"/>
      <c r="L359" s="106"/>
    </row>
    <row r="360" spans="1:12">
      <c r="A360" s="106"/>
      <c r="B360" s="106"/>
      <c r="C360" s="107"/>
      <c r="D360" s="106"/>
      <c r="E360" s="106"/>
      <c r="F360" s="107"/>
      <c r="G360" s="106"/>
      <c r="H360" s="106"/>
      <c r="I360" s="381"/>
      <c r="J360" s="106"/>
      <c r="K360" s="106"/>
      <c r="L360" s="106"/>
    </row>
    <row r="361" spans="1:12">
      <c r="A361" s="106"/>
      <c r="B361" s="106"/>
      <c r="C361" s="107"/>
      <c r="D361" s="106"/>
      <c r="E361" s="106"/>
      <c r="F361" s="107"/>
      <c r="G361" s="106"/>
      <c r="H361" s="106"/>
      <c r="I361" s="381"/>
      <c r="J361" s="106"/>
      <c r="K361" s="106"/>
      <c r="L361" s="106"/>
    </row>
    <row r="362" spans="1:12">
      <c r="A362" s="106"/>
      <c r="B362" s="106"/>
      <c r="C362" s="107"/>
      <c r="D362" s="106"/>
      <c r="E362" s="106"/>
      <c r="F362" s="107"/>
      <c r="G362" s="106"/>
      <c r="H362" s="106"/>
      <c r="I362" s="381"/>
      <c r="J362" s="106"/>
      <c r="K362" s="106"/>
      <c r="L362" s="106"/>
    </row>
    <row r="363" spans="1:12">
      <c r="A363" s="106"/>
      <c r="B363" s="106"/>
      <c r="C363" s="107"/>
      <c r="D363" s="106"/>
      <c r="E363" s="106"/>
      <c r="F363" s="107"/>
      <c r="G363" s="106"/>
      <c r="H363" s="106"/>
      <c r="I363" s="381"/>
      <c r="J363" s="106"/>
      <c r="K363" s="106"/>
      <c r="L363" s="106"/>
    </row>
    <row r="364" spans="1:12">
      <c r="A364" s="106"/>
      <c r="B364" s="106"/>
      <c r="C364" s="107"/>
      <c r="D364" s="106"/>
      <c r="E364" s="106"/>
      <c r="F364" s="107"/>
      <c r="G364" s="106"/>
      <c r="H364" s="106"/>
      <c r="I364" s="381"/>
      <c r="J364" s="106"/>
      <c r="K364" s="106"/>
      <c r="L364" s="106"/>
    </row>
    <row r="365" spans="1:12">
      <c r="A365" s="106"/>
      <c r="B365" s="106"/>
      <c r="C365" s="107"/>
      <c r="D365" s="106"/>
      <c r="E365" s="106"/>
      <c r="F365" s="107"/>
      <c r="G365" s="106"/>
      <c r="H365" s="106"/>
      <c r="I365" s="381"/>
      <c r="J365" s="106"/>
      <c r="K365" s="106"/>
      <c r="L365" s="106"/>
    </row>
    <row r="366" spans="1:12">
      <c r="A366" s="106"/>
      <c r="B366" s="106"/>
      <c r="C366" s="107"/>
      <c r="D366" s="106"/>
      <c r="E366" s="106"/>
      <c r="F366" s="107"/>
      <c r="G366" s="106"/>
      <c r="H366" s="106"/>
      <c r="I366" s="381"/>
      <c r="J366" s="106"/>
      <c r="K366" s="106"/>
      <c r="L366" s="106"/>
    </row>
    <row r="367" spans="1:12">
      <c r="A367" s="106"/>
      <c r="B367" s="106"/>
      <c r="C367" s="107"/>
      <c r="D367" s="106"/>
      <c r="E367" s="106"/>
      <c r="F367" s="107"/>
      <c r="G367" s="106"/>
      <c r="H367" s="106"/>
      <c r="I367" s="381"/>
      <c r="J367" s="106"/>
      <c r="K367" s="106"/>
      <c r="L367" s="106"/>
    </row>
    <row r="368" spans="1:12">
      <c r="A368" s="106"/>
      <c r="B368" s="106"/>
      <c r="C368" s="107"/>
      <c r="D368" s="106"/>
      <c r="E368" s="106"/>
      <c r="F368" s="107"/>
      <c r="G368" s="106"/>
      <c r="H368" s="106"/>
      <c r="I368" s="381"/>
      <c r="J368" s="106"/>
      <c r="K368" s="106"/>
      <c r="L368" s="106"/>
    </row>
    <row r="369" spans="1:12">
      <c r="A369" s="106"/>
      <c r="B369" s="106"/>
      <c r="C369" s="107"/>
      <c r="D369" s="106"/>
      <c r="E369" s="106"/>
      <c r="F369" s="107"/>
      <c r="G369" s="106"/>
      <c r="H369" s="106"/>
      <c r="I369" s="381"/>
      <c r="J369" s="106"/>
      <c r="K369" s="106"/>
      <c r="L369" s="106"/>
    </row>
    <row r="370" spans="1:12">
      <c r="A370" s="106"/>
      <c r="B370" s="106"/>
      <c r="C370" s="107"/>
      <c r="D370" s="106"/>
      <c r="E370" s="106"/>
      <c r="F370" s="107"/>
      <c r="G370" s="106"/>
      <c r="H370" s="106"/>
      <c r="I370" s="381"/>
      <c r="J370" s="106"/>
      <c r="K370" s="106"/>
      <c r="L370" s="106"/>
    </row>
    <row r="371" spans="1:12">
      <c r="A371" s="106"/>
      <c r="B371" s="106"/>
      <c r="C371" s="107"/>
      <c r="D371" s="106"/>
      <c r="E371" s="106"/>
      <c r="F371" s="107"/>
      <c r="G371" s="106"/>
      <c r="H371" s="106"/>
      <c r="I371" s="381"/>
      <c r="J371" s="106"/>
      <c r="K371" s="106"/>
      <c r="L371" s="106"/>
    </row>
    <row r="372" spans="1:12">
      <c r="A372" s="106"/>
      <c r="B372" s="106"/>
      <c r="C372" s="107"/>
      <c r="D372" s="106"/>
      <c r="E372" s="106"/>
      <c r="F372" s="107"/>
      <c r="G372" s="106"/>
      <c r="H372" s="106"/>
      <c r="I372" s="381"/>
      <c r="J372" s="106"/>
      <c r="K372" s="106"/>
      <c r="L372" s="106"/>
    </row>
    <row r="373" spans="1:12">
      <c r="A373" s="106"/>
      <c r="B373" s="106"/>
      <c r="C373" s="107"/>
      <c r="D373" s="106"/>
      <c r="E373" s="106"/>
      <c r="F373" s="107"/>
      <c r="G373" s="106"/>
      <c r="H373" s="106"/>
      <c r="I373" s="381"/>
      <c r="J373" s="106"/>
      <c r="K373" s="106"/>
      <c r="L373" s="106"/>
    </row>
    <row r="374" spans="1:12">
      <c r="A374" s="106"/>
      <c r="B374" s="106"/>
      <c r="C374" s="107"/>
      <c r="D374" s="106"/>
      <c r="E374" s="106"/>
      <c r="F374" s="107"/>
      <c r="G374" s="106"/>
      <c r="H374" s="106"/>
      <c r="I374" s="381"/>
      <c r="J374" s="106"/>
      <c r="K374" s="106"/>
      <c r="L374" s="106"/>
    </row>
    <row r="375" spans="1:12">
      <c r="A375" s="106"/>
      <c r="B375" s="106"/>
      <c r="C375" s="107"/>
      <c r="D375" s="106"/>
      <c r="E375" s="106"/>
      <c r="F375" s="107"/>
      <c r="G375" s="106"/>
      <c r="H375" s="106"/>
      <c r="I375" s="381"/>
      <c r="J375" s="106"/>
      <c r="K375" s="106"/>
      <c r="L375" s="106"/>
    </row>
    <row r="376" spans="1:12">
      <c r="A376" s="106"/>
      <c r="B376" s="106"/>
      <c r="C376" s="107"/>
      <c r="D376" s="106"/>
      <c r="E376" s="106"/>
      <c r="F376" s="107"/>
      <c r="G376" s="106"/>
      <c r="H376" s="106"/>
      <c r="I376" s="381"/>
      <c r="J376" s="106"/>
      <c r="K376" s="106"/>
      <c r="L376" s="106"/>
    </row>
    <row r="377" spans="1:12">
      <c r="A377" s="106"/>
      <c r="B377" s="106"/>
      <c r="C377" s="107"/>
      <c r="D377" s="106"/>
      <c r="E377" s="106"/>
      <c r="F377" s="107"/>
      <c r="G377" s="106"/>
      <c r="H377" s="106"/>
      <c r="I377" s="381"/>
      <c r="J377" s="106"/>
      <c r="K377" s="106"/>
      <c r="L377" s="106"/>
    </row>
    <row r="378" spans="1:12">
      <c r="A378" s="106"/>
      <c r="B378" s="106"/>
      <c r="C378" s="107"/>
      <c r="D378" s="106"/>
      <c r="E378" s="106"/>
      <c r="F378" s="107"/>
      <c r="G378" s="106"/>
      <c r="H378" s="106"/>
      <c r="I378" s="381"/>
      <c r="J378" s="106"/>
      <c r="K378" s="106"/>
      <c r="L378" s="106"/>
    </row>
    <row r="379" spans="1:12">
      <c r="A379" s="106"/>
      <c r="B379" s="106"/>
      <c r="C379" s="107"/>
      <c r="D379" s="106"/>
      <c r="E379" s="106"/>
      <c r="F379" s="107"/>
      <c r="G379" s="106"/>
      <c r="H379" s="106"/>
      <c r="I379" s="381"/>
      <c r="J379" s="106"/>
      <c r="K379" s="106"/>
      <c r="L379" s="106"/>
    </row>
    <row r="380" spans="1:12">
      <c r="A380" s="106"/>
      <c r="B380" s="106"/>
      <c r="C380" s="107"/>
      <c r="D380" s="106"/>
      <c r="E380" s="106"/>
      <c r="F380" s="107"/>
      <c r="G380" s="106"/>
      <c r="H380" s="106"/>
      <c r="I380" s="381"/>
      <c r="J380" s="106"/>
      <c r="K380" s="106"/>
      <c r="L380" s="106"/>
    </row>
    <row r="381" spans="1:12">
      <c r="A381" s="106"/>
      <c r="B381" s="106"/>
      <c r="C381" s="107"/>
      <c r="D381" s="106"/>
      <c r="E381" s="106"/>
      <c r="F381" s="107"/>
      <c r="G381" s="106"/>
      <c r="H381" s="106"/>
      <c r="I381" s="381"/>
      <c r="J381" s="106"/>
      <c r="K381" s="106"/>
      <c r="L381" s="106"/>
    </row>
    <row r="382" spans="1:12">
      <c r="A382" s="106"/>
      <c r="B382" s="106"/>
      <c r="C382" s="107"/>
      <c r="D382" s="106"/>
      <c r="E382" s="106"/>
      <c r="F382" s="107"/>
      <c r="G382" s="106"/>
      <c r="H382" s="106"/>
      <c r="I382" s="381"/>
      <c r="J382" s="106"/>
      <c r="K382" s="106"/>
      <c r="L382" s="106"/>
    </row>
    <row r="383" spans="1:12">
      <c r="A383" s="106"/>
      <c r="B383" s="106"/>
      <c r="C383" s="107"/>
      <c r="D383" s="106"/>
      <c r="E383" s="106"/>
      <c r="F383" s="107"/>
      <c r="G383" s="106"/>
      <c r="H383" s="106"/>
      <c r="I383" s="381"/>
      <c r="J383" s="106"/>
      <c r="K383" s="106"/>
      <c r="L383" s="106"/>
    </row>
    <row r="384" spans="1:12">
      <c r="A384" s="106"/>
      <c r="B384" s="106"/>
      <c r="C384" s="107"/>
      <c r="D384" s="106"/>
      <c r="E384" s="106"/>
      <c r="F384" s="107"/>
      <c r="G384" s="106"/>
      <c r="H384" s="106"/>
      <c r="I384" s="381"/>
      <c r="J384" s="106"/>
      <c r="K384" s="106"/>
      <c r="L384" s="106"/>
    </row>
    <row r="385" spans="1:12">
      <c r="A385" s="106"/>
      <c r="B385" s="106"/>
      <c r="C385" s="107"/>
      <c r="D385" s="106"/>
      <c r="E385" s="106"/>
      <c r="F385" s="107"/>
      <c r="G385" s="106"/>
      <c r="H385" s="106"/>
      <c r="I385" s="381"/>
      <c r="J385" s="106"/>
      <c r="K385" s="106"/>
      <c r="L385" s="106"/>
    </row>
    <row r="386" spans="1:12">
      <c r="A386" s="106"/>
      <c r="B386" s="106"/>
      <c r="C386" s="107"/>
      <c r="D386" s="106"/>
      <c r="E386" s="106"/>
      <c r="F386" s="107"/>
      <c r="G386" s="106"/>
      <c r="H386" s="106"/>
      <c r="I386" s="381"/>
      <c r="J386" s="106"/>
      <c r="K386" s="106"/>
      <c r="L386" s="106"/>
    </row>
    <row r="387" spans="1:12">
      <c r="A387" s="106"/>
      <c r="B387" s="106"/>
      <c r="C387" s="107"/>
      <c r="D387" s="106"/>
      <c r="E387" s="106"/>
      <c r="F387" s="107"/>
      <c r="G387" s="106"/>
      <c r="H387" s="106"/>
      <c r="I387" s="381"/>
      <c r="J387" s="106"/>
      <c r="K387" s="106"/>
      <c r="L387" s="106"/>
    </row>
    <row r="388" spans="1:12">
      <c r="A388" s="106"/>
      <c r="B388" s="106"/>
      <c r="C388" s="107"/>
      <c r="D388" s="106"/>
      <c r="E388" s="106"/>
      <c r="F388" s="107"/>
      <c r="G388" s="106"/>
      <c r="H388" s="106"/>
      <c r="I388" s="381"/>
      <c r="J388" s="106"/>
      <c r="K388" s="106"/>
      <c r="L388" s="106"/>
    </row>
    <row r="389" spans="1:12">
      <c r="A389" s="106"/>
      <c r="B389" s="106"/>
      <c r="C389" s="107"/>
      <c r="D389" s="106"/>
      <c r="E389" s="106"/>
      <c r="F389" s="107"/>
      <c r="G389" s="106"/>
      <c r="H389" s="106"/>
      <c r="I389" s="381"/>
      <c r="J389" s="106"/>
      <c r="K389" s="106"/>
      <c r="L389" s="106"/>
    </row>
    <row r="390" spans="1:12">
      <c r="A390" s="106"/>
      <c r="B390" s="106"/>
      <c r="C390" s="107"/>
      <c r="D390" s="106"/>
      <c r="E390" s="106"/>
      <c r="F390" s="107"/>
      <c r="G390" s="106"/>
      <c r="H390" s="106"/>
      <c r="I390" s="381"/>
      <c r="J390" s="106"/>
      <c r="K390" s="106"/>
      <c r="L390" s="106"/>
    </row>
    <row r="391" spans="1:12">
      <c r="A391" s="106"/>
      <c r="B391" s="106"/>
      <c r="C391" s="107"/>
      <c r="D391" s="106"/>
      <c r="E391" s="106"/>
      <c r="F391" s="107"/>
      <c r="G391" s="106"/>
      <c r="H391" s="106"/>
      <c r="I391" s="381"/>
      <c r="J391" s="106"/>
      <c r="K391" s="106"/>
      <c r="L391" s="106"/>
    </row>
    <row r="392" spans="1:12">
      <c r="A392" s="106"/>
      <c r="B392" s="106"/>
      <c r="C392" s="107"/>
      <c r="D392" s="106"/>
      <c r="E392" s="106"/>
      <c r="F392" s="107"/>
      <c r="G392" s="106"/>
      <c r="H392" s="106"/>
      <c r="I392" s="381"/>
      <c r="J392" s="106"/>
      <c r="K392" s="106"/>
      <c r="L392" s="106"/>
    </row>
    <row r="393" spans="1:12">
      <c r="A393" s="106"/>
      <c r="B393" s="106"/>
      <c r="C393" s="107"/>
      <c r="D393" s="106"/>
      <c r="E393" s="106"/>
      <c r="F393" s="107"/>
      <c r="G393" s="106"/>
      <c r="H393" s="106"/>
      <c r="I393" s="381"/>
      <c r="J393" s="106"/>
      <c r="K393" s="106"/>
      <c r="L393" s="106"/>
    </row>
    <row r="394" spans="1:12">
      <c r="A394" s="106"/>
      <c r="B394" s="106"/>
      <c r="C394" s="107"/>
      <c r="D394" s="106"/>
      <c r="E394" s="106"/>
      <c r="F394" s="107"/>
      <c r="G394" s="106"/>
      <c r="H394" s="106"/>
      <c r="I394" s="381"/>
      <c r="J394" s="106"/>
      <c r="K394" s="106"/>
      <c r="L394" s="106"/>
    </row>
    <row r="395" spans="1:12">
      <c r="A395" s="106"/>
      <c r="B395" s="106"/>
      <c r="C395" s="107"/>
      <c r="D395" s="106"/>
      <c r="E395" s="106"/>
      <c r="F395" s="107"/>
      <c r="G395" s="106"/>
      <c r="H395" s="106"/>
      <c r="I395" s="381"/>
      <c r="J395" s="106"/>
      <c r="K395" s="106"/>
      <c r="L395" s="106"/>
    </row>
    <row r="396" spans="1:12">
      <c r="A396" s="106"/>
      <c r="B396" s="106"/>
      <c r="C396" s="107"/>
      <c r="D396" s="106"/>
      <c r="E396" s="106"/>
      <c r="F396" s="107"/>
      <c r="G396" s="106"/>
      <c r="H396" s="106"/>
      <c r="I396" s="381"/>
      <c r="J396" s="106"/>
      <c r="K396" s="106"/>
      <c r="L396" s="106"/>
    </row>
    <row r="397" spans="1:12">
      <c r="A397" s="106"/>
      <c r="B397" s="106"/>
      <c r="C397" s="107"/>
      <c r="D397" s="106"/>
      <c r="E397" s="106"/>
      <c r="F397" s="107"/>
      <c r="G397" s="106"/>
      <c r="H397" s="106"/>
      <c r="I397" s="381"/>
      <c r="J397" s="106"/>
      <c r="K397" s="106"/>
      <c r="L397" s="106"/>
    </row>
    <row r="398" spans="1:12">
      <c r="A398" s="106"/>
      <c r="B398" s="106"/>
      <c r="C398" s="107"/>
      <c r="D398" s="106"/>
      <c r="E398" s="106"/>
      <c r="F398" s="107"/>
      <c r="G398" s="106"/>
      <c r="H398" s="106"/>
      <c r="I398" s="381"/>
      <c r="J398" s="106"/>
      <c r="K398" s="106"/>
      <c r="L398" s="106"/>
    </row>
    <row r="399" spans="1:12">
      <c r="A399" s="106"/>
      <c r="B399" s="106"/>
      <c r="C399" s="107"/>
      <c r="D399" s="106"/>
      <c r="E399" s="106"/>
      <c r="F399" s="107"/>
      <c r="G399" s="106"/>
      <c r="H399" s="106"/>
      <c r="I399" s="381"/>
      <c r="J399" s="106"/>
      <c r="K399" s="106"/>
      <c r="L399" s="106"/>
    </row>
    <row r="400" spans="1:12">
      <c r="A400" s="106"/>
      <c r="B400" s="106"/>
      <c r="C400" s="107"/>
      <c r="D400" s="106"/>
      <c r="E400" s="106"/>
      <c r="F400" s="107"/>
      <c r="G400" s="106"/>
      <c r="H400" s="106"/>
      <c r="I400" s="381"/>
      <c r="J400" s="106"/>
      <c r="K400" s="106"/>
      <c r="L400" s="106"/>
    </row>
    <row r="401" spans="1:12">
      <c r="A401" s="106"/>
      <c r="B401" s="106"/>
      <c r="C401" s="107"/>
      <c r="D401" s="106"/>
      <c r="E401" s="106"/>
      <c r="F401" s="107"/>
      <c r="G401" s="106"/>
      <c r="H401" s="106"/>
      <c r="I401" s="381"/>
      <c r="J401" s="106"/>
      <c r="K401" s="106"/>
      <c r="L401" s="106"/>
    </row>
    <row r="402" spans="1:12">
      <c r="A402" s="106"/>
      <c r="B402" s="106"/>
      <c r="C402" s="107"/>
      <c r="D402" s="106"/>
      <c r="E402" s="106"/>
      <c r="F402" s="107"/>
      <c r="G402" s="106"/>
      <c r="H402" s="106"/>
      <c r="I402" s="381"/>
      <c r="J402" s="106"/>
      <c r="K402" s="106"/>
      <c r="L402" s="106"/>
    </row>
    <row r="403" spans="1:12">
      <c r="A403" s="106"/>
      <c r="B403" s="106"/>
      <c r="C403" s="107"/>
      <c r="D403" s="106"/>
      <c r="E403" s="106"/>
      <c r="F403" s="107"/>
      <c r="G403" s="106"/>
      <c r="H403" s="106"/>
      <c r="I403" s="381"/>
      <c r="J403" s="106"/>
      <c r="K403" s="106"/>
      <c r="L403" s="106"/>
    </row>
    <row r="404" spans="1:12">
      <c r="A404" s="106"/>
      <c r="B404" s="106"/>
      <c r="C404" s="107"/>
      <c r="D404" s="106"/>
      <c r="E404" s="106"/>
      <c r="F404" s="107"/>
      <c r="G404" s="106"/>
      <c r="H404" s="106"/>
      <c r="I404" s="381"/>
      <c r="J404" s="106"/>
      <c r="K404" s="106"/>
      <c r="L404" s="106"/>
    </row>
    <row r="405" spans="1:12">
      <c r="A405" s="106"/>
      <c r="B405" s="106"/>
      <c r="C405" s="107"/>
      <c r="D405" s="106"/>
      <c r="E405" s="106"/>
      <c r="F405" s="107"/>
      <c r="G405" s="106"/>
      <c r="H405" s="106"/>
      <c r="I405" s="381"/>
      <c r="J405" s="106"/>
      <c r="K405" s="106"/>
      <c r="L405" s="106"/>
    </row>
    <row r="406" spans="1:12">
      <c r="A406" s="106"/>
      <c r="B406" s="106"/>
      <c r="C406" s="107"/>
      <c r="D406" s="106"/>
      <c r="E406" s="106"/>
      <c r="F406" s="107"/>
      <c r="G406" s="106"/>
      <c r="H406" s="106"/>
      <c r="I406" s="381"/>
      <c r="J406" s="106"/>
      <c r="K406" s="106"/>
      <c r="L406" s="106"/>
    </row>
    <row r="407" spans="1:12">
      <c r="A407" s="106"/>
      <c r="B407" s="106"/>
      <c r="C407" s="107"/>
      <c r="D407" s="106"/>
      <c r="E407" s="106"/>
      <c r="F407" s="107"/>
      <c r="G407" s="106"/>
      <c r="H407" s="106"/>
      <c r="I407" s="381"/>
      <c r="J407" s="106"/>
      <c r="K407" s="106"/>
      <c r="L407" s="106"/>
    </row>
    <row r="408" spans="1:12">
      <c r="A408" s="106"/>
      <c r="B408" s="106"/>
      <c r="C408" s="107"/>
      <c r="D408" s="106"/>
      <c r="E408" s="106"/>
      <c r="F408" s="107"/>
      <c r="G408" s="106"/>
      <c r="H408" s="106"/>
      <c r="I408" s="381"/>
      <c r="J408" s="106"/>
      <c r="K408" s="106"/>
      <c r="L408" s="106"/>
    </row>
    <row r="409" spans="1:12">
      <c r="A409" s="106"/>
      <c r="B409" s="106"/>
      <c r="C409" s="107"/>
      <c r="D409" s="106"/>
      <c r="E409" s="106"/>
      <c r="F409" s="107"/>
      <c r="G409" s="106"/>
      <c r="H409" s="106"/>
      <c r="I409" s="381"/>
      <c r="J409" s="106"/>
      <c r="K409" s="106"/>
      <c r="L409" s="106"/>
    </row>
    <row r="410" spans="1:12">
      <c r="A410" s="106"/>
      <c r="B410" s="106"/>
      <c r="C410" s="107"/>
      <c r="D410" s="106"/>
      <c r="E410" s="106"/>
      <c r="F410" s="107"/>
      <c r="G410" s="106"/>
      <c r="H410" s="106"/>
      <c r="I410" s="381"/>
      <c r="J410" s="106"/>
      <c r="K410" s="106"/>
      <c r="L410" s="106"/>
    </row>
    <row r="411" spans="1:12">
      <c r="A411" s="106"/>
      <c r="B411" s="106"/>
      <c r="C411" s="107"/>
      <c r="D411" s="106"/>
      <c r="E411" s="106"/>
      <c r="F411" s="107"/>
      <c r="G411" s="106"/>
      <c r="H411" s="106"/>
      <c r="I411" s="381"/>
      <c r="J411" s="106"/>
      <c r="K411" s="106"/>
      <c r="L411" s="106"/>
    </row>
    <row r="412" spans="1:12">
      <c r="A412" s="106"/>
      <c r="B412" s="106"/>
      <c r="C412" s="107"/>
      <c r="D412" s="106"/>
      <c r="E412" s="106"/>
      <c r="F412" s="107"/>
      <c r="G412" s="106"/>
      <c r="H412" s="106"/>
      <c r="I412" s="381"/>
      <c r="J412" s="106"/>
      <c r="K412" s="106"/>
      <c r="L412" s="106"/>
    </row>
    <row r="413" spans="1:12">
      <c r="A413" s="106"/>
      <c r="B413" s="106"/>
      <c r="C413" s="107"/>
      <c r="D413" s="106"/>
      <c r="E413" s="106"/>
      <c r="F413" s="107"/>
      <c r="G413" s="106"/>
      <c r="H413" s="106"/>
      <c r="I413" s="381"/>
      <c r="J413" s="106"/>
      <c r="K413" s="106"/>
      <c r="L413" s="106"/>
    </row>
    <row r="414" spans="1:12">
      <c r="A414" s="106"/>
      <c r="B414" s="106"/>
      <c r="C414" s="107"/>
      <c r="D414" s="106"/>
      <c r="E414" s="106"/>
      <c r="F414" s="107"/>
      <c r="G414" s="106"/>
      <c r="H414" s="106"/>
      <c r="I414" s="381"/>
      <c r="J414" s="106"/>
      <c r="K414" s="106"/>
      <c r="L414" s="106"/>
    </row>
    <row r="415" spans="1:12">
      <c r="A415" s="106"/>
      <c r="B415" s="106"/>
      <c r="C415" s="107"/>
      <c r="D415" s="106"/>
      <c r="E415" s="106"/>
      <c r="F415" s="107"/>
      <c r="G415" s="106"/>
      <c r="H415" s="106"/>
      <c r="I415" s="381"/>
      <c r="J415" s="106"/>
      <c r="K415" s="106"/>
      <c r="L415" s="106"/>
    </row>
    <row r="416" spans="1:12">
      <c r="A416" s="106"/>
      <c r="B416" s="106"/>
      <c r="C416" s="107"/>
      <c r="D416" s="106"/>
      <c r="E416" s="106"/>
      <c r="F416" s="107"/>
      <c r="G416" s="106"/>
      <c r="H416" s="106"/>
      <c r="I416" s="381"/>
      <c r="J416" s="106"/>
      <c r="K416" s="106"/>
      <c r="L416" s="106"/>
    </row>
    <row r="417" spans="1:12">
      <c r="A417" s="106"/>
      <c r="B417" s="106"/>
      <c r="C417" s="107"/>
      <c r="D417" s="106"/>
      <c r="E417" s="106"/>
      <c r="F417" s="107"/>
      <c r="G417" s="106"/>
      <c r="H417" s="106"/>
      <c r="I417" s="381"/>
      <c r="J417" s="106"/>
      <c r="K417" s="106"/>
      <c r="L417" s="106"/>
    </row>
    <row r="418" spans="1:12">
      <c r="A418" s="106"/>
      <c r="B418" s="106"/>
      <c r="C418" s="107"/>
      <c r="D418" s="106"/>
      <c r="E418" s="106"/>
      <c r="F418" s="107"/>
      <c r="G418" s="106"/>
      <c r="H418" s="106"/>
      <c r="I418" s="381"/>
      <c r="J418" s="106"/>
      <c r="K418" s="106"/>
      <c r="L418" s="106"/>
    </row>
    <row r="419" spans="1:12">
      <c r="A419" s="106"/>
      <c r="B419" s="106"/>
      <c r="C419" s="107"/>
      <c r="D419" s="106"/>
      <c r="E419" s="106"/>
      <c r="F419" s="107"/>
      <c r="G419" s="106"/>
      <c r="H419" s="106"/>
      <c r="I419" s="381"/>
      <c r="J419" s="106"/>
      <c r="K419" s="106"/>
      <c r="L419" s="106"/>
    </row>
    <row r="420" spans="1:12">
      <c r="A420" s="106"/>
      <c r="B420" s="106"/>
      <c r="C420" s="107"/>
      <c r="D420" s="106"/>
      <c r="E420" s="106"/>
      <c r="F420" s="107"/>
      <c r="G420" s="106"/>
      <c r="H420" s="106"/>
      <c r="I420" s="381"/>
      <c r="J420" s="106"/>
      <c r="K420" s="106"/>
      <c r="L420" s="106"/>
    </row>
    <row r="421" spans="1:12">
      <c r="A421" s="106"/>
      <c r="B421" s="106"/>
      <c r="C421" s="107"/>
      <c r="D421" s="106"/>
      <c r="E421" s="106"/>
      <c r="F421" s="107"/>
      <c r="G421" s="106"/>
      <c r="H421" s="106"/>
      <c r="I421" s="381"/>
      <c r="J421" s="106"/>
      <c r="K421" s="106"/>
      <c r="L421" s="106"/>
    </row>
    <row r="422" spans="1:12">
      <c r="A422" s="106"/>
      <c r="B422" s="106"/>
      <c r="C422" s="107"/>
      <c r="D422" s="106"/>
      <c r="E422" s="106"/>
      <c r="F422" s="107"/>
      <c r="G422" s="106"/>
      <c r="H422" s="106"/>
      <c r="I422" s="381"/>
      <c r="J422" s="106"/>
      <c r="K422" s="106"/>
      <c r="L422" s="106"/>
    </row>
    <row r="423" spans="1:12">
      <c r="A423" s="106"/>
      <c r="B423" s="106"/>
      <c r="C423" s="107"/>
      <c r="D423" s="106"/>
      <c r="E423" s="106"/>
      <c r="F423" s="107"/>
      <c r="G423" s="106"/>
      <c r="H423" s="106"/>
      <c r="I423" s="381"/>
      <c r="J423" s="106"/>
      <c r="K423" s="106"/>
      <c r="L423" s="106"/>
    </row>
    <row r="424" spans="1:12">
      <c r="A424" s="106"/>
      <c r="B424" s="106"/>
      <c r="C424" s="107"/>
      <c r="D424" s="106"/>
      <c r="E424" s="106"/>
      <c r="F424" s="107"/>
      <c r="G424" s="106"/>
      <c r="H424" s="106"/>
      <c r="I424" s="381"/>
      <c r="J424" s="106"/>
      <c r="K424" s="106"/>
      <c r="L424" s="106"/>
    </row>
    <row r="425" spans="1:12">
      <c r="A425" s="106"/>
      <c r="B425" s="106"/>
      <c r="C425" s="107"/>
      <c r="D425" s="106"/>
      <c r="E425" s="106"/>
      <c r="F425" s="107"/>
      <c r="G425" s="106"/>
      <c r="H425" s="106"/>
      <c r="I425" s="381"/>
      <c r="J425" s="106"/>
      <c r="K425" s="106"/>
      <c r="L425" s="106"/>
    </row>
    <row r="426" spans="1:12">
      <c r="A426" s="106"/>
      <c r="B426" s="106"/>
      <c r="C426" s="107"/>
      <c r="D426" s="106"/>
      <c r="E426" s="106"/>
      <c r="F426" s="107"/>
      <c r="G426" s="106"/>
      <c r="H426" s="106"/>
      <c r="I426" s="381"/>
      <c r="J426" s="106"/>
      <c r="K426" s="106"/>
      <c r="L426" s="106"/>
    </row>
    <row r="427" spans="1:12">
      <c r="A427" s="106"/>
      <c r="B427" s="106"/>
      <c r="C427" s="107"/>
      <c r="D427" s="106"/>
      <c r="E427" s="106"/>
      <c r="F427" s="107"/>
      <c r="G427" s="106"/>
      <c r="H427" s="106"/>
      <c r="I427" s="381"/>
      <c r="J427" s="106"/>
      <c r="K427" s="106"/>
      <c r="L427" s="106"/>
    </row>
    <row r="428" spans="1:12">
      <c r="A428" s="106"/>
      <c r="B428" s="106"/>
      <c r="C428" s="107"/>
      <c r="D428" s="106"/>
      <c r="E428" s="106"/>
      <c r="F428" s="107"/>
      <c r="G428" s="106"/>
      <c r="H428" s="106"/>
      <c r="I428" s="381"/>
      <c r="J428" s="106"/>
      <c r="K428" s="106"/>
      <c r="L428" s="106"/>
    </row>
    <row r="429" spans="1:12">
      <c r="A429" s="106"/>
      <c r="B429" s="106"/>
      <c r="C429" s="107"/>
      <c r="D429" s="106"/>
      <c r="E429" s="106"/>
      <c r="F429" s="107"/>
      <c r="G429" s="106"/>
      <c r="H429" s="106"/>
      <c r="I429" s="381"/>
      <c r="J429" s="106"/>
      <c r="K429" s="106"/>
      <c r="L429" s="106"/>
    </row>
    <row r="430" spans="1:12">
      <c r="A430" s="106"/>
      <c r="B430" s="106"/>
      <c r="C430" s="107"/>
      <c r="D430" s="106"/>
      <c r="E430" s="106"/>
      <c r="F430" s="107"/>
      <c r="G430" s="106"/>
      <c r="H430" s="106"/>
      <c r="I430" s="381"/>
      <c r="J430" s="106"/>
      <c r="K430" s="106"/>
      <c r="L430" s="106"/>
    </row>
    <row r="431" spans="1:12">
      <c r="A431" s="106"/>
      <c r="B431" s="106"/>
      <c r="C431" s="107"/>
      <c r="D431" s="106"/>
      <c r="E431" s="106"/>
      <c r="F431" s="107"/>
      <c r="G431" s="106"/>
      <c r="H431" s="106"/>
      <c r="I431" s="381"/>
      <c r="J431" s="106"/>
      <c r="K431" s="106"/>
      <c r="L431" s="106"/>
    </row>
    <row r="432" spans="1:12">
      <c r="A432" s="106"/>
      <c r="B432" s="106"/>
      <c r="C432" s="107"/>
      <c r="D432" s="106"/>
      <c r="E432" s="106"/>
      <c r="F432" s="107"/>
      <c r="G432" s="106"/>
      <c r="H432" s="106"/>
      <c r="I432" s="381"/>
      <c r="J432" s="106"/>
      <c r="K432" s="106"/>
      <c r="L432" s="106"/>
    </row>
    <row r="433" spans="1:12">
      <c r="A433" s="106"/>
      <c r="B433" s="106"/>
      <c r="C433" s="107"/>
      <c r="D433" s="106"/>
      <c r="E433" s="106"/>
      <c r="F433" s="107"/>
      <c r="G433" s="106"/>
      <c r="H433" s="106"/>
      <c r="I433" s="381"/>
      <c r="J433" s="106"/>
      <c r="K433" s="106"/>
      <c r="L433" s="106"/>
    </row>
    <row r="434" spans="1:12">
      <c r="A434" s="106"/>
      <c r="B434" s="106"/>
      <c r="C434" s="107"/>
      <c r="D434" s="106"/>
      <c r="E434" s="106"/>
      <c r="F434" s="107"/>
      <c r="G434" s="106"/>
      <c r="H434" s="106"/>
      <c r="I434" s="381"/>
      <c r="J434" s="106"/>
      <c r="K434" s="106"/>
      <c r="L434" s="106"/>
    </row>
    <row r="435" spans="1:12">
      <c r="A435" s="106"/>
      <c r="B435" s="106"/>
      <c r="C435" s="107"/>
      <c r="D435" s="106"/>
      <c r="E435" s="106"/>
      <c r="F435" s="107"/>
      <c r="G435" s="106"/>
      <c r="H435" s="106"/>
      <c r="I435" s="381"/>
      <c r="J435" s="106"/>
      <c r="K435" s="106"/>
      <c r="L435" s="106"/>
    </row>
    <row r="436" spans="1:12">
      <c r="A436" s="106"/>
      <c r="B436" s="106"/>
      <c r="C436" s="107"/>
      <c r="D436" s="106"/>
      <c r="E436" s="106"/>
      <c r="F436" s="107"/>
      <c r="G436" s="106"/>
      <c r="H436" s="106"/>
      <c r="I436" s="381"/>
      <c r="J436" s="106"/>
      <c r="K436" s="106"/>
      <c r="L436" s="106"/>
    </row>
    <row r="437" spans="1:12">
      <c r="A437" s="106"/>
      <c r="B437" s="106"/>
      <c r="C437" s="107"/>
      <c r="D437" s="106"/>
      <c r="E437" s="106"/>
      <c r="F437" s="107"/>
      <c r="G437" s="106"/>
      <c r="H437" s="106"/>
      <c r="I437" s="381"/>
      <c r="J437" s="106"/>
      <c r="K437" s="106"/>
      <c r="L437" s="106"/>
    </row>
    <row r="438" spans="1:12">
      <c r="A438" s="106"/>
      <c r="B438" s="106"/>
      <c r="C438" s="107"/>
      <c r="D438" s="106"/>
      <c r="E438" s="106"/>
      <c r="F438" s="107"/>
      <c r="G438" s="106"/>
      <c r="H438" s="106"/>
      <c r="I438" s="381"/>
      <c r="J438" s="106"/>
      <c r="K438" s="106"/>
      <c r="L438" s="106"/>
    </row>
    <row r="439" spans="1:12">
      <c r="A439" s="106"/>
      <c r="B439" s="106"/>
      <c r="C439" s="107"/>
      <c r="D439" s="106"/>
      <c r="E439" s="106"/>
      <c r="F439" s="107"/>
      <c r="G439" s="106"/>
      <c r="H439" s="106"/>
      <c r="I439" s="381"/>
      <c r="J439" s="106"/>
      <c r="K439" s="106"/>
      <c r="L439" s="106"/>
    </row>
    <row r="440" spans="1:12">
      <c r="A440" s="106"/>
      <c r="B440" s="106"/>
      <c r="C440" s="107"/>
      <c r="D440" s="106"/>
      <c r="E440" s="106"/>
      <c r="F440" s="107"/>
      <c r="G440" s="106"/>
      <c r="H440" s="106"/>
      <c r="I440" s="381"/>
      <c r="J440" s="106"/>
      <c r="K440" s="106"/>
      <c r="L440" s="106"/>
    </row>
    <row r="441" spans="1:12">
      <c r="A441" s="106"/>
      <c r="B441" s="106"/>
      <c r="C441" s="107"/>
      <c r="D441" s="106"/>
      <c r="E441" s="106"/>
      <c r="F441" s="107"/>
      <c r="G441" s="106"/>
      <c r="H441" s="106"/>
      <c r="I441" s="381"/>
      <c r="J441" s="106"/>
      <c r="K441" s="106"/>
      <c r="L441" s="106"/>
    </row>
    <row r="442" spans="1:12">
      <c r="A442" s="106"/>
      <c r="B442" s="106"/>
      <c r="C442" s="107"/>
      <c r="D442" s="106"/>
      <c r="E442" s="106"/>
      <c r="F442" s="107"/>
      <c r="G442" s="106"/>
      <c r="H442" s="106"/>
      <c r="I442" s="381"/>
      <c r="J442" s="106"/>
      <c r="K442" s="106"/>
      <c r="L442" s="106"/>
    </row>
    <row r="443" spans="1:12">
      <c r="A443" s="106"/>
      <c r="B443" s="106"/>
      <c r="C443" s="107"/>
      <c r="D443" s="106"/>
      <c r="E443" s="106"/>
      <c r="F443" s="107"/>
      <c r="G443" s="106"/>
      <c r="H443" s="106"/>
      <c r="I443" s="381"/>
      <c r="J443" s="106"/>
      <c r="K443" s="106"/>
      <c r="L443" s="106"/>
    </row>
    <row r="444" spans="1:12">
      <c r="A444" s="106"/>
      <c r="B444" s="106"/>
      <c r="C444" s="107"/>
      <c r="D444" s="106"/>
      <c r="E444" s="106"/>
      <c r="F444" s="107"/>
      <c r="G444" s="106"/>
      <c r="H444" s="106"/>
      <c r="I444" s="381"/>
      <c r="J444" s="106"/>
      <c r="K444" s="106"/>
      <c r="L444" s="106"/>
    </row>
    <row r="445" spans="1:12">
      <c r="A445" s="106"/>
      <c r="B445" s="106"/>
      <c r="C445" s="107"/>
      <c r="D445" s="106"/>
      <c r="E445" s="106"/>
      <c r="F445" s="107"/>
      <c r="G445" s="106"/>
      <c r="H445" s="106"/>
      <c r="I445" s="381"/>
      <c r="J445" s="106"/>
      <c r="K445" s="106"/>
      <c r="L445" s="106"/>
    </row>
    <row r="446" spans="1:12">
      <c r="A446" s="106"/>
      <c r="B446" s="106"/>
      <c r="C446" s="107"/>
      <c r="D446" s="106"/>
      <c r="E446" s="106"/>
      <c r="F446" s="107"/>
      <c r="G446" s="106"/>
      <c r="H446" s="106"/>
      <c r="I446" s="381"/>
      <c r="J446" s="106"/>
      <c r="K446" s="106"/>
      <c r="L446" s="106"/>
    </row>
    <row r="447" spans="1:12">
      <c r="A447" s="106"/>
      <c r="B447" s="106"/>
      <c r="C447" s="107"/>
      <c r="D447" s="106"/>
      <c r="E447" s="106"/>
      <c r="F447" s="107"/>
      <c r="G447" s="106"/>
      <c r="H447" s="106"/>
      <c r="I447" s="381"/>
      <c r="J447" s="106"/>
      <c r="K447" s="106"/>
      <c r="L447" s="106"/>
    </row>
    <row r="448" spans="1:12">
      <c r="A448" s="106"/>
      <c r="B448" s="106"/>
      <c r="C448" s="107"/>
      <c r="D448" s="106"/>
      <c r="E448" s="106"/>
      <c r="F448" s="107"/>
      <c r="G448" s="106"/>
      <c r="H448" s="106"/>
      <c r="I448" s="381"/>
      <c r="J448" s="106"/>
      <c r="K448" s="106"/>
      <c r="L448" s="106"/>
    </row>
    <row r="449" spans="1:12">
      <c r="A449" s="106"/>
      <c r="B449" s="106"/>
      <c r="C449" s="107"/>
      <c r="D449" s="106"/>
      <c r="E449" s="106"/>
      <c r="F449" s="107"/>
      <c r="G449" s="106"/>
      <c r="H449" s="106"/>
      <c r="I449" s="381"/>
      <c r="J449" s="106"/>
      <c r="K449" s="106"/>
      <c r="L449" s="106"/>
    </row>
    <row r="450" spans="1:12">
      <c r="A450" s="106"/>
      <c r="B450" s="106"/>
      <c r="C450" s="107"/>
      <c r="D450" s="106"/>
      <c r="E450" s="106"/>
      <c r="F450" s="107"/>
      <c r="G450" s="106"/>
      <c r="H450" s="106"/>
      <c r="I450" s="381"/>
      <c r="J450" s="106"/>
      <c r="K450" s="106"/>
      <c r="L450" s="106"/>
    </row>
    <row r="451" spans="1:12">
      <c r="A451" s="106"/>
      <c r="B451" s="106"/>
      <c r="C451" s="107"/>
      <c r="D451" s="106"/>
      <c r="E451" s="106"/>
      <c r="F451" s="107"/>
      <c r="G451" s="106"/>
      <c r="H451" s="106"/>
      <c r="I451" s="381"/>
      <c r="J451" s="106"/>
      <c r="K451" s="106"/>
      <c r="L451" s="106"/>
    </row>
    <row r="452" spans="1:12">
      <c r="A452" s="106"/>
      <c r="B452" s="106"/>
      <c r="C452" s="107"/>
      <c r="D452" s="106"/>
      <c r="E452" s="106"/>
      <c r="F452" s="107"/>
      <c r="G452" s="106"/>
      <c r="H452" s="106"/>
      <c r="I452" s="381"/>
      <c r="J452" s="106"/>
      <c r="K452" s="106"/>
      <c r="L452" s="106"/>
    </row>
    <row r="453" spans="1:12">
      <c r="A453" s="106"/>
      <c r="B453" s="106"/>
      <c r="C453" s="107"/>
      <c r="D453" s="106"/>
      <c r="E453" s="106"/>
      <c r="F453" s="107"/>
      <c r="G453" s="106"/>
      <c r="H453" s="106"/>
      <c r="I453" s="381"/>
      <c r="J453" s="106"/>
      <c r="K453" s="106"/>
      <c r="L453" s="106"/>
    </row>
    <row r="454" spans="1:12">
      <c r="A454" s="106"/>
      <c r="B454" s="106"/>
      <c r="C454" s="107"/>
      <c r="D454" s="106"/>
      <c r="E454" s="106"/>
      <c r="F454" s="107"/>
      <c r="G454" s="106"/>
      <c r="H454" s="106"/>
      <c r="I454" s="381"/>
      <c r="J454" s="106"/>
      <c r="K454" s="106"/>
      <c r="L454" s="106"/>
    </row>
    <row r="455" spans="1:12">
      <c r="A455" s="106"/>
      <c r="B455" s="106"/>
      <c r="C455" s="107"/>
      <c r="D455" s="106"/>
      <c r="E455" s="106"/>
      <c r="F455" s="107"/>
      <c r="G455" s="106"/>
      <c r="H455" s="106"/>
      <c r="I455" s="381"/>
      <c r="J455" s="106"/>
      <c r="K455" s="106"/>
      <c r="L455" s="106"/>
    </row>
    <row r="456" spans="1:12">
      <c r="A456" s="106"/>
      <c r="B456" s="106"/>
      <c r="C456" s="107"/>
      <c r="D456" s="106"/>
      <c r="E456" s="106"/>
      <c r="F456" s="107"/>
      <c r="G456" s="106"/>
      <c r="H456" s="106"/>
      <c r="I456" s="381"/>
      <c r="J456" s="106"/>
      <c r="K456" s="106"/>
      <c r="L456" s="106"/>
    </row>
    <row r="457" spans="1:12">
      <c r="A457" s="106"/>
      <c r="B457" s="106"/>
      <c r="C457" s="107"/>
      <c r="D457" s="106"/>
      <c r="E457" s="106"/>
      <c r="F457" s="107"/>
      <c r="G457" s="106"/>
      <c r="H457" s="106"/>
      <c r="I457" s="381"/>
      <c r="J457" s="106"/>
      <c r="K457" s="106"/>
      <c r="L457" s="106"/>
    </row>
    <row r="458" spans="1:12">
      <c r="A458" s="106"/>
      <c r="B458" s="106"/>
      <c r="C458" s="107"/>
      <c r="D458" s="106"/>
      <c r="E458" s="106"/>
      <c r="F458" s="107"/>
      <c r="G458" s="106"/>
      <c r="H458" s="106"/>
      <c r="I458" s="381"/>
      <c r="J458" s="106"/>
      <c r="K458" s="106"/>
      <c r="L458" s="106"/>
    </row>
    <row r="459" spans="1:12">
      <c r="A459" s="106"/>
      <c r="B459" s="106"/>
      <c r="C459" s="107"/>
      <c r="D459" s="106"/>
      <c r="E459" s="106"/>
      <c r="F459" s="107"/>
      <c r="G459" s="106"/>
      <c r="H459" s="106"/>
      <c r="I459" s="381"/>
      <c r="J459" s="106"/>
      <c r="K459" s="106"/>
      <c r="L459" s="106"/>
    </row>
    <row r="460" spans="1:12">
      <c r="A460" s="106"/>
      <c r="B460" s="106"/>
      <c r="C460" s="107"/>
      <c r="D460" s="106"/>
      <c r="E460" s="106"/>
      <c r="F460" s="107"/>
      <c r="G460" s="106"/>
      <c r="H460" s="106"/>
      <c r="I460" s="381"/>
      <c r="J460" s="106"/>
      <c r="K460" s="106"/>
      <c r="L460" s="106"/>
    </row>
    <row r="461" spans="1:12">
      <c r="A461" s="106"/>
      <c r="B461" s="106"/>
      <c r="C461" s="107"/>
      <c r="D461" s="106"/>
      <c r="E461" s="106"/>
      <c r="F461" s="107"/>
      <c r="G461" s="106"/>
      <c r="H461" s="106"/>
      <c r="I461" s="381"/>
      <c r="J461" s="106"/>
      <c r="K461" s="106"/>
      <c r="L461" s="106"/>
    </row>
    <row r="462" spans="1:12">
      <c r="A462" s="106"/>
      <c r="B462" s="106"/>
      <c r="C462" s="107"/>
      <c r="D462" s="106"/>
      <c r="E462" s="106"/>
      <c r="F462" s="107"/>
      <c r="G462" s="106"/>
      <c r="H462" s="106"/>
      <c r="I462" s="381"/>
      <c r="J462" s="106"/>
      <c r="K462" s="106"/>
      <c r="L462" s="106"/>
    </row>
    <row r="463" spans="1:12">
      <c r="A463" s="106"/>
      <c r="B463" s="106"/>
      <c r="C463" s="107"/>
      <c r="D463" s="106"/>
      <c r="E463" s="106"/>
      <c r="F463" s="107"/>
      <c r="G463" s="106"/>
      <c r="H463" s="106"/>
      <c r="I463" s="381"/>
      <c r="J463" s="106"/>
      <c r="K463" s="106"/>
      <c r="L463" s="106"/>
    </row>
    <row r="464" spans="1:12">
      <c r="A464" s="106"/>
      <c r="B464" s="106"/>
      <c r="C464" s="107"/>
      <c r="D464" s="106"/>
      <c r="E464" s="106"/>
      <c r="F464" s="107"/>
      <c r="G464" s="106"/>
      <c r="H464" s="106"/>
      <c r="I464" s="381"/>
      <c r="J464" s="106"/>
      <c r="K464" s="106"/>
      <c r="L464" s="106"/>
    </row>
    <row r="465" spans="1:12">
      <c r="A465" s="106"/>
      <c r="B465" s="106"/>
      <c r="C465" s="107"/>
      <c r="D465" s="106"/>
      <c r="E465" s="106"/>
      <c r="F465" s="107"/>
      <c r="G465" s="106"/>
      <c r="H465" s="106"/>
      <c r="I465" s="381"/>
      <c r="J465" s="106"/>
      <c r="K465" s="106"/>
      <c r="L465" s="106"/>
    </row>
    <row r="466" spans="1:12">
      <c r="A466" s="106"/>
      <c r="B466" s="106"/>
      <c r="C466" s="107"/>
      <c r="D466" s="106"/>
      <c r="E466" s="106"/>
      <c r="F466" s="107"/>
      <c r="G466" s="106"/>
      <c r="H466" s="106"/>
      <c r="I466" s="381"/>
      <c r="J466" s="106"/>
      <c r="K466" s="106"/>
      <c r="L466" s="106"/>
    </row>
    <row r="467" spans="1:12">
      <c r="A467" s="106"/>
      <c r="B467" s="106"/>
      <c r="C467" s="107"/>
      <c r="D467" s="106"/>
      <c r="E467" s="106"/>
      <c r="F467" s="107"/>
      <c r="G467" s="106"/>
      <c r="H467" s="106"/>
      <c r="I467" s="381"/>
      <c r="J467" s="106"/>
      <c r="K467" s="106"/>
      <c r="L467" s="106"/>
    </row>
    <row r="468" spans="1:12">
      <c r="A468" s="106"/>
      <c r="B468" s="106"/>
      <c r="C468" s="107"/>
      <c r="D468" s="106"/>
      <c r="E468" s="106"/>
      <c r="F468" s="107"/>
      <c r="G468" s="106"/>
      <c r="H468" s="106"/>
      <c r="I468" s="381"/>
      <c r="J468" s="106"/>
      <c r="K468" s="106"/>
      <c r="L468" s="106"/>
    </row>
    <row r="469" spans="1:12">
      <c r="A469" s="106"/>
      <c r="B469" s="106"/>
      <c r="C469" s="107"/>
      <c r="D469" s="106"/>
      <c r="E469" s="106"/>
      <c r="F469" s="107"/>
      <c r="G469" s="106"/>
      <c r="H469" s="106"/>
      <c r="I469" s="381"/>
      <c r="J469" s="106"/>
      <c r="K469" s="106"/>
      <c r="L469" s="106"/>
    </row>
    <row r="470" spans="1:12">
      <c r="A470" s="106"/>
      <c r="B470" s="106"/>
      <c r="C470" s="107"/>
      <c r="D470" s="106"/>
      <c r="E470" s="106"/>
      <c r="F470" s="107"/>
      <c r="G470" s="106"/>
      <c r="H470" s="106"/>
      <c r="I470" s="381"/>
      <c r="J470" s="106"/>
      <c r="K470" s="106"/>
      <c r="L470" s="106"/>
    </row>
    <row r="471" spans="1:12">
      <c r="A471" s="106"/>
      <c r="B471" s="106"/>
      <c r="C471" s="107"/>
      <c r="D471" s="106"/>
      <c r="E471" s="106"/>
      <c r="F471" s="107"/>
      <c r="G471" s="106"/>
      <c r="H471" s="106"/>
      <c r="I471" s="381"/>
      <c r="J471" s="106"/>
      <c r="K471" s="106"/>
      <c r="L471" s="106"/>
    </row>
    <row r="472" spans="1:12">
      <c r="A472" s="106"/>
      <c r="B472" s="106"/>
      <c r="C472" s="107"/>
      <c r="D472" s="106"/>
      <c r="E472" s="106"/>
      <c r="F472" s="107"/>
      <c r="G472" s="106"/>
      <c r="H472" s="106"/>
      <c r="I472" s="381"/>
      <c r="J472" s="106"/>
      <c r="K472" s="106"/>
      <c r="L472" s="106"/>
    </row>
    <row r="473" spans="1:12">
      <c r="A473" s="106"/>
      <c r="B473" s="106"/>
      <c r="C473" s="107"/>
      <c r="D473" s="106"/>
      <c r="E473" s="106"/>
      <c r="F473" s="107"/>
      <c r="G473" s="106"/>
      <c r="H473" s="106"/>
      <c r="I473" s="381"/>
      <c r="J473" s="106"/>
      <c r="K473" s="106"/>
      <c r="L473" s="106"/>
    </row>
    <row r="474" spans="1:12">
      <c r="A474" s="106"/>
      <c r="B474" s="106"/>
      <c r="C474" s="107"/>
      <c r="D474" s="106"/>
      <c r="E474" s="106"/>
      <c r="F474" s="107"/>
      <c r="G474" s="106"/>
      <c r="H474" s="106"/>
      <c r="I474" s="381"/>
      <c r="J474" s="106"/>
      <c r="K474" s="106"/>
      <c r="L474" s="106"/>
    </row>
    <row r="475" spans="1:12">
      <c r="A475" s="106"/>
      <c r="B475" s="106"/>
      <c r="C475" s="107"/>
      <c r="D475" s="106"/>
      <c r="E475" s="106"/>
      <c r="F475" s="107"/>
      <c r="G475" s="106"/>
      <c r="H475" s="106"/>
      <c r="I475" s="381"/>
      <c r="J475" s="106"/>
      <c r="K475" s="106"/>
      <c r="L475" s="106"/>
    </row>
    <row r="476" spans="1:12">
      <c r="A476" s="106"/>
      <c r="B476" s="106"/>
      <c r="C476" s="107"/>
      <c r="D476" s="106"/>
      <c r="E476" s="106"/>
      <c r="F476" s="107"/>
      <c r="G476" s="106"/>
      <c r="H476" s="106"/>
      <c r="I476" s="381"/>
      <c r="J476" s="106"/>
      <c r="K476" s="106"/>
      <c r="L476" s="106"/>
    </row>
    <row r="477" spans="1:12">
      <c r="A477" s="106"/>
      <c r="B477" s="106"/>
      <c r="C477" s="107"/>
      <c r="D477" s="106"/>
      <c r="E477" s="106"/>
      <c r="F477" s="107"/>
      <c r="G477" s="106"/>
      <c r="H477" s="106"/>
      <c r="I477" s="381"/>
      <c r="J477" s="106"/>
      <c r="K477" s="106"/>
      <c r="L477" s="106"/>
    </row>
    <row r="478" spans="1:12">
      <c r="A478" s="106"/>
      <c r="B478" s="106"/>
      <c r="C478" s="107"/>
      <c r="D478" s="106"/>
      <c r="E478" s="106"/>
      <c r="F478" s="107"/>
      <c r="G478" s="106"/>
      <c r="H478" s="106"/>
      <c r="I478" s="381"/>
      <c r="J478" s="106"/>
      <c r="K478" s="106"/>
      <c r="L478" s="106"/>
    </row>
    <row r="479" spans="1:12">
      <c r="A479" s="106"/>
      <c r="B479" s="106"/>
      <c r="C479" s="107"/>
      <c r="D479" s="106"/>
      <c r="E479" s="106"/>
      <c r="F479" s="107"/>
      <c r="G479" s="106"/>
      <c r="H479" s="106"/>
      <c r="I479" s="381"/>
      <c r="J479" s="106"/>
      <c r="K479" s="106"/>
      <c r="L479" s="106"/>
    </row>
    <row r="480" spans="1:12">
      <c r="A480" s="106"/>
      <c r="B480" s="106"/>
      <c r="C480" s="107"/>
      <c r="D480" s="106"/>
      <c r="E480" s="106"/>
      <c r="F480" s="107"/>
      <c r="G480" s="106"/>
      <c r="H480" s="106"/>
      <c r="I480" s="381"/>
      <c r="J480" s="106"/>
      <c r="K480" s="106"/>
      <c r="L480" s="106"/>
    </row>
    <row r="481" spans="1:12">
      <c r="A481" s="106"/>
      <c r="B481" s="106"/>
      <c r="C481" s="107"/>
      <c r="D481" s="106"/>
      <c r="E481" s="106"/>
      <c r="F481" s="107"/>
      <c r="G481" s="106"/>
      <c r="H481" s="106"/>
      <c r="I481" s="381"/>
      <c r="J481" s="106"/>
      <c r="K481" s="106"/>
      <c r="L481" s="106"/>
    </row>
    <row r="482" spans="1:12">
      <c r="A482" s="106"/>
      <c r="B482" s="106"/>
      <c r="C482" s="107"/>
      <c r="D482" s="106"/>
      <c r="E482" s="106"/>
      <c r="F482" s="107"/>
      <c r="G482" s="106"/>
      <c r="H482" s="106"/>
      <c r="I482" s="381"/>
      <c r="J482" s="106"/>
      <c r="K482" s="106"/>
      <c r="L482" s="106"/>
    </row>
    <row r="483" spans="1:12">
      <c r="A483" s="106"/>
      <c r="B483" s="106"/>
      <c r="C483" s="107"/>
      <c r="D483" s="106"/>
      <c r="E483" s="106"/>
      <c r="F483" s="107"/>
      <c r="G483" s="106"/>
      <c r="H483" s="106"/>
      <c r="I483" s="381"/>
      <c r="J483" s="106"/>
      <c r="K483" s="106"/>
      <c r="L483" s="106"/>
    </row>
    <row r="484" spans="1:12">
      <c r="A484" s="106"/>
      <c r="B484" s="106"/>
      <c r="C484" s="107"/>
      <c r="D484" s="106"/>
      <c r="E484" s="106"/>
      <c r="F484" s="107"/>
      <c r="G484" s="106"/>
      <c r="H484" s="106"/>
      <c r="I484" s="381"/>
      <c r="J484" s="106"/>
      <c r="K484" s="106"/>
      <c r="L484" s="106"/>
    </row>
    <row r="485" spans="1:12">
      <c r="A485" s="106"/>
      <c r="B485" s="106"/>
      <c r="C485" s="107"/>
      <c r="D485" s="106"/>
      <c r="E485" s="106"/>
      <c r="F485" s="107"/>
      <c r="G485" s="106"/>
      <c r="H485" s="106"/>
      <c r="I485" s="381"/>
      <c r="J485" s="106"/>
      <c r="K485" s="106"/>
      <c r="L485" s="106"/>
    </row>
    <row r="486" spans="1:12">
      <c r="A486" s="106"/>
      <c r="B486" s="106"/>
      <c r="C486" s="107"/>
      <c r="D486" s="106"/>
      <c r="E486" s="106"/>
      <c r="F486" s="107"/>
      <c r="G486" s="106"/>
      <c r="H486" s="106"/>
      <c r="I486" s="381"/>
      <c r="J486" s="106"/>
      <c r="K486" s="106"/>
      <c r="L486" s="106"/>
    </row>
    <row r="487" spans="1:12">
      <c r="A487" s="106"/>
      <c r="B487" s="106"/>
      <c r="C487" s="107"/>
      <c r="D487" s="106"/>
      <c r="E487" s="106"/>
      <c r="F487" s="107"/>
      <c r="G487" s="106"/>
      <c r="H487" s="106"/>
      <c r="I487" s="381"/>
      <c r="J487" s="106"/>
      <c r="K487" s="106"/>
      <c r="L487" s="106"/>
    </row>
    <row r="488" spans="1:12">
      <c r="A488" s="106"/>
      <c r="B488" s="106"/>
      <c r="C488" s="107"/>
      <c r="D488" s="106"/>
      <c r="E488" s="106"/>
      <c r="F488" s="107"/>
      <c r="G488" s="106"/>
      <c r="H488" s="106"/>
      <c r="I488" s="381"/>
      <c r="J488" s="106"/>
      <c r="K488" s="106"/>
      <c r="L488" s="106"/>
    </row>
    <row r="489" spans="1:12">
      <c r="A489" s="106"/>
      <c r="B489" s="106"/>
      <c r="C489" s="107"/>
      <c r="D489" s="106"/>
      <c r="E489" s="106"/>
      <c r="F489" s="107"/>
      <c r="G489" s="106"/>
      <c r="H489" s="106"/>
      <c r="I489" s="381"/>
      <c r="J489" s="106"/>
      <c r="K489" s="106"/>
      <c r="L489" s="106"/>
    </row>
    <row r="490" spans="1:12">
      <c r="A490" s="106"/>
      <c r="B490" s="106"/>
      <c r="C490" s="107"/>
      <c r="D490" s="106"/>
      <c r="E490" s="106"/>
      <c r="F490" s="107"/>
      <c r="G490" s="106"/>
      <c r="H490" s="106"/>
      <c r="I490" s="381"/>
      <c r="J490" s="106"/>
      <c r="K490" s="106"/>
      <c r="L490" s="106"/>
    </row>
    <row r="491" spans="1:12">
      <c r="A491" s="106"/>
      <c r="B491" s="106"/>
      <c r="C491" s="107"/>
      <c r="D491" s="106"/>
      <c r="E491" s="106"/>
      <c r="F491" s="107"/>
      <c r="G491" s="106"/>
      <c r="H491" s="106"/>
      <c r="I491" s="381"/>
      <c r="J491" s="106"/>
      <c r="K491" s="106"/>
      <c r="L491" s="106"/>
    </row>
    <row r="492" spans="1:12">
      <c r="A492" s="106"/>
      <c r="B492" s="106"/>
      <c r="C492" s="107"/>
      <c r="D492" s="106"/>
      <c r="E492" s="106"/>
      <c r="F492" s="107"/>
      <c r="G492" s="106"/>
      <c r="H492" s="106"/>
      <c r="I492" s="381"/>
      <c r="J492" s="106"/>
      <c r="K492" s="106"/>
      <c r="L492" s="106"/>
    </row>
    <row r="493" spans="1:12">
      <c r="A493" s="106"/>
      <c r="B493" s="106"/>
      <c r="C493" s="107"/>
      <c r="D493" s="106"/>
      <c r="E493" s="106"/>
      <c r="F493" s="107"/>
      <c r="G493" s="106"/>
      <c r="H493" s="106"/>
      <c r="I493" s="381"/>
      <c r="J493" s="106"/>
      <c r="K493" s="106"/>
      <c r="L493" s="106"/>
    </row>
    <row r="494" spans="1:12">
      <c r="A494" s="106"/>
      <c r="B494" s="106"/>
      <c r="C494" s="107"/>
      <c r="D494" s="106"/>
      <c r="E494" s="106"/>
      <c r="F494" s="107"/>
      <c r="G494" s="106"/>
      <c r="H494" s="106"/>
      <c r="I494" s="381"/>
      <c r="J494" s="106"/>
      <c r="K494" s="106"/>
      <c r="L494" s="106"/>
    </row>
    <row r="495" spans="1:12">
      <c r="A495" s="106"/>
      <c r="B495" s="106"/>
      <c r="C495" s="107"/>
      <c r="D495" s="106"/>
      <c r="E495" s="106"/>
      <c r="F495" s="107"/>
      <c r="G495" s="106"/>
      <c r="H495" s="106"/>
      <c r="I495" s="381"/>
      <c r="J495" s="106"/>
      <c r="K495" s="106"/>
      <c r="L495" s="106"/>
    </row>
    <row r="496" spans="1:12">
      <c r="A496" s="106"/>
      <c r="B496" s="106"/>
      <c r="C496" s="107"/>
      <c r="D496" s="106"/>
      <c r="E496" s="106"/>
      <c r="F496" s="107"/>
      <c r="G496" s="106"/>
      <c r="H496" s="106"/>
      <c r="I496" s="381"/>
      <c r="J496" s="106"/>
      <c r="K496" s="106"/>
      <c r="L496" s="106"/>
    </row>
    <row r="497" spans="1:12">
      <c r="A497" s="106"/>
      <c r="B497" s="106"/>
      <c r="C497" s="107"/>
      <c r="D497" s="106"/>
      <c r="E497" s="106"/>
      <c r="F497" s="107"/>
      <c r="G497" s="106"/>
      <c r="H497" s="106"/>
      <c r="I497" s="381"/>
      <c r="J497" s="106"/>
      <c r="K497" s="106"/>
      <c r="L497" s="106"/>
    </row>
    <row r="498" spans="1:12">
      <c r="A498" s="106"/>
      <c r="B498" s="106"/>
      <c r="C498" s="107"/>
      <c r="D498" s="106"/>
      <c r="E498" s="106"/>
      <c r="F498" s="107"/>
      <c r="G498" s="106"/>
      <c r="H498" s="106"/>
      <c r="I498" s="381"/>
      <c r="J498" s="106"/>
      <c r="K498" s="106"/>
      <c r="L498" s="106"/>
    </row>
    <row r="499" spans="1:12">
      <c r="A499" s="106"/>
      <c r="B499" s="106"/>
      <c r="C499" s="107"/>
      <c r="D499" s="106"/>
      <c r="E499" s="106"/>
      <c r="F499" s="107"/>
      <c r="G499" s="106"/>
      <c r="H499" s="106"/>
      <c r="I499" s="381"/>
      <c r="J499" s="106"/>
      <c r="K499" s="106"/>
      <c r="L499" s="106"/>
    </row>
    <row r="500" spans="1:12">
      <c r="A500" s="106"/>
      <c r="B500" s="106"/>
      <c r="C500" s="107"/>
      <c r="D500" s="106"/>
      <c r="E500" s="106"/>
      <c r="F500" s="107"/>
      <c r="G500" s="106"/>
      <c r="H500" s="106"/>
      <c r="I500" s="381"/>
      <c r="J500" s="106"/>
      <c r="K500" s="106"/>
      <c r="L500" s="106"/>
    </row>
    <row r="501" spans="1:12">
      <c r="A501" s="106"/>
      <c r="B501" s="106"/>
      <c r="C501" s="107"/>
      <c r="D501" s="106"/>
      <c r="E501" s="106"/>
      <c r="F501" s="107"/>
      <c r="G501" s="106"/>
      <c r="H501" s="106"/>
      <c r="I501" s="381"/>
      <c r="J501" s="106"/>
      <c r="K501" s="106"/>
      <c r="L501" s="106"/>
    </row>
    <row r="502" spans="1:12">
      <c r="A502" s="106"/>
      <c r="B502" s="106"/>
      <c r="C502" s="107"/>
      <c r="D502" s="106"/>
      <c r="E502" s="106"/>
      <c r="F502" s="107"/>
      <c r="G502" s="106"/>
      <c r="H502" s="106"/>
      <c r="I502" s="381"/>
      <c r="J502" s="106"/>
      <c r="K502" s="106"/>
      <c r="L502" s="106"/>
    </row>
    <row r="503" spans="1:12">
      <c r="A503" s="106"/>
      <c r="B503" s="106"/>
      <c r="C503" s="107"/>
      <c r="D503" s="106"/>
      <c r="E503" s="106"/>
      <c r="F503" s="107"/>
      <c r="G503" s="106"/>
      <c r="H503" s="106"/>
      <c r="I503" s="381"/>
      <c r="J503" s="106"/>
      <c r="K503" s="106"/>
      <c r="L503" s="106"/>
    </row>
    <row r="504" spans="1:12">
      <c r="A504" s="106"/>
      <c r="B504" s="106"/>
      <c r="C504" s="107"/>
      <c r="D504" s="106"/>
      <c r="E504" s="106"/>
      <c r="F504" s="107"/>
      <c r="G504" s="106"/>
      <c r="H504" s="106"/>
      <c r="I504" s="381"/>
      <c r="J504" s="106"/>
      <c r="K504" s="106"/>
      <c r="L504" s="106"/>
    </row>
    <row r="505" spans="1:12">
      <c r="A505" s="106"/>
      <c r="B505" s="106"/>
      <c r="C505" s="107"/>
      <c r="D505" s="106"/>
      <c r="E505" s="106"/>
      <c r="F505" s="107"/>
      <c r="G505" s="106"/>
      <c r="H505" s="106"/>
      <c r="I505" s="381"/>
      <c r="J505" s="106"/>
      <c r="K505" s="106"/>
      <c r="L505" s="106"/>
    </row>
    <row r="506" spans="1:12">
      <c r="A506" s="106"/>
      <c r="B506" s="106"/>
      <c r="C506" s="107"/>
      <c r="D506" s="106"/>
      <c r="E506" s="106"/>
      <c r="F506" s="107"/>
      <c r="G506" s="106"/>
      <c r="H506" s="106"/>
      <c r="I506" s="381"/>
      <c r="J506" s="106"/>
      <c r="K506" s="106"/>
      <c r="L506" s="106"/>
    </row>
    <row r="507" spans="1:12">
      <c r="A507" s="106"/>
      <c r="B507" s="106"/>
      <c r="C507" s="107"/>
      <c r="D507" s="106"/>
      <c r="E507" s="106"/>
      <c r="F507" s="107"/>
      <c r="G507" s="106"/>
      <c r="H507" s="106"/>
      <c r="I507" s="381"/>
      <c r="J507" s="106"/>
      <c r="K507" s="106"/>
      <c r="L507" s="106"/>
    </row>
    <row r="508" spans="1:12">
      <c r="A508" s="106"/>
      <c r="B508" s="106"/>
      <c r="C508" s="107"/>
      <c r="D508" s="106"/>
      <c r="E508" s="106"/>
      <c r="F508" s="107"/>
      <c r="G508" s="106"/>
      <c r="H508" s="106"/>
      <c r="I508" s="381"/>
      <c r="J508" s="106"/>
      <c r="K508" s="106"/>
      <c r="L508" s="106"/>
    </row>
    <row r="509" spans="1:12">
      <c r="A509" s="106"/>
      <c r="B509" s="106"/>
      <c r="C509" s="107"/>
      <c r="D509" s="106"/>
      <c r="E509" s="106"/>
      <c r="F509" s="107"/>
      <c r="G509" s="106"/>
      <c r="H509" s="106"/>
      <c r="I509" s="381"/>
      <c r="J509" s="106"/>
      <c r="K509" s="106"/>
      <c r="L509" s="106"/>
    </row>
    <row r="510" spans="1:12">
      <c r="A510" s="106"/>
      <c r="B510" s="106"/>
      <c r="C510" s="107"/>
      <c r="D510" s="106"/>
      <c r="E510" s="106"/>
      <c r="F510" s="107"/>
      <c r="G510" s="106"/>
      <c r="H510" s="106"/>
      <c r="I510" s="381"/>
      <c r="J510" s="106"/>
      <c r="K510" s="106"/>
      <c r="L510" s="106"/>
    </row>
    <row r="511" spans="1:12">
      <c r="A511" s="106"/>
      <c r="B511" s="106"/>
      <c r="C511" s="107"/>
      <c r="D511" s="106"/>
      <c r="E511" s="106"/>
      <c r="F511" s="107"/>
      <c r="G511" s="106"/>
      <c r="H511" s="106"/>
      <c r="I511" s="381"/>
      <c r="J511" s="106"/>
      <c r="K511" s="106"/>
      <c r="L511" s="106"/>
    </row>
    <row r="512" spans="1:12">
      <c r="A512" s="106"/>
      <c r="B512" s="106"/>
      <c r="C512" s="107"/>
      <c r="D512" s="106"/>
      <c r="E512" s="106"/>
      <c r="F512" s="107"/>
      <c r="G512" s="106"/>
      <c r="H512" s="106"/>
      <c r="I512" s="381"/>
      <c r="J512" s="106"/>
      <c r="K512" s="106"/>
      <c r="L512" s="106"/>
    </row>
    <row r="513" spans="1:12">
      <c r="A513" s="106"/>
      <c r="B513" s="106"/>
      <c r="C513" s="107"/>
      <c r="D513" s="106"/>
      <c r="E513" s="106"/>
      <c r="F513" s="107"/>
      <c r="G513" s="106"/>
      <c r="H513" s="106"/>
      <c r="I513" s="381"/>
      <c r="J513" s="106"/>
      <c r="K513" s="106"/>
      <c r="L513" s="106"/>
    </row>
    <row r="514" spans="1:12">
      <c r="A514" s="106"/>
      <c r="B514" s="106"/>
      <c r="C514" s="107"/>
      <c r="D514" s="106"/>
      <c r="E514" s="106"/>
      <c r="F514" s="107"/>
      <c r="G514" s="106"/>
      <c r="H514" s="106"/>
      <c r="I514" s="381"/>
      <c r="J514" s="106"/>
      <c r="K514" s="106"/>
      <c r="L514" s="106"/>
    </row>
    <row r="515" spans="1:12">
      <c r="A515" s="106"/>
      <c r="B515" s="106"/>
      <c r="C515" s="107"/>
      <c r="D515" s="106"/>
      <c r="E515" s="106"/>
      <c r="F515" s="107"/>
      <c r="G515" s="106"/>
      <c r="H515" s="106"/>
      <c r="I515" s="381"/>
      <c r="J515" s="106"/>
      <c r="K515" s="106"/>
      <c r="L515" s="106"/>
    </row>
    <row r="516" spans="1:12">
      <c r="A516" s="106"/>
      <c r="B516" s="106"/>
      <c r="C516" s="107"/>
      <c r="D516" s="106"/>
      <c r="E516" s="106"/>
      <c r="F516" s="107"/>
      <c r="G516" s="106"/>
      <c r="H516" s="106"/>
      <c r="I516" s="381"/>
      <c r="J516" s="106"/>
      <c r="K516" s="106"/>
      <c r="L516" s="106"/>
    </row>
    <row r="517" spans="1:12">
      <c r="A517" s="106"/>
      <c r="B517" s="106"/>
      <c r="C517" s="107"/>
      <c r="D517" s="106"/>
      <c r="E517" s="106"/>
      <c r="F517" s="107"/>
      <c r="G517" s="106"/>
      <c r="H517" s="106"/>
      <c r="I517" s="381"/>
      <c r="J517" s="106"/>
      <c r="K517" s="106"/>
      <c r="L517" s="106"/>
    </row>
    <row r="518" spans="1:12">
      <c r="A518" s="106"/>
      <c r="B518" s="106"/>
      <c r="C518" s="107"/>
      <c r="D518" s="106"/>
      <c r="E518" s="106"/>
      <c r="F518" s="107"/>
      <c r="G518" s="106"/>
      <c r="H518" s="106"/>
      <c r="I518" s="381"/>
      <c r="J518" s="106"/>
      <c r="K518" s="106"/>
      <c r="L518" s="106"/>
    </row>
    <row r="519" spans="1:12">
      <c r="A519" s="106"/>
      <c r="B519" s="106"/>
      <c r="C519" s="107"/>
      <c r="D519" s="106"/>
      <c r="E519" s="106"/>
      <c r="F519" s="107"/>
      <c r="G519" s="106"/>
      <c r="H519" s="106"/>
      <c r="I519" s="381"/>
      <c r="J519" s="106"/>
      <c r="K519" s="106"/>
      <c r="L519" s="106"/>
    </row>
    <row r="520" spans="1:12">
      <c r="A520" s="106"/>
      <c r="B520" s="106"/>
      <c r="C520" s="107"/>
      <c r="D520" s="106"/>
      <c r="E520" s="106"/>
      <c r="F520" s="107"/>
      <c r="G520" s="106"/>
      <c r="H520" s="106"/>
      <c r="I520" s="381"/>
      <c r="J520" s="106"/>
      <c r="K520" s="106"/>
      <c r="L520" s="106"/>
    </row>
    <row r="521" spans="1:12">
      <c r="A521" s="106"/>
      <c r="B521" s="106"/>
      <c r="C521" s="107"/>
      <c r="D521" s="106"/>
      <c r="E521" s="106"/>
      <c r="F521" s="107"/>
      <c r="G521" s="106"/>
      <c r="H521" s="106"/>
      <c r="I521" s="381"/>
      <c r="J521" s="106"/>
      <c r="K521" s="106"/>
      <c r="L521" s="106"/>
    </row>
    <row r="522" spans="1:12">
      <c r="A522" s="106"/>
      <c r="B522" s="106"/>
      <c r="C522" s="107"/>
      <c r="D522" s="106"/>
      <c r="E522" s="106"/>
      <c r="F522" s="107"/>
      <c r="G522" s="106"/>
      <c r="H522" s="106"/>
      <c r="I522" s="381"/>
      <c r="J522" s="106"/>
      <c r="K522" s="106"/>
      <c r="L522" s="106"/>
    </row>
    <row r="523" spans="1:12">
      <c r="A523" s="106"/>
      <c r="B523" s="106"/>
      <c r="C523" s="107"/>
      <c r="D523" s="106"/>
      <c r="E523" s="106"/>
      <c r="F523" s="107"/>
      <c r="G523" s="106"/>
      <c r="H523" s="106"/>
      <c r="I523" s="381"/>
      <c r="J523" s="106"/>
      <c r="K523" s="106"/>
      <c r="L523" s="106"/>
    </row>
    <row r="524" spans="1:12">
      <c r="A524" s="106"/>
      <c r="B524" s="106"/>
      <c r="C524" s="107"/>
      <c r="D524" s="106"/>
      <c r="E524" s="106"/>
      <c r="F524" s="107"/>
      <c r="G524" s="106"/>
      <c r="H524" s="106"/>
      <c r="I524" s="381"/>
      <c r="J524" s="106"/>
      <c r="K524" s="106"/>
      <c r="L524" s="106"/>
    </row>
    <row r="525" spans="1:12">
      <c r="A525" s="106"/>
      <c r="B525" s="106"/>
      <c r="C525" s="107"/>
      <c r="D525" s="106"/>
      <c r="E525" s="106"/>
      <c r="F525" s="107"/>
      <c r="G525" s="106"/>
      <c r="H525" s="106"/>
      <c r="I525" s="381"/>
      <c r="J525" s="106"/>
      <c r="K525" s="106"/>
      <c r="L525" s="106"/>
    </row>
    <row r="526" spans="1:12">
      <c r="A526" s="106"/>
      <c r="B526" s="106"/>
      <c r="C526" s="107"/>
      <c r="D526" s="106"/>
      <c r="E526" s="106"/>
      <c r="F526" s="107"/>
      <c r="G526" s="106"/>
      <c r="H526" s="106"/>
      <c r="I526" s="381"/>
      <c r="J526" s="106"/>
      <c r="K526" s="106"/>
      <c r="L526" s="106"/>
    </row>
    <row r="527" spans="1:12">
      <c r="A527" s="106"/>
      <c r="B527" s="106"/>
      <c r="C527" s="107"/>
      <c r="D527" s="106"/>
      <c r="E527" s="106"/>
      <c r="F527" s="107"/>
      <c r="G527" s="106"/>
      <c r="H527" s="106"/>
      <c r="I527" s="381"/>
      <c r="J527" s="106"/>
      <c r="K527" s="106"/>
      <c r="L527" s="106"/>
    </row>
    <row r="528" spans="1:12">
      <c r="A528" s="106"/>
      <c r="B528" s="106"/>
      <c r="C528" s="107"/>
      <c r="D528" s="106"/>
      <c r="E528" s="106"/>
      <c r="F528" s="107"/>
      <c r="G528" s="106"/>
      <c r="H528" s="106"/>
      <c r="I528" s="381"/>
      <c r="J528" s="106"/>
      <c r="K528" s="106"/>
      <c r="L528" s="106"/>
    </row>
    <row r="529" spans="1:12">
      <c r="A529" s="106"/>
      <c r="B529" s="106"/>
      <c r="C529" s="107"/>
      <c r="D529" s="106"/>
      <c r="E529" s="106"/>
      <c r="F529" s="107"/>
      <c r="G529" s="106"/>
      <c r="H529" s="106"/>
      <c r="I529" s="381"/>
      <c r="J529" s="106"/>
      <c r="K529" s="106"/>
      <c r="L529" s="106"/>
    </row>
    <row r="530" spans="1:12">
      <c r="A530" s="106"/>
      <c r="B530" s="106"/>
      <c r="C530" s="107"/>
      <c r="D530" s="106"/>
      <c r="E530" s="106"/>
      <c r="F530" s="107"/>
      <c r="G530" s="106"/>
      <c r="H530" s="106"/>
      <c r="I530" s="381"/>
      <c r="J530" s="106"/>
      <c r="K530" s="106"/>
      <c r="L530" s="106"/>
    </row>
    <row r="531" spans="1:12">
      <c r="A531" s="106"/>
      <c r="B531" s="106"/>
      <c r="C531" s="107"/>
      <c r="D531" s="106"/>
      <c r="E531" s="106"/>
      <c r="F531" s="107"/>
      <c r="G531" s="106"/>
      <c r="H531" s="106"/>
      <c r="I531" s="381"/>
      <c r="J531" s="106"/>
      <c r="K531" s="106"/>
      <c r="L531" s="106"/>
    </row>
    <row r="532" spans="1:12">
      <c r="A532" s="106"/>
      <c r="B532" s="106"/>
      <c r="C532" s="107"/>
      <c r="D532" s="106"/>
      <c r="E532" s="106"/>
      <c r="F532" s="107"/>
      <c r="G532" s="106"/>
      <c r="H532" s="106"/>
      <c r="I532" s="381"/>
      <c r="J532" s="106"/>
      <c r="K532" s="106"/>
      <c r="L532" s="106"/>
    </row>
    <row r="533" spans="1:12">
      <c r="A533" s="106"/>
      <c r="B533" s="106"/>
      <c r="C533" s="107"/>
      <c r="D533" s="106"/>
      <c r="E533" s="106"/>
      <c r="F533" s="107"/>
      <c r="G533" s="106"/>
      <c r="H533" s="106"/>
      <c r="I533" s="381"/>
      <c r="J533" s="106"/>
      <c r="K533" s="106"/>
      <c r="L533" s="106"/>
    </row>
    <row r="534" spans="1:12">
      <c r="A534" s="106"/>
      <c r="B534" s="106"/>
      <c r="C534" s="107"/>
      <c r="D534" s="106"/>
      <c r="E534" s="106"/>
      <c r="F534" s="107"/>
      <c r="G534" s="106"/>
      <c r="H534" s="106"/>
      <c r="I534" s="381"/>
      <c r="J534" s="106"/>
      <c r="K534" s="106"/>
      <c r="L534" s="106"/>
    </row>
    <row r="535" spans="1:12">
      <c r="A535" s="106"/>
      <c r="B535" s="106"/>
      <c r="C535" s="107"/>
      <c r="D535" s="106"/>
      <c r="E535" s="106"/>
      <c r="F535" s="107"/>
      <c r="G535" s="106"/>
      <c r="H535" s="106"/>
      <c r="I535" s="381"/>
      <c r="J535" s="106"/>
      <c r="K535" s="106"/>
      <c r="L535" s="106"/>
    </row>
    <row r="536" spans="1:12">
      <c r="A536" s="106"/>
      <c r="B536" s="106"/>
      <c r="C536" s="107"/>
      <c r="D536" s="106"/>
      <c r="E536" s="106"/>
      <c r="F536" s="107"/>
      <c r="G536" s="106"/>
      <c r="H536" s="106"/>
      <c r="I536" s="381"/>
      <c r="J536" s="106"/>
      <c r="K536" s="106"/>
      <c r="L536" s="106"/>
    </row>
    <row r="537" spans="1:12">
      <c r="A537" s="106"/>
      <c r="B537" s="106"/>
      <c r="C537" s="107"/>
      <c r="D537" s="106"/>
      <c r="E537" s="106"/>
      <c r="F537" s="107"/>
      <c r="G537" s="106"/>
      <c r="H537" s="106"/>
      <c r="I537" s="381"/>
      <c r="J537" s="106"/>
      <c r="K537" s="106"/>
      <c r="L537" s="106"/>
    </row>
    <row r="538" spans="1:12">
      <c r="A538" s="106"/>
      <c r="B538" s="106"/>
      <c r="C538" s="107"/>
      <c r="D538" s="106"/>
      <c r="E538" s="106"/>
      <c r="F538" s="107"/>
      <c r="G538" s="106"/>
      <c r="H538" s="106"/>
      <c r="I538" s="381"/>
      <c r="J538" s="106"/>
      <c r="K538" s="106"/>
      <c r="L538" s="106"/>
    </row>
    <row r="539" spans="1:12">
      <c r="A539" s="106"/>
      <c r="B539" s="106"/>
      <c r="C539" s="107"/>
      <c r="D539" s="106"/>
      <c r="E539" s="106"/>
      <c r="F539" s="107"/>
      <c r="G539" s="106"/>
      <c r="H539" s="106"/>
      <c r="I539" s="381"/>
      <c r="J539" s="106"/>
      <c r="K539" s="106"/>
      <c r="L539" s="106"/>
    </row>
    <row r="540" spans="1:12">
      <c r="A540" s="106"/>
      <c r="B540" s="106"/>
      <c r="C540" s="107"/>
      <c r="D540" s="106"/>
      <c r="E540" s="106"/>
      <c r="F540" s="107"/>
      <c r="G540" s="106"/>
      <c r="H540" s="106"/>
      <c r="I540" s="381"/>
      <c r="J540" s="106"/>
      <c r="K540" s="106"/>
      <c r="L540" s="106"/>
    </row>
    <row r="541" spans="1:12">
      <c r="A541" s="106"/>
      <c r="B541" s="106"/>
      <c r="C541" s="107"/>
      <c r="D541" s="106"/>
      <c r="E541" s="106"/>
      <c r="F541" s="107"/>
      <c r="G541" s="106"/>
      <c r="H541" s="106"/>
      <c r="I541" s="381"/>
      <c r="J541" s="106"/>
      <c r="K541" s="106"/>
      <c r="L541" s="106"/>
    </row>
    <row r="542" spans="1:12">
      <c r="A542" s="106"/>
      <c r="B542" s="106"/>
      <c r="C542" s="107"/>
      <c r="D542" s="106"/>
      <c r="E542" s="106"/>
      <c r="F542" s="107"/>
      <c r="G542" s="106"/>
      <c r="H542" s="106"/>
      <c r="I542" s="381"/>
      <c r="J542" s="106"/>
      <c r="K542" s="106"/>
      <c r="L542" s="106"/>
    </row>
    <row r="543" spans="1:12">
      <c r="A543" s="106"/>
      <c r="B543" s="106"/>
      <c r="C543" s="107"/>
      <c r="D543" s="106"/>
      <c r="E543" s="106"/>
      <c r="F543" s="107"/>
      <c r="G543" s="106"/>
      <c r="H543" s="106"/>
      <c r="I543" s="381"/>
      <c r="J543" s="106"/>
      <c r="K543" s="106"/>
      <c r="L543" s="106"/>
    </row>
    <row r="544" spans="1:12">
      <c r="A544" s="106"/>
      <c r="B544" s="106"/>
      <c r="C544" s="107"/>
      <c r="D544" s="106"/>
      <c r="E544" s="106"/>
      <c r="F544" s="107"/>
      <c r="G544" s="106"/>
      <c r="H544" s="106"/>
      <c r="I544" s="381"/>
      <c r="J544" s="106"/>
      <c r="K544" s="106"/>
      <c r="L544" s="106"/>
    </row>
    <row r="545" spans="1:12">
      <c r="A545" s="106"/>
      <c r="B545" s="106"/>
      <c r="C545" s="107"/>
      <c r="D545" s="106"/>
      <c r="E545" s="106"/>
      <c r="F545" s="107"/>
      <c r="G545" s="106"/>
      <c r="H545" s="106"/>
      <c r="I545" s="381"/>
      <c r="J545" s="106"/>
      <c r="K545" s="106"/>
      <c r="L545" s="106"/>
    </row>
    <row r="546" spans="1:12">
      <c r="A546" s="106"/>
      <c r="B546" s="106"/>
      <c r="C546" s="107"/>
      <c r="D546" s="106"/>
      <c r="E546" s="106"/>
      <c r="F546" s="107"/>
      <c r="G546" s="106"/>
      <c r="H546" s="106"/>
      <c r="I546" s="381"/>
      <c r="J546" s="106"/>
      <c r="K546" s="106"/>
      <c r="L546" s="106"/>
    </row>
    <row r="547" spans="1:12">
      <c r="A547" s="106"/>
      <c r="B547" s="106"/>
      <c r="C547" s="107"/>
      <c r="D547" s="106"/>
      <c r="E547" s="106"/>
      <c r="F547" s="107"/>
      <c r="G547" s="106"/>
      <c r="H547" s="106"/>
      <c r="I547" s="381"/>
      <c r="J547" s="106"/>
      <c r="K547" s="106"/>
      <c r="L547" s="106"/>
    </row>
    <row r="548" spans="1:12">
      <c r="A548" s="106"/>
      <c r="B548" s="106"/>
      <c r="C548" s="107"/>
      <c r="D548" s="106"/>
      <c r="E548" s="106"/>
      <c r="F548" s="107"/>
      <c r="G548" s="106"/>
      <c r="H548" s="106"/>
      <c r="I548" s="381"/>
      <c r="J548" s="106"/>
      <c r="K548" s="106"/>
      <c r="L548" s="106"/>
    </row>
    <row r="549" spans="1:12">
      <c r="A549" s="106"/>
      <c r="B549" s="106"/>
      <c r="C549" s="107"/>
      <c r="D549" s="106"/>
      <c r="E549" s="106"/>
      <c r="F549" s="107"/>
      <c r="G549" s="106"/>
      <c r="H549" s="106"/>
      <c r="I549" s="381"/>
      <c r="J549" s="106"/>
      <c r="K549" s="106"/>
      <c r="L549" s="106"/>
    </row>
    <row r="550" spans="1:12">
      <c r="A550" s="106"/>
      <c r="B550" s="106"/>
      <c r="C550" s="107"/>
      <c r="D550" s="106"/>
      <c r="E550" s="106"/>
      <c r="F550" s="107"/>
      <c r="G550" s="106"/>
      <c r="H550" s="106"/>
      <c r="I550" s="381"/>
      <c r="J550" s="106"/>
      <c r="K550" s="106"/>
      <c r="L550" s="106"/>
    </row>
    <row r="551" spans="1:12">
      <c r="A551" s="106"/>
      <c r="B551" s="106"/>
      <c r="C551" s="107"/>
      <c r="D551" s="106"/>
      <c r="E551" s="106"/>
      <c r="F551" s="107"/>
      <c r="G551" s="106"/>
      <c r="H551" s="106"/>
      <c r="I551" s="381"/>
      <c r="J551" s="106"/>
      <c r="K551" s="106"/>
      <c r="L551" s="106"/>
    </row>
    <row r="552" spans="1:12">
      <c r="A552" s="106"/>
      <c r="B552" s="106"/>
      <c r="C552" s="107"/>
      <c r="D552" s="106"/>
      <c r="E552" s="106"/>
      <c r="F552" s="107"/>
      <c r="G552" s="106"/>
      <c r="H552" s="106"/>
      <c r="I552" s="381"/>
      <c r="J552" s="106"/>
      <c r="K552" s="106"/>
      <c r="L552" s="106"/>
    </row>
    <row r="553" spans="1:12">
      <c r="A553" s="106"/>
      <c r="B553" s="106"/>
      <c r="C553" s="107"/>
      <c r="D553" s="106"/>
      <c r="E553" s="106"/>
      <c r="F553" s="107"/>
      <c r="G553" s="106"/>
      <c r="H553" s="106"/>
      <c r="I553" s="381"/>
      <c r="J553" s="106"/>
      <c r="K553" s="106"/>
      <c r="L553" s="106"/>
    </row>
    <row r="554" spans="1:12">
      <c r="A554" s="106"/>
      <c r="B554" s="106"/>
      <c r="C554" s="107"/>
      <c r="D554" s="106"/>
      <c r="E554" s="106"/>
      <c r="F554" s="107"/>
      <c r="G554" s="106"/>
      <c r="H554" s="106"/>
      <c r="I554" s="381"/>
      <c r="J554" s="106"/>
      <c r="K554" s="106"/>
      <c r="L554" s="106"/>
    </row>
    <row r="555" spans="1:12">
      <c r="A555" s="106"/>
      <c r="B555" s="106"/>
      <c r="C555" s="107"/>
      <c r="D555" s="106"/>
      <c r="E555" s="106"/>
      <c r="F555" s="107"/>
      <c r="G555" s="106"/>
      <c r="H555" s="106"/>
      <c r="I555" s="381"/>
      <c r="J555" s="106"/>
      <c r="K555" s="106"/>
      <c r="L555" s="106"/>
    </row>
    <row r="556" spans="1:12">
      <c r="A556" s="106"/>
      <c r="B556" s="106"/>
      <c r="C556" s="107"/>
      <c r="D556" s="106"/>
      <c r="E556" s="106"/>
      <c r="F556" s="107"/>
      <c r="G556" s="106"/>
      <c r="H556" s="106"/>
      <c r="I556" s="381"/>
      <c r="J556" s="106"/>
      <c r="K556" s="106"/>
      <c r="L556" s="106"/>
    </row>
    <row r="557" spans="1:12">
      <c r="A557" s="106"/>
      <c r="B557" s="106"/>
      <c r="C557" s="107"/>
      <c r="D557" s="106"/>
      <c r="E557" s="106"/>
      <c r="F557" s="107"/>
      <c r="G557" s="106"/>
      <c r="H557" s="106"/>
      <c r="I557" s="381"/>
      <c r="J557" s="106"/>
      <c r="K557" s="106"/>
      <c r="L557" s="106"/>
    </row>
    <row r="558" spans="1:12">
      <c r="A558" s="106"/>
      <c r="B558" s="106"/>
      <c r="C558" s="107"/>
      <c r="D558" s="106"/>
      <c r="E558" s="106"/>
      <c r="F558" s="107"/>
      <c r="G558" s="106"/>
      <c r="H558" s="106"/>
      <c r="I558" s="381"/>
      <c r="J558" s="106"/>
      <c r="K558" s="106"/>
      <c r="L558" s="106"/>
    </row>
    <row r="559" spans="1:12">
      <c r="A559" s="106"/>
      <c r="B559" s="106"/>
      <c r="C559" s="107"/>
      <c r="D559" s="106"/>
      <c r="E559" s="106"/>
      <c r="F559" s="107"/>
      <c r="G559" s="106"/>
      <c r="H559" s="106"/>
      <c r="I559" s="381"/>
      <c r="J559" s="106"/>
      <c r="K559" s="106"/>
      <c r="L559" s="106"/>
    </row>
    <row r="560" spans="1:12">
      <c r="A560" s="106"/>
      <c r="B560" s="106"/>
      <c r="C560" s="107"/>
      <c r="D560" s="106"/>
      <c r="E560" s="106"/>
      <c r="F560" s="107"/>
      <c r="G560" s="106"/>
      <c r="H560" s="106"/>
      <c r="I560" s="381"/>
      <c r="J560" s="106"/>
      <c r="K560" s="106"/>
      <c r="L560" s="106"/>
    </row>
    <row r="561" spans="1:12">
      <c r="A561" s="106"/>
      <c r="B561" s="106"/>
      <c r="C561" s="107"/>
      <c r="D561" s="106"/>
      <c r="E561" s="106"/>
      <c r="F561" s="107"/>
      <c r="G561" s="106"/>
      <c r="H561" s="106"/>
      <c r="I561" s="381"/>
      <c r="J561" s="106"/>
      <c r="K561" s="106"/>
      <c r="L561" s="106"/>
    </row>
    <row r="562" spans="1:12">
      <c r="A562" s="106"/>
      <c r="B562" s="106"/>
      <c r="C562" s="107"/>
      <c r="D562" s="106"/>
      <c r="E562" s="106"/>
      <c r="F562" s="107"/>
      <c r="G562" s="106"/>
      <c r="H562" s="106"/>
      <c r="I562" s="381"/>
      <c r="J562" s="106"/>
      <c r="K562" s="106"/>
      <c r="L562" s="106"/>
    </row>
    <row r="563" spans="1:12">
      <c r="A563" s="106"/>
      <c r="B563" s="106"/>
      <c r="C563" s="107"/>
      <c r="D563" s="106"/>
      <c r="E563" s="106"/>
      <c r="F563" s="107"/>
      <c r="G563" s="106"/>
      <c r="H563" s="106"/>
      <c r="I563" s="381"/>
      <c r="J563" s="106"/>
      <c r="K563" s="106"/>
      <c r="L563" s="106"/>
    </row>
    <row r="564" spans="1:12">
      <c r="A564" s="106"/>
      <c r="B564" s="106"/>
      <c r="C564" s="107"/>
      <c r="D564" s="106"/>
      <c r="E564" s="106"/>
      <c r="F564" s="107"/>
      <c r="G564" s="106"/>
      <c r="H564" s="106"/>
      <c r="I564" s="381"/>
      <c r="J564" s="106"/>
      <c r="K564" s="106"/>
      <c r="L564" s="106"/>
    </row>
    <row r="565" spans="1:12">
      <c r="A565" s="106"/>
      <c r="B565" s="106"/>
      <c r="C565" s="107"/>
      <c r="D565" s="106"/>
      <c r="E565" s="106"/>
      <c r="F565" s="107"/>
      <c r="G565" s="106"/>
      <c r="H565" s="106"/>
      <c r="I565" s="381"/>
      <c r="J565" s="106"/>
      <c r="K565" s="106"/>
      <c r="L565" s="106"/>
    </row>
    <row r="566" spans="1:12">
      <c r="A566" s="106"/>
      <c r="B566" s="106"/>
      <c r="C566" s="107"/>
      <c r="D566" s="106"/>
      <c r="E566" s="106"/>
      <c r="F566" s="107"/>
      <c r="G566" s="106"/>
      <c r="H566" s="106"/>
      <c r="I566" s="381"/>
      <c r="J566" s="106"/>
      <c r="K566" s="106"/>
      <c r="L566" s="106"/>
    </row>
    <row r="567" spans="1:12">
      <c r="A567" s="106"/>
      <c r="B567" s="106"/>
      <c r="C567" s="107"/>
      <c r="D567" s="106"/>
      <c r="E567" s="106"/>
      <c r="F567" s="107"/>
      <c r="G567" s="106"/>
      <c r="H567" s="106"/>
      <c r="I567" s="381"/>
      <c r="J567" s="106"/>
      <c r="K567" s="106"/>
      <c r="L567" s="106"/>
    </row>
    <row r="568" spans="1:12">
      <c r="A568" s="106"/>
      <c r="B568" s="106"/>
      <c r="C568" s="107"/>
      <c r="D568" s="106"/>
      <c r="E568" s="106"/>
      <c r="F568" s="107"/>
      <c r="G568" s="106"/>
      <c r="H568" s="106"/>
      <c r="I568" s="381"/>
      <c r="J568" s="106"/>
      <c r="K568" s="106"/>
      <c r="L568" s="106"/>
    </row>
    <row r="569" spans="1:12">
      <c r="A569" s="106"/>
      <c r="B569" s="106"/>
      <c r="C569" s="107"/>
      <c r="D569" s="106"/>
      <c r="E569" s="106"/>
      <c r="F569" s="107"/>
      <c r="G569" s="106"/>
      <c r="H569" s="106"/>
      <c r="I569" s="381"/>
      <c r="J569" s="106"/>
      <c r="K569" s="106"/>
      <c r="L569" s="106"/>
    </row>
    <row r="570" spans="1:12">
      <c r="A570" s="106"/>
      <c r="B570" s="106"/>
      <c r="C570" s="107"/>
      <c r="D570" s="106"/>
      <c r="E570" s="106"/>
      <c r="F570" s="107"/>
      <c r="G570" s="106"/>
      <c r="H570" s="106"/>
      <c r="I570" s="381"/>
      <c r="J570" s="106"/>
      <c r="K570" s="106"/>
      <c r="L570" s="106"/>
    </row>
    <row r="571" spans="1:12">
      <c r="A571" s="106"/>
      <c r="B571" s="106"/>
      <c r="C571" s="107"/>
      <c r="D571" s="106"/>
      <c r="E571" s="106"/>
      <c r="F571" s="107"/>
      <c r="G571" s="106"/>
      <c r="H571" s="106"/>
      <c r="I571" s="381"/>
      <c r="J571" s="106"/>
      <c r="K571" s="106"/>
      <c r="L571" s="106"/>
    </row>
    <row r="572" spans="1:12">
      <c r="A572" s="106"/>
      <c r="B572" s="106"/>
      <c r="C572" s="107"/>
      <c r="D572" s="106"/>
      <c r="E572" s="106"/>
      <c r="F572" s="107"/>
      <c r="G572" s="106"/>
      <c r="H572" s="106"/>
      <c r="I572" s="381"/>
      <c r="J572" s="106"/>
      <c r="K572" s="106"/>
      <c r="L572" s="106"/>
    </row>
    <row r="573" spans="1:12">
      <c r="A573" s="106"/>
      <c r="B573" s="106"/>
      <c r="C573" s="107"/>
      <c r="D573" s="106"/>
      <c r="E573" s="106"/>
      <c r="F573" s="107"/>
      <c r="G573" s="106"/>
      <c r="H573" s="106"/>
      <c r="I573" s="381"/>
      <c r="J573" s="106"/>
      <c r="K573" s="106"/>
      <c r="L573" s="106"/>
    </row>
    <row r="574" spans="1:12">
      <c r="A574" s="106"/>
      <c r="B574" s="106"/>
      <c r="C574" s="107"/>
      <c r="D574" s="106"/>
      <c r="E574" s="106"/>
      <c r="F574" s="107"/>
      <c r="G574" s="106"/>
      <c r="H574" s="106"/>
      <c r="I574" s="381"/>
      <c r="J574" s="106"/>
      <c r="K574" s="106"/>
      <c r="L574" s="106"/>
    </row>
    <row r="575" spans="1:12">
      <c r="A575" s="106"/>
      <c r="B575" s="106"/>
      <c r="C575" s="107"/>
      <c r="D575" s="106"/>
      <c r="E575" s="106"/>
      <c r="F575" s="107"/>
      <c r="G575" s="106"/>
      <c r="H575" s="106"/>
      <c r="I575" s="381"/>
      <c r="J575" s="106"/>
      <c r="K575" s="106"/>
      <c r="L575" s="106"/>
    </row>
    <row r="576" spans="1:12">
      <c r="A576" s="106"/>
      <c r="B576" s="106"/>
      <c r="C576" s="107"/>
      <c r="D576" s="106"/>
      <c r="E576" s="106"/>
      <c r="F576" s="107"/>
      <c r="G576" s="106"/>
      <c r="H576" s="106"/>
      <c r="I576" s="381"/>
      <c r="J576" s="106"/>
      <c r="K576" s="106"/>
      <c r="L576" s="106"/>
    </row>
    <row r="577" spans="1:12">
      <c r="A577" s="106"/>
      <c r="B577" s="106"/>
      <c r="C577" s="107"/>
      <c r="D577" s="106"/>
      <c r="E577" s="106"/>
      <c r="F577" s="107"/>
      <c r="G577" s="106"/>
      <c r="H577" s="106"/>
      <c r="I577" s="381"/>
      <c r="J577" s="106"/>
      <c r="K577" s="106"/>
      <c r="L577" s="106"/>
    </row>
    <row r="578" spans="1:12">
      <c r="A578" s="106"/>
      <c r="B578" s="106"/>
      <c r="C578" s="107"/>
      <c r="D578" s="106"/>
      <c r="E578" s="106"/>
      <c r="F578" s="107"/>
      <c r="G578" s="106"/>
      <c r="H578" s="106"/>
      <c r="I578" s="381"/>
      <c r="J578" s="106"/>
      <c r="K578" s="106"/>
      <c r="L578" s="106"/>
    </row>
    <row r="579" spans="1:12">
      <c r="A579" s="106"/>
      <c r="B579" s="106"/>
      <c r="C579" s="107"/>
      <c r="D579" s="106"/>
      <c r="E579" s="106"/>
      <c r="F579" s="107"/>
      <c r="G579" s="106"/>
      <c r="H579" s="106"/>
      <c r="I579" s="381"/>
      <c r="J579" s="106"/>
      <c r="K579" s="106"/>
      <c r="L579" s="106"/>
    </row>
    <row r="580" spans="1:12">
      <c r="A580" s="106"/>
      <c r="B580" s="106"/>
      <c r="C580" s="107"/>
      <c r="D580" s="106"/>
      <c r="E580" s="106"/>
      <c r="F580" s="107"/>
      <c r="G580" s="106"/>
      <c r="H580" s="106"/>
      <c r="I580" s="381"/>
      <c r="J580" s="106"/>
      <c r="K580" s="106"/>
      <c r="L580" s="106"/>
    </row>
    <row r="581" spans="1:12">
      <c r="A581" s="106"/>
      <c r="B581" s="106"/>
      <c r="C581" s="107"/>
      <c r="D581" s="106"/>
      <c r="E581" s="106"/>
      <c r="F581" s="107"/>
      <c r="G581" s="106"/>
      <c r="H581" s="106"/>
      <c r="I581" s="381"/>
      <c r="J581" s="106"/>
      <c r="K581" s="106"/>
      <c r="L581" s="106"/>
    </row>
    <row r="582" spans="1:12">
      <c r="A582" s="106"/>
      <c r="B582" s="106"/>
      <c r="C582" s="107"/>
      <c r="D582" s="106"/>
      <c r="E582" s="106"/>
      <c r="F582" s="107"/>
      <c r="G582" s="106"/>
      <c r="H582" s="106"/>
      <c r="I582" s="381"/>
      <c r="J582" s="106"/>
      <c r="K582" s="106"/>
      <c r="L582" s="106"/>
    </row>
    <row r="583" spans="1:12">
      <c r="A583" s="106"/>
      <c r="B583" s="106"/>
      <c r="C583" s="107"/>
      <c r="D583" s="106"/>
      <c r="E583" s="106"/>
      <c r="F583" s="107"/>
      <c r="G583" s="106"/>
      <c r="H583" s="106"/>
      <c r="I583" s="381"/>
      <c r="J583" s="106"/>
      <c r="K583" s="106"/>
      <c r="L583" s="106"/>
    </row>
    <row r="584" spans="1:12">
      <c r="A584" s="106"/>
      <c r="B584" s="106"/>
      <c r="C584" s="107"/>
      <c r="D584" s="106"/>
      <c r="E584" s="106"/>
      <c r="F584" s="107"/>
      <c r="G584" s="106"/>
      <c r="H584" s="106"/>
      <c r="I584" s="381"/>
      <c r="J584" s="106"/>
      <c r="K584" s="106"/>
      <c r="L584" s="106"/>
    </row>
    <row r="585" spans="1:12">
      <c r="A585" s="106"/>
      <c r="B585" s="106"/>
      <c r="C585" s="107"/>
      <c r="D585" s="106"/>
      <c r="E585" s="106"/>
      <c r="F585" s="107"/>
      <c r="G585" s="106"/>
      <c r="H585" s="106"/>
      <c r="I585" s="381"/>
      <c r="J585" s="106"/>
      <c r="K585" s="106"/>
      <c r="L585" s="106"/>
    </row>
    <row r="586" spans="1:12">
      <c r="A586" s="106"/>
      <c r="B586" s="106"/>
      <c r="C586" s="107"/>
      <c r="D586" s="106"/>
      <c r="E586" s="106"/>
      <c r="F586" s="107"/>
      <c r="G586" s="106"/>
      <c r="H586" s="106"/>
      <c r="I586" s="381"/>
      <c r="J586" s="106"/>
      <c r="K586" s="106"/>
      <c r="L586" s="106"/>
    </row>
    <row r="587" spans="1:12">
      <c r="A587" s="106"/>
      <c r="B587" s="106"/>
      <c r="C587" s="107"/>
      <c r="D587" s="106"/>
      <c r="E587" s="106"/>
      <c r="F587" s="107"/>
      <c r="G587" s="106"/>
      <c r="H587" s="106"/>
      <c r="I587" s="381"/>
      <c r="J587" s="106"/>
      <c r="K587" s="106"/>
      <c r="L587" s="106"/>
    </row>
    <row r="588" spans="1:12">
      <c r="A588" s="106"/>
      <c r="B588" s="106"/>
      <c r="C588" s="107"/>
      <c r="D588" s="106"/>
      <c r="E588" s="106"/>
      <c r="F588" s="107"/>
      <c r="G588" s="106"/>
      <c r="H588" s="106"/>
      <c r="I588" s="381"/>
      <c r="J588" s="106"/>
      <c r="K588" s="106"/>
      <c r="L588" s="106"/>
    </row>
    <row r="589" spans="1:12">
      <c r="A589" s="106"/>
      <c r="B589" s="106"/>
      <c r="C589" s="107"/>
      <c r="D589" s="106"/>
      <c r="E589" s="106"/>
      <c r="F589" s="107"/>
      <c r="G589" s="106"/>
      <c r="H589" s="106"/>
      <c r="I589" s="381"/>
      <c r="J589" s="106"/>
      <c r="K589" s="106"/>
      <c r="L589" s="106"/>
    </row>
    <row r="590" spans="1:12">
      <c r="A590" s="106"/>
      <c r="B590" s="106"/>
      <c r="C590" s="107"/>
      <c r="D590" s="106"/>
      <c r="E590" s="106"/>
      <c r="F590" s="107"/>
      <c r="G590" s="106"/>
      <c r="H590" s="106"/>
      <c r="I590" s="381"/>
      <c r="J590" s="106"/>
      <c r="K590" s="106"/>
      <c r="L590" s="106"/>
    </row>
    <row r="591" spans="1:12">
      <c r="A591" s="106"/>
      <c r="B591" s="106"/>
      <c r="C591" s="107"/>
      <c r="D591" s="106"/>
      <c r="E591" s="106"/>
      <c r="F591" s="107"/>
      <c r="G591" s="106"/>
      <c r="H591" s="106"/>
      <c r="I591" s="381"/>
      <c r="J591" s="106"/>
      <c r="K591" s="106"/>
      <c r="L591" s="106"/>
    </row>
    <row r="592" spans="1:12">
      <c r="A592" s="106"/>
      <c r="B592" s="106"/>
      <c r="C592" s="107"/>
      <c r="D592" s="106"/>
      <c r="E592" s="106"/>
      <c r="F592" s="107"/>
      <c r="G592" s="106"/>
      <c r="H592" s="106"/>
      <c r="I592" s="381"/>
      <c r="J592" s="106"/>
      <c r="K592" s="106"/>
      <c r="L592" s="106"/>
    </row>
    <row r="593" spans="1:12">
      <c r="A593" s="106"/>
      <c r="B593" s="106"/>
      <c r="C593" s="107"/>
      <c r="D593" s="106"/>
      <c r="E593" s="106"/>
      <c r="F593" s="107"/>
      <c r="G593" s="106"/>
      <c r="H593" s="106"/>
      <c r="I593" s="381"/>
      <c r="J593" s="106"/>
      <c r="K593" s="106"/>
      <c r="L593" s="106"/>
    </row>
    <row r="594" spans="1:12">
      <c r="A594" s="106"/>
      <c r="B594" s="106"/>
      <c r="C594" s="107"/>
      <c r="D594" s="106"/>
      <c r="E594" s="106"/>
      <c r="F594" s="107"/>
      <c r="G594" s="106"/>
      <c r="H594" s="106"/>
      <c r="I594" s="381"/>
      <c r="J594" s="106"/>
      <c r="K594" s="106"/>
      <c r="L594" s="106"/>
    </row>
    <row r="595" spans="1:12">
      <c r="A595" s="106"/>
      <c r="B595" s="106"/>
      <c r="C595" s="107"/>
      <c r="D595" s="106"/>
      <c r="E595" s="106"/>
      <c r="F595" s="107"/>
      <c r="G595" s="106"/>
      <c r="H595" s="106"/>
      <c r="I595" s="381"/>
      <c r="J595" s="106"/>
      <c r="K595" s="106"/>
      <c r="L595" s="106"/>
    </row>
    <row r="596" spans="1:12">
      <c r="A596" s="106"/>
      <c r="B596" s="106"/>
      <c r="C596" s="107"/>
      <c r="D596" s="106"/>
      <c r="E596" s="106"/>
      <c r="F596" s="107"/>
      <c r="G596" s="106"/>
      <c r="H596" s="106"/>
      <c r="I596" s="381"/>
      <c r="J596" s="106"/>
      <c r="K596" s="106"/>
      <c r="L596" s="106"/>
    </row>
    <row r="597" spans="1:12">
      <c r="A597" s="106"/>
      <c r="B597" s="106"/>
      <c r="C597" s="107"/>
      <c r="D597" s="106"/>
      <c r="E597" s="106"/>
      <c r="F597" s="107"/>
      <c r="G597" s="106"/>
      <c r="H597" s="106"/>
      <c r="I597" s="381"/>
      <c r="J597" s="106"/>
      <c r="K597" s="106"/>
      <c r="L597" s="106"/>
    </row>
    <row r="598" spans="1:12">
      <c r="A598" s="106"/>
      <c r="B598" s="106"/>
      <c r="C598" s="107"/>
      <c r="D598" s="106"/>
      <c r="E598" s="106"/>
      <c r="F598" s="107"/>
      <c r="G598" s="106"/>
      <c r="H598" s="106"/>
      <c r="I598" s="381"/>
      <c r="J598" s="106"/>
      <c r="K598" s="106"/>
      <c r="L598" s="106"/>
    </row>
    <row r="599" spans="1:12">
      <c r="A599" s="106"/>
      <c r="B599" s="106"/>
      <c r="C599" s="107"/>
      <c r="D599" s="106"/>
      <c r="E599" s="106"/>
      <c r="F599" s="107"/>
      <c r="G599" s="106"/>
      <c r="H599" s="106"/>
      <c r="I599" s="381"/>
      <c r="J599" s="106"/>
      <c r="K599" s="106"/>
      <c r="L599" s="106"/>
    </row>
    <row r="600" spans="1:12">
      <c r="A600" s="106"/>
      <c r="B600" s="106"/>
      <c r="C600" s="107"/>
      <c r="D600" s="106"/>
      <c r="E600" s="106"/>
      <c r="F600" s="107"/>
      <c r="G600" s="106"/>
      <c r="H600" s="106"/>
      <c r="I600" s="381"/>
      <c r="J600" s="106"/>
      <c r="K600" s="106"/>
      <c r="L600" s="106"/>
    </row>
    <row r="601" spans="1:12">
      <c r="A601" s="106"/>
      <c r="B601" s="106"/>
      <c r="C601" s="107"/>
      <c r="D601" s="106"/>
      <c r="E601" s="106"/>
      <c r="F601" s="107"/>
      <c r="G601" s="106"/>
      <c r="H601" s="106"/>
      <c r="I601" s="381"/>
      <c r="J601" s="106"/>
      <c r="K601" s="106"/>
      <c r="L601" s="106"/>
    </row>
    <row r="602" spans="1:12">
      <c r="A602" s="106"/>
      <c r="B602" s="106"/>
      <c r="C602" s="107"/>
      <c r="D602" s="106"/>
      <c r="E602" s="106"/>
      <c r="F602" s="107"/>
      <c r="G602" s="106"/>
      <c r="H602" s="106"/>
      <c r="I602" s="381"/>
      <c r="J602" s="106"/>
      <c r="K602" s="106"/>
      <c r="L602" s="106"/>
    </row>
    <row r="603" spans="1:12">
      <c r="A603" s="106"/>
      <c r="B603" s="106"/>
      <c r="C603" s="107"/>
      <c r="D603" s="106"/>
      <c r="E603" s="106"/>
      <c r="F603" s="107"/>
      <c r="G603" s="106"/>
      <c r="H603" s="106"/>
      <c r="I603" s="381"/>
      <c r="J603" s="106"/>
      <c r="K603" s="106"/>
      <c r="L603" s="106"/>
    </row>
    <row r="604" spans="1:12">
      <c r="A604" s="106"/>
      <c r="B604" s="106"/>
      <c r="C604" s="107"/>
      <c r="D604" s="106"/>
      <c r="E604" s="106"/>
      <c r="F604" s="107"/>
      <c r="G604" s="106"/>
      <c r="H604" s="106"/>
      <c r="I604" s="381"/>
      <c r="J604" s="106"/>
      <c r="K604" s="106"/>
      <c r="L604" s="106"/>
    </row>
    <row r="605" spans="1:12">
      <c r="A605" s="106"/>
      <c r="B605" s="106"/>
      <c r="C605" s="107"/>
      <c r="D605" s="106"/>
      <c r="E605" s="106"/>
      <c r="F605" s="107"/>
      <c r="G605" s="106"/>
      <c r="H605" s="106"/>
      <c r="I605" s="381"/>
      <c r="J605" s="106"/>
      <c r="K605" s="106"/>
      <c r="L605" s="106"/>
    </row>
    <row r="606" spans="1:12">
      <c r="A606" s="106"/>
      <c r="B606" s="106"/>
      <c r="C606" s="107"/>
      <c r="D606" s="106"/>
      <c r="E606" s="106"/>
      <c r="F606" s="107"/>
      <c r="G606" s="106"/>
      <c r="H606" s="106"/>
      <c r="I606" s="381"/>
      <c r="J606" s="106"/>
      <c r="K606" s="106"/>
      <c r="L606" s="106"/>
    </row>
    <row r="607" spans="1:12">
      <c r="A607" s="106"/>
      <c r="B607" s="106"/>
      <c r="C607" s="107"/>
      <c r="D607" s="106"/>
      <c r="E607" s="106"/>
      <c r="F607" s="107"/>
      <c r="G607" s="106"/>
      <c r="H607" s="106"/>
      <c r="I607" s="381"/>
      <c r="J607" s="106"/>
      <c r="K607" s="106"/>
      <c r="L607" s="106"/>
    </row>
    <row r="608" spans="1:12">
      <c r="A608" s="106"/>
      <c r="B608" s="106"/>
      <c r="C608" s="107"/>
      <c r="D608" s="106"/>
      <c r="E608" s="106"/>
      <c r="F608" s="107"/>
      <c r="G608" s="106"/>
      <c r="H608" s="106"/>
      <c r="I608" s="381"/>
      <c r="J608" s="106"/>
      <c r="K608" s="106"/>
      <c r="L608" s="106"/>
    </row>
    <row r="609" spans="1:12">
      <c r="A609" s="106"/>
      <c r="B609" s="106"/>
      <c r="C609" s="107"/>
      <c r="D609" s="106"/>
      <c r="E609" s="106"/>
      <c r="F609" s="107"/>
      <c r="G609" s="106"/>
      <c r="H609" s="106"/>
      <c r="I609" s="381"/>
      <c r="J609" s="106"/>
      <c r="K609" s="106"/>
      <c r="L609" s="106"/>
    </row>
    <row r="610" spans="1:12">
      <c r="A610" s="106"/>
      <c r="B610" s="106"/>
      <c r="C610" s="107"/>
      <c r="D610" s="106"/>
      <c r="E610" s="106"/>
      <c r="F610" s="107"/>
      <c r="G610" s="106"/>
      <c r="H610" s="106"/>
      <c r="I610" s="381"/>
      <c r="J610" s="106"/>
      <c r="K610" s="106"/>
      <c r="L610" s="106"/>
    </row>
    <row r="611" spans="1:12">
      <c r="A611" s="106"/>
      <c r="B611" s="106"/>
      <c r="C611" s="107"/>
      <c r="D611" s="106"/>
      <c r="E611" s="106"/>
      <c r="F611" s="107"/>
      <c r="G611" s="106"/>
      <c r="H611" s="106"/>
      <c r="I611" s="381"/>
      <c r="J611" s="106"/>
      <c r="K611" s="106"/>
      <c r="L611" s="106"/>
    </row>
    <row r="612" spans="1:12">
      <c r="A612" s="106"/>
      <c r="B612" s="106"/>
      <c r="C612" s="107"/>
      <c r="D612" s="106"/>
      <c r="E612" s="106"/>
      <c r="F612" s="107"/>
      <c r="G612" s="106"/>
      <c r="H612" s="106"/>
      <c r="I612" s="381"/>
      <c r="J612" s="106"/>
      <c r="K612" s="106"/>
      <c r="L612" s="106"/>
    </row>
    <row r="613" spans="1:12">
      <c r="A613" s="106"/>
      <c r="B613" s="106"/>
      <c r="C613" s="107"/>
      <c r="D613" s="106"/>
      <c r="E613" s="106"/>
      <c r="F613" s="107"/>
      <c r="G613" s="106"/>
      <c r="H613" s="106"/>
      <c r="I613" s="381"/>
      <c r="J613" s="106"/>
      <c r="K613" s="106"/>
      <c r="L613" s="106"/>
    </row>
    <row r="614" spans="1:12">
      <c r="A614" s="106"/>
      <c r="B614" s="106"/>
      <c r="C614" s="107"/>
      <c r="D614" s="106"/>
      <c r="E614" s="106"/>
      <c r="F614" s="107"/>
      <c r="G614" s="106"/>
      <c r="H614" s="106"/>
      <c r="I614" s="381"/>
      <c r="J614" s="106"/>
      <c r="K614" s="106"/>
      <c r="L614" s="106"/>
    </row>
    <row r="615" spans="1:12">
      <c r="A615" s="106"/>
      <c r="B615" s="106"/>
      <c r="C615" s="107"/>
      <c r="D615" s="106"/>
      <c r="E615" s="106"/>
      <c r="F615" s="107"/>
      <c r="G615" s="106"/>
      <c r="H615" s="106"/>
      <c r="I615" s="381"/>
      <c r="J615" s="106"/>
      <c r="K615" s="106"/>
      <c r="L615" s="106"/>
    </row>
    <row r="616" spans="1:12">
      <c r="A616" s="106"/>
      <c r="B616" s="106"/>
      <c r="C616" s="107"/>
      <c r="D616" s="106"/>
      <c r="E616" s="106"/>
      <c r="F616" s="107"/>
      <c r="G616" s="106"/>
      <c r="H616" s="106"/>
      <c r="I616" s="381"/>
      <c r="J616" s="106"/>
      <c r="K616" s="106"/>
      <c r="L616" s="106"/>
    </row>
    <row r="617" spans="1:12">
      <c r="A617" s="106"/>
      <c r="B617" s="106"/>
      <c r="C617" s="107"/>
      <c r="D617" s="106"/>
      <c r="E617" s="106"/>
      <c r="F617" s="107"/>
      <c r="G617" s="106"/>
      <c r="H617" s="106"/>
      <c r="I617" s="381"/>
      <c r="J617" s="106"/>
      <c r="K617" s="106"/>
      <c r="L617" s="106"/>
    </row>
    <row r="618" spans="1:12">
      <c r="A618" s="106"/>
      <c r="B618" s="106"/>
      <c r="C618" s="107"/>
      <c r="D618" s="106"/>
      <c r="E618" s="106"/>
      <c r="F618" s="107"/>
      <c r="G618" s="106"/>
      <c r="H618" s="106"/>
      <c r="I618" s="381"/>
      <c r="J618" s="106"/>
      <c r="K618" s="106"/>
      <c r="L618" s="106"/>
    </row>
    <row r="619" spans="1:12">
      <c r="A619" s="106"/>
      <c r="B619" s="106"/>
      <c r="C619" s="107"/>
      <c r="D619" s="106"/>
      <c r="E619" s="106"/>
      <c r="F619" s="107"/>
      <c r="G619" s="106"/>
      <c r="H619" s="106"/>
      <c r="I619" s="381"/>
      <c r="J619" s="106"/>
      <c r="K619" s="106"/>
      <c r="L619" s="106"/>
    </row>
    <row r="620" spans="1:12">
      <c r="A620" s="106"/>
      <c r="B620" s="106"/>
      <c r="C620" s="107"/>
      <c r="D620" s="106"/>
      <c r="E620" s="106"/>
      <c r="F620" s="107"/>
      <c r="G620" s="106"/>
      <c r="H620" s="106"/>
      <c r="I620" s="381"/>
      <c r="J620" s="106"/>
      <c r="K620" s="106"/>
      <c r="L620" s="106"/>
    </row>
    <row r="621" spans="1:12">
      <c r="A621" s="106"/>
      <c r="B621" s="106"/>
      <c r="C621" s="107"/>
      <c r="D621" s="106"/>
      <c r="E621" s="106"/>
      <c r="F621" s="107"/>
      <c r="G621" s="106"/>
      <c r="H621" s="106"/>
      <c r="I621" s="381"/>
      <c r="J621" s="106"/>
      <c r="K621" s="106"/>
      <c r="L621" s="106"/>
    </row>
    <row r="622" spans="1:12">
      <c r="A622" s="106"/>
      <c r="B622" s="106"/>
      <c r="C622" s="107"/>
      <c r="D622" s="106"/>
      <c r="E622" s="106"/>
      <c r="F622" s="107"/>
      <c r="G622" s="106"/>
      <c r="H622" s="106"/>
      <c r="I622" s="381"/>
      <c r="J622" s="106"/>
      <c r="K622" s="106"/>
      <c r="L622" s="106"/>
    </row>
    <row r="623" spans="1:12">
      <c r="A623" s="106"/>
      <c r="B623" s="106"/>
      <c r="C623" s="107"/>
      <c r="D623" s="106"/>
      <c r="E623" s="106"/>
      <c r="F623" s="107"/>
      <c r="G623" s="106"/>
      <c r="H623" s="106"/>
      <c r="I623" s="381"/>
      <c r="J623" s="106"/>
      <c r="K623" s="106"/>
      <c r="L623" s="106"/>
    </row>
    <row r="624" spans="1:12">
      <c r="A624" s="106"/>
      <c r="B624" s="106"/>
      <c r="C624" s="107"/>
      <c r="D624" s="106"/>
      <c r="E624" s="106"/>
      <c r="F624" s="107"/>
      <c r="G624" s="106"/>
      <c r="H624" s="106"/>
      <c r="I624" s="381"/>
      <c r="J624" s="106"/>
      <c r="K624" s="106"/>
      <c r="L624" s="106"/>
    </row>
    <row r="625" spans="1:12">
      <c r="A625" s="106"/>
      <c r="B625" s="106"/>
      <c r="C625" s="107"/>
      <c r="D625" s="106"/>
      <c r="E625" s="106"/>
      <c r="F625" s="107"/>
      <c r="G625" s="106"/>
      <c r="H625" s="106"/>
      <c r="I625" s="381"/>
      <c r="J625" s="106"/>
      <c r="K625" s="106"/>
      <c r="L625" s="106"/>
    </row>
    <row r="626" spans="1:12">
      <c r="A626" s="106"/>
      <c r="B626" s="106"/>
      <c r="C626" s="107"/>
      <c r="D626" s="106"/>
      <c r="E626" s="106"/>
      <c r="F626" s="107"/>
      <c r="G626" s="106"/>
      <c r="H626" s="106"/>
      <c r="I626" s="381"/>
      <c r="J626" s="106"/>
      <c r="K626" s="106"/>
      <c r="L626" s="106"/>
    </row>
    <row r="627" spans="1:12">
      <c r="A627" s="106"/>
      <c r="B627" s="106"/>
      <c r="C627" s="107"/>
      <c r="D627" s="106"/>
      <c r="E627" s="106"/>
      <c r="F627" s="107"/>
      <c r="G627" s="106"/>
      <c r="H627" s="106"/>
      <c r="I627" s="381"/>
      <c r="J627" s="106"/>
      <c r="K627" s="106"/>
      <c r="L627" s="106"/>
    </row>
    <row r="628" spans="1:12">
      <c r="A628" s="106"/>
      <c r="B628" s="106"/>
      <c r="C628" s="107"/>
      <c r="D628" s="106"/>
      <c r="E628" s="106"/>
      <c r="F628" s="107"/>
      <c r="G628" s="106"/>
      <c r="H628" s="106"/>
      <c r="I628" s="381"/>
      <c r="J628" s="106"/>
      <c r="K628" s="106"/>
      <c r="L628" s="106"/>
    </row>
    <row r="629" spans="1:12">
      <c r="A629" s="106"/>
      <c r="B629" s="106"/>
      <c r="C629" s="107"/>
      <c r="D629" s="106"/>
      <c r="E629" s="106"/>
      <c r="F629" s="107"/>
      <c r="G629" s="106"/>
      <c r="H629" s="106"/>
      <c r="I629" s="381"/>
      <c r="J629" s="106"/>
      <c r="K629" s="106"/>
      <c r="L629" s="106"/>
    </row>
    <row r="630" spans="1:12">
      <c r="A630" s="106"/>
      <c r="B630" s="106"/>
      <c r="C630" s="107"/>
      <c r="D630" s="106"/>
      <c r="E630" s="106"/>
      <c r="F630" s="107"/>
      <c r="G630" s="106"/>
      <c r="H630" s="106"/>
      <c r="I630" s="381"/>
      <c r="J630" s="106"/>
      <c r="K630" s="106"/>
      <c r="L630" s="106"/>
    </row>
    <row r="631" spans="1:12">
      <c r="A631" s="106"/>
      <c r="B631" s="106"/>
      <c r="C631" s="107"/>
      <c r="D631" s="106"/>
      <c r="E631" s="106"/>
      <c r="F631" s="107"/>
      <c r="G631" s="106"/>
      <c r="H631" s="106"/>
      <c r="I631" s="381"/>
      <c r="J631" s="106"/>
      <c r="K631" s="106"/>
      <c r="L631" s="106"/>
    </row>
    <row r="632" spans="1:12">
      <c r="A632" s="106"/>
      <c r="B632" s="106"/>
      <c r="C632" s="107"/>
      <c r="D632" s="106"/>
      <c r="E632" s="106"/>
      <c r="F632" s="107"/>
      <c r="G632" s="106"/>
      <c r="H632" s="106"/>
      <c r="I632" s="381"/>
      <c r="J632" s="106"/>
      <c r="K632" s="106"/>
      <c r="L632" s="106"/>
    </row>
    <row r="633" spans="1:12">
      <c r="A633" s="106"/>
      <c r="B633" s="106"/>
      <c r="C633" s="107"/>
      <c r="D633" s="106"/>
      <c r="E633" s="106"/>
      <c r="F633" s="107"/>
      <c r="G633" s="106"/>
      <c r="H633" s="106"/>
      <c r="I633" s="381"/>
      <c r="J633" s="106"/>
      <c r="K633" s="106"/>
      <c r="L633" s="106"/>
    </row>
    <row r="634" spans="1:12">
      <c r="A634" s="106"/>
      <c r="B634" s="106"/>
      <c r="C634" s="107"/>
      <c r="D634" s="106"/>
      <c r="E634" s="106"/>
      <c r="F634" s="107"/>
      <c r="G634" s="106"/>
      <c r="H634" s="106"/>
      <c r="I634" s="381"/>
      <c r="J634" s="106"/>
      <c r="K634" s="106"/>
      <c r="L634" s="106"/>
    </row>
    <row r="635" spans="1:12">
      <c r="A635" s="106"/>
      <c r="B635" s="106"/>
      <c r="C635" s="107"/>
      <c r="D635" s="106"/>
      <c r="E635" s="106"/>
      <c r="F635" s="107"/>
      <c r="G635" s="106"/>
      <c r="H635" s="106"/>
      <c r="I635" s="381"/>
      <c r="J635" s="106"/>
      <c r="K635" s="106"/>
      <c r="L635" s="106"/>
    </row>
    <row r="636" spans="1:12">
      <c r="A636" s="106"/>
      <c r="B636" s="106"/>
      <c r="C636" s="107"/>
      <c r="D636" s="106"/>
      <c r="E636" s="106"/>
      <c r="F636" s="107"/>
      <c r="G636" s="106"/>
      <c r="H636" s="106"/>
      <c r="I636" s="381"/>
      <c r="J636" s="106"/>
      <c r="K636" s="106"/>
      <c r="L636" s="106"/>
    </row>
    <row r="637" spans="1:12">
      <c r="A637" s="106"/>
      <c r="B637" s="106"/>
      <c r="C637" s="107"/>
      <c r="D637" s="106"/>
      <c r="E637" s="106"/>
      <c r="F637" s="107"/>
      <c r="G637" s="106"/>
      <c r="H637" s="106"/>
      <c r="I637" s="381"/>
      <c r="J637" s="106"/>
      <c r="K637" s="106"/>
      <c r="L637" s="106"/>
    </row>
    <row r="638" spans="1:12">
      <c r="A638" s="106"/>
      <c r="B638" s="106"/>
      <c r="C638" s="107"/>
      <c r="D638" s="106"/>
      <c r="E638" s="106"/>
      <c r="F638" s="107"/>
      <c r="G638" s="106"/>
      <c r="H638" s="106"/>
      <c r="I638" s="381"/>
      <c r="J638" s="106"/>
      <c r="K638" s="106"/>
      <c r="L638" s="106"/>
    </row>
    <row r="639" spans="1:12">
      <c r="A639" s="106"/>
      <c r="B639" s="106"/>
      <c r="C639" s="107"/>
      <c r="D639" s="106"/>
      <c r="E639" s="106"/>
      <c r="F639" s="107"/>
      <c r="G639" s="106"/>
      <c r="H639" s="106"/>
      <c r="I639" s="381"/>
      <c r="J639" s="106"/>
      <c r="K639" s="106"/>
      <c r="L639" s="106"/>
    </row>
    <row r="640" spans="1:12">
      <c r="A640" s="106"/>
      <c r="B640" s="106"/>
      <c r="C640" s="107"/>
      <c r="D640" s="106"/>
      <c r="E640" s="106"/>
      <c r="F640" s="107"/>
      <c r="G640" s="106"/>
      <c r="H640" s="106"/>
      <c r="I640" s="381"/>
      <c r="J640" s="106"/>
      <c r="K640" s="106"/>
      <c r="L640" s="106"/>
    </row>
    <row r="641" spans="1:12">
      <c r="A641" s="106"/>
      <c r="B641" s="106"/>
      <c r="C641" s="107"/>
      <c r="D641" s="106"/>
      <c r="E641" s="106"/>
      <c r="F641" s="107"/>
      <c r="G641" s="106"/>
      <c r="H641" s="106"/>
      <c r="I641" s="381"/>
      <c r="J641" s="106"/>
      <c r="K641" s="106"/>
      <c r="L641" s="106"/>
    </row>
    <row r="642" spans="1:12">
      <c r="A642" s="106"/>
      <c r="B642" s="106"/>
      <c r="C642" s="107"/>
      <c r="D642" s="106"/>
      <c r="E642" s="106"/>
      <c r="F642" s="107"/>
      <c r="G642" s="106"/>
      <c r="H642" s="106"/>
      <c r="I642" s="381"/>
      <c r="J642" s="106"/>
      <c r="K642" s="106"/>
      <c r="L642" s="106"/>
    </row>
    <row r="643" spans="1:12">
      <c r="A643" s="106"/>
      <c r="B643" s="106"/>
      <c r="C643" s="107"/>
      <c r="D643" s="106"/>
      <c r="E643" s="106"/>
      <c r="F643" s="107"/>
      <c r="G643" s="106"/>
      <c r="H643" s="106"/>
      <c r="I643" s="381"/>
      <c r="J643" s="106"/>
      <c r="K643" s="106"/>
      <c r="L643" s="106"/>
    </row>
    <row r="644" spans="1:12">
      <c r="A644" s="106"/>
      <c r="B644" s="106"/>
      <c r="C644" s="107"/>
      <c r="D644" s="106"/>
      <c r="E644" s="106"/>
      <c r="F644" s="107"/>
      <c r="G644" s="106"/>
      <c r="H644" s="106"/>
      <c r="I644" s="381"/>
      <c r="J644" s="106"/>
      <c r="K644" s="106"/>
      <c r="L644" s="106"/>
    </row>
    <row r="645" spans="1:12">
      <c r="A645" s="106"/>
      <c r="B645" s="106"/>
      <c r="C645" s="107"/>
      <c r="D645" s="106"/>
      <c r="E645" s="106"/>
      <c r="F645" s="107"/>
      <c r="G645" s="106"/>
      <c r="H645" s="106"/>
      <c r="I645" s="381"/>
      <c r="J645" s="106"/>
      <c r="K645" s="106"/>
      <c r="L645" s="106"/>
    </row>
    <row r="646" spans="1:12">
      <c r="A646" s="106"/>
      <c r="B646" s="106"/>
      <c r="C646" s="107"/>
      <c r="D646" s="106"/>
      <c r="E646" s="106"/>
      <c r="F646" s="107"/>
      <c r="G646" s="106"/>
      <c r="H646" s="106"/>
      <c r="I646" s="381"/>
      <c r="J646" s="106"/>
      <c r="K646" s="106"/>
      <c r="L646" s="106"/>
    </row>
    <row r="647" spans="1:12">
      <c r="A647" s="106"/>
      <c r="B647" s="106"/>
      <c r="C647" s="107"/>
      <c r="D647" s="106"/>
      <c r="E647" s="106"/>
      <c r="F647" s="107"/>
      <c r="G647" s="106"/>
      <c r="H647" s="106"/>
      <c r="I647" s="381"/>
      <c r="J647" s="106"/>
      <c r="K647" s="106"/>
      <c r="L647" s="106"/>
    </row>
    <row r="648" spans="1:12">
      <c r="A648" s="106"/>
      <c r="B648" s="106"/>
      <c r="C648" s="107"/>
      <c r="D648" s="106"/>
      <c r="E648" s="106"/>
      <c r="F648" s="107"/>
      <c r="G648" s="106"/>
      <c r="H648" s="106"/>
      <c r="I648" s="381"/>
      <c r="J648" s="106"/>
      <c r="K648" s="106"/>
      <c r="L648" s="106"/>
    </row>
    <row r="649" spans="1:12">
      <c r="A649" s="106"/>
      <c r="B649" s="106"/>
      <c r="C649" s="107"/>
      <c r="D649" s="106"/>
      <c r="E649" s="106"/>
      <c r="F649" s="107"/>
      <c r="G649" s="106"/>
      <c r="H649" s="106"/>
      <c r="I649" s="381"/>
      <c r="J649" s="106"/>
      <c r="K649" s="106"/>
      <c r="L649" s="106"/>
    </row>
    <row r="650" spans="1:12">
      <c r="A650" s="106"/>
      <c r="B650" s="106"/>
      <c r="C650" s="107"/>
      <c r="D650" s="106"/>
      <c r="E650" s="106"/>
      <c r="F650" s="107"/>
      <c r="G650" s="106"/>
      <c r="H650" s="106"/>
      <c r="I650" s="381"/>
      <c r="J650" s="106"/>
      <c r="K650" s="106"/>
      <c r="L650" s="106"/>
    </row>
    <row r="651" spans="1:12">
      <c r="A651" s="106"/>
      <c r="B651" s="106"/>
      <c r="C651" s="107"/>
      <c r="D651" s="106"/>
      <c r="E651" s="106"/>
      <c r="F651" s="107"/>
      <c r="G651" s="106"/>
      <c r="H651" s="106"/>
      <c r="I651" s="381"/>
      <c r="J651" s="106"/>
      <c r="K651" s="106"/>
      <c r="L651" s="106"/>
    </row>
    <row r="652" spans="1:12">
      <c r="A652" s="106"/>
      <c r="B652" s="106"/>
      <c r="C652" s="107"/>
      <c r="D652" s="106"/>
      <c r="E652" s="106"/>
      <c r="F652" s="107"/>
      <c r="G652" s="106"/>
      <c r="H652" s="106"/>
      <c r="I652" s="381"/>
      <c r="J652" s="106"/>
      <c r="K652" s="106"/>
      <c r="L652" s="106"/>
    </row>
    <row r="653" spans="1:12">
      <c r="A653" s="106"/>
      <c r="B653" s="106"/>
      <c r="C653" s="107"/>
      <c r="D653" s="106"/>
      <c r="E653" s="106"/>
      <c r="F653" s="107"/>
      <c r="G653" s="106"/>
      <c r="H653" s="106"/>
      <c r="I653" s="381"/>
      <c r="J653" s="106"/>
      <c r="K653" s="106"/>
      <c r="L653" s="106"/>
    </row>
    <row r="654" spans="1:12">
      <c r="A654" s="106"/>
      <c r="B654" s="106"/>
      <c r="C654" s="107"/>
      <c r="D654" s="106"/>
      <c r="E654" s="106"/>
      <c r="F654" s="107"/>
      <c r="G654" s="106"/>
      <c r="H654" s="106"/>
      <c r="I654" s="381"/>
      <c r="J654" s="106"/>
      <c r="K654" s="106"/>
      <c r="L654" s="106"/>
    </row>
    <row r="655" spans="1:12">
      <c r="A655" s="106"/>
      <c r="B655" s="106"/>
      <c r="C655" s="107"/>
      <c r="D655" s="106"/>
      <c r="E655" s="106"/>
      <c r="F655" s="107"/>
      <c r="G655" s="106"/>
      <c r="H655" s="106"/>
      <c r="I655" s="381"/>
      <c r="J655" s="106"/>
      <c r="K655" s="106"/>
      <c r="L655" s="106"/>
    </row>
    <row r="656" spans="1:12">
      <c r="A656" s="106"/>
      <c r="B656" s="106"/>
      <c r="C656" s="107"/>
      <c r="D656" s="106"/>
      <c r="E656" s="106"/>
      <c r="F656" s="107"/>
      <c r="G656" s="106"/>
      <c r="H656" s="106"/>
      <c r="I656" s="381"/>
      <c r="J656" s="106"/>
      <c r="K656" s="106"/>
      <c r="L656" s="106"/>
    </row>
    <row r="657" spans="1:12">
      <c r="A657" s="106"/>
      <c r="B657" s="106"/>
      <c r="C657" s="107"/>
      <c r="D657" s="106"/>
      <c r="E657" s="106"/>
      <c r="F657" s="107"/>
      <c r="G657" s="106"/>
      <c r="H657" s="106"/>
      <c r="I657" s="381"/>
      <c r="J657" s="106"/>
      <c r="K657" s="106"/>
      <c r="L657" s="106"/>
    </row>
    <row r="658" spans="1:12">
      <c r="A658" s="106"/>
      <c r="B658" s="106"/>
      <c r="C658" s="107"/>
      <c r="D658" s="106"/>
      <c r="E658" s="106"/>
      <c r="F658" s="107"/>
      <c r="G658" s="106"/>
      <c r="H658" s="106"/>
      <c r="I658" s="381"/>
      <c r="J658" s="106"/>
      <c r="K658" s="106"/>
      <c r="L658" s="106"/>
    </row>
    <row r="659" spans="1:12">
      <c r="A659" s="106"/>
      <c r="B659" s="106"/>
      <c r="C659" s="107"/>
      <c r="D659" s="106"/>
      <c r="E659" s="106"/>
      <c r="F659" s="107"/>
      <c r="G659" s="106"/>
      <c r="H659" s="106"/>
      <c r="I659" s="381"/>
      <c r="J659" s="106"/>
      <c r="K659" s="106"/>
      <c r="L659" s="106"/>
    </row>
    <row r="660" spans="1:12">
      <c r="A660" s="106"/>
      <c r="B660" s="106"/>
      <c r="C660" s="107"/>
      <c r="D660" s="106"/>
      <c r="E660" s="106"/>
      <c r="F660" s="107"/>
      <c r="G660" s="106"/>
      <c r="H660" s="106"/>
      <c r="I660" s="381"/>
      <c r="J660" s="106"/>
      <c r="K660" s="106"/>
      <c r="L660" s="106"/>
    </row>
    <row r="661" spans="1:12">
      <c r="A661" s="106"/>
      <c r="B661" s="106"/>
      <c r="C661" s="107"/>
      <c r="D661" s="106"/>
      <c r="E661" s="106"/>
      <c r="F661" s="107"/>
      <c r="G661" s="106"/>
      <c r="H661" s="106"/>
      <c r="I661" s="381"/>
      <c r="J661" s="106"/>
      <c r="K661" s="106"/>
      <c r="L661" s="106"/>
    </row>
    <row r="662" spans="1:12">
      <c r="A662" s="106"/>
      <c r="B662" s="106"/>
      <c r="C662" s="107"/>
      <c r="D662" s="106"/>
      <c r="E662" s="106"/>
      <c r="F662" s="107"/>
      <c r="G662" s="106"/>
      <c r="H662" s="106"/>
      <c r="I662" s="381"/>
      <c r="J662" s="106"/>
      <c r="K662" s="106"/>
      <c r="L662" s="106"/>
    </row>
    <row r="663" spans="1:12">
      <c r="A663" s="106"/>
      <c r="B663" s="106"/>
      <c r="C663" s="107"/>
      <c r="D663" s="106"/>
      <c r="E663" s="106"/>
      <c r="F663" s="107"/>
      <c r="G663" s="106"/>
      <c r="H663" s="106"/>
      <c r="I663" s="381"/>
      <c r="J663" s="106"/>
      <c r="K663" s="106"/>
      <c r="L663" s="106"/>
    </row>
    <row r="664" spans="1:12">
      <c r="A664" s="106"/>
      <c r="B664" s="106"/>
      <c r="C664" s="107"/>
      <c r="D664" s="106"/>
      <c r="E664" s="106"/>
      <c r="F664" s="107"/>
      <c r="G664" s="106"/>
      <c r="H664" s="106"/>
      <c r="I664" s="381"/>
      <c r="J664" s="106"/>
      <c r="K664" s="106"/>
      <c r="L664" s="106"/>
    </row>
    <row r="665" spans="1:12">
      <c r="A665" s="106"/>
      <c r="B665" s="106"/>
      <c r="C665" s="107"/>
      <c r="D665" s="106"/>
      <c r="E665" s="106"/>
      <c r="F665" s="107"/>
      <c r="G665" s="106"/>
      <c r="H665" s="106"/>
      <c r="I665" s="381"/>
      <c r="J665" s="106"/>
      <c r="K665" s="106"/>
      <c r="L665" s="106"/>
    </row>
    <row r="666" spans="1:12">
      <c r="A666" s="106"/>
      <c r="B666" s="106"/>
      <c r="C666" s="107"/>
      <c r="D666" s="106"/>
      <c r="E666" s="106"/>
      <c r="F666" s="107"/>
      <c r="G666" s="106"/>
      <c r="H666" s="106"/>
      <c r="I666" s="381"/>
      <c r="J666" s="106"/>
      <c r="K666" s="106"/>
      <c r="L666" s="106"/>
    </row>
    <row r="667" spans="1:12">
      <c r="A667" s="106"/>
      <c r="B667" s="106"/>
      <c r="C667" s="107"/>
      <c r="D667" s="106"/>
      <c r="E667" s="106"/>
      <c r="F667" s="107"/>
      <c r="G667" s="106"/>
      <c r="H667" s="106"/>
      <c r="I667" s="381"/>
      <c r="J667" s="106"/>
      <c r="K667" s="106"/>
      <c r="L667" s="106"/>
    </row>
    <row r="668" spans="1:12">
      <c r="A668" s="106"/>
      <c r="B668" s="106"/>
      <c r="C668" s="107"/>
      <c r="D668" s="106"/>
      <c r="E668" s="106"/>
      <c r="F668" s="107"/>
      <c r="G668" s="106"/>
      <c r="H668" s="106"/>
      <c r="I668" s="381"/>
      <c r="J668" s="106"/>
      <c r="K668" s="106"/>
      <c r="L668" s="106"/>
    </row>
    <row r="669" spans="1:12">
      <c r="A669" s="106"/>
      <c r="B669" s="106"/>
      <c r="C669" s="107"/>
      <c r="D669" s="106"/>
      <c r="E669" s="106"/>
      <c r="F669" s="107"/>
      <c r="G669" s="106"/>
      <c r="H669" s="106"/>
      <c r="I669" s="381"/>
      <c r="J669" s="106"/>
      <c r="K669" s="106"/>
      <c r="L669" s="106"/>
    </row>
    <row r="670" spans="1:12">
      <c r="A670" s="106"/>
      <c r="B670" s="106"/>
      <c r="C670" s="107"/>
      <c r="D670" s="106"/>
      <c r="E670" s="106"/>
      <c r="F670" s="107"/>
      <c r="G670" s="106"/>
      <c r="H670" s="106"/>
      <c r="I670" s="381"/>
      <c r="J670" s="106"/>
      <c r="K670" s="106"/>
      <c r="L670" s="106"/>
    </row>
    <row r="671" spans="1:12">
      <c r="A671" s="106"/>
      <c r="B671" s="106"/>
      <c r="C671" s="107"/>
      <c r="D671" s="106"/>
      <c r="E671" s="106"/>
      <c r="F671" s="107"/>
      <c r="G671" s="106"/>
      <c r="H671" s="106"/>
      <c r="I671" s="381"/>
      <c r="J671" s="106"/>
      <c r="K671" s="106"/>
      <c r="L671" s="106"/>
    </row>
    <row r="672" spans="1:12">
      <c r="A672" s="106"/>
      <c r="B672" s="106"/>
      <c r="C672" s="107"/>
      <c r="D672" s="106"/>
      <c r="E672" s="106"/>
      <c r="F672" s="107"/>
      <c r="G672" s="106"/>
      <c r="H672" s="106"/>
      <c r="I672" s="381"/>
      <c r="J672" s="106"/>
      <c r="K672" s="106"/>
      <c r="L672" s="106"/>
    </row>
    <row r="673" spans="1:12">
      <c r="A673" s="106"/>
      <c r="B673" s="106"/>
      <c r="C673" s="107"/>
      <c r="D673" s="106"/>
      <c r="E673" s="106"/>
      <c r="F673" s="107"/>
      <c r="G673" s="106"/>
      <c r="H673" s="106"/>
      <c r="I673" s="381"/>
      <c r="J673" s="106"/>
      <c r="K673" s="106"/>
      <c r="L673" s="106"/>
    </row>
    <row r="674" spans="1:12">
      <c r="A674" s="106"/>
      <c r="B674" s="106"/>
      <c r="C674" s="107"/>
      <c r="D674" s="106"/>
      <c r="E674" s="106"/>
      <c r="F674" s="107"/>
      <c r="G674" s="106"/>
      <c r="H674" s="106"/>
      <c r="I674" s="381"/>
      <c r="J674" s="106"/>
      <c r="K674" s="106"/>
      <c r="L674" s="106"/>
    </row>
    <row r="675" spans="1:12">
      <c r="A675" s="106"/>
      <c r="B675" s="106"/>
      <c r="C675" s="107"/>
      <c r="D675" s="106"/>
      <c r="E675" s="106"/>
      <c r="F675" s="107"/>
      <c r="G675" s="106"/>
      <c r="H675" s="106"/>
      <c r="I675" s="381"/>
      <c r="J675" s="106"/>
      <c r="K675" s="106"/>
      <c r="L675" s="106"/>
    </row>
    <row r="676" spans="1:12">
      <c r="A676" s="106"/>
      <c r="B676" s="106"/>
      <c r="C676" s="107"/>
      <c r="D676" s="106"/>
      <c r="E676" s="106"/>
      <c r="F676" s="107"/>
      <c r="G676" s="106"/>
      <c r="H676" s="106"/>
      <c r="I676" s="381"/>
      <c r="J676" s="106"/>
      <c r="K676" s="106"/>
      <c r="L676" s="106"/>
    </row>
    <row r="677" spans="1:12">
      <c r="A677" s="106"/>
      <c r="B677" s="106"/>
      <c r="C677" s="107"/>
      <c r="D677" s="106"/>
      <c r="E677" s="106"/>
      <c r="F677" s="107"/>
      <c r="G677" s="106"/>
      <c r="H677" s="106"/>
      <c r="I677" s="381"/>
      <c r="J677" s="106"/>
      <c r="K677" s="106"/>
      <c r="L677" s="106"/>
    </row>
    <row r="678" spans="1:12">
      <c r="A678" s="106"/>
      <c r="B678" s="106"/>
      <c r="C678" s="107"/>
      <c r="D678" s="106"/>
      <c r="E678" s="106"/>
      <c r="F678" s="107"/>
      <c r="G678" s="106"/>
      <c r="H678" s="106"/>
      <c r="I678" s="381"/>
      <c r="J678" s="106"/>
      <c r="K678" s="106"/>
      <c r="L678" s="106"/>
    </row>
    <row r="679" spans="1:12">
      <c r="A679" s="106"/>
      <c r="B679" s="106"/>
      <c r="C679" s="107"/>
      <c r="D679" s="106"/>
      <c r="E679" s="106"/>
      <c r="F679" s="107"/>
      <c r="G679" s="106"/>
      <c r="H679" s="106"/>
      <c r="I679" s="381"/>
      <c r="J679" s="106"/>
      <c r="K679" s="106"/>
      <c r="L679" s="106"/>
    </row>
    <row r="680" spans="1:12">
      <c r="A680" s="106"/>
      <c r="B680" s="106"/>
      <c r="C680" s="107"/>
      <c r="D680" s="106"/>
      <c r="E680" s="106"/>
      <c r="F680" s="107"/>
      <c r="G680" s="106"/>
      <c r="H680" s="106"/>
      <c r="I680" s="381"/>
      <c r="J680" s="106"/>
      <c r="K680" s="106"/>
      <c r="L680" s="106"/>
    </row>
    <row r="681" spans="1:12">
      <c r="A681" s="106"/>
      <c r="B681" s="106"/>
      <c r="C681" s="107"/>
      <c r="D681" s="106"/>
      <c r="E681" s="106"/>
      <c r="F681" s="107"/>
      <c r="G681" s="106"/>
      <c r="H681" s="106"/>
      <c r="I681" s="381"/>
      <c r="J681" s="106"/>
      <c r="K681" s="106"/>
      <c r="L681" s="106"/>
    </row>
    <row r="682" spans="1:12">
      <c r="A682" s="106"/>
      <c r="B682" s="106"/>
      <c r="C682" s="107"/>
      <c r="D682" s="106"/>
      <c r="E682" s="106"/>
      <c r="F682" s="107"/>
      <c r="G682" s="106"/>
      <c r="H682" s="106"/>
      <c r="I682" s="381"/>
      <c r="J682" s="106"/>
      <c r="K682" s="106"/>
      <c r="L682" s="106"/>
    </row>
    <row r="683" spans="1:12">
      <c r="A683" s="106"/>
      <c r="B683" s="106"/>
      <c r="C683" s="107"/>
      <c r="D683" s="106"/>
      <c r="E683" s="106"/>
      <c r="F683" s="107"/>
      <c r="G683" s="106"/>
      <c r="H683" s="106"/>
      <c r="I683" s="381"/>
      <c r="J683" s="106"/>
      <c r="K683" s="106"/>
      <c r="L683" s="106"/>
    </row>
    <row r="684" spans="1:12">
      <c r="A684" s="106"/>
      <c r="B684" s="106"/>
      <c r="C684" s="107"/>
      <c r="D684" s="106"/>
      <c r="E684" s="106"/>
      <c r="F684" s="107"/>
      <c r="G684" s="106"/>
      <c r="H684" s="106"/>
      <c r="I684" s="381"/>
      <c r="J684" s="106"/>
      <c r="K684" s="106"/>
      <c r="L684" s="106"/>
    </row>
    <row r="685" spans="1:12">
      <c r="A685" s="106"/>
      <c r="B685" s="106"/>
      <c r="C685" s="107"/>
      <c r="D685" s="106"/>
      <c r="E685" s="106"/>
      <c r="F685" s="107"/>
      <c r="G685" s="106"/>
      <c r="H685" s="106"/>
      <c r="I685" s="381"/>
      <c r="J685" s="106"/>
      <c r="K685" s="106"/>
      <c r="L685" s="106"/>
    </row>
    <row r="686" spans="1:12">
      <c r="A686" s="106"/>
      <c r="B686" s="106"/>
      <c r="C686" s="107"/>
      <c r="D686" s="106"/>
      <c r="E686" s="106"/>
      <c r="F686" s="107"/>
      <c r="G686" s="106"/>
      <c r="H686" s="106"/>
      <c r="I686" s="381"/>
      <c r="J686" s="106"/>
      <c r="K686" s="106"/>
      <c r="L686" s="106"/>
    </row>
    <row r="687" spans="1:12">
      <c r="A687" s="106"/>
      <c r="B687" s="106"/>
      <c r="C687" s="107"/>
      <c r="D687" s="106"/>
      <c r="E687" s="106"/>
      <c r="F687" s="107"/>
      <c r="G687" s="106"/>
      <c r="H687" s="106"/>
      <c r="I687" s="381"/>
      <c r="J687" s="106"/>
      <c r="K687" s="106"/>
      <c r="L687" s="106"/>
    </row>
    <row r="688" spans="1:12">
      <c r="A688" s="106"/>
      <c r="B688" s="106"/>
      <c r="C688" s="107"/>
      <c r="D688" s="106"/>
      <c r="E688" s="106"/>
      <c r="F688" s="107"/>
      <c r="G688" s="106"/>
      <c r="H688" s="106"/>
      <c r="I688" s="381"/>
      <c r="J688" s="106"/>
      <c r="K688" s="106"/>
      <c r="L688" s="106"/>
    </row>
    <row r="689" spans="1:12">
      <c r="A689" s="106"/>
      <c r="B689" s="106"/>
      <c r="C689" s="107"/>
      <c r="D689" s="106"/>
      <c r="E689" s="106"/>
      <c r="F689" s="107"/>
      <c r="G689" s="106"/>
      <c r="H689" s="106"/>
      <c r="I689" s="381"/>
      <c r="J689" s="106"/>
      <c r="K689" s="106"/>
      <c r="L689" s="106"/>
    </row>
    <row r="690" spans="1:12">
      <c r="A690" s="106"/>
      <c r="B690" s="106"/>
      <c r="C690" s="107"/>
      <c r="D690" s="106"/>
      <c r="E690" s="106"/>
      <c r="F690" s="107"/>
      <c r="G690" s="106"/>
      <c r="H690" s="106"/>
      <c r="I690" s="381"/>
      <c r="J690" s="106"/>
      <c r="K690" s="106"/>
      <c r="L690" s="106"/>
    </row>
    <row r="691" spans="1:12">
      <c r="A691" s="106"/>
      <c r="B691" s="106"/>
      <c r="C691" s="107"/>
      <c r="D691" s="106"/>
      <c r="E691" s="106"/>
      <c r="F691" s="107"/>
      <c r="G691" s="106"/>
      <c r="H691" s="106"/>
      <c r="I691" s="381"/>
      <c r="J691" s="106"/>
      <c r="K691" s="106"/>
      <c r="L691" s="106"/>
    </row>
    <row r="692" spans="1:12">
      <c r="A692" s="106"/>
      <c r="B692" s="106"/>
      <c r="C692" s="107"/>
      <c r="D692" s="106"/>
      <c r="E692" s="106"/>
      <c r="F692" s="107"/>
      <c r="G692" s="106"/>
      <c r="H692" s="106"/>
      <c r="I692" s="381"/>
      <c r="J692" s="106"/>
      <c r="K692" s="106"/>
      <c r="L692" s="106"/>
    </row>
    <row r="693" spans="1:12">
      <c r="A693" s="106"/>
      <c r="B693" s="106"/>
      <c r="C693" s="107"/>
      <c r="D693" s="106"/>
      <c r="E693" s="106"/>
      <c r="F693" s="107"/>
      <c r="G693" s="106"/>
      <c r="H693" s="106"/>
      <c r="I693" s="381"/>
      <c r="J693" s="106"/>
      <c r="K693" s="106"/>
      <c r="L693" s="106"/>
    </row>
    <row r="694" spans="1:12">
      <c r="A694" s="106"/>
      <c r="B694" s="106"/>
      <c r="C694" s="107"/>
      <c r="D694" s="106"/>
      <c r="E694" s="106"/>
      <c r="F694" s="107"/>
      <c r="G694" s="106"/>
      <c r="H694" s="106"/>
      <c r="I694" s="381"/>
      <c r="J694" s="106"/>
      <c r="K694" s="106"/>
      <c r="L694" s="106"/>
    </row>
    <row r="695" spans="1:12">
      <c r="A695" s="106"/>
      <c r="B695" s="106"/>
      <c r="C695" s="107"/>
      <c r="D695" s="106"/>
      <c r="E695" s="106"/>
      <c r="F695" s="107"/>
      <c r="G695" s="106"/>
      <c r="H695" s="106"/>
      <c r="I695" s="381"/>
      <c r="J695" s="106"/>
      <c r="K695" s="106"/>
      <c r="L695" s="106"/>
    </row>
    <row r="696" spans="1:12">
      <c r="A696" s="106"/>
      <c r="B696" s="106"/>
      <c r="C696" s="107"/>
      <c r="D696" s="106"/>
      <c r="E696" s="106"/>
      <c r="F696" s="107"/>
      <c r="G696" s="106"/>
      <c r="H696" s="106"/>
      <c r="I696" s="381"/>
      <c r="J696" s="106"/>
      <c r="K696" s="106"/>
      <c r="L696" s="106"/>
    </row>
    <row r="697" spans="1:12">
      <c r="A697" s="106"/>
      <c r="B697" s="106"/>
      <c r="C697" s="107"/>
      <c r="D697" s="106"/>
      <c r="E697" s="106"/>
      <c r="F697" s="107"/>
      <c r="G697" s="106"/>
      <c r="H697" s="106"/>
      <c r="I697" s="381"/>
      <c r="J697" s="106"/>
      <c r="K697" s="106"/>
      <c r="L697" s="106"/>
    </row>
    <row r="698" spans="1:12">
      <c r="A698" s="106"/>
      <c r="B698" s="106"/>
      <c r="C698" s="107"/>
      <c r="D698" s="106"/>
      <c r="E698" s="106"/>
      <c r="F698" s="107"/>
      <c r="G698" s="106"/>
      <c r="H698" s="106"/>
      <c r="I698" s="381"/>
      <c r="J698" s="106"/>
      <c r="K698" s="106"/>
      <c r="L698" s="106"/>
    </row>
    <row r="699" spans="1:12">
      <c r="A699" s="106"/>
      <c r="B699" s="106"/>
      <c r="C699" s="107"/>
      <c r="D699" s="106"/>
      <c r="E699" s="106"/>
      <c r="F699" s="107"/>
      <c r="G699" s="106"/>
      <c r="H699" s="106"/>
      <c r="I699" s="381"/>
      <c r="J699" s="106"/>
      <c r="K699" s="106"/>
      <c r="L699" s="106"/>
    </row>
    <row r="700" spans="1:12">
      <c r="A700" s="106"/>
      <c r="B700" s="106"/>
      <c r="C700" s="107"/>
      <c r="D700" s="106"/>
      <c r="E700" s="106"/>
      <c r="F700" s="107"/>
      <c r="G700" s="106"/>
      <c r="H700" s="106"/>
      <c r="I700" s="381"/>
      <c r="J700" s="106"/>
      <c r="K700" s="106"/>
      <c r="L700" s="106"/>
    </row>
    <row r="701" spans="1:12">
      <c r="A701" s="106"/>
      <c r="B701" s="106"/>
      <c r="C701" s="107"/>
      <c r="D701" s="106"/>
      <c r="E701" s="106"/>
      <c r="F701" s="107"/>
      <c r="G701" s="106"/>
      <c r="H701" s="106"/>
      <c r="I701" s="381"/>
      <c r="J701" s="106"/>
      <c r="K701" s="106"/>
      <c r="L701" s="106"/>
    </row>
    <row r="702" spans="1:12">
      <c r="A702" s="106"/>
      <c r="B702" s="106"/>
      <c r="C702" s="107"/>
      <c r="D702" s="106"/>
      <c r="E702" s="106"/>
      <c r="F702" s="107"/>
      <c r="G702" s="106"/>
      <c r="H702" s="106"/>
      <c r="I702" s="381"/>
      <c r="J702" s="106"/>
      <c r="K702" s="106"/>
      <c r="L702" s="106"/>
    </row>
    <row r="703" spans="1:12">
      <c r="A703" s="106"/>
      <c r="B703" s="106"/>
      <c r="C703" s="107"/>
      <c r="D703" s="106"/>
      <c r="E703" s="106"/>
      <c r="F703" s="107"/>
      <c r="G703" s="106"/>
      <c r="H703" s="106"/>
      <c r="I703" s="381"/>
      <c r="J703" s="106"/>
      <c r="K703" s="106"/>
      <c r="L703" s="106"/>
    </row>
    <row r="704" spans="1:12">
      <c r="A704" s="106"/>
      <c r="B704" s="106"/>
      <c r="C704" s="107"/>
      <c r="D704" s="106"/>
      <c r="E704" s="106"/>
      <c r="F704" s="107"/>
      <c r="G704" s="106"/>
      <c r="H704" s="106"/>
      <c r="I704" s="381"/>
      <c r="J704" s="106"/>
      <c r="K704" s="106"/>
      <c r="L704" s="106"/>
    </row>
    <row r="705" spans="1:12">
      <c r="A705" s="106"/>
      <c r="B705" s="106"/>
      <c r="C705" s="107"/>
      <c r="D705" s="106"/>
      <c r="E705" s="106"/>
      <c r="F705" s="107"/>
      <c r="G705" s="106"/>
      <c r="H705" s="106"/>
      <c r="I705" s="381"/>
      <c r="J705" s="106"/>
      <c r="K705" s="106"/>
      <c r="L705" s="106"/>
    </row>
    <row r="706" spans="1:12">
      <c r="A706" s="106"/>
      <c r="B706" s="106"/>
      <c r="C706" s="107"/>
      <c r="D706" s="106"/>
      <c r="E706" s="106"/>
      <c r="F706" s="107"/>
      <c r="G706" s="106"/>
      <c r="H706" s="106"/>
      <c r="I706" s="381"/>
      <c r="J706" s="106"/>
      <c r="K706" s="106"/>
      <c r="L706" s="106"/>
    </row>
    <row r="707" spans="1:12">
      <c r="A707" s="106"/>
      <c r="B707" s="106"/>
      <c r="C707" s="107"/>
      <c r="D707" s="106"/>
      <c r="E707" s="106"/>
      <c r="F707" s="107"/>
      <c r="G707" s="106"/>
      <c r="H707" s="106"/>
      <c r="I707" s="381"/>
      <c r="J707" s="106"/>
      <c r="K707" s="106"/>
      <c r="L707" s="106"/>
    </row>
    <row r="708" spans="1:12">
      <c r="A708" s="106"/>
      <c r="B708" s="106"/>
      <c r="C708" s="107"/>
      <c r="D708" s="106"/>
      <c r="E708" s="106"/>
      <c r="F708" s="107"/>
      <c r="G708" s="106"/>
      <c r="H708" s="106"/>
      <c r="I708" s="381"/>
      <c r="J708" s="106"/>
      <c r="K708" s="106"/>
      <c r="L708" s="106"/>
    </row>
    <row r="709" spans="1:12">
      <c r="A709" s="106"/>
      <c r="B709" s="106"/>
      <c r="C709" s="107"/>
      <c r="D709" s="106"/>
      <c r="E709" s="106"/>
      <c r="F709" s="107"/>
      <c r="G709" s="106"/>
      <c r="H709" s="106"/>
      <c r="I709" s="381"/>
      <c r="J709" s="106"/>
      <c r="K709" s="106"/>
      <c r="L709" s="106"/>
    </row>
    <row r="710" spans="1:12">
      <c r="A710" s="106"/>
      <c r="B710" s="106"/>
      <c r="C710" s="107"/>
      <c r="D710" s="106"/>
      <c r="E710" s="106"/>
      <c r="F710" s="107"/>
      <c r="G710" s="106"/>
      <c r="H710" s="106"/>
      <c r="I710" s="381"/>
      <c r="J710" s="106"/>
      <c r="K710" s="106"/>
      <c r="L710" s="106"/>
    </row>
    <row r="711" spans="1:12">
      <c r="A711" s="106"/>
      <c r="B711" s="106"/>
      <c r="C711" s="107"/>
      <c r="D711" s="106"/>
      <c r="E711" s="106"/>
      <c r="F711" s="107"/>
      <c r="G711" s="106"/>
      <c r="H711" s="106"/>
      <c r="I711" s="381"/>
      <c r="J711" s="106"/>
      <c r="K711" s="106"/>
      <c r="L711" s="106"/>
    </row>
    <row r="712" spans="1:12">
      <c r="A712" s="106"/>
      <c r="B712" s="106"/>
      <c r="C712" s="107"/>
      <c r="D712" s="106"/>
      <c r="E712" s="106"/>
      <c r="F712" s="107"/>
      <c r="G712" s="106"/>
      <c r="H712" s="106"/>
      <c r="I712" s="381"/>
      <c r="J712" s="106"/>
      <c r="K712" s="106"/>
      <c r="L712" s="106"/>
    </row>
    <row r="713" spans="1:12">
      <c r="A713" s="106"/>
      <c r="B713" s="106"/>
      <c r="C713" s="107"/>
      <c r="D713" s="106"/>
      <c r="E713" s="106"/>
      <c r="F713" s="107"/>
      <c r="G713" s="106"/>
      <c r="H713" s="106"/>
      <c r="I713" s="381"/>
      <c r="J713" s="106"/>
      <c r="K713" s="106"/>
      <c r="L713" s="106"/>
    </row>
    <row r="714" spans="1:12">
      <c r="A714" s="106"/>
      <c r="B714" s="106"/>
      <c r="C714" s="107"/>
      <c r="D714" s="106"/>
      <c r="E714" s="106"/>
      <c r="F714" s="107"/>
      <c r="G714" s="106"/>
      <c r="H714" s="106"/>
      <c r="I714" s="381"/>
      <c r="J714" s="106"/>
      <c r="K714" s="106"/>
      <c r="L714" s="106"/>
    </row>
    <row r="715" spans="1:12">
      <c r="A715" s="106"/>
      <c r="B715" s="106"/>
      <c r="C715" s="107"/>
      <c r="D715" s="106"/>
      <c r="E715" s="106"/>
      <c r="F715" s="107"/>
      <c r="G715" s="106"/>
      <c r="H715" s="106"/>
      <c r="I715" s="381"/>
      <c r="J715" s="106"/>
      <c r="K715" s="106"/>
      <c r="L715" s="106"/>
    </row>
    <row r="716" spans="1:12">
      <c r="A716" s="106"/>
      <c r="B716" s="106"/>
      <c r="C716" s="107"/>
      <c r="D716" s="106"/>
      <c r="E716" s="106"/>
      <c r="F716" s="107"/>
      <c r="G716" s="106"/>
      <c r="H716" s="106"/>
      <c r="I716" s="381"/>
      <c r="J716" s="106"/>
      <c r="K716" s="106"/>
      <c r="L716" s="106"/>
    </row>
    <row r="717" spans="1:12">
      <c r="A717" s="106"/>
      <c r="B717" s="106"/>
      <c r="C717" s="107"/>
      <c r="D717" s="106"/>
      <c r="E717" s="106"/>
      <c r="F717" s="107"/>
      <c r="G717" s="106"/>
      <c r="H717" s="106"/>
      <c r="I717" s="381"/>
      <c r="J717" s="106"/>
      <c r="K717" s="106"/>
      <c r="L717" s="106"/>
    </row>
    <row r="718" spans="1:12">
      <c r="A718" s="106"/>
      <c r="B718" s="106"/>
      <c r="C718" s="107"/>
      <c r="D718" s="106"/>
      <c r="E718" s="106"/>
      <c r="F718" s="107"/>
      <c r="G718" s="106"/>
      <c r="H718" s="106"/>
      <c r="I718" s="381"/>
      <c r="J718" s="106"/>
      <c r="K718" s="106"/>
      <c r="L718" s="106"/>
    </row>
    <row r="719" spans="1:12">
      <c r="A719" s="106"/>
      <c r="B719" s="106"/>
      <c r="C719" s="107"/>
      <c r="D719" s="106"/>
      <c r="E719" s="106"/>
      <c r="F719" s="107"/>
      <c r="G719" s="106"/>
      <c r="H719" s="106"/>
      <c r="I719" s="381"/>
      <c r="J719" s="106"/>
      <c r="K719" s="106"/>
      <c r="L719" s="106"/>
    </row>
    <row r="720" spans="1:12">
      <c r="A720" s="106"/>
      <c r="B720" s="106"/>
      <c r="C720" s="107"/>
      <c r="D720" s="106"/>
      <c r="E720" s="106"/>
      <c r="F720" s="107"/>
      <c r="G720" s="106"/>
      <c r="H720" s="106"/>
      <c r="I720" s="381"/>
      <c r="J720" s="106"/>
      <c r="K720" s="106"/>
      <c r="L720" s="106"/>
    </row>
    <row r="721" spans="1:12">
      <c r="A721" s="106"/>
      <c r="B721" s="106"/>
      <c r="C721" s="107"/>
      <c r="D721" s="106"/>
      <c r="E721" s="106"/>
      <c r="F721" s="107"/>
      <c r="G721" s="106"/>
      <c r="H721" s="106"/>
      <c r="I721" s="381"/>
      <c r="J721" s="106"/>
      <c r="K721" s="106"/>
      <c r="L721" s="106"/>
    </row>
    <row r="722" spans="1:12">
      <c r="A722" s="106"/>
      <c r="B722" s="106"/>
      <c r="C722" s="107"/>
      <c r="D722" s="106"/>
      <c r="E722" s="106"/>
      <c r="F722" s="107"/>
      <c r="G722" s="106"/>
      <c r="H722" s="106"/>
      <c r="I722" s="381"/>
      <c r="J722" s="106"/>
      <c r="K722" s="106"/>
      <c r="L722" s="106"/>
    </row>
    <row r="723" spans="1:12">
      <c r="A723" s="106"/>
      <c r="B723" s="106"/>
      <c r="C723" s="107"/>
      <c r="D723" s="106"/>
      <c r="E723" s="106"/>
      <c r="F723" s="107"/>
      <c r="G723" s="106"/>
      <c r="H723" s="106"/>
      <c r="I723" s="381"/>
      <c r="J723" s="106"/>
      <c r="K723" s="106"/>
      <c r="L723" s="106"/>
    </row>
    <row r="724" spans="1:12">
      <c r="A724" s="106"/>
      <c r="B724" s="106"/>
      <c r="C724" s="107"/>
      <c r="D724" s="106"/>
      <c r="E724" s="106"/>
      <c r="F724" s="107"/>
      <c r="G724" s="106"/>
      <c r="H724" s="106"/>
      <c r="I724" s="381"/>
      <c r="J724" s="106"/>
      <c r="K724" s="106"/>
      <c r="L724" s="106"/>
    </row>
    <row r="725" spans="1:12">
      <c r="A725" s="106"/>
      <c r="B725" s="106"/>
      <c r="C725" s="107"/>
      <c r="D725" s="106"/>
      <c r="E725" s="106"/>
      <c r="F725" s="107"/>
      <c r="G725" s="106"/>
      <c r="H725" s="106"/>
      <c r="I725" s="381"/>
      <c r="J725" s="106"/>
      <c r="K725" s="106"/>
      <c r="L725" s="106"/>
    </row>
    <row r="726" spans="1:12">
      <c r="A726" s="106"/>
      <c r="B726" s="106"/>
      <c r="C726" s="107"/>
      <c r="D726" s="106"/>
      <c r="E726" s="106"/>
      <c r="F726" s="107"/>
      <c r="G726" s="106"/>
      <c r="H726" s="106"/>
      <c r="I726" s="381"/>
      <c r="J726" s="106"/>
      <c r="K726" s="106"/>
      <c r="L726" s="106"/>
    </row>
    <row r="727" spans="1:12">
      <c r="A727" s="106"/>
      <c r="B727" s="106"/>
      <c r="C727" s="107"/>
      <c r="D727" s="106"/>
      <c r="E727" s="106"/>
      <c r="F727" s="107"/>
      <c r="G727" s="106"/>
      <c r="H727" s="106"/>
      <c r="I727" s="381"/>
      <c r="J727" s="106"/>
      <c r="K727" s="106"/>
      <c r="L727" s="106"/>
    </row>
    <row r="728" spans="1:12">
      <c r="A728" s="106"/>
      <c r="B728" s="106"/>
      <c r="C728" s="107"/>
      <c r="D728" s="106"/>
      <c r="E728" s="106"/>
      <c r="F728" s="107"/>
      <c r="G728" s="106"/>
      <c r="H728" s="106"/>
      <c r="I728" s="381"/>
      <c r="J728" s="106"/>
      <c r="K728" s="106"/>
      <c r="L728" s="106"/>
    </row>
    <row r="729" spans="1:12">
      <c r="A729" s="106"/>
      <c r="B729" s="106"/>
      <c r="C729" s="107"/>
      <c r="D729" s="106"/>
      <c r="E729" s="106"/>
      <c r="F729" s="107"/>
      <c r="G729" s="106"/>
      <c r="H729" s="106"/>
      <c r="I729" s="381"/>
      <c r="J729" s="106"/>
      <c r="K729" s="106"/>
      <c r="L729" s="106"/>
    </row>
    <row r="730" spans="1:12">
      <c r="A730" s="106"/>
      <c r="B730" s="106"/>
      <c r="C730" s="107"/>
      <c r="D730" s="106"/>
      <c r="E730" s="106"/>
      <c r="F730" s="107"/>
      <c r="G730" s="106"/>
      <c r="H730" s="106"/>
      <c r="I730" s="381"/>
      <c r="J730" s="106"/>
      <c r="K730" s="106"/>
      <c r="L730" s="106"/>
    </row>
    <row r="731" spans="1:12">
      <c r="A731" s="106"/>
      <c r="B731" s="106"/>
      <c r="C731" s="107"/>
      <c r="D731" s="106"/>
      <c r="E731" s="106"/>
      <c r="F731" s="107"/>
      <c r="G731" s="106"/>
      <c r="H731" s="106"/>
      <c r="I731" s="381"/>
      <c r="J731" s="106"/>
      <c r="K731" s="106"/>
      <c r="L731" s="106"/>
    </row>
    <row r="732" spans="1:12">
      <c r="A732" s="106"/>
      <c r="B732" s="106"/>
      <c r="C732" s="107"/>
      <c r="D732" s="106"/>
      <c r="E732" s="106"/>
      <c r="F732" s="107"/>
      <c r="G732" s="106"/>
      <c r="H732" s="106"/>
      <c r="I732" s="381"/>
      <c r="J732" s="106"/>
      <c r="K732" s="106"/>
      <c r="L732" s="106"/>
    </row>
    <row r="733" spans="1:12">
      <c r="A733" s="106"/>
      <c r="B733" s="106"/>
      <c r="C733" s="107"/>
      <c r="D733" s="106"/>
      <c r="E733" s="106"/>
      <c r="F733" s="107"/>
      <c r="G733" s="106"/>
      <c r="H733" s="106"/>
      <c r="I733" s="381"/>
      <c r="J733" s="106"/>
      <c r="K733" s="106"/>
      <c r="L733" s="106"/>
    </row>
    <row r="734" spans="1:12">
      <c r="A734" s="106"/>
      <c r="B734" s="106"/>
      <c r="C734" s="107"/>
      <c r="D734" s="106"/>
      <c r="E734" s="106"/>
      <c r="F734" s="107"/>
      <c r="G734" s="106"/>
      <c r="H734" s="106"/>
      <c r="I734" s="381"/>
      <c r="J734" s="106"/>
      <c r="K734" s="106"/>
      <c r="L734" s="106"/>
    </row>
    <row r="735" spans="1:12">
      <c r="A735" s="106"/>
      <c r="B735" s="106"/>
      <c r="C735" s="107"/>
      <c r="D735" s="106"/>
      <c r="E735" s="106"/>
      <c r="F735" s="107"/>
      <c r="G735" s="106"/>
      <c r="H735" s="106"/>
      <c r="I735" s="381"/>
      <c r="J735" s="106"/>
      <c r="K735" s="106"/>
      <c r="L735" s="106"/>
    </row>
    <row r="736" spans="1:12">
      <c r="A736" s="106"/>
      <c r="B736" s="106"/>
      <c r="C736" s="107"/>
      <c r="D736" s="106"/>
      <c r="E736" s="106"/>
      <c r="F736" s="107"/>
      <c r="G736" s="106"/>
      <c r="H736" s="106"/>
      <c r="I736" s="381"/>
      <c r="J736" s="106"/>
      <c r="K736" s="106"/>
      <c r="L736" s="106"/>
    </row>
    <row r="737" spans="1:12">
      <c r="A737" s="106"/>
      <c r="B737" s="106"/>
      <c r="C737" s="107"/>
      <c r="D737" s="106"/>
      <c r="E737" s="106"/>
      <c r="F737" s="107"/>
      <c r="G737" s="106"/>
      <c r="H737" s="106"/>
      <c r="I737" s="381"/>
      <c r="J737" s="106"/>
      <c r="K737" s="106"/>
      <c r="L737" s="106"/>
    </row>
    <row r="738" spans="1:12">
      <c r="A738" s="106"/>
      <c r="B738" s="106"/>
      <c r="C738" s="107"/>
      <c r="D738" s="106"/>
      <c r="E738" s="106"/>
      <c r="F738" s="107"/>
      <c r="G738" s="106"/>
      <c r="H738" s="106"/>
      <c r="I738" s="381"/>
      <c r="J738" s="106"/>
      <c r="K738" s="106"/>
      <c r="L738" s="106"/>
    </row>
    <row r="739" spans="1:12">
      <c r="A739" s="106"/>
      <c r="B739" s="106"/>
      <c r="C739" s="107"/>
      <c r="D739" s="106"/>
      <c r="E739" s="106"/>
      <c r="F739" s="107"/>
      <c r="G739" s="106"/>
      <c r="H739" s="106"/>
      <c r="I739" s="381"/>
      <c r="J739" s="106"/>
      <c r="K739" s="106"/>
      <c r="L739" s="106"/>
    </row>
    <row r="740" spans="1:12">
      <c r="A740" s="106"/>
      <c r="B740" s="106"/>
      <c r="C740" s="107"/>
      <c r="D740" s="106"/>
      <c r="E740" s="106"/>
      <c r="F740" s="107"/>
      <c r="G740" s="106"/>
      <c r="H740" s="106"/>
      <c r="I740" s="381"/>
      <c r="J740" s="106"/>
      <c r="K740" s="106"/>
      <c r="L740" s="106"/>
    </row>
    <row r="741" spans="1:12">
      <c r="A741" s="106"/>
      <c r="B741" s="106"/>
      <c r="C741" s="107"/>
      <c r="D741" s="106"/>
      <c r="E741" s="106"/>
      <c r="F741" s="107"/>
      <c r="G741" s="106"/>
      <c r="H741" s="106"/>
      <c r="I741" s="381"/>
      <c r="J741" s="106"/>
      <c r="K741" s="106"/>
      <c r="L741" s="106"/>
    </row>
    <row r="742" spans="1:12">
      <c r="A742" s="106"/>
      <c r="B742" s="106"/>
      <c r="C742" s="107"/>
      <c r="D742" s="106"/>
      <c r="E742" s="106"/>
      <c r="F742" s="107"/>
      <c r="G742" s="106"/>
      <c r="H742" s="106"/>
      <c r="I742" s="381"/>
      <c r="J742" s="106"/>
      <c r="K742" s="106"/>
      <c r="L742" s="106"/>
    </row>
    <row r="743" spans="1:12">
      <c r="A743" s="106"/>
      <c r="B743" s="106"/>
      <c r="C743" s="107"/>
      <c r="D743" s="106"/>
      <c r="E743" s="106"/>
      <c r="F743" s="107"/>
      <c r="G743" s="106"/>
      <c r="H743" s="106"/>
      <c r="I743" s="381"/>
      <c r="J743" s="106"/>
      <c r="K743" s="106"/>
      <c r="L743" s="106"/>
    </row>
    <row r="744" spans="1:12">
      <c r="A744" s="106"/>
      <c r="B744" s="106"/>
      <c r="C744" s="107"/>
      <c r="D744" s="106"/>
      <c r="E744" s="106"/>
      <c r="F744" s="107"/>
      <c r="G744" s="106"/>
      <c r="H744" s="106"/>
      <c r="I744" s="381"/>
      <c r="J744" s="106"/>
      <c r="K744" s="106"/>
      <c r="L744" s="106"/>
    </row>
    <row r="745" spans="1:12">
      <c r="A745" s="106"/>
      <c r="B745" s="106"/>
      <c r="C745" s="107"/>
      <c r="D745" s="106"/>
      <c r="E745" s="106"/>
      <c r="F745" s="107"/>
      <c r="G745" s="106"/>
      <c r="H745" s="106"/>
      <c r="I745" s="381"/>
      <c r="J745" s="106"/>
      <c r="K745" s="106"/>
      <c r="L745" s="106"/>
    </row>
    <row r="746" spans="1:12">
      <c r="A746" s="106"/>
      <c r="B746" s="106"/>
      <c r="C746" s="107"/>
      <c r="D746" s="106"/>
      <c r="E746" s="106"/>
      <c r="F746" s="107"/>
      <c r="G746" s="106"/>
      <c r="H746" s="106"/>
      <c r="I746" s="381"/>
      <c r="J746" s="106"/>
      <c r="K746" s="106"/>
      <c r="L746" s="106"/>
    </row>
    <row r="747" spans="1:12">
      <c r="A747" s="106"/>
      <c r="B747" s="106"/>
      <c r="C747" s="107"/>
      <c r="D747" s="106"/>
      <c r="E747" s="106"/>
      <c r="F747" s="107"/>
      <c r="G747" s="106"/>
      <c r="H747" s="106"/>
      <c r="I747" s="381"/>
      <c r="J747" s="106"/>
      <c r="K747" s="106"/>
      <c r="L747" s="106"/>
    </row>
    <row r="748" spans="1:12">
      <c r="A748" s="106"/>
      <c r="B748" s="106"/>
      <c r="C748" s="107"/>
      <c r="D748" s="106"/>
      <c r="E748" s="106"/>
      <c r="F748" s="107"/>
      <c r="G748" s="106"/>
      <c r="H748" s="106"/>
      <c r="I748" s="381"/>
      <c r="J748" s="106"/>
      <c r="K748" s="106"/>
      <c r="L748" s="106"/>
    </row>
    <row r="749" spans="1:12">
      <c r="A749" s="106"/>
      <c r="B749" s="106"/>
      <c r="C749" s="107"/>
      <c r="D749" s="106"/>
      <c r="E749" s="106"/>
      <c r="F749" s="107"/>
      <c r="G749" s="106"/>
      <c r="H749" s="106"/>
      <c r="I749" s="381"/>
      <c r="J749" s="106"/>
      <c r="K749" s="106"/>
      <c r="L749" s="106"/>
    </row>
    <row r="750" spans="1:12">
      <c r="A750" s="106"/>
      <c r="B750" s="106"/>
      <c r="C750" s="107"/>
      <c r="D750" s="106"/>
      <c r="E750" s="106"/>
      <c r="F750" s="107"/>
      <c r="G750" s="106"/>
      <c r="H750" s="106"/>
      <c r="I750" s="381"/>
      <c r="J750" s="106"/>
      <c r="K750" s="106"/>
      <c r="L750" s="106"/>
    </row>
    <row r="751" spans="1:12">
      <c r="A751" s="106"/>
      <c r="B751" s="106"/>
      <c r="C751" s="107"/>
      <c r="D751" s="106"/>
      <c r="E751" s="106"/>
      <c r="F751" s="107"/>
      <c r="G751" s="106"/>
      <c r="H751" s="106"/>
      <c r="I751" s="381"/>
      <c r="J751" s="106"/>
      <c r="K751" s="106"/>
      <c r="L751" s="106"/>
    </row>
    <row r="752" spans="1:12">
      <c r="A752" s="106"/>
      <c r="B752" s="106"/>
      <c r="C752" s="107"/>
      <c r="D752" s="106"/>
      <c r="E752" s="106"/>
      <c r="F752" s="107"/>
      <c r="G752" s="106"/>
      <c r="H752" s="106"/>
      <c r="I752" s="381"/>
      <c r="J752" s="106"/>
      <c r="K752" s="106"/>
      <c r="L752" s="106"/>
    </row>
    <row r="753" spans="1:12">
      <c r="A753" s="106"/>
      <c r="B753" s="106"/>
      <c r="C753" s="107"/>
      <c r="D753" s="106"/>
      <c r="E753" s="106"/>
      <c r="F753" s="107"/>
      <c r="G753" s="106"/>
      <c r="H753" s="106"/>
      <c r="I753" s="381"/>
      <c r="J753" s="106"/>
      <c r="K753" s="106"/>
      <c r="L753" s="106"/>
    </row>
    <row r="754" spans="1:12">
      <c r="A754" s="106"/>
      <c r="B754" s="106"/>
      <c r="C754" s="107"/>
      <c r="D754" s="106"/>
      <c r="E754" s="106"/>
      <c r="F754" s="107"/>
      <c r="G754" s="106"/>
      <c r="H754" s="106"/>
      <c r="I754" s="381"/>
      <c r="J754" s="106"/>
      <c r="K754" s="106"/>
      <c r="L754" s="106"/>
    </row>
    <row r="755" spans="1:12">
      <c r="A755" s="106"/>
      <c r="B755" s="106"/>
      <c r="C755" s="107"/>
      <c r="D755" s="106"/>
      <c r="E755" s="106"/>
      <c r="F755" s="107"/>
      <c r="G755" s="106"/>
      <c r="H755" s="106"/>
      <c r="I755" s="381"/>
      <c r="J755" s="106"/>
      <c r="K755" s="106"/>
      <c r="L755" s="106"/>
    </row>
    <row r="756" spans="1:12">
      <c r="A756" s="106"/>
      <c r="B756" s="106"/>
      <c r="C756" s="107"/>
      <c r="D756" s="106"/>
      <c r="E756" s="106"/>
      <c r="F756" s="107"/>
      <c r="G756" s="106"/>
      <c r="H756" s="106"/>
      <c r="I756" s="381"/>
      <c r="J756" s="106"/>
      <c r="K756" s="106"/>
      <c r="L756" s="106"/>
    </row>
    <row r="757" spans="1:12">
      <c r="A757" s="106"/>
      <c r="B757" s="106"/>
      <c r="C757" s="107"/>
      <c r="D757" s="106"/>
      <c r="E757" s="106"/>
      <c r="F757" s="107"/>
      <c r="G757" s="106"/>
      <c r="H757" s="106"/>
      <c r="I757" s="381"/>
      <c r="J757" s="106"/>
      <c r="K757" s="106"/>
      <c r="L757" s="106"/>
    </row>
    <row r="758" spans="1:12">
      <c r="A758" s="106"/>
      <c r="B758" s="106"/>
      <c r="C758" s="107"/>
      <c r="D758" s="106"/>
      <c r="E758" s="106"/>
      <c r="F758" s="107"/>
      <c r="G758" s="106"/>
      <c r="H758" s="106"/>
      <c r="I758" s="381"/>
      <c r="J758" s="106"/>
      <c r="K758" s="106"/>
      <c r="L758" s="106"/>
    </row>
    <row r="759" spans="1:12">
      <c r="A759" s="106"/>
      <c r="B759" s="106"/>
      <c r="C759" s="107"/>
      <c r="D759" s="106"/>
      <c r="E759" s="106"/>
      <c r="F759" s="107"/>
      <c r="G759" s="106"/>
      <c r="H759" s="106"/>
      <c r="I759" s="381"/>
      <c r="J759" s="106"/>
      <c r="K759" s="106"/>
      <c r="L759" s="106"/>
    </row>
    <row r="760" spans="1:12">
      <c r="A760" s="106"/>
      <c r="B760" s="106"/>
      <c r="C760" s="107"/>
      <c r="D760" s="106"/>
      <c r="E760" s="106"/>
      <c r="F760" s="107"/>
      <c r="G760" s="106"/>
      <c r="H760" s="106"/>
      <c r="I760" s="381"/>
      <c r="J760" s="106"/>
      <c r="K760" s="106"/>
      <c r="L760" s="106"/>
    </row>
    <row r="761" spans="1:12">
      <c r="A761" s="106"/>
      <c r="B761" s="106"/>
      <c r="C761" s="107"/>
      <c r="D761" s="106"/>
      <c r="E761" s="106"/>
      <c r="F761" s="107"/>
      <c r="G761" s="106"/>
      <c r="H761" s="106"/>
      <c r="I761" s="381"/>
      <c r="J761" s="106"/>
      <c r="K761" s="106"/>
      <c r="L761" s="106"/>
    </row>
    <row r="762" spans="1:12">
      <c r="A762" s="106"/>
      <c r="B762" s="106"/>
      <c r="C762" s="107"/>
      <c r="D762" s="106"/>
      <c r="E762" s="106"/>
      <c r="F762" s="107"/>
      <c r="G762" s="106"/>
      <c r="H762" s="106"/>
      <c r="I762" s="381"/>
      <c r="J762" s="106"/>
      <c r="K762" s="106"/>
      <c r="L762" s="106"/>
    </row>
    <row r="763" spans="1:12">
      <c r="A763" s="106"/>
      <c r="B763" s="106"/>
      <c r="C763" s="107"/>
      <c r="D763" s="106"/>
      <c r="E763" s="106"/>
      <c r="F763" s="107"/>
      <c r="G763" s="106"/>
      <c r="H763" s="106"/>
      <c r="I763" s="381"/>
      <c r="J763" s="106"/>
      <c r="K763" s="106"/>
      <c r="L763" s="106"/>
    </row>
    <row r="764" spans="1:12">
      <c r="A764" s="106"/>
      <c r="B764" s="106"/>
      <c r="C764" s="107"/>
      <c r="D764" s="106"/>
      <c r="E764" s="106"/>
      <c r="F764" s="107"/>
      <c r="G764" s="106"/>
      <c r="H764" s="106"/>
      <c r="I764" s="381"/>
      <c r="J764" s="106"/>
      <c r="K764" s="106"/>
      <c r="L764" s="106"/>
    </row>
    <row r="765" spans="1:12">
      <c r="A765" s="106"/>
      <c r="B765" s="106"/>
      <c r="C765" s="107"/>
      <c r="D765" s="106"/>
      <c r="E765" s="106"/>
      <c r="F765" s="107"/>
      <c r="G765" s="106"/>
      <c r="H765" s="106"/>
      <c r="I765" s="381"/>
      <c r="J765" s="106"/>
      <c r="K765" s="106"/>
      <c r="L765" s="106"/>
    </row>
    <row r="766" spans="1:12">
      <c r="A766" s="106"/>
      <c r="B766" s="106"/>
      <c r="C766" s="107"/>
      <c r="D766" s="106"/>
      <c r="E766" s="106"/>
      <c r="F766" s="107"/>
      <c r="G766" s="106"/>
      <c r="H766" s="106"/>
      <c r="I766" s="381"/>
      <c r="J766" s="106"/>
      <c r="K766" s="106"/>
      <c r="L766" s="106"/>
    </row>
    <row r="767" spans="1:12">
      <c r="A767" s="106"/>
      <c r="B767" s="106"/>
      <c r="C767" s="107"/>
      <c r="D767" s="106"/>
      <c r="E767" s="106"/>
      <c r="F767" s="107"/>
      <c r="G767" s="106"/>
      <c r="H767" s="106"/>
      <c r="I767" s="381"/>
      <c r="J767" s="106"/>
      <c r="K767" s="106"/>
      <c r="L767" s="106"/>
    </row>
    <row r="768" spans="1:12">
      <c r="A768" s="106"/>
      <c r="B768" s="106"/>
      <c r="C768" s="107"/>
      <c r="D768" s="106"/>
      <c r="E768" s="106"/>
      <c r="F768" s="107"/>
      <c r="G768" s="106"/>
      <c r="H768" s="106"/>
      <c r="I768" s="381"/>
      <c r="J768" s="106"/>
      <c r="K768" s="106"/>
      <c r="L768" s="106"/>
    </row>
    <row r="769" spans="1:12">
      <c r="A769" s="106"/>
      <c r="B769" s="106"/>
      <c r="C769" s="107"/>
      <c r="D769" s="106"/>
      <c r="E769" s="106"/>
      <c r="F769" s="107"/>
      <c r="G769" s="106"/>
      <c r="H769" s="106"/>
      <c r="I769" s="381"/>
      <c r="J769" s="106"/>
      <c r="K769" s="106"/>
      <c r="L769" s="106"/>
    </row>
    <row r="770" spans="1:12">
      <c r="A770" s="106"/>
      <c r="B770" s="106"/>
      <c r="C770" s="107"/>
      <c r="D770" s="106"/>
      <c r="E770" s="106"/>
      <c r="F770" s="107"/>
      <c r="G770" s="106"/>
      <c r="H770" s="106"/>
      <c r="I770" s="381"/>
      <c r="J770" s="106"/>
      <c r="K770" s="106"/>
      <c r="L770" s="106"/>
    </row>
    <row r="771" spans="1:12">
      <c r="A771" s="106"/>
      <c r="B771" s="106"/>
      <c r="C771" s="107"/>
      <c r="D771" s="106"/>
      <c r="E771" s="106"/>
      <c r="F771" s="107"/>
      <c r="G771" s="106"/>
      <c r="H771" s="106"/>
      <c r="I771" s="381"/>
      <c r="J771" s="106"/>
      <c r="K771" s="106"/>
      <c r="L771" s="106"/>
    </row>
    <row r="772" spans="1:12">
      <c r="A772" s="106"/>
      <c r="B772" s="106"/>
      <c r="C772" s="107"/>
      <c r="D772" s="106"/>
      <c r="E772" s="106"/>
      <c r="F772" s="107"/>
      <c r="G772" s="106"/>
      <c r="H772" s="106"/>
      <c r="I772" s="381"/>
      <c r="J772" s="106"/>
      <c r="K772" s="106"/>
      <c r="L772" s="106"/>
    </row>
    <row r="773" spans="1:12">
      <c r="A773" s="106"/>
      <c r="B773" s="106"/>
      <c r="C773" s="107"/>
      <c r="D773" s="106"/>
      <c r="E773" s="106"/>
      <c r="F773" s="107"/>
      <c r="G773" s="106"/>
      <c r="H773" s="106"/>
      <c r="I773" s="381"/>
      <c r="J773" s="106"/>
      <c r="K773" s="106"/>
      <c r="L773" s="106"/>
    </row>
    <row r="774" spans="1:12">
      <c r="A774" s="106"/>
      <c r="B774" s="106"/>
      <c r="C774" s="107"/>
      <c r="D774" s="106"/>
      <c r="E774" s="106"/>
      <c r="F774" s="107"/>
      <c r="G774" s="106"/>
      <c r="H774" s="106"/>
      <c r="I774" s="381"/>
      <c r="J774" s="106"/>
      <c r="K774" s="106"/>
      <c r="L774" s="106"/>
    </row>
    <row r="775" spans="1:12">
      <c r="A775" s="106"/>
      <c r="B775" s="106"/>
      <c r="C775" s="107"/>
      <c r="D775" s="106"/>
      <c r="E775" s="106"/>
      <c r="F775" s="107"/>
      <c r="G775" s="106"/>
      <c r="H775" s="106"/>
      <c r="I775" s="381"/>
      <c r="J775" s="106"/>
      <c r="K775" s="106"/>
      <c r="L775" s="106"/>
    </row>
    <row r="776" spans="1:12">
      <c r="A776" s="106"/>
      <c r="B776" s="106"/>
      <c r="C776" s="107"/>
      <c r="D776" s="106"/>
      <c r="E776" s="106"/>
      <c r="F776" s="107"/>
      <c r="G776" s="106"/>
      <c r="H776" s="106"/>
      <c r="I776" s="381"/>
      <c r="J776" s="106"/>
      <c r="K776" s="106"/>
      <c r="L776" s="106"/>
    </row>
    <row r="777" spans="1:12">
      <c r="A777" s="106"/>
      <c r="B777" s="106"/>
      <c r="C777" s="107"/>
      <c r="D777" s="106"/>
      <c r="E777" s="106"/>
      <c r="F777" s="107"/>
      <c r="G777" s="106"/>
      <c r="H777" s="106"/>
      <c r="I777" s="381"/>
      <c r="J777" s="106"/>
      <c r="K777" s="106"/>
      <c r="L777" s="106"/>
    </row>
    <row r="778" spans="1:12">
      <c r="A778" s="106"/>
      <c r="B778" s="106"/>
      <c r="C778" s="107"/>
      <c r="D778" s="106"/>
      <c r="E778" s="106"/>
      <c r="F778" s="107"/>
      <c r="G778" s="106"/>
      <c r="H778" s="106"/>
      <c r="I778" s="381"/>
      <c r="J778" s="106"/>
      <c r="K778" s="106"/>
      <c r="L778" s="106"/>
    </row>
    <row r="779" spans="1:12">
      <c r="A779" s="106"/>
      <c r="B779" s="106"/>
      <c r="C779" s="107"/>
      <c r="D779" s="106"/>
      <c r="E779" s="106"/>
      <c r="F779" s="107"/>
      <c r="G779" s="106"/>
      <c r="H779" s="106"/>
      <c r="I779" s="381"/>
      <c r="J779" s="106"/>
      <c r="K779" s="106"/>
      <c r="L779" s="106"/>
    </row>
    <row r="780" spans="1:12">
      <c r="A780" s="106"/>
      <c r="B780" s="106"/>
      <c r="C780" s="107"/>
      <c r="D780" s="106"/>
      <c r="E780" s="106"/>
      <c r="F780" s="107"/>
      <c r="G780" s="106"/>
      <c r="H780" s="106"/>
      <c r="I780" s="381"/>
      <c r="J780" s="106"/>
      <c r="K780" s="106"/>
      <c r="L780" s="106"/>
    </row>
    <row r="781" spans="1:12">
      <c r="A781" s="106"/>
      <c r="B781" s="106"/>
      <c r="C781" s="107"/>
      <c r="D781" s="106"/>
      <c r="E781" s="106"/>
      <c r="F781" s="107"/>
      <c r="G781" s="106"/>
      <c r="H781" s="106"/>
      <c r="I781" s="381"/>
      <c r="J781" s="106"/>
      <c r="K781" s="106"/>
      <c r="L781" s="106"/>
    </row>
    <row r="782" spans="1:12">
      <c r="A782" s="106"/>
      <c r="B782" s="106"/>
      <c r="C782" s="107"/>
      <c r="D782" s="106"/>
      <c r="E782" s="106"/>
      <c r="F782" s="107"/>
      <c r="G782" s="106"/>
      <c r="H782" s="106"/>
      <c r="I782" s="381"/>
      <c r="J782" s="106"/>
      <c r="K782" s="106"/>
      <c r="L782" s="106"/>
    </row>
    <row r="783" spans="1:12">
      <c r="A783" s="106"/>
      <c r="B783" s="106"/>
      <c r="C783" s="107"/>
      <c r="D783" s="106"/>
      <c r="E783" s="106"/>
      <c r="F783" s="107"/>
      <c r="G783" s="106"/>
      <c r="H783" s="106"/>
      <c r="I783" s="381"/>
      <c r="J783" s="106"/>
      <c r="K783" s="106"/>
      <c r="L783" s="106"/>
    </row>
    <row r="784" spans="1:12">
      <c r="A784" s="106"/>
      <c r="B784" s="106"/>
      <c r="C784" s="107"/>
      <c r="D784" s="106"/>
      <c r="E784" s="106"/>
      <c r="F784" s="107"/>
      <c r="G784" s="106"/>
      <c r="H784" s="106"/>
      <c r="I784" s="381"/>
      <c r="J784" s="106"/>
      <c r="K784" s="106"/>
      <c r="L784" s="106"/>
    </row>
    <row r="785" spans="1:12">
      <c r="A785" s="106"/>
      <c r="B785" s="106"/>
      <c r="C785" s="107"/>
      <c r="D785" s="106"/>
      <c r="E785" s="106"/>
      <c r="F785" s="107"/>
      <c r="G785" s="106"/>
      <c r="H785" s="106"/>
      <c r="I785" s="381"/>
      <c r="J785" s="106"/>
      <c r="K785" s="106"/>
      <c r="L785" s="106"/>
    </row>
    <row r="786" spans="1:12">
      <c r="A786" s="106"/>
      <c r="B786" s="106"/>
      <c r="C786" s="107"/>
      <c r="D786" s="106"/>
      <c r="E786" s="106"/>
      <c r="F786" s="107"/>
      <c r="G786" s="106"/>
      <c r="H786" s="106"/>
      <c r="I786" s="381"/>
      <c r="J786" s="106"/>
      <c r="K786" s="106"/>
      <c r="L786" s="106"/>
    </row>
    <row r="787" spans="1:12">
      <c r="A787" s="106"/>
      <c r="B787" s="106"/>
      <c r="C787" s="107"/>
      <c r="D787" s="106"/>
      <c r="E787" s="106"/>
      <c r="F787" s="107"/>
      <c r="G787" s="106"/>
      <c r="H787" s="106"/>
      <c r="I787" s="381"/>
      <c r="J787" s="106"/>
      <c r="K787" s="106"/>
      <c r="L787" s="106"/>
    </row>
    <row r="788" spans="1:12">
      <c r="A788" s="106"/>
      <c r="B788" s="106"/>
      <c r="C788" s="107"/>
      <c r="D788" s="106"/>
      <c r="E788" s="106"/>
      <c r="F788" s="107"/>
      <c r="G788" s="106"/>
      <c r="H788" s="106"/>
      <c r="I788" s="381"/>
      <c r="J788" s="106"/>
      <c r="K788" s="106"/>
      <c r="L788" s="106"/>
    </row>
    <row r="789" spans="1:12">
      <c r="A789" s="106"/>
      <c r="B789" s="106"/>
      <c r="C789" s="107"/>
      <c r="D789" s="106"/>
      <c r="E789" s="106"/>
      <c r="F789" s="107"/>
      <c r="G789" s="106"/>
      <c r="H789" s="106"/>
      <c r="I789" s="381"/>
      <c r="J789" s="106"/>
      <c r="K789" s="106"/>
      <c r="L789" s="106"/>
    </row>
    <row r="790" spans="1:12">
      <c r="A790" s="106"/>
      <c r="B790" s="106"/>
      <c r="C790" s="107"/>
      <c r="D790" s="106"/>
      <c r="E790" s="106"/>
      <c r="F790" s="107"/>
      <c r="G790" s="106"/>
      <c r="H790" s="106"/>
      <c r="I790" s="381"/>
      <c r="J790" s="106"/>
      <c r="K790" s="106"/>
      <c r="L790" s="106"/>
    </row>
    <row r="791" spans="1:12">
      <c r="A791" s="106"/>
      <c r="B791" s="106"/>
      <c r="C791" s="107"/>
      <c r="D791" s="106"/>
      <c r="E791" s="106"/>
      <c r="F791" s="107"/>
      <c r="G791" s="106"/>
      <c r="H791" s="106"/>
      <c r="I791" s="381"/>
      <c r="J791" s="106"/>
      <c r="K791" s="106"/>
      <c r="L791" s="106"/>
    </row>
    <row r="792" spans="1:12">
      <c r="A792" s="106"/>
      <c r="B792" s="106"/>
      <c r="C792" s="107"/>
      <c r="D792" s="106"/>
      <c r="E792" s="106"/>
      <c r="F792" s="107"/>
      <c r="G792" s="106"/>
      <c r="H792" s="106"/>
      <c r="I792" s="381"/>
      <c r="J792" s="106"/>
      <c r="K792" s="106"/>
      <c r="L792" s="106"/>
    </row>
    <row r="793" spans="1:12">
      <c r="A793" s="106"/>
      <c r="B793" s="106"/>
      <c r="C793" s="107"/>
      <c r="D793" s="106"/>
      <c r="E793" s="106"/>
      <c r="F793" s="107"/>
      <c r="G793" s="106"/>
      <c r="H793" s="106"/>
      <c r="I793" s="381"/>
      <c r="J793" s="106"/>
      <c r="K793" s="106"/>
      <c r="L793" s="106"/>
    </row>
    <row r="794" spans="1:12">
      <c r="A794" s="106"/>
      <c r="B794" s="106"/>
      <c r="C794" s="107"/>
      <c r="D794" s="106"/>
      <c r="E794" s="106"/>
      <c r="F794" s="107"/>
      <c r="G794" s="106"/>
      <c r="H794" s="106"/>
      <c r="I794" s="381"/>
      <c r="J794" s="106"/>
      <c r="K794" s="106"/>
      <c r="L794" s="106"/>
    </row>
    <row r="795" spans="1:12">
      <c r="A795" s="106"/>
      <c r="B795" s="106"/>
      <c r="C795" s="107"/>
      <c r="D795" s="106"/>
      <c r="E795" s="106"/>
      <c r="F795" s="107"/>
      <c r="G795" s="106"/>
      <c r="H795" s="106"/>
      <c r="I795" s="381"/>
      <c r="J795" s="106"/>
      <c r="K795" s="106"/>
      <c r="L795" s="106"/>
    </row>
    <row r="796" spans="1:12">
      <c r="A796" s="106"/>
      <c r="B796" s="106"/>
      <c r="C796" s="107"/>
      <c r="D796" s="106"/>
      <c r="E796" s="106"/>
      <c r="F796" s="107"/>
      <c r="G796" s="106"/>
      <c r="H796" s="106"/>
      <c r="I796" s="381"/>
      <c r="J796" s="106"/>
      <c r="K796" s="106"/>
      <c r="L796" s="106"/>
    </row>
    <row r="797" spans="1:12">
      <c r="A797" s="106"/>
      <c r="B797" s="106"/>
      <c r="C797" s="107"/>
      <c r="D797" s="106"/>
      <c r="E797" s="106"/>
      <c r="F797" s="107"/>
      <c r="G797" s="106"/>
      <c r="H797" s="106"/>
      <c r="I797" s="381"/>
      <c r="J797" s="106"/>
      <c r="K797" s="106"/>
      <c r="L797" s="106"/>
    </row>
    <row r="798" spans="1:12">
      <c r="A798" s="106"/>
      <c r="B798" s="106"/>
      <c r="C798" s="107"/>
      <c r="D798" s="106"/>
      <c r="E798" s="106"/>
      <c r="F798" s="107"/>
      <c r="G798" s="106"/>
      <c r="H798" s="106"/>
      <c r="I798" s="381"/>
      <c r="J798" s="106"/>
      <c r="K798" s="106"/>
      <c r="L798" s="106"/>
    </row>
    <row r="799" spans="1:12">
      <c r="A799" s="106"/>
      <c r="B799" s="106"/>
      <c r="C799" s="107"/>
      <c r="D799" s="106"/>
      <c r="E799" s="106"/>
      <c r="F799" s="107"/>
      <c r="G799" s="106"/>
      <c r="H799" s="106"/>
      <c r="I799" s="381"/>
      <c r="J799" s="106"/>
      <c r="K799" s="106"/>
      <c r="L799" s="106"/>
    </row>
    <row r="800" spans="1:12">
      <c r="A800" s="106"/>
      <c r="B800" s="106"/>
      <c r="C800" s="107"/>
      <c r="D800" s="106"/>
      <c r="E800" s="106"/>
      <c r="F800" s="107"/>
      <c r="G800" s="106"/>
      <c r="H800" s="106"/>
      <c r="I800" s="381"/>
      <c r="J800" s="106"/>
      <c r="K800" s="106"/>
      <c r="L800" s="106"/>
    </row>
    <row r="801" spans="1:12">
      <c r="A801" s="106"/>
      <c r="B801" s="106"/>
      <c r="C801" s="107"/>
      <c r="D801" s="106"/>
      <c r="E801" s="106"/>
      <c r="F801" s="107"/>
      <c r="G801" s="106"/>
      <c r="H801" s="106"/>
      <c r="I801" s="381"/>
      <c r="J801" s="106"/>
      <c r="K801" s="106"/>
      <c r="L801" s="106"/>
    </row>
    <row r="802" spans="1:12">
      <c r="A802" s="106"/>
      <c r="B802" s="106"/>
      <c r="C802" s="107"/>
      <c r="D802" s="106"/>
      <c r="E802" s="106"/>
      <c r="F802" s="107"/>
      <c r="G802" s="106"/>
      <c r="H802" s="106"/>
      <c r="I802" s="381"/>
      <c r="J802" s="106"/>
      <c r="K802" s="106"/>
      <c r="L802" s="106"/>
    </row>
    <row r="803" spans="1:12">
      <c r="A803" s="106"/>
      <c r="B803" s="106"/>
      <c r="C803" s="107"/>
      <c r="D803" s="106"/>
      <c r="E803" s="106"/>
      <c r="F803" s="107"/>
      <c r="G803" s="106"/>
      <c r="H803" s="106"/>
      <c r="I803" s="381"/>
      <c r="J803" s="106"/>
      <c r="K803" s="106"/>
      <c r="L803" s="106"/>
    </row>
    <row r="804" spans="1:12">
      <c r="A804" s="106"/>
      <c r="B804" s="106"/>
      <c r="C804" s="107"/>
      <c r="D804" s="106"/>
      <c r="E804" s="106"/>
      <c r="F804" s="107"/>
      <c r="G804" s="106"/>
      <c r="H804" s="106"/>
      <c r="I804" s="381"/>
      <c r="J804" s="106"/>
      <c r="K804" s="106"/>
      <c r="L804" s="106"/>
    </row>
    <row r="805" spans="1:12">
      <c r="A805" s="106"/>
      <c r="B805" s="106"/>
      <c r="C805" s="107"/>
      <c r="D805" s="106"/>
      <c r="E805" s="106"/>
      <c r="F805" s="107"/>
      <c r="G805" s="106"/>
      <c r="H805" s="106"/>
      <c r="I805" s="381"/>
      <c r="J805" s="106"/>
      <c r="K805" s="106"/>
      <c r="L805" s="106"/>
    </row>
    <row r="806" spans="1:12">
      <c r="A806" s="106"/>
      <c r="B806" s="106"/>
      <c r="C806" s="107"/>
      <c r="D806" s="106"/>
      <c r="E806" s="106"/>
      <c r="F806" s="107"/>
      <c r="G806" s="106"/>
      <c r="H806" s="106"/>
      <c r="I806" s="381"/>
      <c r="J806" s="106"/>
      <c r="K806" s="106"/>
      <c r="L806" s="106"/>
    </row>
    <row r="807" spans="1:12">
      <c r="A807" s="106"/>
      <c r="B807" s="106"/>
      <c r="C807" s="107"/>
      <c r="D807" s="106"/>
      <c r="E807" s="106"/>
      <c r="F807" s="107"/>
      <c r="G807" s="106"/>
      <c r="H807" s="106"/>
      <c r="I807" s="381"/>
      <c r="J807" s="106"/>
      <c r="K807" s="106"/>
      <c r="L807" s="106"/>
    </row>
    <row r="808" spans="1:12">
      <c r="A808" s="106"/>
      <c r="B808" s="106"/>
      <c r="C808" s="107"/>
      <c r="D808" s="106"/>
      <c r="E808" s="106"/>
      <c r="F808" s="107"/>
      <c r="G808" s="106"/>
      <c r="H808" s="106"/>
      <c r="I808" s="381"/>
      <c r="J808" s="106"/>
      <c r="K808" s="106"/>
      <c r="L808" s="106"/>
    </row>
    <row r="809" spans="1:12">
      <c r="A809" s="106"/>
      <c r="B809" s="106"/>
      <c r="C809" s="107"/>
      <c r="D809" s="106"/>
      <c r="E809" s="106"/>
      <c r="F809" s="107"/>
      <c r="G809" s="106"/>
      <c r="H809" s="106"/>
      <c r="I809" s="381"/>
      <c r="J809" s="106"/>
      <c r="K809" s="106"/>
      <c r="L809" s="106"/>
    </row>
    <row r="810" spans="1:12">
      <c r="A810" s="106"/>
      <c r="B810" s="106"/>
      <c r="C810" s="107"/>
      <c r="D810" s="106"/>
      <c r="E810" s="106"/>
      <c r="F810" s="107"/>
      <c r="G810" s="106"/>
      <c r="H810" s="106"/>
      <c r="I810" s="381"/>
      <c r="J810" s="106"/>
      <c r="K810" s="106"/>
      <c r="L810" s="106"/>
    </row>
    <row r="811" spans="1:12">
      <c r="A811" s="106"/>
      <c r="B811" s="106"/>
      <c r="C811" s="107"/>
      <c r="D811" s="106"/>
      <c r="E811" s="106"/>
      <c r="F811" s="107"/>
      <c r="G811" s="106"/>
      <c r="H811" s="106"/>
      <c r="I811" s="381"/>
      <c r="J811" s="106"/>
      <c r="K811" s="106"/>
      <c r="L811" s="106"/>
    </row>
    <row r="812" spans="1:12">
      <c r="A812" s="106"/>
      <c r="B812" s="106"/>
      <c r="C812" s="107"/>
      <c r="D812" s="106"/>
      <c r="E812" s="106"/>
      <c r="F812" s="107"/>
      <c r="G812" s="106"/>
      <c r="H812" s="106"/>
      <c r="I812" s="381"/>
      <c r="J812" s="106"/>
      <c r="K812" s="106"/>
      <c r="L812" s="106"/>
    </row>
    <row r="813" spans="1:12">
      <c r="A813" s="106"/>
      <c r="B813" s="106"/>
      <c r="C813" s="107"/>
      <c r="D813" s="106"/>
      <c r="E813" s="106"/>
      <c r="F813" s="107"/>
      <c r="G813" s="106"/>
      <c r="H813" s="106"/>
      <c r="I813" s="381"/>
      <c r="J813" s="106"/>
      <c r="K813" s="106"/>
      <c r="L813" s="106"/>
    </row>
    <row r="814" spans="1:12">
      <c r="A814" s="106"/>
      <c r="B814" s="106"/>
      <c r="C814" s="107"/>
      <c r="D814" s="106"/>
      <c r="E814" s="106"/>
      <c r="F814" s="107"/>
      <c r="G814" s="106"/>
      <c r="H814" s="106"/>
      <c r="I814" s="381"/>
      <c r="J814" s="106"/>
      <c r="K814" s="106"/>
      <c r="L814" s="106"/>
    </row>
    <row r="815" spans="1:12">
      <c r="A815" s="106"/>
      <c r="B815" s="106"/>
      <c r="C815" s="107"/>
      <c r="D815" s="106"/>
      <c r="E815" s="106"/>
      <c r="F815" s="107"/>
      <c r="G815" s="106"/>
      <c r="H815" s="106"/>
      <c r="I815" s="381"/>
      <c r="J815" s="106"/>
      <c r="K815" s="106"/>
      <c r="L815" s="106"/>
    </row>
    <row r="816" spans="1:12">
      <c r="A816" s="106"/>
      <c r="B816" s="106"/>
      <c r="C816" s="107"/>
      <c r="D816" s="106"/>
      <c r="E816" s="106"/>
      <c r="F816" s="107"/>
      <c r="G816" s="106"/>
      <c r="H816" s="106"/>
      <c r="I816" s="381"/>
      <c r="J816" s="106"/>
      <c r="K816" s="106"/>
      <c r="L816" s="106"/>
    </row>
    <row r="817" spans="1:12">
      <c r="A817" s="106"/>
      <c r="B817" s="106"/>
      <c r="C817" s="107"/>
      <c r="D817" s="106"/>
      <c r="E817" s="106"/>
      <c r="F817" s="107"/>
      <c r="G817" s="106"/>
      <c r="H817" s="106"/>
      <c r="I817" s="381"/>
      <c r="J817" s="106"/>
      <c r="K817" s="106"/>
      <c r="L817" s="106"/>
    </row>
    <row r="818" spans="1:12">
      <c r="A818" s="106"/>
      <c r="B818" s="106"/>
      <c r="C818" s="107"/>
      <c r="D818" s="106"/>
      <c r="E818" s="106"/>
      <c r="F818" s="107"/>
      <c r="G818" s="106"/>
      <c r="H818" s="106"/>
      <c r="I818" s="381"/>
      <c r="J818" s="106"/>
      <c r="K818" s="106"/>
      <c r="L818" s="106"/>
    </row>
    <row r="819" spans="1:12">
      <c r="A819" s="106"/>
      <c r="B819" s="106"/>
      <c r="C819" s="107"/>
      <c r="D819" s="106"/>
      <c r="E819" s="106"/>
      <c r="F819" s="107"/>
      <c r="G819" s="106"/>
      <c r="H819" s="106"/>
      <c r="I819" s="381"/>
      <c r="J819" s="106"/>
      <c r="K819" s="106"/>
      <c r="L819" s="106"/>
    </row>
    <row r="820" spans="1:12">
      <c r="A820" s="106"/>
      <c r="B820" s="106"/>
      <c r="C820" s="107"/>
      <c r="D820" s="106"/>
      <c r="E820" s="106"/>
      <c r="F820" s="107"/>
      <c r="G820" s="106"/>
      <c r="H820" s="106"/>
      <c r="I820" s="381"/>
      <c r="J820" s="106"/>
      <c r="K820" s="106"/>
      <c r="L820" s="106"/>
    </row>
    <row r="821" spans="1:12">
      <c r="A821" s="106"/>
      <c r="B821" s="106"/>
      <c r="C821" s="107"/>
      <c r="D821" s="106"/>
      <c r="E821" s="106"/>
      <c r="F821" s="107"/>
      <c r="G821" s="106"/>
      <c r="H821" s="106"/>
      <c r="I821" s="381"/>
      <c r="J821" s="106"/>
      <c r="K821" s="106"/>
      <c r="L821" s="106"/>
    </row>
    <row r="822" spans="1:12">
      <c r="A822" s="106"/>
      <c r="B822" s="106"/>
      <c r="C822" s="107"/>
      <c r="D822" s="106"/>
      <c r="E822" s="106"/>
      <c r="F822" s="107"/>
      <c r="G822" s="106"/>
      <c r="H822" s="106"/>
      <c r="I822" s="381"/>
      <c r="J822" s="106"/>
      <c r="K822" s="106"/>
      <c r="L822" s="106"/>
    </row>
    <row r="823" spans="1:12">
      <c r="A823" s="106"/>
      <c r="B823" s="106"/>
      <c r="C823" s="107"/>
      <c r="D823" s="106"/>
      <c r="E823" s="106"/>
      <c r="F823" s="107"/>
      <c r="G823" s="106"/>
      <c r="H823" s="106"/>
      <c r="I823" s="381"/>
      <c r="J823" s="106"/>
      <c r="K823" s="106"/>
      <c r="L823" s="106"/>
    </row>
    <row r="824" spans="1:12">
      <c r="A824" s="106"/>
      <c r="B824" s="106"/>
      <c r="C824" s="107"/>
      <c r="D824" s="106"/>
      <c r="E824" s="106"/>
      <c r="F824" s="107"/>
      <c r="G824" s="106"/>
      <c r="H824" s="106"/>
      <c r="I824" s="381"/>
      <c r="J824" s="106"/>
      <c r="K824" s="106"/>
      <c r="L824" s="106"/>
    </row>
    <row r="825" spans="1:12">
      <c r="A825" s="106"/>
      <c r="B825" s="106"/>
      <c r="C825" s="107"/>
      <c r="D825" s="106"/>
      <c r="E825" s="106"/>
      <c r="F825" s="107"/>
      <c r="G825" s="106"/>
      <c r="H825" s="106"/>
      <c r="I825" s="381"/>
      <c r="J825" s="106"/>
      <c r="K825" s="106"/>
      <c r="L825" s="106"/>
    </row>
    <row r="826" spans="1:12">
      <c r="A826" s="106"/>
      <c r="B826" s="106"/>
      <c r="C826" s="107"/>
      <c r="D826" s="106"/>
      <c r="E826" s="106"/>
      <c r="F826" s="107"/>
      <c r="G826" s="106"/>
      <c r="H826" s="106"/>
      <c r="I826" s="381"/>
      <c r="J826" s="106"/>
      <c r="K826" s="106"/>
      <c r="L826" s="106"/>
    </row>
    <row r="827" spans="1:12">
      <c r="A827" s="106"/>
      <c r="B827" s="106"/>
      <c r="C827" s="107"/>
      <c r="D827" s="106"/>
      <c r="E827" s="106"/>
      <c r="F827" s="107"/>
      <c r="G827" s="106"/>
      <c r="H827" s="106"/>
      <c r="I827" s="381"/>
      <c r="J827" s="106"/>
      <c r="K827" s="106"/>
      <c r="L827" s="106"/>
    </row>
    <row r="828" spans="1:12">
      <c r="A828" s="106"/>
      <c r="B828" s="106"/>
      <c r="C828" s="107"/>
      <c r="D828" s="106"/>
      <c r="E828" s="106"/>
      <c r="F828" s="107"/>
      <c r="G828" s="106"/>
      <c r="H828" s="106"/>
      <c r="I828" s="381"/>
      <c r="J828" s="106"/>
      <c r="K828" s="106"/>
      <c r="L828" s="106"/>
    </row>
    <row r="829" spans="1:12">
      <c r="A829" s="106"/>
      <c r="B829" s="106"/>
      <c r="C829" s="107"/>
      <c r="D829" s="106"/>
      <c r="E829" s="106"/>
      <c r="F829" s="107"/>
      <c r="G829" s="106"/>
      <c r="H829" s="106"/>
      <c r="I829" s="381"/>
      <c r="J829" s="106"/>
      <c r="K829" s="106"/>
      <c r="L829" s="106"/>
    </row>
    <row r="830" spans="1:12">
      <c r="A830" s="106"/>
      <c r="B830" s="106"/>
      <c r="C830" s="107"/>
      <c r="D830" s="106"/>
      <c r="E830" s="106"/>
      <c r="F830" s="107"/>
      <c r="G830" s="106"/>
      <c r="H830" s="106"/>
      <c r="I830" s="381"/>
      <c r="J830" s="106"/>
      <c r="K830" s="106"/>
      <c r="L830" s="106"/>
    </row>
    <row r="831" spans="1:12">
      <c r="A831" s="106"/>
      <c r="B831" s="106"/>
      <c r="C831" s="107"/>
      <c r="D831" s="106"/>
      <c r="E831" s="106"/>
      <c r="F831" s="107"/>
      <c r="G831" s="106"/>
      <c r="H831" s="106"/>
      <c r="I831" s="381"/>
      <c r="J831" s="106"/>
      <c r="K831" s="106"/>
      <c r="L831" s="106"/>
    </row>
    <row r="832" spans="1:12">
      <c r="A832" s="106"/>
      <c r="B832" s="106"/>
      <c r="C832" s="107"/>
      <c r="D832" s="106"/>
      <c r="E832" s="106"/>
      <c r="F832" s="107"/>
      <c r="G832" s="106"/>
      <c r="H832" s="106"/>
      <c r="I832" s="381"/>
      <c r="J832" s="106"/>
      <c r="K832" s="106"/>
      <c r="L832" s="106"/>
    </row>
    <row r="833" spans="1:12">
      <c r="A833" s="106"/>
      <c r="B833" s="106"/>
      <c r="C833" s="107"/>
      <c r="D833" s="106"/>
      <c r="E833" s="106"/>
      <c r="F833" s="107"/>
      <c r="G833" s="106"/>
      <c r="H833" s="106"/>
      <c r="I833" s="381"/>
      <c r="J833" s="106"/>
      <c r="K833" s="106"/>
      <c r="L833" s="106"/>
    </row>
    <row r="834" spans="1:12">
      <c r="A834" s="106"/>
      <c r="B834" s="106"/>
      <c r="C834" s="107"/>
      <c r="D834" s="106"/>
      <c r="E834" s="106"/>
      <c r="F834" s="107"/>
      <c r="G834" s="106"/>
      <c r="H834" s="106"/>
      <c r="I834" s="381"/>
      <c r="J834" s="106"/>
      <c r="K834" s="106"/>
      <c r="L834" s="106"/>
    </row>
    <row r="835" spans="1:12">
      <c r="A835" s="106"/>
      <c r="B835" s="106"/>
      <c r="C835" s="107"/>
      <c r="D835" s="106"/>
      <c r="E835" s="106"/>
      <c r="F835" s="107"/>
      <c r="G835" s="106"/>
      <c r="H835" s="106"/>
      <c r="I835" s="381"/>
      <c r="J835" s="106"/>
      <c r="K835" s="106"/>
      <c r="L835" s="106"/>
    </row>
    <row r="836" spans="1:12">
      <c r="A836" s="106"/>
      <c r="B836" s="106"/>
      <c r="C836" s="107"/>
      <c r="D836" s="106"/>
      <c r="E836" s="106"/>
      <c r="F836" s="107"/>
      <c r="G836" s="106"/>
      <c r="H836" s="106"/>
      <c r="I836" s="381"/>
      <c r="J836" s="106"/>
      <c r="K836" s="106"/>
      <c r="L836" s="106"/>
    </row>
    <row r="837" spans="1:12">
      <c r="A837" s="106"/>
      <c r="B837" s="106"/>
      <c r="C837" s="107"/>
      <c r="D837" s="106"/>
      <c r="E837" s="106"/>
      <c r="F837" s="107"/>
      <c r="G837" s="106"/>
      <c r="H837" s="106"/>
      <c r="I837" s="381"/>
      <c r="J837" s="106"/>
      <c r="K837" s="106"/>
      <c r="L837" s="106"/>
    </row>
    <row r="838" spans="1:12">
      <c r="A838" s="106"/>
      <c r="B838" s="106"/>
      <c r="C838" s="107"/>
      <c r="D838" s="106"/>
      <c r="E838" s="106"/>
      <c r="F838" s="107"/>
      <c r="G838" s="106"/>
      <c r="H838" s="106"/>
      <c r="I838" s="381"/>
      <c r="J838" s="106"/>
      <c r="K838" s="106"/>
      <c r="L838" s="106"/>
    </row>
    <row r="839" spans="1:12">
      <c r="A839" s="106"/>
      <c r="B839" s="106"/>
      <c r="C839" s="107"/>
      <c r="D839" s="106"/>
      <c r="E839" s="106"/>
      <c r="F839" s="107"/>
      <c r="G839" s="106"/>
      <c r="H839" s="106"/>
      <c r="I839" s="381"/>
      <c r="J839" s="106"/>
      <c r="K839" s="106"/>
      <c r="L839" s="106"/>
    </row>
    <row r="840" spans="1:12">
      <c r="A840" s="106"/>
      <c r="B840" s="106"/>
      <c r="C840" s="107"/>
      <c r="D840" s="106"/>
      <c r="E840" s="106"/>
      <c r="F840" s="107"/>
      <c r="G840" s="106"/>
      <c r="H840" s="106"/>
      <c r="I840" s="381"/>
      <c r="J840" s="106"/>
      <c r="K840" s="106"/>
      <c r="L840" s="106"/>
    </row>
    <row r="841" spans="1:12">
      <c r="A841" s="106"/>
      <c r="B841" s="106"/>
      <c r="C841" s="107"/>
      <c r="D841" s="106"/>
      <c r="E841" s="106"/>
      <c r="F841" s="107"/>
      <c r="G841" s="106"/>
      <c r="H841" s="106"/>
      <c r="I841" s="381"/>
      <c r="J841" s="106"/>
      <c r="K841" s="106"/>
      <c r="L841" s="106"/>
    </row>
    <row r="842" spans="1:12">
      <c r="A842" s="106"/>
      <c r="B842" s="106"/>
      <c r="C842" s="107"/>
      <c r="D842" s="106"/>
      <c r="E842" s="106"/>
      <c r="F842" s="107"/>
      <c r="G842" s="106"/>
      <c r="H842" s="106"/>
      <c r="I842" s="381"/>
      <c r="J842" s="106"/>
      <c r="K842" s="106"/>
      <c r="L842" s="106"/>
    </row>
    <row r="843" spans="1:12">
      <c r="A843" s="106"/>
      <c r="B843" s="106"/>
      <c r="C843" s="107"/>
      <c r="D843" s="106"/>
      <c r="E843" s="106"/>
      <c r="F843" s="107"/>
      <c r="G843" s="106"/>
      <c r="H843" s="106"/>
      <c r="I843" s="381"/>
      <c r="J843" s="106"/>
      <c r="K843" s="106"/>
      <c r="L843" s="106"/>
    </row>
    <row r="844" spans="1:12">
      <c r="A844" s="106"/>
      <c r="B844" s="106"/>
      <c r="C844" s="107"/>
      <c r="D844" s="106"/>
      <c r="E844" s="106"/>
      <c r="F844" s="107"/>
      <c r="G844" s="106"/>
      <c r="H844" s="106"/>
      <c r="I844" s="381"/>
      <c r="J844" s="106"/>
      <c r="K844" s="106"/>
      <c r="L844" s="106"/>
    </row>
    <row r="845" spans="1:12">
      <c r="A845" s="106"/>
      <c r="B845" s="106"/>
      <c r="C845" s="107"/>
      <c r="D845" s="106"/>
      <c r="E845" s="106"/>
      <c r="F845" s="107"/>
      <c r="G845" s="106"/>
      <c r="H845" s="106"/>
      <c r="I845" s="381"/>
      <c r="J845" s="106"/>
      <c r="K845" s="106"/>
      <c r="L845" s="106"/>
    </row>
    <row r="846" spans="1:12">
      <c r="A846" s="106"/>
      <c r="B846" s="106"/>
      <c r="C846" s="107"/>
      <c r="D846" s="106"/>
      <c r="E846" s="106"/>
      <c r="F846" s="107"/>
      <c r="G846" s="106"/>
      <c r="H846" s="106"/>
      <c r="I846" s="381"/>
      <c r="J846" s="106"/>
      <c r="K846" s="106"/>
      <c r="L846" s="106"/>
    </row>
    <row r="847" spans="1:12">
      <c r="A847" s="106"/>
      <c r="B847" s="106"/>
      <c r="C847" s="107"/>
      <c r="D847" s="106"/>
      <c r="E847" s="106"/>
      <c r="F847" s="107"/>
      <c r="G847" s="106"/>
      <c r="H847" s="106"/>
      <c r="I847" s="381"/>
      <c r="J847" s="106"/>
      <c r="K847" s="106"/>
      <c r="L847" s="106"/>
    </row>
    <row r="848" spans="1:12">
      <c r="A848" s="106"/>
      <c r="B848" s="106"/>
      <c r="C848" s="107"/>
      <c r="D848" s="106"/>
      <c r="E848" s="106"/>
      <c r="F848" s="107"/>
      <c r="G848" s="106"/>
      <c r="H848" s="106"/>
      <c r="I848" s="381"/>
      <c r="J848" s="106"/>
      <c r="K848" s="106"/>
      <c r="L848" s="106"/>
    </row>
    <row r="849" spans="1:12">
      <c r="A849" s="106"/>
      <c r="B849" s="106"/>
      <c r="C849" s="107"/>
      <c r="D849" s="106"/>
      <c r="E849" s="106"/>
      <c r="F849" s="107"/>
      <c r="G849" s="106"/>
      <c r="H849" s="106"/>
      <c r="I849" s="381"/>
      <c r="J849" s="106"/>
      <c r="K849" s="106"/>
      <c r="L849" s="106"/>
    </row>
    <row r="850" spans="1:12">
      <c r="A850" s="106"/>
      <c r="B850" s="106"/>
      <c r="C850" s="107"/>
      <c r="D850" s="106"/>
      <c r="E850" s="106"/>
      <c r="F850" s="107"/>
      <c r="G850" s="106"/>
      <c r="H850" s="106"/>
      <c r="I850" s="381"/>
      <c r="J850" s="106"/>
      <c r="K850" s="106"/>
      <c r="L850" s="106"/>
    </row>
    <row r="851" spans="1:12">
      <c r="A851" s="106"/>
      <c r="B851" s="106"/>
      <c r="C851" s="107"/>
      <c r="D851" s="106"/>
      <c r="E851" s="106"/>
      <c r="F851" s="107"/>
      <c r="G851" s="106"/>
      <c r="H851" s="106"/>
      <c r="I851" s="381"/>
      <c r="J851" s="106"/>
      <c r="K851" s="106"/>
      <c r="L851" s="106"/>
    </row>
    <row r="852" spans="1:12">
      <c r="A852" s="106"/>
      <c r="B852" s="106"/>
      <c r="C852" s="107"/>
      <c r="D852" s="106"/>
      <c r="E852" s="106"/>
      <c r="F852" s="107"/>
      <c r="G852" s="106"/>
      <c r="H852" s="106"/>
      <c r="I852" s="381"/>
      <c r="J852" s="106"/>
      <c r="K852" s="106"/>
      <c r="L852" s="106"/>
    </row>
    <row r="853" spans="1:12">
      <c r="A853" s="106"/>
      <c r="B853" s="106"/>
      <c r="C853" s="107"/>
      <c r="D853" s="106"/>
      <c r="E853" s="106"/>
      <c r="F853" s="107"/>
      <c r="G853" s="106"/>
      <c r="H853" s="106"/>
      <c r="I853" s="381"/>
      <c r="J853" s="106"/>
      <c r="K853" s="106"/>
      <c r="L853" s="106"/>
    </row>
    <row r="854" spans="1:12">
      <c r="A854" s="106"/>
      <c r="B854" s="106"/>
      <c r="C854" s="107"/>
      <c r="D854" s="106"/>
      <c r="E854" s="106"/>
      <c r="F854" s="107"/>
      <c r="G854" s="106"/>
      <c r="H854" s="106"/>
      <c r="I854" s="381"/>
      <c r="J854" s="106"/>
      <c r="K854" s="106"/>
      <c r="L854" s="106"/>
    </row>
    <row r="855" spans="1:12">
      <c r="A855" s="106"/>
      <c r="B855" s="106"/>
      <c r="C855" s="107"/>
      <c r="D855" s="106"/>
      <c r="E855" s="106"/>
      <c r="F855" s="107"/>
      <c r="G855" s="106"/>
      <c r="H855" s="106"/>
      <c r="I855" s="381"/>
      <c r="J855" s="106"/>
      <c r="K855" s="106"/>
      <c r="L855" s="106"/>
    </row>
    <row r="856" spans="1:12">
      <c r="A856" s="106"/>
      <c r="B856" s="106"/>
      <c r="C856" s="107"/>
      <c r="D856" s="106"/>
      <c r="E856" s="106"/>
      <c r="F856" s="107"/>
      <c r="G856" s="106"/>
      <c r="H856" s="106"/>
      <c r="I856" s="381"/>
      <c r="J856" s="106"/>
      <c r="K856" s="106"/>
      <c r="L856" s="106"/>
    </row>
    <row r="857" spans="1:12">
      <c r="A857" s="106"/>
      <c r="B857" s="106"/>
      <c r="C857" s="107"/>
      <c r="D857" s="106"/>
      <c r="E857" s="106"/>
      <c r="F857" s="107"/>
      <c r="G857" s="106"/>
      <c r="H857" s="106"/>
      <c r="I857" s="381"/>
      <c r="J857" s="106"/>
      <c r="K857" s="106"/>
      <c r="L857" s="106"/>
    </row>
    <row r="858" spans="1:12">
      <c r="A858" s="106"/>
      <c r="B858" s="106"/>
      <c r="C858" s="107"/>
      <c r="D858" s="106"/>
      <c r="E858" s="106"/>
      <c r="F858" s="107"/>
      <c r="G858" s="106"/>
      <c r="H858" s="106"/>
      <c r="I858" s="381"/>
      <c r="J858" s="106"/>
      <c r="K858" s="106"/>
      <c r="L858" s="106"/>
    </row>
    <row r="859" spans="1:12">
      <c r="A859" s="106"/>
      <c r="B859" s="106"/>
      <c r="C859" s="107"/>
      <c r="D859" s="106"/>
      <c r="E859" s="106"/>
      <c r="F859" s="107"/>
      <c r="G859" s="106"/>
      <c r="H859" s="106"/>
      <c r="I859" s="381"/>
      <c r="J859" s="106"/>
      <c r="K859" s="106"/>
      <c r="L859" s="106"/>
    </row>
    <row r="860" spans="1:12">
      <c r="A860" s="106"/>
      <c r="B860" s="106"/>
      <c r="C860" s="107"/>
      <c r="D860" s="106"/>
      <c r="E860" s="106"/>
      <c r="F860" s="107"/>
      <c r="G860" s="106"/>
      <c r="H860" s="106"/>
      <c r="I860" s="381"/>
      <c r="J860" s="106"/>
      <c r="K860" s="106"/>
      <c r="L860" s="106"/>
    </row>
    <row r="861" spans="1:12">
      <c r="A861" s="106"/>
      <c r="B861" s="106"/>
      <c r="C861" s="107"/>
      <c r="D861" s="106"/>
      <c r="E861" s="106"/>
      <c r="F861" s="107"/>
      <c r="G861" s="106"/>
      <c r="H861" s="106"/>
      <c r="I861" s="381"/>
      <c r="J861" s="106"/>
      <c r="K861" s="106"/>
      <c r="L861" s="106"/>
    </row>
    <row r="862" spans="1:12">
      <c r="A862" s="106"/>
      <c r="B862" s="106"/>
      <c r="C862" s="107"/>
      <c r="D862" s="106"/>
      <c r="E862" s="106"/>
      <c r="F862" s="107"/>
      <c r="G862" s="106"/>
      <c r="H862" s="106"/>
      <c r="I862" s="381"/>
      <c r="J862" s="106"/>
      <c r="K862" s="106"/>
      <c r="L862" s="106"/>
    </row>
    <row r="863" spans="1:12">
      <c r="A863" s="106"/>
      <c r="B863" s="106"/>
      <c r="C863" s="107"/>
      <c r="D863" s="106"/>
      <c r="E863" s="106"/>
      <c r="F863" s="107"/>
      <c r="G863" s="106"/>
      <c r="H863" s="106"/>
      <c r="I863" s="381"/>
      <c r="J863" s="106"/>
      <c r="K863" s="106"/>
      <c r="L863" s="106"/>
    </row>
    <row r="864" spans="1:12">
      <c r="A864" s="106"/>
      <c r="B864" s="106"/>
      <c r="C864" s="107"/>
      <c r="D864" s="106"/>
      <c r="E864" s="106"/>
      <c r="F864" s="107"/>
      <c r="G864" s="106"/>
      <c r="H864" s="106"/>
      <c r="I864" s="381"/>
      <c r="J864" s="106"/>
      <c r="K864" s="106"/>
      <c r="L864" s="106"/>
    </row>
    <row r="865" spans="1:12">
      <c r="A865" s="106"/>
      <c r="B865" s="106"/>
      <c r="C865" s="107"/>
      <c r="D865" s="106"/>
      <c r="E865" s="106"/>
      <c r="F865" s="107"/>
      <c r="G865" s="106"/>
      <c r="H865" s="106"/>
      <c r="I865" s="381"/>
      <c r="J865" s="106"/>
      <c r="K865" s="106"/>
      <c r="L865" s="106"/>
    </row>
    <row r="866" spans="1:12">
      <c r="A866" s="106"/>
      <c r="B866" s="106"/>
      <c r="C866" s="107"/>
      <c r="D866" s="106"/>
      <c r="E866" s="106"/>
      <c r="F866" s="107"/>
      <c r="G866" s="106"/>
      <c r="H866" s="106"/>
      <c r="I866" s="381"/>
      <c r="J866" s="106"/>
      <c r="K866" s="106"/>
      <c r="L866" s="106"/>
    </row>
    <row r="867" spans="1:12">
      <c r="A867" s="106"/>
      <c r="B867" s="106"/>
      <c r="C867" s="107"/>
      <c r="D867" s="106"/>
      <c r="E867" s="106"/>
      <c r="F867" s="107"/>
      <c r="G867" s="106"/>
      <c r="H867" s="106"/>
      <c r="I867" s="381"/>
      <c r="J867" s="106"/>
      <c r="K867" s="106"/>
      <c r="L867" s="106"/>
    </row>
    <row r="868" spans="1:12">
      <c r="A868" s="106"/>
      <c r="B868" s="106"/>
      <c r="C868" s="107"/>
      <c r="D868" s="106"/>
      <c r="E868" s="106"/>
      <c r="F868" s="107"/>
      <c r="G868" s="106"/>
      <c r="H868" s="106"/>
      <c r="I868" s="381"/>
      <c r="J868" s="106"/>
      <c r="K868" s="106"/>
      <c r="L868" s="106"/>
    </row>
    <row r="869" spans="1:12">
      <c r="A869" s="106"/>
      <c r="B869" s="106"/>
      <c r="C869" s="107"/>
      <c r="D869" s="106"/>
      <c r="E869" s="106"/>
      <c r="F869" s="107"/>
      <c r="G869" s="106"/>
      <c r="H869" s="106"/>
      <c r="I869" s="381"/>
      <c r="J869" s="106"/>
      <c r="K869" s="106"/>
      <c r="L869" s="106"/>
    </row>
    <row r="870" spans="1:12">
      <c r="A870" s="106"/>
      <c r="B870" s="106"/>
      <c r="C870" s="107"/>
      <c r="D870" s="106"/>
      <c r="E870" s="106"/>
      <c r="F870" s="107"/>
      <c r="G870" s="106"/>
      <c r="H870" s="106"/>
      <c r="I870" s="381"/>
      <c r="J870" s="106"/>
      <c r="K870" s="106"/>
      <c r="L870" s="106"/>
    </row>
    <row r="871" spans="1:12">
      <c r="A871" s="106"/>
      <c r="B871" s="106"/>
      <c r="C871" s="107"/>
      <c r="D871" s="106"/>
      <c r="E871" s="106"/>
      <c r="F871" s="107"/>
      <c r="G871" s="106"/>
      <c r="H871" s="106"/>
      <c r="I871" s="381"/>
      <c r="J871" s="106"/>
      <c r="K871" s="106"/>
      <c r="L871" s="106"/>
    </row>
    <row r="872" spans="1:12">
      <c r="A872" s="106"/>
      <c r="B872" s="106"/>
      <c r="C872" s="107"/>
      <c r="D872" s="106"/>
      <c r="E872" s="106"/>
      <c r="F872" s="107"/>
      <c r="G872" s="106"/>
      <c r="H872" s="106"/>
      <c r="I872" s="381"/>
      <c r="J872" s="106"/>
      <c r="K872" s="106"/>
      <c r="L872" s="106"/>
    </row>
    <row r="873" spans="1:12">
      <c r="A873" s="106"/>
      <c r="B873" s="106"/>
      <c r="C873" s="107"/>
      <c r="D873" s="106"/>
      <c r="E873" s="106"/>
      <c r="F873" s="107"/>
      <c r="G873" s="106"/>
      <c r="H873" s="106"/>
      <c r="I873" s="381"/>
      <c r="J873" s="106"/>
      <c r="K873" s="106"/>
      <c r="L873" s="106"/>
    </row>
    <row r="874" spans="1:12">
      <c r="A874" s="106"/>
      <c r="B874" s="106"/>
      <c r="C874" s="107"/>
      <c r="D874" s="106"/>
      <c r="E874" s="106"/>
      <c r="F874" s="107"/>
      <c r="G874" s="106"/>
      <c r="H874" s="106"/>
      <c r="I874" s="381"/>
      <c r="J874" s="106"/>
      <c r="K874" s="106"/>
      <c r="L874" s="106"/>
    </row>
    <row r="875" spans="1:12">
      <c r="A875" s="106"/>
      <c r="B875" s="106"/>
      <c r="C875" s="107"/>
      <c r="D875" s="106"/>
      <c r="E875" s="106"/>
      <c r="F875" s="107"/>
      <c r="G875" s="106"/>
      <c r="H875" s="106"/>
      <c r="I875" s="381"/>
      <c r="J875" s="106"/>
      <c r="K875" s="106"/>
      <c r="L875" s="106"/>
    </row>
    <row r="876" spans="1:12">
      <c r="A876" s="106"/>
      <c r="B876" s="106"/>
      <c r="C876" s="107"/>
      <c r="D876" s="106"/>
      <c r="E876" s="106"/>
      <c r="F876" s="107"/>
      <c r="G876" s="106"/>
      <c r="H876" s="106"/>
      <c r="I876" s="381"/>
      <c r="J876" s="106"/>
      <c r="K876" s="106"/>
      <c r="L876" s="106"/>
    </row>
    <row r="877" spans="1:12">
      <c r="A877" s="106"/>
      <c r="B877" s="106"/>
      <c r="C877" s="107"/>
      <c r="D877" s="106"/>
      <c r="E877" s="106"/>
      <c r="F877" s="107"/>
      <c r="G877" s="106"/>
      <c r="H877" s="106"/>
      <c r="I877" s="381"/>
      <c r="J877" s="106"/>
      <c r="K877" s="106"/>
      <c r="L877" s="106"/>
    </row>
    <row r="878" spans="1:12">
      <c r="A878" s="106"/>
      <c r="B878" s="106"/>
      <c r="C878" s="107"/>
      <c r="D878" s="106"/>
      <c r="E878" s="106"/>
      <c r="F878" s="107"/>
      <c r="G878" s="106"/>
      <c r="H878" s="106"/>
      <c r="I878" s="381"/>
      <c r="J878" s="106"/>
      <c r="K878" s="106"/>
      <c r="L878" s="106"/>
    </row>
    <row r="879" spans="1:12">
      <c r="A879" s="106"/>
      <c r="B879" s="106"/>
      <c r="C879" s="107"/>
      <c r="D879" s="106"/>
      <c r="E879" s="106"/>
      <c r="F879" s="107"/>
      <c r="G879" s="106"/>
      <c r="H879" s="106"/>
      <c r="I879" s="381"/>
      <c r="J879" s="106"/>
      <c r="K879" s="106"/>
      <c r="L879" s="106"/>
    </row>
    <row r="880" spans="1:12">
      <c r="A880" s="106"/>
      <c r="B880" s="106"/>
      <c r="C880" s="107"/>
      <c r="D880" s="106"/>
      <c r="E880" s="106"/>
      <c r="F880" s="107"/>
      <c r="G880" s="106"/>
      <c r="H880" s="106"/>
      <c r="I880" s="381"/>
      <c r="J880" s="106"/>
      <c r="K880" s="106"/>
      <c r="L880" s="106"/>
    </row>
    <row r="881" spans="1:12">
      <c r="A881" s="106"/>
      <c r="B881" s="106"/>
      <c r="C881" s="107"/>
      <c r="D881" s="106"/>
      <c r="E881" s="106"/>
      <c r="F881" s="107"/>
      <c r="G881" s="106"/>
      <c r="H881" s="106"/>
      <c r="I881" s="381"/>
      <c r="J881" s="106"/>
      <c r="K881" s="106"/>
      <c r="L881" s="106"/>
    </row>
    <row r="882" spans="1:12">
      <c r="A882" s="106"/>
      <c r="B882" s="106"/>
      <c r="C882" s="107"/>
      <c r="D882" s="106"/>
      <c r="E882" s="106"/>
      <c r="F882" s="107"/>
      <c r="G882" s="106"/>
      <c r="H882" s="106"/>
      <c r="I882" s="381"/>
      <c r="J882" s="106"/>
      <c r="K882" s="106"/>
      <c r="L882" s="106"/>
    </row>
    <row r="883" spans="1:12">
      <c r="A883" s="106"/>
      <c r="B883" s="106"/>
      <c r="C883" s="107"/>
      <c r="D883" s="106"/>
      <c r="E883" s="106"/>
      <c r="F883" s="107"/>
      <c r="G883" s="106"/>
      <c r="H883" s="106"/>
      <c r="I883" s="381"/>
      <c r="J883" s="106"/>
      <c r="K883" s="106"/>
      <c r="L883" s="106"/>
    </row>
    <row r="884" spans="1:12">
      <c r="A884" s="106"/>
      <c r="B884" s="106"/>
      <c r="C884" s="107"/>
      <c r="D884" s="106"/>
      <c r="E884" s="106"/>
      <c r="F884" s="107"/>
      <c r="G884" s="106"/>
      <c r="H884" s="106"/>
      <c r="I884" s="381"/>
      <c r="J884" s="106"/>
      <c r="K884" s="106"/>
      <c r="L884" s="106"/>
    </row>
    <row r="885" spans="1:12">
      <c r="A885" s="106"/>
      <c r="B885" s="106"/>
      <c r="C885" s="107"/>
      <c r="D885" s="106"/>
      <c r="E885" s="106"/>
      <c r="F885" s="107"/>
      <c r="G885" s="106"/>
      <c r="H885" s="106"/>
      <c r="I885" s="381"/>
      <c r="J885" s="106"/>
      <c r="K885" s="106"/>
      <c r="L885" s="106"/>
    </row>
    <row r="886" spans="1:12">
      <c r="A886" s="106"/>
      <c r="B886" s="106"/>
      <c r="C886" s="107"/>
      <c r="D886" s="106"/>
      <c r="E886" s="106"/>
      <c r="F886" s="107"/>
      <c r="G886" s="106"/>
      <c r="H886" s="106"/>
      <c r="I886" s="381"/>
      <c r="J886" s="106"/>
      <c r="K886" s="106"/>
      <c r="L886" s="106"/>
    </row>
    <row r="887" spans="1:12">
      <c r="A887" s="106"/>
      <c r="B887" s="106"/>
      <c r="C887" s="107"/>
      <c r="D887" s="106"/>
      <c r="E887" s="106"/>
      <c r="F887" s="107"/>
      <c r="G887" s="106"/>
      <c r="H887" s="106"/>
      <c r="I887" s="381"/>
      <c r="J887" s="106"/>
      <c r="K887" s="106"/>
      <c r="L887" s="106"/>
    </row>
    <row r="888" spans="1:12">
      <c r="A888" s="106"/>
      <c r="B888" s="106"/>
      <c r="C888" s="107"/>
      <c r="D888" s="106"/>
      <c r="E888" s="106"/>
      <c r="F888" s="107"/>
      <c r="G888" s="106"/>
      <c r="H888" s="106"/>
      <c r="I888" s="381"/>
      <c r="J888" s="106"/>
      <c r="K888" s="106"/>
      <c r="L888" s="106"/>
    </row>
    <row r="889" spans="1:12">
      <c r="A889" s="106"/>
      <c r="B889" s="106"/>
      <c r="C889" s="107"/>
      <c r="D889" s="106"/>
      <c r="E889" s="106"/>
      <c r="F889" s="107"/>
      <c r="G889" s="106"/>
      <c r="H889" s="106"/>
      <c r="I889" s="381"/>
      <c r="J889" s="106"/>
      <c r="K889" s="106"/>
      <c r="L889" s="106"/>
    </row>
    <row r="890" spans="1:12">
      <c r="A890" s="106"/>
      <c r="B890" s="106"/>
      <c r="C890" s="107"/>
      <c r="D890" s="106"/>
      <c r="E890" s="106"/>
      <c r="F890" s="107"/>
      <c r="G890" s="106"/>
      <c r="H890" s="106"/>
      <c r="I890" s="381"/>
      <c r="J890" s="106"/>
      <c r="K890" s="106"/>
      <c r="L890" s="106"/>
    </row>
    <row r="891" spans="1:12">
      <c r="A891" s="106"/>
      <c r="B891" s="106"/>
      <c r="C891" s="107"/>
      <c r="D891" s="106"/>
      <c r="E891" s="106"/>
      <c r="F891" s="107"/>
      <c r="G891" s="106"/>
      <c r="H891" s="106"/>
      <c r="I891" s="381"/>
      <c r="J891" s="106"/>
      <c r="K891" s="106"/>
      <c r="L891" s="106"/>
    </row>
    <row r="892" spans="1:12">
      <c r="A892" s="106"/>
      <c r="B892" s="106"/>
      <c r="C892" s="107"/>
      <c r="D892" s="106"/>
      <c r="E892" s="106"/>
      <c r="F892" s="107"/>
      <c r="G892" s="106"/>
      <c r="H892" s="106"/>
      <c r="I892" s="381"/>
      <c r="J892" s="106"/>
      <c r="K892" s="106"/>
      <c r="L892" s="106"/>
    </row>
    <row r="893" spans="1:12">
      <c r="A893" s="106"/>
      <c r="B893" s="106"/>
      <c r="C893" s="107"/>
      <c r="D893" s="106"/>
      <c r="E893" s="106"/>
      <c r="F893" s="107"/>
      <c r="G893" s="106"/>
      <c r="H893" s="106"/>
      <c r="I893" s="381"/>
      <c r="J893" s="106"/>
      <c r="K893" s="106"/>
      <c r="L893" s="106"/>
    </row>
    <row r="894" spans="1:12">
      <c r="A894" s="106"/>
      <c r="B894" s="106"/>
      <c r="C894" s="107"/>
      <c r="D894" s="106"/>
      <c r="E894" s="106"/>
      <c r="F894" s="107"/>
      <c r="G894" s="106"/>
      <c r="H894" s="106"/>
      <c r="I894" s="381"/>
      <c r="J894" s="106"/>
      <c r="K894" s="106"/>
      <c r="L894" s="106"/>
    </row>
    <row r="895" spans="1:12">
      <c r="A895" s="106"/>
      <c r="B895" s="106"/>
      <c r="C895" s="107"/>
      <c r="D895" s="106"/>
      <c r="E895" s="106"/>
      <c r="F895" s="107"/>
      <c r="G895" s="106"/>
      <c r="H895" s="106"/>
      <c r="I895" s="381"/>
      <c r="J895" s="106"/>
      <c r="K895" s="106"/>
      <c r="L895" s="106"/>
    </row>
    <row r="896" spans="1:12">
      <c r="A896" s="106"/>
      <c r="B896" s="106"/>
      <c r="C896" s="107"/>
      <c r="D896" s="106"/>
      <c r="E896" s="106"/>
      <c r="F896" s="107"/>
      <c r="G896" s="106"/>
      <c r="H896" s="106"/>
      <c r="I896" s="381"/>
      <c r="J896" s="106"/>
      <c r="K896" s="106"/>
      <c r="L896" s="106"/>
    </row>
    <row r="897" spans="1:12">
      <c r="A897" s="106"/>
      <c r="B897" s="106"/>
      <c r="C897" s="107"/>
      <c r="D897" s="106"/>
      <c r="E897" s="106"/>
      <c r="F897" s="107"/>
      <c r="G897" s="106"/>
      <c r="H897" s="106"/>
      <c r="I897" s="381"/>
      <c r="J897" s="106"/>
      <c r="K897" s="106"/>
      <c r="L897" s="106"/>
    </row>
    <row r="898" spans="1:12">
      <c r="A898" s="106"/>
      <c r="B898" s="106"/>
      <c r="C898" s="107"/>
      <c r="D898" s="106"/>
      <c r="E898" s="106"/>
      <c r="F898" s="107"/>
      <c r="G898" s="106"/>
      <c r="H898" s="106"/>
      <c r="I898" s="381"/>
      <c r="J898" s="106"/>
      <c r="K898" s="106"/>
      <c r="L898" s="106"/>
    </row>
    <row r="899" spans="1:12">
      <c r="A899" s="106"/>
      <c r="B899" s="106"/>
      <c r="C899" s="107"/>
      <c r="D899" s="106"/>
      <c r="E899" s="106"/>
      <c r="F899" s="107"/>
      <c r="G899" s="106"/>
      <c r="H899" s="106"/>
      <c r="I899" s="381"/>
      <c r="J899" s="106"/>
      <c r="K899" s="106"/>
      <c r="L899" s="106"/>
    </row>
    <row r="900" spans="1:12">
      <c r="A900" s="106"/>
      <c r="B900" s="106"/>
      <c r="C900" s="107"/>
      <c r="D900" s="106"/>
      <c r="E900" s="106"/>
      <c r="F900" s="107"/>
      <c r="G900" s="106"/>
      <c r="H900" s="106"/>
      <c r="I900" s="381"/>
      <c r="J900" s="106"/>
      <c r="K900" s="106"/>
      <c r="L900" s="106"/>
    </row>
    <row r="901" spans="1:12">
      <c r="A901" s="106"/>
      <c r="B901" s="106"/>
      <c r="C901" s="107"/>
      <c r="D901" s="106"/>
      <c r="E901" s="106"/>
      <c r="F901" s="107"/>
      <c r="G901" s="106"/>
      <c r="H901" s="106"/>
      <c r="I901" s="381"/>
      <c r="J901" s="106"/>
      <c r="K901" s="106"/>
      <c r="L901" s="106"/>
    </row>
    <row r="902" spans="1:12">
      <c r="A902" s="106"/>
      <c r="B902" s="106"/>
      <c r="C902" s="107"/>
      <c r="D902" s="106"/>
      <c r="E902" s="106"/>
      <c r="F902" s="107"/>
      <c r="G902" s="106"/>
      <c r="H902" s="106"/>
      <c r="I902" s="381"/>
      <c r="J902" s="106"/>
      <c r="K902" s="106"/>
      <c r="L902" s="106"/>
    </row>
    <row r="903" spans="1:12">
      <c r="A903" s="106"/>
      <c r="B903" s="106"/>
      <c r="C903" s="107"/>
      <c r="D903" s="106"/>
      <c r="E903" s="106"/>
      <c r="F903" s="107"/>
      <c r="G903" s="106"/>
      <c r="H903" s="106"/>
      <c r="I903" s="381"/>
      <c r="J903" s="106"/>
      <c r="K903" s="106"/>
      <c r="L903" s="106"/>
    </row>
    <row r="904" spans="1:12">
      <c r="A904" s="106"/>
      <c r="B904" s="106"/>
      <c r="C904" s="107"/>
      <c r="D904" s="106"/>
      <c r="E904" s="106"/>
      <c r="F904" s="107"/>
      <c r="G904" s="106"/>
      <c r="H904" s="106"/>
      <c r="I904" s="381"/>
      <c r="J904" s="106"/>
      <c r="K904" s="106"/>
      <c r="L904" s="106"/>
    </row>
    <row r="905" spans="1:12">
      <c r="A905" s="106"/>
      <c r="B905" s="106"/>
      <c r="C905" s="107"/>
      <c r="D905" s="106"/>
      <c r="E905" s="106"/>
      <c r="F905" s="107"/>
      <c r="G905" s="106"/>
      <c r="H905" s="106"/>
      <c r="I905" s="381"/>
      <c r="J905" s="106"/>
      <c r="K905" s="106"/>
      <c r="L905" s="106"/>
    </row>
    <row r="906" spans="1:12">
      <c r="A906" s="106"/>
      <c r="B906" s="106"/>
      <c r="C906" s="107"/>
      <c r="D906" s="106"/>
      <c r="E906" s="106"/>
      <c r="F906" s="107"/>
      <c r="G906" s="106"/>
      <c r="H906" s="106"/>
      <c r="I906" s="381"/>
      <c r="J906" s="106"/>
      <c r="K906" s="106"/>
      <c r="L906" s="106"/>
    </row>
    <row r="907" spans="1:12">
      <c r="A907" s="106"/>
      <c r="B907" s="106"/>
      <c r="C907" s="107"/>
      <c r="D907" s="106"/>
      <c r="E907" s="106"/>
      <c r="F907" s="107"/>
      <c r="G907" s="106"/>
      <c r="H907" s="106"/>
      <c r="I907" s="381"/>
      <c r="J907" s="106"/>
      <c r="K907" s="106"/>
      <c r="L907" s="106"/>
    </row>
    <row r="908" spans="1:12">
      <c r="A908" s="106"/>
      <c r="B908" s="106"/>
      <c r="C908" s="107"/>
      <c r="D908" s="106"/>
      <c r="E908" s="106"/>
      <c r="F908" s="107"/>
      <c r="G908" s="106"/>
      <c r="H908" s="106"/>
      <c r="I908" s="381"/>
      <c r="J908" s="106"/>
      <c r="K908" s="106"/>
      <c r="L908" s="106"/>
    </row>
    <row r="909" spans="1:12">
      <c r="A909" s="106"/>
      <c r="B909" s="106"/>
      <c r="C909" s="107"/>
      <c r="D909" s="106"/>
      <c r="E909" s="106"/>
      <c r="F909" s="107"/>
      <c r="G909" s="106"/>
      <c r="H909" s="106"/>
      <c r="I909" s="381"/>
      <c r="J909" s="106"/>
      <c r="K909" s="106"/>
      <c r="L909" s="106"/>
    </row>
    <row r="910" spans="1:12">
      <c r="A910" s="106"/>
      <c r="B910" s="106"/>
      <c r="C910" s="107"/>
      <c r="D910" s="106"/>
      <c r="E910" s="106"/>
      <c r="F910" s="107"/>
      <c r="G910" s="106"/>
      <c r="H910" s="106"/>
      <c r="I910" s="381"/>
      <c r="J910" s="106"/>
      <c r="K910" s="106"/>
      <c r="L910" s="106"/>
    </row>
    <row r="911" spans="1:12">
      <c r="A911" s="106"/>
      <c r="B911" s="106"/>
      <c r="C911" s="107"/>
      <c r="D911" s="106"/>
      <c r="E911" s="106"/>
      <c r="F911" s="107"/>
      <c r="G911" s="106"/>
      <c r="H911" s="106"/>
      <c r="I911" s="381"/>
      <c r="J911" s="106"/>
      <c r="K911" s="106"/>
      <c r="L911" s="106"/>
    </row>
    <row r="912" spans="1:12">
      <c r="A912" s="106"/>
      <c r="B912" s="106"/>
      <c r="C912" s="107"/>
      <c r="D912" s="106"/>
      <c r="E912" s="106"/>
      <c r="F912" s="107"/>
      <c r="G912" s="106"/>
      <c r="H912" s="106"/>
      <c r="I912" s="381"/>
      <c r="J912" s="106"/>
      <c r="K912" s="106"/>
      <c r="L912" s="106"/>
    </row>
    <row r="913" spans="1:12">
      <c r="A913" s="106"/>
      <c r="B913" s="106"/>
      <c r="C913" s="107"/>
      <c r="D913" s="106"/>
      <c r="E913" s="106"/>
      <c r="F913" s="107"/>
      <c r="G913" s="106"/>
      <c r="H913" s="106"/>
      <c r="I913" s="381"/>
      <c r="J913" s="106"/>
      <c r="K913" s="106"/>
      <c r="L913" s="106"/>
    </row>
    <row r="914" spans="1:12">
      <c r="A914" s="106"/>
      <c r="B914" s="106"/>
      <c r="C914" s="107"/>
      <c r="D914" s="106"/>
      <c r="E914" s="106"/>
      <c r="F914" s="107"/>
      <c r="G914" s="106"/>
      <c r="H914" s="106"/>
      <c r="I914" s="381"/>
      <c r="J914" s="106"/>
      <c r="K914" s="106"/>
      <c r="L914" s="106"/>
    </row>
    <row r="915" spans="1:12">
      <c r="A915" s="106"/>
      <c r="B915" s="106"/>
      <c r="C915" s="107"/>
      <c r="D915" s="106"/>
      <c r="E915" s="106"/>
      <c r="F915" s="107"/>
      <c r="G915" s="106"/>
      <c r="H915" s="106"/>
      <c r="I915" s="381"/>
      <c r="J915" s="106"/>
      <c r="K915" s="106"/>
      <c r="L915" s="106"/>
    </row>
    <row r="916" spans="1:12">
      <c r="A916" s="106"/>
      <c r="B916" s="106"/>
      <c r="C916" s="107"/>
      <c r="D916" s="106"/>
      <c r="E916" s="106"/>
      <c r="F916" s="107"/>
      <c r="G916" s="106"/>
      <c r="H916" s="106"/>
      <c r="I916" s="381"/>
      <c r="J916" s="106"/>
      <c r="K916" s="106"/>
      <c r="L916" s="106"/>
    </row>
    <row r="917" spans="1:12">
      <c r="A917" s="106"/>
      <c r="B917" s="106"/>
      <c r="C917" s="107"/>
      <c r="D917" s="106"/>
      <c r="E917" s="106"/>
      <c r="F917" s="107"/>
      <c r="G917" s="106"/>
      <c r="H917" s="106"/>
      <c r="I917" s="381"/>
      <c r="J917" s="106"/>
      <c r="K917" s="106"/>
      <c r="L917" s="106"/>
    </row>
    <row r="918" spans="1:12">
      <c r="A918" s="106"/>
      <c r="B918" s="106"/>
      <c r="C918" s="107"/>
      <c r="D918" s="106"/>
      <c r="E918" s="106"/>
      <c r="F918" s="107"/>
      <c r="G918" s="106"/>
      <c r="H918" s="106"/>
      <c r="I918" s="381"/>
      <c r="J918" s="106"/>
      <c r="K918" s="106"/>
      <c r="L918" s="106"/>
    </row>
    <row r="919" spans="1:12">
      <c r="A919" s="106"/>
      <c r="B919" s="106"/>
      <c r="C919" s="107"/>
      <c r="D919" s="106"/>
      <c r="E919" s="106"/>
      <c r="F919" s="107"/>
      <c r="G919" s="106"/>
      <c r="H919" s="106"/>
      <c r="I919" s="381"/>
      <c r="J919" s="106"/>
      <c r="K919" s="106"/>
      <c r="L919" s="106"/>
    </row>
    <row r="920" spans="1:12">
      <c r="A920" s="106"/>
      <c r="B920" s="106"/>
      <c r="C920" s="107"/>
      <c r="D920" s="106"/>
      <c r="E920" s="106"/>
      <c r="F920" s="107"/>
      <c r="G920" s="106"/>
      <c r="H920" s="106"/>
      <c r="I920" s="381"/>
      <c r="J920" s="106"/>
      <c r="K920" s="106"/>
      <c r="L920" s="106"/>
    </row>
    <row r="921" spans="1:12">
      <c r="A921" s="106"/>
      <c r="B921" s="106"/>
      <c r="C921" s="107"/>
      <c r="D921" s="106"/>
      <c r="E921" s="106"/>
      <c r="F921" s="107"/>
      <c r="G921" s="106"/>
      <c r="H921" s="106"/>
      <c r="I921" s="381"/>
      <c r="J921" s="106"/>
      <c r="K921" s="106"/>
      <c r="L921" s="106"/>
    </row>
    <row r="922" spans="1:12">
      <c r="A922" s="106"/>
      <c r="B922" s="106"/>
      <c r="C922" s="107"/>
      <c r="D922" s="106"/>
      <c r="E922" s="106"/>
      <c r="F922" s="107"/>
      <c r="G922" s="106"/>
      <c r="H922" s="106"/>
      <c r="I922" s="381"/>
      <c r="J922" s="106"/>
      <c r="K922" s="106"/>
      <c r="L922" s="106"/>
    </row>
    <row r="923" spans="1:12">
      <c r="A923" s="106"/>
      <c r="B923" s="106"/>
      <c r="C923" s="107"/>
      <c r="D923" s="106"/>
      <c r="E923" s="106"/>
      <c r="F923" s="107"/>
      <c r="G923" s="106"/>
      <c r="H923" s="106"/>
      <c r="I923" s="381"/>
      <c r="J923" s="106"/>
      <c r="K923" s="106"/>
      <c r="L923" s="106"/>
    </row>
    <row r="924" spans="1:12">
      <c r="A924" s="106"/>
      <c r="B924" s="106"/>
      <c r="C924" s="107"/>
      <c r="D924" s="106"/>
      <c r="E924" s="106"/>
      <c r="F924" s="107"/>
      <c r="G924" s="106"/>
      <c r="H924" s="106"/>
      <c r="I924" s="381"/>
      <c r="J924" s="106"/>
      <c r="K924" s="106"/>
      <c r="L924" s="106"/>
    </row>
    <row r="925" spans="1:12">
      <c r="A925" s="106"/>
      <c r="B925" s="106"/>
      <c r="C925" s="107"/>
      <c r="D925" s="106"/>
      <c r="E925" s="106"/>
      <c r="F925" s="107"/>
      <c r="G925" s="106"/>
      <c r="H925" s="106"/>
      <c r="I925" s="381"/>
      <c r="J925" s="106"/>
      <c r="K925" s="106"/>
      <c r="L925" s="106"/>
    </row>
    <row r="926" spans="1:12">
      <c r="A926" s="106"/>
      <c r="B926" s="106"/>
      <c r="C926" s="107"/>
      <c r="D926" s="106"/>
      <c r="E926" s="106"/>
      <c r="F926" s="107"/>
      <c r="G926" s="106"/>
      <c r="H926" s="106"/>
      <c r="I926" s="381"/>
      <c r="J926" s="106"/>
      <c r="K926" s="106"/>
      <c r="L926" s="106"/>
    </row>
    <row r="927" spans="1:12">
      <c r="A927" s="106"/>
      <c r="B927" s="106"/>
      <c r="C927" s="107"/>
      <c r="D927" s="106"/>
      <c r="E927" s="106"/>
      <c r="F927" s="107"/>
      <c r="G927" s="106"/>
      <c r="H927" s="106"/>
      <c r="I927" s="381"/>
      <c r="J927" s="106"/>
      <c r="K927" s="106"/>
      <c r="L927" s="106"/>
    </row>
    <row r="928" spans="1:12">
      <c r="A928" s="106"/>
      <c r="B928" s="106"/>
      <c r="C928" s="107"/>
      <c r="D928" s="106"/>
      <c r="E928" s="106"/>
      <c r="F928" s="107"/>
      <c r="G928" s="106"/>
      <c r="H928" s="106"/>
      <c r="I928" s="381"/>
      <c r="J928" s="106"/>
      <c r="K928" s="106"/>
      <c r="L928" s="106"/>
    </row>
    <row r="929" spans="1:12">
      <c r="A929" s="106"/>
      <c r="B929" s="106"/>
      <c r="C929" s="107"/>
      <c r="D929" s="106"/>
      <c r="E929" s="106"/>
      <c r="F929" s="107"/>
      <c r="G929" s="106"/>
      <c r="H929" s="106"/>
      <c r="I929" s="381"/>
      <c r="J929" s="106"/>
      <c r="K929" s="106"/>
      <c r="L929" s="106"/>
    </row>
    <row r="930" spans="1:12">
      <c r="A930" s="106"/>
      <c r="B930" s="106"/>
      <c r="C930" s="107"/>
      <c r="D930" s="106"/>
      <c r="E930" s="106"/>
      <c r="F930" s="107"/>
      <c r="G930" s="106"/>
      <c r="H930" s="106"/>
      <c r="I930" s="381"/>
      <c r="J930" s="106"/>
      <c r="K930" s="106"/>
      <c r="L930" s="106"/>
    </row>
    <row r="931" spans="1:12">
      <c r="A931" s="106"/>
      <c r="B931" s="106"/>
      <c r="C931" s="107"/>
      <c r="D931" s="106"/>
      <c r="E931" s="106"/>
      <c r="F931" s="107"/>
      <c r="G931" s="106"/>
      <c r="H931" s="106"/>
      <c r="I931" s="381"/>
      <c r="J931" s="106"/>
      <c r="K931" s="106"/>
      <c r="L931" s="106"/>
    </row>
    <row r="932" spans="1:12">
      <c r="A932" s="106"/>
      <c r="B932" s="106"/>
      <c r="C932" s="107"/>
      <c r="D932" s="106"/>
      <c r="E932" s="106"/>
      <c r="F932" s="107"/>
      <c r="G932" s="106"/>
      <c r="H932" s="106"/>
      <c r="I932" s="381"/>
      <c r="J932" s="106"/>
      <c r="K932" s="106"/>
      <c r="L932" s="106"/>
    </row>
    <row r="933" spans="1:12">
      <c r="A933" s="106"/>
      <c r="B933" s="106"/>
      <c r="C933" s="107"/>
      <c r="D933" s="106"/>
      <c r="E933" s="106"/>
      <c r="F933" s="107"/>
      <c r="G933" s="106"/>
      <c r="H933" s="106"/>
      <c r="I933" s="381"/>
      <c r="J933" s="106"/>
      <c r="K933" s="106"/>
      <c r="L933" s="106"/>
    </row>
    <row r="934" spans="1:12">
      <c r="A934" s="106"/>
      <c r="B934" s="106"/>
      <c r="C934" s="107"/>
      <c r="D934" s="106"/>
      <c r="E934" s="106"/>
      <c r="F934" s="107"/>
      <c r="G934" s="106"/>
      <c r="H934" s="106"/>
      <c r="I934" s="381"/>
      <c r="J934" s="106"/>
      <c r="K934" s="106"/>
      <c r="L934" s="106"/>
    </row>
    <row r="935" spans="1:12">
      <c r="A935" s="106"/>
      <c r="B935" s="106"/>
      <c r="C935" s="107"/>
      <c r="D935" s="106"/>
      <c r="E935" s="106"/>
      <c r="F935" s="107"/>
      <c r="G935" s="106"/>
      <c r="H935" s="106"/>
      <c r="I935" s="381"/>
      <c r="J935" s="106"/>
      <c r="K935" s="106"/>
      <c r="L935" s="106"/>
    </row>
    <row r="936" spans="1:12">
      <c r="A936" s="106"/>
      <c r="B936" s="106"/>
      <c r="C936" s="107"/>
      <c r="D936" s="106"/>
      <c r="E936" s="106"/>
      <c r="F936" s="107"/>
      <c r="G936" s="106"/>
      <c r="H936" s="106"/>
      <c r="I936" s="381"/>
      <c r="J936" s="106"/>
      <c r="K936" s="106"/>
      <c r="L936" s="106"/>
    </row>
    <row r="937" spans="1:12">
      <c r="A937" s="106"/>
      <c r="B937" s="106"/>
      <c r="C937" s="107"/>
      <c r="D937" s="106"/>
      <c r="E937" s="106"/>
      <c r="F937" s="107"/>
      <c r="G937" s="106"/>
      <c r="H937" s="106"/>
      <c r="I937" s="381"/>
      <c r="J937" s="106"/>
      <c r="K937" s="106"/>
      <c r="L937" s="106"/>
    </row>
    <row r="938" spans="1:12">
      <c r="A938" s="106"/>
      <c r="B938" s="106"/>
      <c r="C938" s="107"/>
      <c r="D938" s="106"/>
      <c r="E938" s="106"/>
      <c r="F938" s="107"/>
      <c r="G938" s="106"/>
      <c r="H938" s="106"/>
      <c r="I938" s="381"/>
      <c r="J938" s="106"/>
      <c r="K938" s="106"/>
      <c r="L938" s="106"/>
    </row>
    <row r="939" spans="1:12">
      <c r="A939" s="106"/>
      <c r="B939" s="106"/>
      <c r="C939" s="107"/>
      <c r="D939" s="106"/>
      <c r="E939" s="106"/>
      <c r="F939" s="107"/>
      <c r="G939" s="106"/>
      <c r="H939" s="106"/>
      <c r="I939" s="381"/>
      <c r="J939" s="106"/>
      <c r="K939" s="106"/>
      <c r="L939" s="106"/>
    </row>
    <row r="940" spans="1:12">
      <c r="A940" s="106"/>
      <c r="B940" s="106"/>
      <c r="C940" s="107"/>
      <c r="D940" s="106"/>
      <c r="E940" s="106"/>
      <c r="F940" s="107"/>
      <c r="G940" s="106"/>
      <c r="H940" s="106"/>
      <c r="I940" s="381"/>
      <c r="J940" s="106"/>
      <c r="K940" s="106"/>
      <c r="L940" s="106"/>
    </row>
    <row r="941" spans="1:12">
      <c r="A941" s="106"/>
      <c r="B941" s="106"/>
      <c r="C941" s="107"/>
      <c r="D941" s="106"/>
      <c r="E941" s="106"/>
      <c r="F941" s="107"/>
      <c r="G941" s="106"/>
      <c r="H941" s="106"/>
      <c r="I941" s="381"/>
      <c r="J941" s="106"/>
      <c r="K941" s="106"/>
      <c r="L941" s="106"/>
    </row>
    <row r="942" spans="1:12">
      <c r="A942" s="106"/>
      <c r="B942" s="106"/>
      <c r="C942" s="107"/>
      <c r="D942" s="106"/>
      <c r="E942" s="106"/>
      <c r="F942" s="107"/>
      <c r="G942" s="106"/>
      <c r="H942" s="106"/>
      <c r="I942" s="381"/>
      <c r="J942" s="106"/>
      <c r="K942" s="106"/>
      <c r="L942" s="106"/>
    </row>
    <row r="943" spans="1:12">
      <c r="A943" s="106"/>
      <c r="B943" s="106"/>
      <c r="C943" s="107"/>
      <c r="D943" s="106"/>
      <c r="E943" s="106"/>
      <c r="F943" s="107"/>
      <c r="G943" s="106"/>
      <c r="H943" s="106"/>
      <c r="I943" s="381"/>
      <c r="J943" s="106"/>
      <c r="K943" s="106"/>
      <c r="L943" s="106"/>
    </row>
    <row r="944" spans="1:12">
      <c r="A944" s="106"/>
      <c r="B944" s="106"/>
      <c r="C944" s="107"/>
      <c r="D944" s="106"/>
      <c r="E944" s="106"/>
      <c r="F944" s="107"/>
      <c r="G944" s="106"/>
      <c r="H944" s="106"/>
      <c r="I944" s="381"/>
      <c r="J944" s="106"/>
      <c r="K944" s="106"/>
      <c r="L944" s="106"/>
    </row>
    <row r="945" spans="1:12">
      <c r="A945" s="106"/>
      <c r="B945" s="106"/>
      <c r="C945" s="107"/>
      <c r="D945" s="106"/>
      <c r="E945" s="106"/>
      <c r="F945" s="107"/>
      <c r="G945" s="106"/>
      <c r="H945" s="106"/>
      <c r="I945" s="381"/>
      <c r="J945" s="106"/>
      <c r="K945" s="106"/>
      <c r="L945" s="106"/>
    </row>
    <row r="946" spans="1:12">
      <c r="A946" s="106"/>
      <c r="B946" s="106"/>
      <c r="C946" s="107"/>
      <c r="D946" s="106"/>
      <c r="E946" s="106"/>
      <c r="F946" s="107"/>
      <c r="G946" s="106"/>
      <c r="H946" s="106"/>
      <c r="I946" s="381"/>
      <c r="J946" s="106"/>
      <c r="K946" s="106"/>
      <c r="L946" s="106"/>
    </row>
    <row r="947" spans="1:12">
      <c r="A947" s="106"/>
      <c r="B947" s="106"/>
      <c r="C947" s="107"/>
      <c r="D947" s="106"/>
      <c r="E947" s="106"/>
      <c r="F947" s="107"/>
      <c r="G947" s="106"/>
      <c r="H947" s="106"/>
      <c r="I947" s="381"/>
      <c r="J947" s="106"/>
      <c r="K947" s="106"/>
      <c r="L947" s="106"/>
    </row>
    <row r="948" spans="1:12">
      <c r="A948" s="106"/>
      <c r="B948" s="106"/>
      <c r="C948" s="107"/>
      <c r="D948" s="106"/>
      <c r="E948" s="106"/>
      <c r="F948" s="107"/>
      <c r="G948" s="106"/>
      <c r="H948" s="106"/>
      <c r="I948" s="381"/>
      <c r="J948" s="106"/>
      <c r="K948" s="106"/>
      <c r="L948" s="106"/>
    </row>
    <row r="949" spans="1:12">
      <c r="A949" s="106"/>
      <c r="B949" s="106"/>
      <c r="C949" s="107"/>
      <c r="D949" s="106"/>
      <c r="E949" s="106"/>
      <c r="F949" s="107"/>
      <c r="G949" s="106"/>
      <c r="H949" s="106"/>
      <c r="I949" s="381"/>
      <c r="J949" s="106"/>
      <c r="K949" s="106"/>
      <c r="L949" s="106"/>
    </row>
    <row r="950" spans="1:12">
      <c r="A950" s="106"/>
      <c r="B950" s="106"/>
      <c r="C950" s="107"/>
      <c r="D950" s="106"/>
      <c r="E950" s="106"/>
      <c r="F950" s="107"/>
      <c r="G950" s="106"/>
      <c r="H950" s="106"/>
      <c r="I950" s="381"/>
      <c r="J950" s="106"/>
      <c r="K950" s="106"/>
      <c r="L950" s="106"/>
    </row>
    <row r="951" spans="1:12">
      <c r="A951" s="106"/>
      <c r="B951" s="106"/>
      <c r="C951" s="107"/>
      <c r="D951" s="106"/>
      <c r="E951" s="106"/>
      <c r="F951" s="107"/>
      <c r="G951" s="106"/>
      <c r="H951" s="106"/>
      <c r="I951" s="381"/>
      <c r="J951" s="106"/>
      <c r="K951" s="106"/>
      <c r="L951" s="106"/>
    </row>
    <row r="952" spans="1:12">
      <c r="A952" s="106"/>
      <c r="B952" s="106"/>
      <c r="C952" s="107"/>
      <c r="D952" s="106"/>
      <c r="E952" s="106"/>
      <c r="F952" s="107"/>
      <c r="G952" s="106"/>
      <c r="H952" s="106"/>
      <c r="I952" s="381"/>
      <c r="J952" s="106"/>
      <c r="K952" s="106"/>
      <c r="L952" s="106"/>
    </row>
    <row r="953" spans="1:12">
      <c r="A953" s="106"/>
      <c r="B953" s="106"/>
      <c r="C953" s="107"/>
      <c r="D953" s="106"/>
      <c r="E953" s="106"/>
      <c r="F953" s="107"/>
      <c r="G953" s="106"/>
      <c r="H953" s="106"/>
      <c r="I953" s="381"/>
      <c r="J953" s="106"/>
      <c r="K953" s="106"/>
      <c r="L953" s="106"/>
    </row>
    <row r="954" spans="1:12">
      <c r="A954" s="106"/>
      <c r="B954" s="106"/>
      <c r="C954" s="107"/>
      <c r="D954" s="106"/>
      <c r="E954" s="106"/>
      <c r="F954" s="107"/>
      <c r="G954" s="106"/>
      <c r="H954" s="106"/>
      <c r="I954" s="381"/>
      <c r="J954" s="106"/>
      <c r="K954" s="106"/>
      <c r="L954" s="106"/>
    </row>
    <row r="955" spans="1:12">
      <c r="A955" s="106"/>
      <c r="B955" s="106"/>
      <c r="C955" s="107"/>
      <c r="D955" s="106"/>
      <c r="E955" s="106"/>
      <c r="F955" s="107"/>
      <c r="G955" s="106"/>
      <c r="H955" s="106"/>
      <c r="I955" s="381"/>
      <c r="J955" s="106"/>
      <c r="K955" s="106"/>
      <c r="L955" s="106"/>
    </row>
    <row r="956" spans="1:12">
      <c r="A956" s="106"/>
      <c r="B956" s="106"/>
      <c r="C956" s="107"/>
      <c r="D956" s="106"/>
      <c r="E956" s="106"/>
      <c r="F956" s="107"/>
      <c r="G956" s="106"/>
      <c r="H956" s="106"/>
      <c r="I956" s="381"/>
      <c r="J956" s="106"/>
      <c r="K956" s="106"/>
      <c r="L956" s="106"/>
    </row>
    <row r="957" spans="1:12">
      <c r="A957" s="106"/>
      <c r="B957" s="106"/>
      <c r="C957" s="107"/>
      <c r="D957" s="106"/>
      <c r="E957" s="106"/>
      <c r="F957" s="107"/>
      <c r="G957" s="106"/>
      <c r="H957" s="106"/>
      <c r="I957" s="381"/>
      <c r="J957" s="106"/>
      <c r="K957" s="106"/>
      <c r="L957" s="106"/>
    </row>
    <row r="958" spans="1:12">
      <c r="A958" s="106"/>
      <c r="B958" s="106"/>
      <c r="C958" s="107"/>
      <c r="D958" s="106"/>
      <c r="E958" s="106"/>
      <c r="F958" s="107"/>
      <c r="G958" s="106"/>
      <c r="H958" s="106"/>
      <c r="I958" s="381"/>
      <c r="J958" s="106"/>
      <c r="K958" s="106"/>
      <c r="L958" s="106"/>
    </row>
    <row r="959" spans="1:12">
      <c r="A959" s="106"/>
      <c r="B959" s="106"/>
      <c r="C959" s="107"/>
      <c r="D959" s="106"/>
      <c r="E959" s="106"/>
      <c r="F959" s="107"/>
      <c r="G959" s="106"/>
      <c r="H959" s="106"/>
      <c r="I959" s="381"/>
      <c r="J959" s="106"/>
      <c r="K959" s="106"/>
      <c r="L959" s="106"/>
    </row>
    <row r="960" spans="1:12">
      <c r="A960" s="106"/>
      <c r="B960" s="106"/>
      <c r="C960" s="107"/>
      <c r="D960" s="106"/>
      <c r="E960" s="106"/>
      <c r="F960" s="107"/>
      <c r="G960" s="106"/>
      <c r="H960" s="106"/>
      <c r="I960" s="381"/>
      <c r="J960" s="106"/>
      <c r="K960" s="106"/>
      <c r="L960" s="106"/>
    </row>
    <row r="961" spans="1:12">
      <c r="A961" s="106"/>
      <c r="B961" s="106"/>
      <c r="C961" s="107"/>
      <c r="D961" s="106"/>
      <c r="E961" s="106"/>
      <c r="F961" s="107"/>
      <c r="G961" s="106"/>
      <c r="H961" s="106"/>
      <c r="I961" s="381"/>
      <c r="J961" s="106"/>
      <c r="K961" s="106"/>
      <c r="L961" s="106"/>
    </row>
    <row r="962" spans="1:12">
      <c r="A962" s="106"/>
      <c r="B962" s="106"/>
      <c r="C962" s="107"/>
      <c r="D962" s="106"/>
      <c r="E962" s="106"/>
      <c r="F962" s="107"/>
      <c r="G962" s="106"/>
      <c r="H962" s="106"/>
      <c r="I962" s="381"/>
      <c r="J962" s="106"/>
      <c r="K962" s="106"/>
      <c r="L962" s="106"/>
    </row>
    <row r="963" spans="1:12">
      <c r="A963" s="106"/>
      <c r="B963" s="106"/>
      <c r="C963" s="107"/>
      <c r="D963" s="106"/>
      <c r="E963" s="106"/>
      <c r="F963" s="107"/>
      <c r="G963" s="106"/>
      <c r="H963" s="106"/>
      <c r="I963" s="381"/>
      <c r="J963" s="106"/>
      <c r="K963" s="106"/>
      <c r="L963" s="106"/>
    </row>
    <row r="964" spans="1:12">
      <c r="A964" s="106"/>
      <c r="B964" s="106"/>
      <c r="C964" s="107"/>
      <c r="D964" s="106"/>
      <c r="E964" s="106"/>
      <c r="F964" s="107"/>
      <c r="G964" s="106"/>
      <c r="H964" s="106"/>
      <c r="I964" s="381"/>
      <c r="J964" s="106"/>
      <c r="K964" s="106"/>
      <c r="L964" s="106"/>
    </row>
    <row r="965" spans="1:12">
      <c r="A965" s="106"/>
      <c r="B965" s="106"/>
      <c r="C965" s="107"/>
      <c r="D965" s="106"/>
      <c r="E965" s="106"/>
      <c r="F965" s="107"/>
      <c r="G965" s="106"/>
      <c r="H965" s="106"/>
      <c r="I965" s="381"/>
      <c r="J965" s="106"/>
      <c r="K965" s="106"/>
      <c r="L965" s="106"/>
    </row>
    <row r="966" spans="1:12">
      <c r="A966" s="106"/>
      <c r="B966" s="106"/>
      <c r="C966" s="107"/>
      <c r="D966" s="106"/>
      <c r="E966" s="106"/>
      <c r="F966" s="107"/>
      <c r="G966" s="106"/>
      <c r="H966" s="106"/>
      <c r="I966" s="381"/>
      <c r="J966" s="106"/>
      <c r="K966" s="106"/>
      <c r="L966" s="106"/>
    </row>
    <row r="967" spans="1:12">
      <c r="A967" s="106"/>
      <c r="B967" s="106"/>
      <c r="C967" s="107"/>
      <c r="D967" s="106"/>
      <c r="E967" s="106"/>
      <c r="F967" s="107"/>
      <c r="G967" s="106"/>
      <c r="H967" s="106"/>
      <c r="I967" s="381"/>
      <c r="J967" s="106"/>
      <c r="K967" s="106"/>
      <c r="L967" s="106"/>
    </row>
    <row r="968" spans="1:12">
      <c r="A968" s="106"/>
      <c r="B968" s="106"/>
      <c r="C968" s="107"/>
      <c r="D968" s="106"/>
      <c r="E968" s="106"/>
      <c r="F968" s="107"/>
      <c r="G968" s="106"/>
      <c r="H968" s="106"/>
      <c r="I968" s="381"/>
      <c r="J968" s="106"/>
      <c r="K968" s="106"/>
      <c r="L968" s="106"/>
    </row>
    <row r="969" spans="1:12">
      <c r="A969" s="106"/>
      <c r="B969" s="106"/>
      <c r="C969" s="107"/>
      <c r="D969" s="106"/>
      <c r="E969" s="106"/>
      <c r="F969" s="107"/>
      <c r="G969" s="106"/>
      <c r="H969" s="106"/>
      <c r="I969" s="381"/>
      <c r="J969" s="106"/>
      <c r="K969" s="106"/>
      <c r="L969" s="106"/>
    </row>
    <row r="970" spans="1:12">
      <c r="A970" s="106"/>
      <c r="B970" s="106"/>
      <c r="C970" s="107"/>
      <c r="D970" s="106"/>
      <c r="E970" s="106"/>
      <c r="F970" s="107"/>
      <c r="G970" s="106"/>
      <c r="H970" s="106"/>
      <c r="I970" s="381"/>
      <c r="J970" s="106"/>
      <c r="K970" s="106"/>
      <c r="L970" s="106"/>
    </row>
    <row r="971" spans="1:12">
      <c r="A971" s="106"/>
      <c r="B971" s="106"/>
      <c r="C971" s="107"/>
      <c r="D971" s="106"/>
      <c r="E971" s="106"/>
      <c r="F971" s="107"/>
      <c r="G971" s="106"/>
      <c r="H971" s="106"/>
      <c r="I971" s="381"/>
      <c r="J971" s="106"/>
      <c r="K971" s="106"/>
      <c r="L971" s="106"/>
    </row>
    <row r="972" spans="1:12">
      <c r="A972" s="106"/>
      <c r="B972" s="106"/>
      <c r="C972" s="107"/>
      <c r="D972" s="106"/>
      <c r="E972" s="106"/>
      <c r="F972" s="107"/>
      <c r="G972" s="106"/>
      <c r="H972" s="106"/>
      <c r="I972" s="381"/>
      <c r="J972" s="106"/>
      <c r="K972" s="106"/>
      <c r="L972" s="106"/>
    </row>
    <row r="973" spans="1:12">
      <c r="A973" s="106"/>
      <c r="B973" s="106"/>
      <c r="C973" s="107"/>
      <c r="D973" s="106"/>
      <c r="E973" s="106"/>
      <c r="F973" s="107"/>
      <c r="G973" s="106"/>
      <c r="H973" s="106"/>
      <c r="I973" s="381"/>
      <c r="J973" s="106"/>
      <c r="K973" s="106"/>
      <c r="L973" s="106"/>
    </row>
    <row r="974" spans="1:12">
      <c r="A974" s="106"/>
      <c r="B974" s="106"/>
      <c r="C974" s="107"/>
      <c r="D974" s="106"/>
      <c r="E974" s="106"/>
      <c r="F974" s="107"/>
      <c r="G974" s="106"/>
      <c r="H974" s="106"/>
      <c r="I974" s="381"/>
      <c r="J974" s="106"/>
      <c r="K974" s="106"/>
      <c r="L974" s="106"/>
    </row>
    <row r="975" spans="1:12">
      <c r="A975" s="106"/>
      <c r="B975" s="106"/>
      <c r="C975" s="107"/>
      <c r="D975" s="106"/>
      <c r="E975" s="106"/>
      <c r="F975" s="107"/>
      <c r="G975" s="106"/>
      <c r="H975" s="106"/>
      <c r="I975" s="381"/>
      <c r="J975" s="106"/>
      <c r="K975" s="106"/>
      <c r="L975" s="106"/>
    </row>
    <row r="976" spans="1:12">
      <c r="A976" s="106"/>
      <c r="B976" s="106"/>
      <c r="C976" s="107"/>
      <c r="D976" s="106"/>
      <c r="E976" s="106"/>
      <c r="F976" s="107"/>
      <c r="G976" s="106"/>
      <c r="H976" s="106"/>
      <c r="I976" s="381"/>
      <c r="J976" s="106"/>
      <c r="K976" s="106"/>
      <c r="L976" s="106"/>
    </row>
    <row r="977" spans="1:12">
      <c r="A977" s="106"/>
      <c r="B977" s="106"/>
      <c r="C977" s="107"/>
      <c r="D977" s="106"/>
      <c r="E977" s="106"/>
      <c r="F977" s="107"/>
      <c r="G977" s="106"/>
      <c r="H977" s="106"/>
      <c r="I977" s="381"/>
      <c r="J977" s="106"/>
      <c r="K977" s="106"/>
      <c r="L977" s="106"/>
    </row>
    <row r="978" spans="1:12">
      <c r="A978" s="106"/>
      <c r="B978" s="106"/>
      <c r="C978" s="107"/>
      <c r="D978" s="106"/>
      <c r="E978" s="106"/>
      <c r="F978" s="107"/>
      <c r="G978" s="106"/>
      <c r="H978" s="106"/>
      <c r="I978" s="381"/>
      <c r="J978" s="106"/>
      <c r="K978" s="106"/>
      <c r="L978" s="106"/>
    </row>
    <row r="979" spans="1:12">
      <c r="A979" s="106"/>
      <c r="B979" s="106"/>
      <c r="C979" s="107"/>
      <c r="D979" s="106"/>
      <c r="E979" s="106"/>
      <c r="F979" s="107"/>
      <c r="G979" s="106"/>
      <c r="H979" s="106"/>
      <c r="I979" s="381"/>
      <c r="J979" s="106"/>
      <c r="K979" s="106"/>
      <c r="L979" s="106"/>
    </row>
    <row r="980" spans="1:12">
      <c r="A980" s="106"/>
      <c r="B980" s="106"/>
      <c r="C980" s="107"/>
      <c r="D980" s="106"/>
      <c r="E980" s="106"/>
      <c r="F980" s="107"/>
      <c r="G980" s="106"/>
      <c r="H980" s="106"/>
      <c r="I980" s="381"/>
      <c r="J980" s="106"/>
      <c r="K980" s="106"/>
      <c r="L980" s="106"/>
    </row>
    <row r="981" spans="1:12">
      <c r="A981" s="106"/>
      <c r="B981" s="106"/>
      <c r="C981" s="107"/>
      <c r="D981" s="106"/>
      <c r="E981" s="106"/>
      <c r="F981" s="107"/>
      <c r="G981" s="106"/>
      <c r="H981" s="106"/>
      <c r="I981" s="381"/>
      <c r="J981" s="106"/>
      <c r="K981" s="106"/>
      <c r="L981" s="106"/>
    </row>
    <row r="982" spans="1:12">
      <c r="A982" s="106"/>
      <c r="B982" s="106"/>
      <c r="C982" s="107"/>
      <c r="D982" s="106"/>
      <c r="E982" s="106"/>
      <c r="F982" s="107"/>
      <c r="G982" s="106"/>
      <c r="H982" s="106"/>
      <c r="I982" s="381"/>
      <c r="J982" s="106"/>
      <c r="K982" s="106"/>
      <c r="L982" s="106"/>
    </row>
    <row r="983" spans="1:12">
      <c r="A983" s="106"/>
      <c r="B983" s="106"/>
      <c r="C983" s="107"/>
      <c r="D983" s="106"/>
      <c r="E983" s="106"/>
      <c r="F983" s="107"/>
      <c r="G983" s="106"/>
      <c r="H983" s="106"/>
      <c r="I983" s="381"/>
      <c r="J983" s="106"/>
      <c r="K983" s="106"/>
      <c r="L983" s="106"/>
    </row>
    <row r="984" spans="1:12">
      <c r="A984" s="106"/>
      <c r="B984" s="106"/>
      <c r="C984" s="107"/>
      <c r="D984" s="106"/>
      <c r="E984" s="106"/>
      <c r="F984" s="107"/>
      <c r="G984" s="106"/>
      <c r="H984" s="106"/>
      <c r="I984" s="381"/>
      <c r="J984" s="106"/>
      <c r="K984" s="106"/>
      <c r="L984" s="106"/>
    </row>
    <row r="985" spans="1:12">
      <c r="A985" s="106"/>
      <c r="B985" s="106"/>
      <c r="C985" s="107"/>
      <c r="D985" s="106"/>
      <c r="E985" s="106"/>
      <c r="F985" s="107"/>
      <c r="G985" s="106"/>
      <c r="H985" s="106"/>
      <c r="I985" s="381"/>
      <c r="J985" s="106"/>
      <c r="K985" s="106"/>
      <c r="L985" s="106"/>
    </row>
    <row r="986" spans="1:12">
      <c r="A986" s="106"/>
      <c r="B986" s="106"/>
      <c r="C986" s="107"/>
      <c r="D986" s="106"/>
      <c r="E986" s="106"/>
      <c r="F986" s="107"/>
      <c r="G986" s="106"/>
      <c r="H986" s="106"/>
      <c r="I986" s="381"/>
      <c r="J986" s="106"/>
      <c r="K986" s="106"/>
      <c r="L986" s="106"/>
    </row>
    <row r="987" spans="1:12">
      <c r="A987" s="106"/>
      <c r="B987" s="106"/>
      <c r="C987" s="107"/>
      <c r="D987" s="106"/>
      <c r="E987" s="106"/>
      <c r="F987" s="107"/>
      <c r="G987" s="106"/>
      <c r="H987" s="106"/>
      <c r="I987" s="381"/>
      <c r="J987" s="106"/>
      <c r="K987" s="106"/>
      <c r="L987" s="106"/>
    </row>
    <row r="988" spans="1:12">
      <c r="A988" s="106"/>
      <c r="B988" s="106"/>
      <c r="C988" s="107"/>
      <c r="D988" s="106"/>
      <c r="E988" s="106"/>
      <c r="F988" s="107"/>
      <c r="G988" s="106"/>
      <c r="H988" s="106"/>
      <c r="I988" s="381"/>
      <c r="J988" s="106"/>
      <c r="K988" s="106"/>
      <c r="L988" s="106"/>
    </row>
    <row r="989" spans="1:12">
      <c r="A989" s="106"/>
      <c r="B989" s="106"/>
      <c r="C989" s="107"/>
      <c r="D989" s="106"/>
      <c r="E989" s="106"/>
      <c r="F989" s="107"/>
      <c r="G989" s="106"/>
      <c r="H989" s="106"/>
      <c r="I989" s="381"/>
      <c r="J989" s="106"/>
      <c r="K989" s="106"/>
      <c r="L989" s="106"/>
    </row>
    <row r="990" spans="1:12">
      <c r="A990" s="106"/>
      <c r="B990" s="106"/>
      <c r="C990" s="107"/>
      <c r="D990" s="106"/>
      <c r="E990" s="106"/>
      <c r="F990" s="107"/>
      <c r="G990" s="106"/>
      <c r="H990" s="106"/>
      <c r="I990" s="381"/>
      <c r="J990" s="106"/>
      <c r="K990" s="106"/>
      <c r="L990" s="106"/>
    </row>
    <row r="991" spans="1:12">
      <c r="A991" s="106"/>
      <c r="B991" s="106"/>
      <c r="C991" s="107"/>
      <c r="D991" s="106"/>
      <c r="E991" s="106"/>
      <c r="F991" s="107"/>
      <c r="G991" s="106"/>
      <c r="H991" s="106"/>
      <c r="I991" s="381"/>
      <c r="J991" s="106"/>
      <c r="K991" s="106"/>
      <c r="L991" s="106"/>
    </row>
    <row r="992" spans="1:12">
      <c r="A992" s="106"/>
      <c r="B992" s="106"/>
      <c r="C992" s="107"/>
      <c r="D992" s="106"/>
      <c r="E992" s="106"/>
      <c r="F992" s="107"/>
      <c r="G992" s="106"/>
      <c r="H992" s="106"/>
      <c r="I992" s="381"/>
      <c r="J992" s="106"/>
      <c r="K992" s="106"/>
      <c r="L992" s="106"/>
    </row>
    <row r="993" spans="1:12">
      <c r="A993" s="106"/>
      <c r="B993" s="106"/>
      <c r="C993" s="107"/>
      <c r="D993" s="106"/>
      <c r="E993" s="106"/>
      <c r="F993" s="107"/>
      <c r="G993" s="106"/>
      <c r="H993" s="106"/>
      <c r="I993" s="381"/>
      <c r="J993" s="106"/>
      <c r="K993" s="106"/>
      <c r="L993" s="106"/>
    </row>
    <row r="994" spans="1:12">
      <c r="A994" s="106"/>
      <c r="B994" s="106"/>
      <c r="C994" s="107"/>
      <c r="D994" s="106"/>
      <c r="E994" s="106"/>
      <c r="F994" s="107"/>
      <c r="G994" s="106"/>
      <c r="H994" s="106"/>
      <c r="I994" s="381"/>
      <c r="J994" s="106"/>
      <c r="K994" s="106"/>
      <c r="L994" s="106"/>
    </row>
    <row r="995" spans="1:12">
      <c r="A995" s="106"/>
      <c r="B995" s="106"/>
      <c r="C995" s="107"/>
      <c r="D995" s="106"/>
      <c r="E995" s="106"/>
      <c r="F995" s="107"/>
      <c r="G995" s="106"/>
      <c r="H995" s="106"/>
      <c r="I995" s="381"/>
      <c r="J995" s="106"/>
      <c r="K995" s="106"/>
      <c r="L995" s="106"/>
    </row>
    <row r="996" spans="1:12">
      <c r="A996" s="106"/>
      <c r="B996" s="106"/>
      <c r="C996" s="107"/>
      <c r="D996" s="106"/>
      <c r="E996" s="106"/>
      <c r="F996" s="107"/>
      <c r="G996" s="106"/>
      <c r="H996" s="106"/>
      <c r="I996" s="381"/>
      <c r="J996" s="106"/>
      <c r="K996" s="106"/>
      <c r="L996" s="106"/>
    </row>
    <row r="997" spans="1:12">
      <c r="A997" s="106"/>
      <c r="B997" s="106"/>
      <c r="C997" s="107"/>
      <c r="D997" s="106"/>
      <c r="E997" s="106"/>
      <c r="F997" s="107"/>
      <c r="G997" s="106"/>
      <c r="H997" s="106"/>
      <c r="I997" s="381"/>
      <c r="J997" s="106"/>
      <c r="K997" s="106"/>
      <c r="L997" s="106"/>
    </row>
    <row r="998" spans="1:12">
      <c r="A998" s="106"/>
      <c r="B998" s="106"/>
      <c r="C998" s="107"/>
      <c r="D998" s="106"/>
      <c r="E998" s="106"/>
      <c r="F998" s="107"/>
      <c r="G998" s="106"/>
      <c r="H998" s="106"/>
      <c r="I998" s="381"/>
      <c r="J998" s="106"/>
      <c r="K998" s="106"/>
      <c r="L998" s="106"/>
    </row>
    <row r="999" spans="1:12">
      <c r="A999" s="106"/>
      <c r="B999" s="106"/>
      <c r="C999" s="107"/>
      <c r="D999" s="106"/>
      <c r="E999" s="106"/>
      <c r="F999" s="107"/>
      <c r="G999" s="106"/>
      <c r="H999" s="106"/>
      <c r="I999" s="381"/>
      <c r="J999" s="106"/>
      <c r="K999" s="106"/>
      <c r="L999" s="106"/>
    </row>
    <row r="1000" spans="1:12">
      <c r="A1000" s="106"/>
      <c r="B1000" s="106"/>
      <c r="C1000" s="107"/>
      <c r="D1000" s="106"/>
      <c r="E1000" s="106"/>
      <c r="F1000" s="107"/>
      <c r="G1000" s="106"/>
      <c r="H1000" s="106"/>
      <c r="I1000" s="381"/>
      <c r="J1000" s="106"/>
      <c r="K1000" s="106"/>
      <c r="L1000" s="106"/>
    </row>
    <row r="1001" spans="1:12">
      <c r="A1001" s="106"/>
      <c r="B1001" s="106"/>
      <c r="C1001" s="107"/>
      <c r="D1001" s="106"/>
      <c r="E1001" s="106"/>
      <c r="F1001" s="107"/>
      <c r="G1001" s="106"/>
      <c r="H1001" s="106"/>
      <c r="I1001" s="381"/>
      <c r="J1001" s="106"/>
      <c r="K1001" s="106"/>
      <c r="L1001" s="106"/>
    </row>
    <row r="1002" spans="1:12">
      <c r="A1002" s="106"/>
      <c r="B1002" s="106"/>
      <c r="C1002" s="107"/>
      <c r="D1002" s="106"/>
      <c r="E1002" s="106"/>
      <c r="F1002" s="107"/>
      <c r="G1002" s="106"/>
      <c r="H1002" s="106"/>
      <c r="I1002" s="381"/>
      <c r="J1002" s="106"/>
      <c r="K1002" s="106"/>
      <c r="L1002" s="106"/>
    </row>
    <row r="1003" spans="1:12">
      <c r="A1003" s="106"/>
      <c r="B1003" s="106"/>
      <c r="C1003" s="107"/>
      <c r="D1003" s="106"/>
      <c r="E1003" s="106"/>
      <c r="F1003" s="107"/>
      <c r="G1003" s="106"/>
      <c r="H1003" s="106"/>
      <c r="I1003" s="381"/>
      <c r="J1003" s="106"/>
      <c r="K1003" s="106"/>
      <c r="L1003" s="106"/>
    </row>
    <row r="1004" spans="1:12">
      <c r="A1004" s="106"/>
      <c r="B1004" s="106"/>
      <c r="C1004" s="107"/>
      <c r="D1004" s="106"/>
      <c r="E1004" s="106"/>
      <c r="F1004" s="107"/>
      <c r="G1004" s="106"/>
      <c r="H1004" s="106"/>
      <c r="I1004" s="381"/>
      <c r="J1004" s="106"/>
      <c r="K1004" s="106"/>
      <c r="L1004" s="106"/>
    </row>
    <row r="1005" spans="1:12">
      <c r="A1005" s="106"/>
      <c r="B1005" s="106"/>
      <c r="C1005" s="107"/>
      <c r="D1005" s="106"/>
      <c r="E1005" s="106"/>
      <c r="F1005" s="107"/>
      <c r="G1005" s="106"/>
      <c r="H1005" s="106"/>
      <c r="I1005" s="381"/>
      <c r="J1005" s="106"/>
      <c r="K1005" s="106"/>
      <c r="L1005" s="106"/>
    </row>
    <row r="1006" spans="1:12">
      <c r="A1006" s="106"/>
      <c r="B1006" s="106"/>
      <c r="C1006" s="107"/>
      <c r="D1006" s="106"/>
      <c r="E1006" s="106"/>
      <c r="F1006" s="107"/>
      <c r="G1006" s="106"/>
      <c r="H1006" s="106"/>
      <c r="I1006" s="381"/>
      <c r="J1006" s="106"/>
      <c r="K1006" s="106"/>
      <c r="L1006" s="106"/>
    </row>
    <row r="1007" spans="1:12">
      <c r="A1007" s="106"/>
      <c r="B1007" s="106"/>
      <c r="C1007" s="107"/>
      <c r="D1007" s="106"/>
      <c r="E1007" s="106"/>
      <c r="F1007" s="107"/>
      <c r="G1007" s="106"/>
      <c r="H1007" s="106"/>
      <c r="I1007" s="381"/>
      <c r="J1007" s="106"/>
      <c r="K1007" s="106"/>
      <c r="L1007" s="106"/>
    </row>
    <row r="1008" spans="1:12">
      <c r="A1008" s="106"/>
      <c r="B1008" s="106"/>
      <c r="C1008" s="107"/>
      <c r="D1008" s="106"/>
      <c r="E1008" s="106"/>
      <c r="F1008" s="107"/>
      <c r="G1008" s="106"/>
      <c r="H1008" s="106"/>
      <c r="I1008" s="381"/>
      <c r="J1008" s="106"/>
      <c r="K1008" s="106"/>
      <c r="L1008" s="106"/>
    </row>
    <row r="1009" spans="1:12">
      <c r="A1009" s="106"/>
      <c r="B1009" s="106"/>
      <c r="C1009" s="107"/>
      <c r="D1009" s="106"/>
      <c r="E1009" s="106"/>
      <c r="F1009" s="107"/>
      <c r="G1009" s="106"/>
      <c r="H1009" s="106"/>
      <c r="I1009" s="381"/>
      <c r="J1009" s="106"/>
      <c r="K1009" s="106"/>
      <c r="L1009" s="106"/>
    </row>
    <row r="1010" spans="1:12">
      <c r="A1010" s="106"/>
      <c r="B1010" s="106"/>
      <c r="C1010" s="107"/>
      <c r="D1010" s="106"/>
      <c r="E1010" s="106"/>
      <c r="F1010" s="107"/>
      <c r="G1010" s="106"/>
      <c r="H1010" s="106"/>
      <c r="I1010" s="381"/>
      <c r="J1010" s="106"/>
      <c r="K1010" s="106"/>
      <c r="L1010" s="106"/>
    </row>
    <row r="1011" spans="1:12">
      <c r="A1011" s="106"/>
      <c r="B1011" s="106"/>
      <c r="C1011" s="107"/>
      <c r="D1011" s="106"/>
      <c r="E1011" s="106"/>
      <c r="F1011" s="107"/>
      <c r="G1011" s="106"/>
      <c r="H1011" s="106"/>
      <c r="I1011" s="381"/>
      <c r="J1011" s="106"/>
      <c r="K1011" s="106"/>
      <c r="L1011" s="106"/>
    </row>
    <row r="1012" spans="1:12">
      <c r="A1012" s="106"/>
      <c r="B1012" s="106"/>
      <c r="C1012" s="107"/>
      <c r="D1012" s="106"/>
      <c r="E1012" s="106"/>
      <c r="F1012" s="107"/>
      <c r="G1012" s="106"/>
      <c r="H1012" s="106"/>
      <c r="I1012" s="381"/>
      <c r="J1012" s="106"/>
      <c r="K1012" s="106"/>
      <c r="L1012" s="106"/>
    </row>
    <row r="1013" spans="1:12">
      <c r="A1013" s="106"/>
      <c r="B1013" s="106"/>
      <c r="C1013" s="107"/>
      <c r="D1013" s="106"/>
      <c r="E1013" s="106"/>
      <c r="F1013" s="107"/>
      <c r="G1013" s="106"/>
      <c r="H1013" s="106"/>
      <c r="I1013" s="381"/>
      <c r="J1013" s="106"/>
      <c r="K1013" s="106"/>
      <c r="L1013" s="106"/>
    </row>
    <row r="1014" spans="1:12">
      <c r="A1014" s="106"/>
      <c r="B1014" s="106"/>
      <c r="C1014" s="107"/>
      <c r="D1014" s="106"/>
      <c r="E1014" s="106"/>
      <c r="F1014" s="107"/>
      <c r="G1014" s="106"/>
      <c r="H1014" s="106"/>
      <c r="I1014" s="381"/>
      <c r="J1014" s="106"/>
      <c r="K1014" s="106"/>
      <c r="L1014" s="106"/>
    </row>
    <row r="1015" spans="1:12">
      <c r="A1015" s="106"/>
      <c r="B1015" s="106"/>
      <c r="C1015" s="107"/>
      <c r="D1015" s="106"/>
      <c r="E1015" s="106"/>
      <c r="F1015" s="107"/>
      <c r="G1015" s="106"/>
      <c r="H1015" s="106"/>
      <c r="I1015" s="381"/>
      <c r="J1015" s="106"/>
      <c r="K1015" s="106"/>
      <c r="L1015" s="106"/>
    </row>
    <row r="1016" spans="1:12">
      <c r="A1016" s="106"/>
      <c r="B1016" s="106"/>
      <c r="C1016" s="107"/>
      <c r="D1016" s="106"/>
      <c r="E1016" s="106"/>
      <c r="F1016" s="107"/>
      <c r="G1016" s="106"/>
      <c r="H1016" s="106"/>
      <c r="I1016" s="381"/>
      <c r="J1016" s="106"/>
      <c r="K1016" s="106"/>
      <c r="L1016" s="106"/>
    </row>
    <row r="1017" spans="1:12">
      <c r="A1017" s="106"/>
      <c r="B1017" s="106"/>
      <c r="C1017" s="107"/>
      <c r="D1017" s="106"/>
      <c r="E1017" s="106"/>
      <c r="F1017" s="107"/>
      <c r="G1017" s="106"/>
      <c r="H1017" s="106"/>
      <c r="I1017" s="381"/>
      <c r="J1017" s="106"/>
      <c r="K1017" s="106"/>
      <c r="L1017" s="106"/>
    </row>
    <row r="1018" spans="1:12">
      <c r="A1018" s="106"/>
      <c r="B1018" s="106"/>
      <c r="C1018" s="107"/>
      <c r="D1018" s="106"/>
      <c r="E1018" s="106"/>
      <c r="F1018" s="107"/>
      <c r="G1018" s="106"/>
      <c r="H1018" s="106"/>
      <c r="I1018" s="381"/>
      <c r="J1018" s="106"/>
      <c r="K1018" s="106"/>
      <c r="L1018" s="106"/>
    </row>
    <row r="1019" spans="1:12">
      <c r="A1019" s="106"/>
      <c r="B1019" s="106"/>
      <c r="C1019" s="107"/>
      <c r="D1019" s="106"/>
      <c r="E1019" s="106"/>
      <c r="F1019" s="107"/>
      <c r="G1019" s="106"/>
      <c r="H1019" s="106"/>
      <c r="I1019" s="381"/>
      <c r="J1019" s="106"/>
      <c r="K1019" s="106"/>
      <c r="L1019" s="106"/>
    </row>
    <row r="1020" spans="1:12">
      <c r="A1020" s="106"/>
      <c r="B1020" s="106"/>
      <c r="C1020" s="107"/>
      <c r="D1020" s="106"/>
      <c r="E1020" s="106"/>
      <c r="F1020" s="107"/>
      <c r="G1020" s="106"/>
      <c r="H1020" s="106"/>
      <c r="I1020" s="381"/>
      <c r="J1020" s="106"/>
      <c r="K1020" s="106"/>
      <c r="L1020" s="106"/>
    </row>
    <row r="1021" spans="1:12">
      <c r="A1021" s="106"/>
      <c r="B1021" s="106"/>
      <c r="C1021" s="107"/>
      <c r="D1021" s="106"/>
      <c r="E1021" s="106"/>
      <c r="F1021" s="107"/>
      <c r="G1021" s="106"/>
      <c r="H1021" s="106"/>
      <c r="I1021" s="381"/>
      <c r="J1021" s="106"/>
      <c r="K1021" s="106"/>
      <c r="L1021" s="106"/>
    </row>
    <row r="1022" spans="1:12">
      <c r="A1022" s="106"/>
      <c r="B1022" s="106"/>
      <c r="C1022" s="107"/>
      <c r="D1022" s="106"/>
      <c r="E1022" s="106"/>
      <c r="F1022" s="107"/>
      <c r="G1022" s="106"/>
      <c r="H1022" s="106"/>
      <c r="I1022" s="381"/>
      <c r="J1022" s="106"/>
      <c r="K1022" s="106"/>
      <c r="L1022" s="106"/>
    </row>
    <row r="1023" spans="1:12">
      <c r="A1023" s="106"/>
      <c r="B1023" s="106"/>
      <c r="C1023" s="107"/>
      <c r="D1023" s="106"/>
      <c r="E1023" s="106"/>
      <c r="F1023" s="107"/>
      <c r="G1023" s="106"/>
      <c r="H1023" s="106"/>
      <c r="I1023" s="381"/>
      <c r="J1023" s="106"/>
      <c r="K1023" s="106"/>
      <c r="L1023" s="106"/>
    </row>
    <row r="1024" spans="1:12">
      <c r="A1024" s="106"/>
      <c r="B1024" s="106"/>
      <c r="C1024" s="107"/>
      <c r="D1024" s="106"/>
      <c r="E1024" s="106"/>
      <c r="F1024" s="107"/>
      <c r="G1024" s="106"/>
      <c r="H1024" s="106"/>
      <c r="I1024" s="381"/>
      <c r="J1024" s="106"/>
      <c r="K1024" s="106"/>
      <c r="L1024" s="106"/>
    </row>
    <row r="1025" spans="1:12">
      <c r="A1025" s="106"/>
      <c r="B1025" s="106"/>
      <c r="C1025" s="107"/>
      <c r="D1025" s="106"/>
      <c r="E1025" s="106"/>
      <c r="F1025" s="107"/>
      <c r="G1025" s="106"/>
      <c r="H1025" s="106"/>
      <c r="I1025" s="381"/>
      <c r="J1025" s="106"/>
      <c r="K1025" s="106"/>
      <c r="L1025" s="106"/>
    </row>
    <row r="1026" spans="1:12">
      <c r="A1026" s="106"/>
      <c r="B1026" s="106"/>
      <c r="C1026" s="107"/>
      <c r="D1026" s="106"/>
      <c r="E1026" s="106"/>
      <c r="F1026" s="107"/>
      <c r="G1026" s="106"/>
      <c r="H1026" s="106"/>
      <c r="I1026" s="381"/>
      <c r="J1026" s="106"/>
      <c r="K1026" s="106"/>
      <c r="L1026" s="106"/>
    </row>
    <row r="1027" spans="1:12">
      <c r="A1027" s="106"/>
      <c r="B1027" s="106"/>
      <c r="C1027" s="107"/>
      <c r="D1027" s="106"/>
      <c r="E1027" s="106"/>
      <c r="F1027" s="107"/>
      <c r="G1027" s="106"/>
      <c r="H1027" s="106"/>
      <c r="I1027" s="381"/>
      <c r="J1027" s="106"/>
      <c r="K1027" s="106"/>
      <c r="L1027" s="106"/>
    </row>
    <row r="1028" spans="1:12">
      <c r="A1028" s="106"/>
      <c r="B1028" s="106"/>
      <c r="C1028" s="107"/>
      <c r="D1028" s="106"/>
      <c r="E1028" s="106"/>
      <c r="F1028" s="107"/>
      <c r="G1028" s="106"/>
      <c r="H1028" s="106"/>
      <c r="I1028" s="381"/>
      <c r="J1028" s="106"/>
      <c r="K1028" s="106"/>
      <c r="L1028" s="106"/>
    </row>
    <row r="1029" spans="1:12">
      <c r="A1029" s="106"/>
      <c r="B1029" s="106"/>
      <c r="C1029" s="107"/>
      <c r="D1029" s="106"/>
      <c r="E1029" s="106"/>
      <c r="F1029" s="107"/>
      <c r="G1029" s="106"/>
      <c r="H1029" s="106"/>
      <c r="I1029" s="381"/>
      <c r="J1029" s="106"/>
      <c r="K1029" s="106"/>
      <c r="L1029" s="106"/>
    </row>
    <row r="1030" spans="1:12">
      <c r="A1030" s="106"/>
      <c r="B1030" s="106"/>
      <c r="C1030" s="107"/>
      <c r="D1030" s="106"/>
      <c r="E1030" s="106"/>
      <c r="F1030" s="107"/>
      <c r="G1030" s="106"/>
      <c r="H1030" s="106"/>
      <c r="I1030" s="381"/>
      <c r="J1030" s="106"/>
      <c r="K1030" s="106"/>
      <c r="L1030" s="106"/>
    </row>
    <row r="1031" spans="1:12">
      <c r="A1031" s="106"/>
      <c r="B1031" s="106"/>
      <c r="C1031" s="107"/>
      <c r="D1031" s="106"/>
      <c r="E1031" s="106"/>
      <c r="F1031" s="107"/>
      <c r="G1031" s="106"/>
      <c r="H1031" s="106"/>
      <c r="I1031" s="381"/>
      <c r="J1031" s="106"/>
      <c r="K1031" s="106"/>
      <c r="L1031" s="106"/>
    </row>
    <row r="1032" spans="1:12">
      <c r="A1032" s="106"/>
      <c r="B1032" s="106"/>
      <c r="C1032" s="107"/>
      <c r="D1032" s="106"/>
      <c r="E1032" s="106"/>
      <c r="F1032" s="107"/>
      <c r="G1032" s="106"/>
      <c r="H1032" s="106"/>
      <c r="I1032" s="381"/>
      <c r="J1032" s="106"/>
      <c r="K1032" s="106"/>
      <c r="L1032" s="106"/>
    </row>
    <row r="1033" spans="1:12">
      <c r="A1033" s="106"/>
      <c r="B1033" s="106"/>
      <c r="C1033" s="107"/>
      <c r="D1033" s="106"/>
      <c r="E1033" s="106"/>
      <c r="F1033" s="107"/>
      <c r="G1033" s="106"/>
      <c r="H1033" s="106"/>
      <c r="I1033" s="381"/>
      <c r="J1033" s="106"/>
      <c r="K1033" s="106"/>
      <c r="L1033" s="106"/>
    </row>
    <row r="1034" spans="1:12">
      <c r="A1034" s="106"/>
      <c r="B1034" s="106"/>
      <c r="C1034" s="107"/>
      <c r="D1034" s="106"/>
      <c r="E1034" s="106"/>
      <c r="F1034" s="107"/>
      <c r="G1034" s="106"/>
      <c r="H1034" s="106"/>
      <c r="I1034" s="381"/>
      <c r="J1034" s="106"/>
      <c r="K1034" s="106"/>
      <c r="L1034" s="106"/>
    </row>
    <row r="1035" spans="1:12">
      <c r="A1035" s="106"/>
      <c r="B1035" s="106"/>
      <c r="C1035" s="107"/>
      <c r="D1035" s="106"/>
      <c r="E1035" s="106"/>
      <c r="F1035" s="107"/>
      <c r="G1035" s="106"/>
      <c r="H1035" s="106"/>
      <c r="I1035" s="381"/>
      <c r="J1035" s="106"/>
      <c r="K1035" s="106"/>
      <c r="L1035" s="106"/>
    </row>
    <row r="1036" spans="1:12">
      <c r="A1036" s="106"/>
      <c r="B1036" s="106"/>
      <c r="C1036" s="107"/>
      <c r="D1036" s="106"/>
      <c r="E1036" s="106"/>
      <c r="F1036" s="107"/>
      <c r="G1036" s="106"/>
      <c r="H1036" s="106"/>
      <c r="I1036" s="381"/>
      <c r="J1036" s="106"/>
      <c r="K1036" s="106"/>
      <c r="L1036" s="106"/>
    </row>
    <row r="1037" spans="1:12">
      <c r="A1037" s="106"/>
      <c r="B1037" s="106"/>
      <c r="C1037" s="107"/>
      <c r="D1037" s="106"/>
      <c r="E1037" s="106"/>
      <c r="F1037" s="107"/>
      <c r="G1037" s="106"/>
      <c r="H1037" s="106"/>
      <c r="I1037" s="381"/>
      <c r="J1037" s="106"/>
      <c r="K1037" s="106"/>
      <c r="L1037" s="106"/>
    </row>
    <row r="1038" spans="1:12">
      <c r="A1038" s="106"/>
      <c r="B1038" s="106"/>
      <c r="C1038" s="107"/>
      <c r="D1038" s="106"/>
      <c r="E1038" s="106"/>
      <c r="F1038" s="107"/>
      <c r="G1038" s="106"/>
      <c r="H1038" s="106"/>
      <c r="I1038" s="381"/>
      <c r="J1038" s="106"/>
      <c r="K1038" s="106"/>
      <c r="L1038" s="106"/>
    </row>
    <row r="1039" spans="1:12">
      <c r="A1039" s="106"/>
      <c r="B1039" s="106"/>
      <c r="C1039" s="107"/>
      <c r="D1039" s="106"/>
      <c r="E1039" s="106"/>
      <c r="F1039" s="107"/>
      <c r="G1039" s="106"/>
      <c r="H1039" s="106"/>
      <c r="I1039" s="381"/>
      <c r="J1039" s="106"/>
      <c r="K1039" s="106"/>
      <c r="L1039" s="106"/>
    </row>
    <row r="1040" spans="1:12">
      <c r="A1040" s="106"/>
      <c r="B1040" s="106"/>
      <c r="C1040" s="107"/>
      <c r="D1040" s="106"/>
      <c r="E1040" s="106"/>
      <c r="F1040" s="107"/>
      <c r="G1040" s="106"/>
      <c r="H1040" s="106"/>
      <c r="I1040" s="381"/>
      <c r="J1040" s="106"/>
      <c r="K1040" s="106"/>
      <c r="L1040" s="106"/>
    </row>
    <row r="1041" spans="1:12">
      <c r="A1041" s="106"/>
      <c r="B1041" s="106"/>
      <c r="C1041" s="107"/>
      <c r="D1041" s="106"/>
      <c r="E1041" s="106"/>
      <c r="F1041" s="107"/>
      <c r="G1041" s="106"/>
      <c r="H1041" s="106"/>
      <c r="I1041" s="381"/>
      <c r="J1041" s="106"/>
      <c r="K1041" s="106"/>
      <c r="L1041" s="106"/>
    </row>
    <row r="1042" spans="1:12">
      <c r="A1042" s="106"/>
      <c r="B1042" s="106"/>
      <c r="C1042" s="107"/>
      <c r="D1042" s="106"/>
      <c r="E1042" s="106"/>
      <c r="F1042" s="107"/>
      <c r="G1042" s="106"/>
      <c r="H1042" s="106"/>
      <c r="I1042" s="381"/>
      <c r="J1042" s="106"/>
      <c r="K1042" s="106"/>
      <c r="L1042" s="106"/>
    </row>
    <row r="1043" spans="1:12">
      <c r="A1043" s="106"/>
      <c r="B1043" s="106"/>
      <c r="C1043" s="107"/>
      <c r="D1043" s="106"/>
      <c r="E1043" s="106"/>
      <c r="F1043" s="107"/>
      <c r="G1043" s="106"/>
      <c r="H1043" s="106"/>
      <c r="I1043" s="381"/>
      <c r="J1043" s="106"/>
      <c r="K1043" s="106"/>
      <c r="L1043" s="106"/>
    </row>
    <row r="1044" spans="1:12">
      <c r="A1044" s="106"/>
      <c r="B1044" s="106"/>
      <c r="C1044" s="107"/>
      <c r="D1044" s="106"/>
      <c r="E1044" s="106"/>
      <c r="F1044" s="107"/>
      <c r="G1044" s="106"/>
      <c r="H1044" s="106"/>
      <c r="I1044" s="381"/>
      <c r="J1044" s="106"/>
      <c r="K1044" s="106"/>
      <c r="L1044" s="106"/>
    </row>
    <row r="1045" spans="1:12">
      <c r="A1045" s="106"/>
      <c r="B1045" s="106"/>
      <c r="C1045" s="107"/>
      <c r="D1045" s="106"/>
      <c r="E1045" s="106"/>
      <c r="F1045" s="107"/>
      <c r="G1045" s="106"/>
      <c r="H1045" s="106"/>
      <c r="I1045" s="381"/>
      <c r="J1045" s="106"/>
      <c r="K1045" s="106"/>
      <c r="L1045" s="106"/>
    </row>
    <row r="1046" spans="1:12">
      <c r="A1046" s="106"/>
      <c r="B1046" s="106"/>
      <c r="C1046" s="107"/>
      <c r="D1046" s="106"/>
      <c r="E1046" s="106"/>
      <c r="F1046" s="107"/>
      <c r="G1046" s="106"/>
      <c r="H1046" s="106"/>
      <c r="I1046" s="381"/>
      <c r="J1046" s="106"/>
      <c r="K1046" s="106"/>
      <c r="L1046" s="106"/>
    </row>
    <row r="1047" spans="1:12">
      <c r="A1047" s="106"/>
      <c r="B1047" s="106"/>
      <c r="C1047" s="107"/>
      <c r="D1047" s="106"/>
      <c r="E1047" s="106"/>
      <c r="F1047" s="107"/>
      <c r="G1047" s="106"/>
      <c r="H1047" s="106"/>
      <c r="I1047" s="381"/>
      <c r="J1047" s="106"/>
      <c r="K1047" s="106"/>
      <c r="L1047" s="106"/>
    </row>
    <row r="1048" spans="1:12">
      <c r="A1048" s="106"/>
      <c r="B1048" s="106"/>
      <c r="C1048" s="107"/>
      <c r="D1048" s="106"/>
      <c r="E1048" s="106"/>
      <c r="F1048" s="107"/>
      <c r="G1048" s="106"/>
      <c r="H1048" s="106"/>
      <c r="I1048" s="381"/>
      <c r="J1048" s="106"/>
      <c r="K1048" s="106"/>
      <c r="L1048" s="106"/>
    </row>
    <row r="1049" spans="1:12">
      <c r="A1049" s="106"/>
      <c r="B1049" s="106"/>
      <c r="C1049" s="107"/>
      <c r="D1049" s="106"/>
      <c r="E1049" s="106"/>
      <c r="F1049" s="107"/>
      <c r="G1049" s="106"/>
      <c r="H1049" s="106"/>
      <c r="I1049" s="381"/>
      <c r="J1049" s="106"/>
      <c r="K1049" s="106"/>
      <c r="L1049" s="106"/>
    </row>
    <row r="1050" spans="1:12">
      <c r="A1050" s="106"/>
      <c r="B1050" s="106"/>
      <c r="C1050" s="107"/>
      <c r="D1050" s="106"/>
      <c r="E1050" s="106"/>
      <c r="F1050" s="107"/>
      <c r="G1050" s="106"/>
      <c r="H1050" s="106"/>
      <c r="I1050" s="381"/>
      <c r="J1050" s="106"/>
      <c r="K1050" s="106"/>
      <c r="L1050" s="106"/>
    </row>
    <row r="1051" spans="1:12">
      <c r="A1051" s="106"/>
      <c r="B1051" s="106"/>
      <c r="C1051" s="107"/>
      <c r="D1051" s="106"/>
      <c r="E1051" s="106"/>
      <c r="F1051" s="107"/>
      <c r="G1051" s="106"/>
      <c r="H1051" s="106"/>
      <c r="I1051" s="381"/>
      <c r="J1051" s="106"/>
      <c r="K1051" s="106"/>
      <c r="L1051" s="106"/>
    </row>
    <row r="1052" spans="1:12">
      <c r="A1052" s="106"/>
      <c r="B1052" s="106"/>
      <c r="C1052" s="107"/>
      <c r="D1052" s="106"/>
      <c r="E1052" s="106"/>
      <c r="F1052" s="107"/>
      <c r="G1052" s="106"/>
      <c r="H1052" s="106"/>
      <c r="I1052" s="381"/>
      <c r="J1052" s="106"/>
      <c r="K1052" s="106"/>
      <c r="L1052" s="106"/>
    </row>
    <row r="1053" spans="1:12">
      <c r="A1053" s="106"/>
      <c r="B1053" s="106"/>
      <c r="C1053" s="107"/>
      <c r="D1053" s="106"/>
      <c r="E1053" s="106"/>
      <c r="F1053" s="107"/>
      <c r="G1053" s="106"/>
      <c r="H1053" s="106"/>
      <c r="I1053" s="381"/>
      <c r="J1053" s="106"/>
      <c r="K1053" s="106"/>
      <c r="L1053" s="106"/>
    </row>
    <row r="1054" spans="1:12">
      <c r="A1054" s="106"/>
      <c r="B1054" s="106"/>
      <c r="C1054" s="107"/>
      <c r="D1054" s="106"/>
      <c r="E1054" s="106"/>
      <c r="F1054" s="107"/>
      <c r="G1054" s="106"/>
      <c r="H1054" s="106"/>
      <c r="I1054" s="381"/>
      <c r="J1054" s="106"/>
      <c r="K1054" s="106"/>
      <c r="L1054" s="106"/>
    </row>
    <row r="1055" spans="1:12">
      <c r="A1055" s="106"/>
      <c r="B1055" s="106"/>
      <c r="C1055" s="107"/>
      <c r="D1055" s="106"/>
      <c r="E1055" s="106"/>
      <c r="F1055" s="107"/>
      <c r="G1055" s="106"/>
      <c r="H1055" s="106"/>
      <c r="I1055" s="381"/>
      <c r="J1055" s="106"/>
      <c r="K1055" s="106"/>
      <c r="L1055" s="106"/>
    </row>
    <row r="1056" spans="1:12">
      <c r="A1056" s="106"/>
      <c r="B1056" s="106"/>
      <c r="C1056" s="107"/>
      <c r="D1056" s="106"/>
      <c r="E1056" s="106"/>
      <c r="F1056" s="107"/>
      <c r="G1056" s="106"/>
      <c r="H1056" s="106"/>
      <c r="I1056" s="381"/>
      <c r="J1056" s="106"/>
      <c r="K1056" s="106"/>
      <c r="L1056" s="106"/>
    </row>
    <row r="1057" spans="1:12">
      <c r="A1057" s="106"/>
      <c r="B1057" s="106"/>
      <c r="C1057" s="107"/>
      <c r="D1057" s="106"/>
      <c r="E1057" s="106"/>
      <c r="F1057" s="107"/>
      <c r="G1057" s="106"/>
      <c r="H1057" s="106"/>
      <c r="I1057" s="381"/>
      <c r="J1057" s="106"/>
      <c r="K1057" s="106"/>
      <c r="L1057" s="106"/>
    </row>
    <row r="1058" spans="1:12">
      <c r="A1058" s="106"/>
      <c r="B1058" s="106"/>
      <c r="C1058" s="107"/>
      <c r="D1058" s="106"/>
      <c r="E1058" s="106"/>
      <c r="F1058" s="107"/>
      <c r="G1058" s="106"/>
      <c r="H1058" s="106"/>
      <c r="I1058" s="381"/>
      <c r="J1058" s="106"/>
      <c r="K1058" s="106"/>
      <c r="L1058" s="106"/>
    </row>
    <row r="1059" spans="1:12">
      <c r="A1059" s="106"/>
      <c r="B1059" s="106"/>
      <c r="C1059" s="107"/>
      <c r="D1059" s="106"/>
      <c r="E1059" s="106"/>
      <c r="F1059" s="107"/>
      <c r="G1059" s="106"/>
      <c r="H1059" s="106"/>
      <c r="I1059" s="381"/>
      <c r="J1059" s="106"/>
      <c r="K1059" s="106"/>
      <c r="L1059" s="106"/>
    </row>
    <row r="1060" spans="1:12">
      <c r="A1060" s="106"/>
      <c r="B1060" s="106"/>
      <c r="C1060" s="107"/>
      <c r="D1060" s="106"/>
      <c r="E1060" s="106"/>
      <c r="F1060" s="107"/>
      <c r="G1060" s="106"/>
      <c r="H1060" s="106"/>
      <c r="I1060" s="381"/>
      <c r="J1060" s="106"/>
      <c r="K1060" s="106"/>
      <c r="L1060" s="106"/>
    </row>
    <row r="1061" spans="1:12">
      <c r="A1061" s="106"/>
      <c r="B1061" s="106"/>
      <c r="C1061" s="107"/>
      <c r="D1061" s="106"/>
      <c r="E1061" s="106"/>
      <c r="F1061" s="107"/>
      <c r="G1061" s="106"/>
      <c r="H1061" s="106"/>
      <c r="I1061" s="381"/>
      <c r="J1061" s="106"/>
      <c r="K1061" s="106"/>
      <c r="L1061" s="106"/>
    </row>
    <row r="1062" spans="1:12">
      <c r="A1062" s="106"/>
      <c r="B1062" s="106"/>
      <c r="C1062" s="107"/>
      <c r="D1062" s="106"/>
      <c r="E1062" s="106"/>
      <c r="F1062" s="107"/>
      <c r="G1062" s="106"/>
      <c r="H1062" s="106"/>
      <c r="I1062" s="381"/>
      <c r="J1062" s="106"/>
      <c r="K1062" s="106"/>
      <c r="L1062" s="106"/>
    </row>
    <row r="1063" spans="1:12">
      <c r="A1063" s="106"/>
      <c r="B1063" s="106"/>
      <c r="C1063" s="107"/>
      <c r="D1063" s="106"/>
      <c r="E1063" s="106"/>
      <c r="F1063" s="107"/>
      <c r="G1063" s="106"/>
      <c r="H1063" s="106"/>
      <c r="I1063" s="381"/>
      <c r="J1063" s="106"/>
      <c r="K1063" s="106"/>
      <c r="L1063" s="106"/>
    </row>
    <row r="1064" spans="1:12">
      <c r="A1064" s="106"/>
      <c r="B1064" s="106"/>
      <c r="C1064" s="107"/>
      <c r="D1064" s="106"/>
      <c r="E1064" s="106"/>
      <c r="F1064" s="107"/>
      <c r="G1064" s="106"/>
      <c r="H1064" s="106"/>
      <c r="I1064" s="381"/>
      <c r="J1064" s="106"/>
      <c r="K1064" s="106"/>
      <c r="L1064" s="106"/>
    </row>
    <row r="1065" spans="1:12">
      <c r="A1065" s="106"/>
      <c r="B1065" s="106"/>
      <c r="C1065" s="107"/>
      <c r="D1065" s="106"/>
      <c r="E1065" s="106"/>
      <c r="F1065" s="107"/>
      <c r="G1065" s="106"/>
      <c r="H1065" s="106"/>
      <c r="I1065" s="381"/>
      <c r="J1065" s="106"/>
      <c r="K1065" s="106"/>
      <c r="L1065" s="106"/>
    </row>
    <row r="1066" spans="1:12">
      <c r="A1066" s="106"/>
      <c r="B1066" s="106"/>
      <c r="C1066" s="107"/>
      <c r="D1066" s="106"/>
      <c r="E1066" s="106"/>
      <c r="F1066" s="107"/>
      <c r="G1066" s="106"/>
      <c r="H1066" s="106"/>
      <c r="I1066" s="381"/>
      <c r="J1066" s="106"/>
      <c r="K1066" s="106"/>
      <c r="L1066" s="106"/>
    </row>
    <row r="1067" spans="1:12">
      <c r="A1067" s="106"/>
      <c r="B1067" s="106"/>
      <c r="C1067" s="107"/>
      <c r="D1067" s="106"/>
      <c r="E1067" s="106"/>
      <c r="F1067" s="107"/>
      <c r="G1067" s="106"/>
      <c r="H1067" s="106"/>
      <c r="I1067" s="381"/>
      <c r="J1067" s="106"/>
      <c r="K1067" s="106"/>
      <c r="L1067" s="106"/>
    </row>
    <row r="1068" spans="1:12">
      <c r="A1068" s="106"/>
      <c r="B1068" s="106"/>
      <c r="C1068" s="107"/>
      <c r="D1068" s="106"/>
      <c r="E1068" s="106"/>
      <c r="F1068" s="107"/>
      <c r="G1068" s="106"/>
      <c r="H1068" s="106"/>
      <c r="I1068" s="381"/>
      <c r="J1068" s="106"/>
      <c r="K1068" s="106"/>
      <c r="L1068" s="106"/>
    </row>
    <row r="1069" spans="1:12">
      <c r="A1069" s="106"/>
      <c r="B1069" s="106"/>
      <c r="C1069" s="107"/>
      <c r="D1069" s="106"/>
      <c r="E1069" s="106"/>
      <c r="F1069" s="107"/>
      <c r="G1069" s="106"/>
      <c r="H1069" s="106"/>
      <c r="I1069" s="381"/>
      <c r="J1069" s="106"/>
      <c r="K1069" s="106"/>
      <c r="L1069" s="106"/>
    </row>
    <row r="1070" spans="1:12">
      <c r="A1070" s="106"/>
      <c r="B1070" s="106"/>
      <c r="C1070" s="107"/>
      <c r="D1070" s="106"/>
      <c r="E1070" s="106"/>
      <c r="F1070" s="107"/>
      <c r="G1070" s="106"/>
      <c r="H1070" s="106"/>
      <c r="I1070" s="381"/>
      <c r="J1070" s="106"/>
      <c r="K1070" s="106"/>
      <c r="L1070" s="106"/>
    </row>
    <row r="1071" spans="1:12">
      <c r="A1071" s="106"/>
      <c r="B1071" s="106"/>
      <c r="C1071" s="107"/>
      <c r="D1071" s="106"/>
      <c r="E1071" s="106"/>
      <c r="F1071" s="107"/>
      <c r="G1071" s="106"/>
      <c r="H1071" s="106"/>
      <c r="I1071" s="381"/>
      <c r="J1071" s="106"/>
      <c r="K1071" s="106"/>
      <c r="L1071" s="106"/>
    </row>
    <row r="1072" spans="1:12">
      <c r="A1072" s="106"/>
      <c r="B1072" s="106"/>
      <c r="C1072" s="107"/>
      <c r="D1072" s="106"/>
      <c r="E1072" s="106"/>
      <c r="F1072" s="107"/>
      <c r="G1072" s="106"/>
      <c r="H1072" s="106"/>
      <c r="I1072" s="381"/>
      <c r="J1072" s="106"/>
      <c r="K1072" s="106"/>
      <c r="L1072" s="106"/>
    </row>
    <row r="1073" spans="1:12">
      <c r="A1073" s="106"/>
      <c r="B1073" s="106"/>
      <c r="C1073" s="107"/>
      <c r="D1073" s="106"/>
      <c r="E1073" s="106"/>
      <c r="F1073" s="107"/>
      <c r="G1073" s="106"/>
      <c r="H1073" s="106"/>
      <c r="I1073" s="381"/>
      <c r="J1073" s="106"/>
      <c r="K1073" s="106"/>
      <c r="L1073" s="106"/>
    </row>
    <row r="1074" spans="1:12">
      <c r="A1074" s="106"/>
      <c r="B1074" s="106"/>
      <c r="C1074" s="107"/>
      <c r="D1074" s="106"/>
      <c r="E1074" s="106"/>
      <c r="F1074" s="107"/>
      <c r="G1074" s="106"/>
      <c r="H1074" s="106"/>
      <c r="I1074" s="381"/>
      <c r="J1074" s="106"/>
      <c r="K1074" s="106"/>
      <c r="L1074" s="106"/>
    </row>
    <row r="1075" spans="1:12">
      <c r="A1075" s="106"/>
      <c r="B1075" s="106"/>
      <c r="C1075" s="107"/>
      <c r="D1075" s="106"/>
      <c r="E1075" s="106"/>
      <c r="F1075" s="107"/>
      <c r="G1075" s="106"/>
      <c r="H1075" s="106"/>
      <c r="I1075" s="381"/>
      <c r="J1075" s="106"/>
      <c r="K1075" s="106"/>
      <c r="L1075" s="106"/>
    </row>
    <row r="1076" spans="1:12">
      <c r="A1076" s="106"/>
      <c r="B1076" s="106"/>
      <c r="C1076" s="107"/>
      <c r="D1076" s="106"/>
      <c r="E1076" s="106"/>
      <c r="F1076" s="107"/>
      <c r="G1076" s="106"/>
      <c r="H1076" s="106"/>
      <c r="I1076" s="381"/>
      <c r="J1076" s="106"/>
      <c r="K1076" s="106"/>
      <c r="L1076" s="106"/>
    </row>
    <row r="1077" spans="1:12">
      <c r="A1077" s="106"/>
      <c r="B1077" s="106"/>
      <c r="C1077" s="107"/>
      <c r="D1077" s="106"/>
      <c r="E1077" s="106"/>
      <c r="F1077" s="107"/>
      <c r="G1077" s="106"/>
      <c r="H1077" s="106"/>
      <c r="I1077" s="381"/>
      <c r="J1077" s="106"/>
      <c r="K1077" s="106"/>
      <c r="L1077" s="106"/>
    </row>
    <row r="1078" spans="1:12">
      <c r="A1078" s="106"/>
      <c r="B1078" s="106"/>
      <c r="C1078" s="107"/>
      <c r="D1078" s="106"/>
      <c r="E1078" s="106"/>
      <c r="F1078" s="107"/>
      <c r="G1078" s="106"/>
      <c r="H1078" s="106"/>
      <c r="I1078" s="381"/>
      <c r="J1078" s="106"/>
      <c r="K1078" s="106"/>
      <c r="L1078" s="106"/>
    </row>
    <row r="1079" spans="1:12">
      <c r="A1079" s="106"/>
      <c r="B1079" s="106"/>
      <c r="C1079" s="107"/>
      <c r="D1079" s="106"/>
      <c r="E1079" s="106"/>
      <c r="F1079" s="107"/>
      <c r="G1079" s="106"/>
      <c r="H1079" s="106"/>
      <c r="I1079" s="381"/>
      <c r="J1079" s="106"/>
      <c r="K1079" s="106"/>
      <c r="L1079" s="106"/>
    </row>
    <row r="1080" spans="1:12">
      <c r="A1080" s="106"/>
      <c r="B1080" s="106"/>
      <c r="C1080" s="107"/>
      <c r="D1080" s="106"/>
      <c r="E1080" s="106"/>
      <c r="F1080" s="107"/>
      <c r="G1080" s="106"/>
      <c r="H1080" s="106"/>
      <c r="I1080" s="381"/>
      <c r="J1080" s="106"/>
      <c r="K1080" s="106"/>
      <c r="L1080" s="106"/>
    </row>
    <row r="1081" spans="1:12">
      <c r="A1081" s="106"/>
      <c r="B1081" s="106"/>
      <c r="C1081" s="107"/>
      <c r="D1081" s="106"/>
      <c r="E1081" s="106"/>
      <c r="F1081" s="107"/>
      <c r="G1081" s="106"/>
      <c r="H1081" s="106"/>
      <c r="I1081" s="381"/>
      <c r="J1081" s="106"/>
      <c r="K1081" s="106"/>
      <c r="L1081" s="106"/>
    </row>
    <row r="1082" spans="1:12">
      <c r="A1082" s="106"/>
      <c r="B1082" s="106"/>
      <c r="C1082" s="107"/>
      <c r="D1082" s="106"/>
      <c r="E1082" s="106"/>
      <c r="F1082" s="107"/>
      <c r="G1082" s="106"/>
      <c r="H1082" s="106"/>
      <c r="I1082" s="381"/>
      <c r="J1082" s="106"/>
      <c r="K1082" s="106"/>
      <c r="L1082" s="106"/>
    </row>
    <row r="1083" spans="1:12">
      <c r="A1083" s="106"/>
      <c r="B1083" s="106"/>
      <c r="C1083" s="107"/>
      <c r="D1083" s="106"/>
      <c r="E1083" s="106"/>
      <c r="F1083" s="107"/>
      <c r="G1083" s="106"/>
      <c r="H1083" s="106"/>
      <c r="I1083" s="381"/>
      <c r="J1083" s="106"/>
      <c r="K1083" s="106"/>
      <c r="L1083" s="106"/>
    </row>
    <row r="1084" spans="1:12">
      <c r="A1084" s="106"/>
      <c r="B1084" s="106"/>
      <c r="C1084" s="107"/>
      <c r="D1084" s="106"/>
      <c r="E1084" s="106"/>
      <c r="F1084" s="107"/>
      <c r="G1084" s="106"/>
      <c r="H1084" s="106"/>
      <c r="I1084" s="381"/>
      <c r="J1084" s="106"/>
      <c r="K1084" s="106"/>
      <c r="L1084" s="106"/>
    </row>
    <row r="1085" spans="1:12">
      <c r="A1085" s="106"/>
      <c r="B1085" s="106"/>
      <c r="C1085" s="107"/>
      <c r="D1085" s="106"/>
      <c r="E1085" s="106"/>
      <c r="F1085" s="107"/>
      <c r="G1085" s="106"/>
      <c r="H1085" s="106"/>
      <c r="I1085" s="381"/>
      <c r="J1085" s="106"/>
      <c r="K1085" s="106"/>
      <c r="L1085" s="106"/>
    </row>
    <row r="1086" spans="1:12">
      <c r="A1086" s="106"/>
      <c r="B1086" s="106"/>
      <c r="C1086" s="107"/>
      <c r="D1086" s="106"/>
      <c r="E1086" s="106"/>
      <c r="F1086" s="107"/>
      <c r="G1086" s="106"/>
      <c r="H1086" s="106"/>
      <c r="I1086" s="381"/>
      <c r="J1086" s="106"/>
      <c r="K1086" s="106"/>
      <c r="L1086" s="106"/>
    </row>
    <row r="1087" spans="1:12">
      <c r="A1087" s="106"/>
      <c r="B1087" s="106"/>
      <c r="C1087" s="107"/>
      <c r="D1087" s="106"/>
      <c r="E1087" s="106"/>
      <c r="F1087" s="107"/>
      <c r="G1087" s="106"/>
      <c r="H1087" s="106"/>
      <c r="I1087" s="381"/>
      <c r="J1087" s="106"/>
      <c r="K1087" s="106"/>
      <c r="L1087" s="106"/>
    </row>
    <row r="1088" spans="1:12">
      <c r="A1088" s="106"/>
      <c r="B1088" s="106"/>
      <c r="C1088" s="107"/>
      <c r="D1088" s="106"/>
      <c r="E1088" s="106"/>
      <c r="F1088" s="107"/>
      <c r="G1088" s="106"/>
      <c r="H1088" s="106"/>
      <c r="I1088" s="381"/>
      <c r="J1088" s="106"/>
      <c r="K1088" s="106"/>
      <c r="L1088" s="106"/>
    </row>
    <row r="1089" spans="1:12">
      <c r="A1089" s="106"/>
      <c r="B1089" s="106"/>
      <c r="C1089" s="107"/>
      <c r="D1089" s="106"/>
      <c r="E1089" s="106"/>
      <c r="F1089" s="107"/>
      <c r="G1089" s="106"/>
      <c r="H1089" s="106"/>
      <c r="I1089" s="381"/>
      <c r="J1089" s="106"/>
      <c r="K1089" s="106"/>
      <c r="L1089" s="106"/>
    </row>
    <row r="1090" spans="1:12">
      <c r="A1090" s="106"/>
      <c r="B1090" s="106"/>
      <c r="C1090" s="107"/>
      <c r="D1090" s="106"/>
      <c r="E1090" s="106"/>
      <c r="F1090" s="107"/>
      <c r="G1090" s="106"/>
      <c r="H1090" s="106"/>
      <c r="I1090" s="381"/>
      <c r="J1090" s="106"/>
      <c r="K1090" s="106"/>
      <c r="L1090" s="106"/>
    </row>
    <row r="1091" spans="1:12">
      <c r="A1091" s="106"/>
      <c r="B1091" s="106"/>
      <c r="C1091" s="107"/>
      <c r="D1091" s="106"/>
      <c r="E1091" s="106"/>
      <c r="F1091" s="107"/>
      <c r="G1091" s="106"/>
      <c r="H1091" s="106"/>
      <c r="I1091" s="381"/>
      <c r="J1091" s="106"/>
      <c r="K1091" s="106"/>
      <c r="L1091" s="106"/>
    </row>
    <row r="1092" spans="1:12">
      <c r="A1092" s="106"/>
      <c r="B1092" s="106"/>
      <c r="C1092" s="107"/>
      <c r="D1092" s="106"/>
      <c r="E1092" s="106"/>
      <c r="F1092" s="107"/>
      <c r="G1092" s="106"/>
      <c r="H1092" s="106"/>
      <c r="I1092" s="381"/>
      <c r="J1092" s="106"/>
      <c r="K1092" s="106"/>
      <c r="L1092" s="106"/>
    </row>
    <row r="1093" spans="1:12">
      <c r="A1093" s="106"/>
      <c r="B1093" s="106"/>
      <c r="C1093" s="107"/>
      <c r="D1093" s="106"/>
      <c r="E1093" s="106"/>
      <c r="F1093" s="107"/>
      <c r="G1093" s="106"/>
      <c r="H1093" s="106"/>
      <c r="I1093" s="381"/>
      <c r="J1093" s="106"/>
      <c r="K1093" s="106"/>
      <c r="L1093" s="106"/>
    </row>
    <row r="1094" spans="1:12">
      <c r="A1094" s="106"/>
      <c r="B1094" s="106"/>
      <c r="C1094" s="107"/>
      <c r="D1094" s="106"/>
      <c r="E1094" s="106"/>
      <c r="F1094" s="107"/>
      <c r="G1094" s="106"/>
      <c r="H1094" s="106"/>
      <c r="I1094" s="381"/>
      <c r="J1094" s="106"/>
      <c r="K1094" s="106"/>
      <c r="L1094" s="106"/>
    </row>
    <row r="1095" spans="1:12">
      <c r="A1095" s="106"/>
      <c r="B1095" s="106"/>
      <c r="C1095" s="107"/>
      <c r="D1095" s="106"/>
      <c r="E1095" s="106"/>
      <c r="F1095" s="107"/>
      <c r="G1095" s="106"/>
      <c r="H1095" s="106"/>
      <c r="I1095" s="381"/>
      <c r="J1095" s="106"/>
      <c r="K1095" s="106"/>
      <c r="L1095" s="106"/>
    </row>
    <row r="1096" spans="1:12">
      <c r="A1096" s="106"/>
      <c r="B1096" s="106"/>
      <c r="C1096" s="107"/>
      <c r="D1096" s="106"/>
      <c r="E1096" s="106"/>
      <c r="F1096" s="107"/>
      <c r="G1096" s="106"/>
      <c r="H1096" s="106"/>
      <c r="I1096" s="381"/>
      <c r="J1096" s="106"/>
      <c r="K1096" s="106"/>
      <c r="L1096" s="106"/>
    </row>
    <row r="1097" spans="1:12">
      <c r="A1097" s="106"/>
      <c r="B1097" s="106"/>
      <c r="C1097" s="107"/>
      <c r="D1097" s="106"/>
      <c r="E1097" s="106"/>
      <c r="F1097" s="107"/>
      <c r="G1097" s="106"/>
      <c r="H1097" s="106"/>
      <c r="I1097" s="381"/>
      <c r="J1097" s="106"/>
      <c r="K1097" s="106"/>
      <c r="L1097" s="106"/>
    </row>
    <row r="1098" spans="1:12">
      <c r="A1098" s="106"/>
      <c r="B1098" s="106"/>
      <c r="C1098" s="107"/>
      <c r="D1098" s="106"/>
      <c r="E1098" s="106"/>
      <c r="F1098" s="107"/>
      <c r="G1098" s="106"/>
      <c r="H1098" s="106"/>
      <c r="I1098" s="381"/>
      <c r="J1098" s="106"/>
      <c r="K1098" s="106"/>
      <c r="L1098" s="106"/>
    </row>
    <row r="1099" spans="1:12">
      <c r="A1099" s="106"/>
      <c r="B1099" s="106"/>
      <c r="C1099" s="107"/>
      <c r="D1099" s="106"/>
      <c r="E1099" s="106"/>
      <c r="F1099" s="107"/>
      <c r="G1099" s="106"/>
      <c r="H1099" s="106"/>
      <c r="I1099" s="381"/>
      <c r="J1099" s="106"/>
      <c r="K1099" s="106"/>
      <c r="L1099" s="106"/>
    </row>
    <row r="1100" spans="1:12">
      <c r="A1100" s="106"/>
      <c r="B1100" s="106"/>
      <c r="C1100" s="107"/>
      <c r="D1100" s="106"/>
      <c r="E1100" s="106"/>
      <c r="F1100" s="107"/>
      <c r="G1100" s="106"/>
      <c r="H1100" s="106"/>
      <c r="I1100" s="381"/>
      <c r="J1100" s="106"/>
      <c r="K1100" s="106"/>
      <c r="L1100" s="106"/>
    </row>
    <row r="1101" spans="1:12">
      <c r="A1101" s="106"/>
      <c r="B1101" s="106"/>
      <c r="C1101" s="107"/>
      <c r="D1101" s="106"/>
      <c r="E1101" s="106"/>
      <c r="F1101" s="107"/>
      <c r="G1101" s="106"/>
      <c r="H1101" s="106"/>
      <c r="I1101" s="381"/>
      <c r="J1101" s="106"/>
      <c r="K1101" s="106"/>
      <c r="L1101" s="106"/>
    </row>
    <row r="1102" spans="1:12">
      <c r="A1102" s="106"/>
      <c r="B1102" s="106"/>
      <c r="C1102" s="107"/>
      <c r="D1102" s="106"/>
      <c r="E1102" s="106"/>
      <c r="F1102" s="107"/>
      <c r="G1102" s="106"/>
      <c r="H1102" s="106"/>
      <c r="I1102" s="381"/>
      <c r="J1102" s="106"/>
      <c r="K1102" s="106"/>
      <c r="L1102" s="106"/>
    </row>
    <row r="1103" spans="1:12">
      <c r="A1103" s="106"/>
      <c r="B1103" s="106"/>
      <c r="C1103" s="107"/>
      <c r="D1103" s="106"/>
      <c r="E1103" s="106"/>
      <c r="F1103" s="107"/>
      <c r="G1103" s="106"/>
      <c r="H1103" s="106"/>
      <c r="I1103" s="381"/>
      <c r="J1103" s="106"/>
      <c r="K1103" s="106"/>
      <c r="L1103" s="106"/>
    </row>
    <row r="1104" spans="1:12">
      <c r="A1104" s="106"/>
      <c r="B1104" s="106"/>
      <c r="C1104" s="107"/>
      <c r="D1104" s="106"/>
      <c r="E1104" s="106"/>
      <c r="F1104" s="107"/>
      <c r="G1104" s="106"/>
      <c r="H1104" s="106"/>
      <c r="I1104" s="381"/>
      <c r="J1104" s="106"/>
      <c r="K1104" s="106"/>
      <c r="L1104" s="106"/>
    </row>
    <row r="1105" spans="1:12">
      <c r="A1105" s="106"/>
      <c r="B1105" s="106"/>
      <c r="C1105" s="107"/>
      <c r="D1105" s="106"/>
      <c r="E1105" s="106"/>
      <c r="F1105" s="107"/>
      <c r="G1105" s="106"/>
      <c r="H1105" s="106"/>
      <c r="I1105" s="381"/>
      <c r="J1105" s="106"/>
      <c r="K1105" s="106"/>
      <c r="L1105" s="106"/>
    </row>
    <row r="1106" spans="1:12">
      <c r="A1106" s="106"/>
      <c r="B1106" s="106"/>
      <c r="C1106" s="107"/>
      <c r="D1106" s="106"/>
      <c r="E1106" s="106"/>
      <c r="F1106" s="107"/>
      <c r="G1106" s="106"/>
      <c r="H1106" s="106"/>
      <c r="I1106" s="381"/>
      <c r="J1106" s="106"/>
      <c r="K1106" s="106"/>
      <c r="L1106" s="106"/>
    </row>
    <row r="1107" spans="1:12">
      <c r="A1107" s="106"/>
      <c r="B1107" s="106"/>
      <c r="C1107" s="107"/>
      <c r="D1107" s="106"/>
      <c r="E1107" s="106"/>
      <c r="F1107" s="107"/>
      <c r="G1107" s="106"/>
      <c r="H1107" s="106"/>
      <c r="I1107" s="381"/>
      <c r="J1107" s="106"/>
      <c r="K1107" s="106"/>
      <c r="L1107" s="106"/>
    </row>
    <row r="1108" spans="1:12">
      <c r="A1108" s="106"/>
      <c r="B1108" s="106"/>
      <c r="C1108" s="107"/>
      <c r="D1108" s="106"/>
      <c r="E1108" s="106"/>
      <c r="F1108" s="107"/>
      <c r="G1108" s="106"/>
      <c r="H1108" s="106"/>
      <c r="I1108" s="381"/>
      <c r="J1108" s="106"/>
      <c r="K1108" s="106"/>
      <c r="L1108" s="106"/>
    </row>
    <row r="1109" spans="1:12">
      <c r="A1109" s="106"/>
      <c r="B1109" s="106"/>
      <c r="C1109" s="107"/>
      <c r="D1109" s="106"/>
      <c r="E1109" s="106"/>
      <c r="F1109" s="107"/>
      <c r="G1109" s="106"/>
      <c r="H1109" s="106"/>
      <c r="I1109" s="381"/>
      <c r="J1109" s="106"/>
      <c r="K1109" s="106"/>
      <c r="L1109" s="106"/>
    </row>
    <row r="1110" spans="1:12">
      <c r="A1110" s="106"/>
      <c r="B1110" s="106"/>
      <c r="C1110" s="107"/>
      <c r="D1110" s="106"/>
      <c r="E1110" s="106"/>
      <c r="F1110" s="107"/>
      <c r="G1110" s="106"/>
      <c r="H1110" s="106"/>
      <c r="I1110" s="381"/>
      <c r="J1110" s="106"/>
      <c r="K1110" s="106"/>
      <c r="L1110" s="106"/>
    </row>
    <row r="1111" spans="1:12">
      <c r="A1111" s="106"/>
      <c r="B1111" s="106"/>
      <c r="C1111" s="107"/>
      <c r="D1111" s="106"/>
      <c r="E1111" s="106"/>
      <c r="F1111" s="107"/>
      <c r="G1111" s="106"/>
      <c r="H1111" s="106"/>
      <c r="I1111" s="381"/>
      <c r="J1111" s="106"/>
      <c r="K1111" s="106"/>
      <c r="L1111" s="106"/>
    </row>
    <row r="1112" spans="1:12">
      <c r="A1112" s="106"/>
      <c r="B1112" s="106"/>
      <c r="C1112" s="107"/>
      <c r="D1112" s="106"/>
      <c r="E1112" s="106"/>
      <c r="F1112" s="107"/>
      <c r="G1112" s="106"/>
      <c r="H1112" s="106"/>
      <c r="I1112" s="381"/>
      <c r="J1112" s="106"/>
      <c r="K1112" s="106"/>
      <c r="L1112" s="106"/>
    </row>
    <row r="1113" spans="1:12">
      <c r="A1113" s="106"/>
      <c r="B1113" s="106"/>
      <c r="C1113" s="107"/>
      <c r="D1113" s="106"/>
      <c r="E1113" s="106"/>
      <c r="F1113" s="107"/>
      <c r="G1113" s="106"/>
      <c r="H1113" s="106"/>
      <c r="I1113" s="381"/>
      <c r="J1113" s="106"/>
      <c r="K1113" s="106"/>
      <c r="L1113" s="106"/>
    </row>
    <row r="1114" spans="1:12">
      <c r="A1114" s="106"/>
      <c r="B1114" s="106"/>
      <c r="C1114" s="107"/>
      <c r="D1114" s="106"/>
      <c r="E1114" s="106"/>
      <c r="F1114" s="107"/>
      <c r="G1114" s="106"/>
      <c r="H1114" s="106"/>
      <c r="I1114" s="381"/>
      <c r="J1114" s="106"/>
      <c r="K1114" s="106"/>
      <c r="L1114" s="106"/>
    </row>
    <row r="1115" spans="1:12">
      <c r="A1115" s="106"/>
      <c r="B1115" s="106"/>
      <c r="C1115" s="107"/>
      <c r="D1115" s="106"/>
      <c r="E1115" s="106"/>
      <c r="F1115" s="107"/>
      <c r="G1115" s="106"/>
      <c r="H1115" s="106"/>
      <c r="I1115" s="381"/>
      <c r="J1115" s="106"/>
      <c r="K1115" s="106"/>
      <c r="L1115" s="106"/>
    </row>
    <row r="1116" spans="1:12">
      <c r="A1116" s="106"/>
      <c r="B1116" s="106"/>
      <c r="C1116" s="107"/>
      <c r="D1116" s="106"/>
      <c r="E1116" s="106"/>
      <c r="F1116" s="107"/>
      <c r="G1116" s="106"/>
      <c r="H1116" s="106"/>
      <c r="I1116" s="381"/>
      <c r="J1116" s="106"/>
      <c r="K1116" s="106"/>
      <c r="L1116" s="106"/>
    </row>
    <row r="1117" spans="1:12">
      <c r="A1117" s="106"/>
      <c r="B1117" s="106"/>
      <c r="C1117" s="107"/>
      <c r="D1117" s="106"/>
      <c r="E1117" s="106"/>
      <c r="F1117" s="107"/>
      <c r="G1117" s="106"/>
      <c r="H1117" s="106"/>
      <c r="I1117" s="381"/>
      <c r="J1117" s="106"/>
      <c r="K1117" s="106"/>
      <c r="L1117" s="106"/>
    </row>
    <row r="1118" spans="1:12">
      <c r="A1118" s="106"/>
      <c r="B1118" s="106"/>
      <c r="C1118" s="107"/>
      <c r="D1118" s="106"/>
      <c r="E1118" s="106"/>
      <c r="F1118" s="107"/>
      <c r="G1118" s="106"/>
      <c r="H1118" s="106"/>
      <c r="I1118" s="381"/>
      <c r="J1118" s="106"/>
      <c r="K1118" s="106"/>
      <c r="L1118" s="106"/>
    </row>
    <row r="1119" spans="1:12">
      <c r="A1119" s="106"/>
      <c r="B1119" s="106"/>
      <c r="C1119" s="107"/>
      <c r="D1119" s="106"/>
      <c r="E1119" s="106"/>
      <c r="F1119" s="107"/>
      <c r="G1119" s="106"/>
      <c r="H1119" s="106"/>
      <c r="I1119" s="381"/>
      <c r="J1119" s="106"/>
      <c r="K1119" s="106"/>
      <c r="L1119" s="106"/>
    </row>
    <row r="1120" spans="1:12">
      <c r="A1120" s="106"/>
      <c r="B1120" s="106"/>
      <c r="C1120" s="107"/>
      <c r="D1120" s="106"/>
      <c r="E1120" s="106"/>
      <c r="F1120" s="107"/>
      <c r="G1120" s="106"/>
      <c r="H1120" s="106"/>
      <c r="I1120" s="381"/>
      <c r="J1120" s="106"/>
      <c r="K1120" s="106"/>
      <c r="L1120" s="106"/>
    </row>
    <row r="1121" spans="1:12">
      <c r="A1121" s="106"/>
      <c r="B1121" s="106"/>
      <c r="C1121" s="107"/>
      <c r="D1121" s="106"/>
      <c r="E1121" s="106"/>
      <c r="F1121" s="107"/>
      <c r="G1121" s="106"/>
      <c r="H1121" s="106"/>
      <c r="I1121" s="381"/>
      <c r="J1121" s="106"/>
      <c r="K1121" s="106"/>
      <c r="L1121" s="106"/>
    </row>
    <row r="1122" spans="1:12">
      <c r="A1122" s="106"/>
      <c r="B1122" s="106"/>
      <c r="C1122" s="107"/>
      <c r="D1122" s="106"/>
      <c r="E1122" s="106"/>
      <c r="F1122" s="107"/>
      <c r="G1122" s="106"/>
      <c r="H1122" s="106"/>
      <c r="I1122" s="381"/>
      <c r="J1122" s="106"/>
      <c r="K1122" s="106"/>
      <c r="L1122" s="106"/>
    </row>
    <row r="1123" spans="1:12">
      <c r="A1123" s="106"/>
      <c r="B1123" s="106"/>
      <c r="C1123" s="107"/>
      <c r="D1123" s="106"/>
      <c r="E1123" s="106"/>
      <c r="F1123" s="107"/>
      <c r="G1123" s="106"/>
      <c r="H1123" s="106"/>
      <c r="I1123" s="381"/>
      <c r="J1123" s="106"/>
      <c r="K1123" s="106"/>
      <c r="L1123" s="106"/>
    </row>
    <row r="1124" spans="1:12">
      <c r="A1124" s="106"/>
      <c r="B1124" s="106"/>
      <c r="C1124" s="107"/>
      <c r="D1124" s="106"/>
      <c r="E1124" s="106"/>
      <c r="F1124" s="107"/>
      <c r="G1124" s="106"/>
      <c r="H1124" s="106"/>
      <c r="I1124" s="381"/>
      <c r="J1124" s="106"/>
      <c r="K1124" s="106"/>
      <c r="L1124" s="106"/>
    </row>
    <row r="1125" spans="1:12">
      <c r="A1125" s="106"/>
      <c r="B1125" s="106"/>
      <c r="C1125" s="107"/>
      <c r="D1125" s="106"/>
      <c r="E1125" s="106"/>
      <c r="F1125" s="107"/>
      <c r="G1125" s="106"/>
      <c r="H1125" s="106"/>
      <c r="I1125" s="381"/>
      <c r="J1125" s="106"/>
      <c r="K1125" s="106"/>
      <c r="L1125" s="106"/>
    </row>
    <row r="1126" spans="1:12">
      <c r="A1126" s="106"/>
      <c r="B1126" s="106"/>
      <c r="C1126" s="107"/>
      <c r="D1126" s="106"/>
      <c r="E1126" s="106"/>
      <c r="F1126" s="107"/>
      <c r="G1126" s="106"/>
      <c r="H1126" s="106"/>
      <c r="I1126" s="381"/>
      <c r="J1126" s="106"/>
      <c r="K1126" s="106"/>
      <c r="L1126" s="106"/>
    </row>
    <row r="1127" spans="1:12">
      <c r="A1127" s="106"/>
      <c r="B1127" s="106"/>
      <c r="C1127" s="107"/>
      <c r="D1127" s="106"/>
      <c r="E1127" s="106"/>
      <c r="F1127" s="107"/>
      <c r="G1127" s="106"/>
      <c r="H1127" s="106"/>
      <c r="I1127" s="381"/>
      <c r="J1127" s="106"/>
      <c r="K1127" s="106"/>
      <c r="L1127" s="106"/>
    </row>
    <row r="1128" spans="1:12">
      <c r="A1128" s="106"/>
      <c r="B1128" s="106"/>
      <c r="C1128" s="107"/>
      <c r="D1128" s="106"/>
      <c r="E1128" s="106"/>
      <c r="F1128" s="107"/>
      <c r="G1128" s="106"/>
      <c r="H1128" s="106"/>
      <c r="I1128" s="381"/>
      <c r="J1128" s="106"/>
      <c r="K1128" s="106"/>
      <c r="L1128" s="106"/>
    </row>
    <row r="1129" spans="1:12">
      <c r="A1129" s="106"/>
      <c r="B1129" s="106"/>
      <c r="C1129" s="107"/>
      <c r="D1129" s="106"/>
      <c r="E1129" s="106"/>
      <c r="F1129" s="107"/>
      <c r="G1129" s="106"/>
      <c r="H1129" s="106"/>
      <c r="I1129" s="381"/>
      <c r="J1129" s="106"/>
      <c r="K1129" s="106"/>
      <c r="L1129" s="106"/>
    </row>
    <row r="1130" spans="1:12">
      <c r="A1130" s="106"/>
      <c r="B1130" s="106"/>
      <c r="C1130" s="107"/>
      <c r="D1130" s="106"/>
      <c r="E1130" s="106"/>
      <c r="F1130" s="107"/>
      <c r="G1130" s="106"/>
      <c r="H1130" s="106"/>
      <c r="I1130" s="381"/>
      <c r="J1130" s="106"/>
      <c r="K1130" s="106"/>
      <c r="L1130" s="106"/>
    </row>
    <row r="1131" spans="1:12">
      <c r="A1131" s="106"/>
      <c r="B1131" s="106"/>
      <c r="C1131" s="107"/>
      <c r="D1131" s="106"/>
      <c r="E1131" s="106"/>
      <c r="F1131" s="107"/>
      <c r="G1131" s="106"/>
      <c r="H1131" s="106"/>
      <c r="I1131" s="381"/>
      <c r="J1131" s="106"/>
      <c r="K1131" s="106"/>
      <c r="L1131" s="106"/>
    </row>
    <row r="1132" spans="1:12">
      <c r="A1132" s="106"/>
      <c r="B1132" s="106"/>
      <c r="C1132" s="107"/>
      <c r="D1132" s="106"/>
      <c r="E1132" s="106"/>
      <c r="F1132" s="107"/>
      <c r="G1132" s="106"/>
      <c r="H1132" s="106"/>
      <c r="I1132" s="381"/>
      <c r="J1132" s="106"/>
      <c r="K1132" s="106"/>
      <c r="L1132" s="106"/>
    </row>
    <row r="1133" spans="1:12">
      <c r="A1133" s="106"/>
      <c r="B1133" s="106"/>
      <c r="C1133" s="107"/>
      <c r="D1133" s="106"/>
      <c r="E1133" s="106"/>
      <c r="F1133" s="107"/>
      <c r="G1133" s="106"/>
      <c r="H1133" s="106"/>
      <c r="I1133" s="381"/>
      <c r="J1133" s="106"/>
      <c r="K1133" s="106"/>
      <c r="L1133" s="106"/>
    </row>
    <row r="1134" spans="1:12">
      <c r="A1134" s="106"/>
      <c r="B1134" s="106"/>
      <c r="C1134" s="107"/>
      <c r="D1134" s="106"/>
      <c r="E1134" s="106"/>
      <c r="F1134" s="107"/>
      <c r="G1134" s="106"/>
      <c r="H1134" s="106"/>
      <c r="I1134" s="381"/>
      <c r="J1134" s="106"/>
      <c r="K1134" s="106"/>
      <c r="L1134" s="106"/>
    </row>
    <row r="1135" spans="1:12">
      <c r="A1135" s="106"/>
      <c r="B1135" s="106"/>
      <c r="C1135" s="107"/>
      <c r="D1135" s="106"/>
      <c r="E1135" s="106"/>
      <c r="F1135" s="107"/>
      <c r="G1135" s="106"/>
      <c r="H1135" s="106"/>
      <c r="I1135" s="381"/>
      <c r="J1135" s="106"/>
      <c r="K1135" s="106"/>
      <c r="L1135" s="106"/>
    </row>
    <row r="1136" spans="1:12">
      <c r="A1136" s="106"/>
      <c r="B1136" s="106"/>
      <c r="C1136" s="107"/>
      <c r="D1136" s="106"/>
      <c r="E1136" s="106"/>
      <c r="F1136" s="107"/>
      <c r="G1136" s="106"/>
      <c r="H1136" s="106"/>
      <c r="I1136" s="381"/>
      <c r="J1136" s="106"/>
      <c r="K1136" s="106"/>
      <c r="L1136" s="106"/>
    </row>
    <row r="1137" spans="1:12">
      <c r="A1137" s="106"/>
      <c r="B1137" s="106"/>
      <c r="C1137" s="107"/>
      <c r="D1137" s="106"/>
      <c r="E1137" s="106"/>
      <c r="F1137" s="107"/>
      <c r="G1137" s="106"/>
      <c r="H1137" s="106"/>
      <c r="I1137" s="381"/>
      <c r="J1137" s="106"/>
      <c r="K1137" s="106"/>
      <c r="L1137" s="106"/>
    </row>
    <row r="1138" spans="1:12">
      <c r="A1138" s="106"/>
      <c r="B1138" s="106"/>
      <c r="C1138" s="107"/>
      <c r="D1138" s="106"/>
      <c r="E1138" s="106"/>
      <c r="F1138" s="107"/>
      <c r="G1138" s="106"/>
      <c r="H1138" s="106"/>
      <c r="I1138" s="381"/>
      <c r="J1138" s="106"/>
      <c r="K1138" s="106"/>
      <c r="L1138" s="106"/>
    </row>
    <row r="1139" spans="1:12">
      <c r="A1139" s="106"/>
      <c r="B1139" s="106"/>
      <c r="C1139" s="107"/>
      <c r="D1139" s="106"/>
      <c r="E1139" s="106"/>
      <c r="F1139" s="107"/>
      <c r="G1139" s="106"/>
      <c r="H1139" s="106"/>
      <c r="I1139" s="381"/>
      <c r="J1139" s="106"/>
      <c r="K1139" s="106"/>
      <c r="L1139" s="106"/>
    </row>
    <row r="1140" spans="1:12">
      <c r="A1140" s="106"/>
      <c r="B1140" s="106"/>
      <c r="C1140" s="107"/>
      <c r="D1140" s="106"/>
      <c r="E1140" s="106"/>
      <c r="F1140" s="107"/>
      <c r="G1140" s="106"/>
      <c r="H1140" s="106"/>
      <c r="I1140" s="381"/>
      <c r="J1140" s="106"/>
      <c r="K1140" s="106"/>
      <c r="L1140" s="106"/>
    </row>
    <row r="1141" spans="1:12">
      <c r="A1141" s="106"/>
      <c r="B1141" s="106"/>
      <c r="C1141" s="107"/>
      <c r="D1141" s="106"/>
      <c r="E1141" s="106"/>
      <c r="F1141" s="107"/>
      <c r="G1141" s="106"/>
      <c r="H1141" s="106"/>
      <c r="I1141" s="381"/>
      <c r="J1141" s="106"/>
      <c r="K1141" s="106"/>
      <c r="L1141" s="106"/>
    </row>
    <row r="1142" spans="1:12">
      <c r="A1142" s="106"/>
      <c r="B1142" s="106"/>
      <c r="C1142" s="107"/>
      <c r="D1142" s="106"/>
      <c r="E1142" s="106"/>
      <c r="F1142" s="107"/>
      <c r="G1142" s="106"/>
      <c r="H1142" s="106"/>
      <c r="I1142" s="381"/>
      <c r="J1142" s="106"/>
      <c r="K1142" s="106"/>
      <c r="L1142" s="106"/>
    </row>
    <row r="1143" spans="1:12">
      <c r="A1143" s="106"/>
      <c r="B1143" s="106"/>
      <c r="C1143" s="107"/>
      <c r="D1143" s="106"/>
      <c r="E1143" s="106"/>
      <c r="F1143" s="107"/>
      <c r="G1143" s="106"/>
      <c r="H1143" s="106"/>
      <c r="I1143" s="381"/>
      <c r="J1143" s="106"/>
      <c r="K1143" s="106"/>
      <c r="L1143" s="106"/>
    </row>
    <row r="1144" spans="1:12">
      <c r="A1144" s="106"/>
      <c r="B1144" s="106"/>
      <c r="C1144" s="107"/>
      <c r="D1144" s="106"/>
      <c r="E1144" s="106"/>
      <c r="F1144" s="107"/>
      <c r="G1144" s="106"/>
      <c r="H1144" s="106"/>
      <c r="I1144" s="381"/>
      <c r="J1144" s="106"/>
      <c r="K1144" s="106"/>
      <c r="L1144" s="106"/>
    </row>
    <row r="1145" spans="1:12">
      <c r="A1145" s="106"/>
      <c r="B1145" s="106"/>
      <c r="C1145" s="107"/>
      <c r="D1145" s="106"/>
      <c r="E1145" s="106"/>
      <c r="F1145" s="107"/>
      <c r="G1145" s="106"/>
      <c r="H1145" s="106"/>
      <c r="I1145" s="381"/>
      <c r="J1145" s="106"/>
      <c r="K1145" s="106"/>
      <c r="L1145" s="106"/>
    </row>
    <row r="1146" spans="1:12">
      <c r="A1146" s="106"/>
      <c r="B1146" s="106"/>
      <c r="C1146" s="107"/>
      <c r="D1146" s="106"/>
      <c r="E1146" s="106"/>
      <c r="F1146" s="107"/>
      <c r="G1146" s="106"/>
      <c r="H1146" s="106"/>
      <c r="I1146" s="381"/>
      <c r="J1146" s="106"/>
      <c r="K1146" s="106"/>
      <c r="L1146" s="106"/>
    </row>
    <row r="1147" spans="1:12">
      <c r="A1147" s="106"/>
      <c r="B1147" s="106"/>
      <c r="C1147" s="107"/>
      <c r="D1147" s="106"/>
      <c r="E1147" s="106"/>
      <c r="F1147" s="107"/>
      <c r="G1147" s="106"/>
      <c r="H1147" s="106"/>
      <c r="I1147" s="381"/>
      <c r="J1147" s="106"/>
      <c r="K1147" s="106"/>
      <c r="L1147" s="106"/>
    </row>
    <row r="1148" spans="1:12">
      <c r="A1148" s="106"/>
      <c r="B1148" s="106"/>
      <c r="C1148" s="107"/>
      <c r="D1148" s="106"/>
      <c r="E1148" s="106"/>
      <c r="F1148" s="107"/>
      <c r="G1148" s="106"/>
      <c r="H1148" s="106"/>
      <c r="I1148" s="381"/>
      <c r="J1148" s="106"/>
      <c r="K1148" s="106"/>
      <c r="L1148" s="106"/>
    </row>
    <row r="1149" spans="1:12">
      <c r="A1149" s="106"/>
      <c r="B1149" s="106"/>
      <c r="C1149" s="107"/>
      <c r="D1149" s="106"/>
      <c r="E1149" s="106"/>
      <c r="F1149" s="107"/>
      <c r="G1149" s="106"/>
      <c r="H1149" s="106"/>
      <c r="I1149" s="381"/>
      <c r="J1149" s="106"/>
      <c r="K1149" s="106"/>
      <c r="L1149" s="106"/>
    </row>
    <row r="1150" spans="1:12">
      <c r="A1150" s="106"/>
      <c r="B1150" s="106"/>
      <c r="C1150" s="107"/>
      <c r="D1150" s="106"/>
      <c r="E1150" s="106"/>
      <c r="F1150" s="107"/>
      <c r="G1150" s="106"/>
      <c r="H1150" s="106"/>
      <c r="I1150" s="381"/>
      <c r="J1150" s="106"/>
      <c r="K1150" s="106"/>
      <c r="L1150" s="106"/>
    </row>
    <row r="1151" spans="1:12">
      <c r="A1151" s="106"/>
      <c r="B1151" s="106"/>
      <c r="C1151" s="107"/>
      <c r="D1151" s="106"/>
      <c r="E1151" s="106"/>
      <c r="F1151" s="107"/>
      <c r="G1151" s="106"/>
      <c r="H1151" s="106"/>
      <c r="I1151" s="381"/>
      <c r="J1151" s="106"/>
      <c r="K1151" s="106"/>
      <c r="L1151" s="106"/>
    </row>
    <row r="1152" spans="1:12">
      <c r="A1152" s="106"/>
      <c r="B1152" s="106"/>
      <c r="C1152" s="107"/>
      <c r="D1152" s="106"/>
      <c r="E1152" s="106"/>
      <c r="F1152" s="107"/>
      <c r="G1152" s="106"/>
      <c r="H1152" s="106"/>
      <c r="I1152" s="381"/>
      <c r="J1152" s="106"/>
      <c r="K1152" s="106"/>
      <c r="L1152" s="106"/>
    </row>
    <row r="1153" spans="1:12">
      <c r="A1153" s="106"/>
      <c r="B1153" s="106"/>
      <c r="C1153" s="107"/>
      <c r="D1153" s="106"/>
      <c r="E1153" s="106"/>
      <c r="F1153" s="107"/>
      <c r="G1153" s="106"/>
      <c r="H1153" s="106"/>
      <c r="I1153" s="381"/>
      <c r="J1153" s="106"/>
      <c r="K1153" s="106"/>
      <c r="L1153" s="106"/>
    </row>
    <row r="1154" spans="1:12">
      <c r="A1154" s="106"/>
      <c r="B1154" s="106"/>
      <c r="C1154" s="107"/>
      <c r="D1154" s="106"/>
      <c r="E1154" s="106"/>
      <c r="F1154" s="107"/>
      <c r="G1154" s="106"/>
      <c r="H1154" s="106"/>
      <c r="I1154" s="381"/>
      <c r="J1154" s="106"/>
      <c r="K1154" s="106"/>
      <c r="L1154" s="106"/>
    </row>
    <row r="1155" spans="1:12">
      <c r="A1155" s="106"/>
      <c r="B1155" s="106"/>
      <c r="C1155" s="107"/>
      <c r="D1155" s="106"/>
      <c r="E1155" s="106"/>
      <c r="F1155" s="107"/>
      <c r="G1155" s="106"/>
      <c r="H1155" s="106"/>
      <c r="I1155" s="381"/>
      <c r="J1155" s="106"/>
      <c r="K1155" s="106"/>
      <c r="L1155" s="106"/>
    </row>
    <row r="1156" spans="1:12">
      <c r="A1156" s="106"/>
      <c r="B1156" s="106"/>
      <c r="C1156" s="107"/>
      <c r="D1156" s="106"/>
      <c r="E1156" s="106"/>
      <c r="F1156" s="107"/>
      <c r="G1156" s="106"/>
      <c r="H1156" s="106"/>
      <c r="I1156" s="381"/>
      <c r="J1156" s="106"/>
      <c r="K1156" s="106"/>
      <c r="L1156" s="106"/>
    </row>
    <row r="1157" spans="1:12">
      <c r="A1157" s="106"/>
      <c r="B1157" s="106"/>
      <c r="C1157" s="107"/>
      <c r="D1157" s="106"/>
      <c r="E1157" s="106"/>
      <c r="F1157" s="107"/>
      <c r="G1157" s="106"/>
      <c r="H1157" s="106"/>
      <c r="I1157" s="381"/>
      <c r="J1157" s="106"/>
      <c r="K1157" s="106"/>
      <c r="L1157" s="106"/>
    </row>
    <row r="1158" spans="1:12">
      <c r="A1158" s="106"/>
      <c r="B1158" s="106"/>
      <c r="C1158" s="107"/>
      <c r="D1158" s="106"/>
      <c r="E1158" s="106"/>
      <c r="F1158" s="107"/>
      <c r="G1158" s="106"/>
      <c r="H1158" s="106"/>
      <c r="I1158" s="381"/>
      <c r="J1158" s="106"/>
      <c r="K1158" s="106"/>
      <c r="L1158" s="106"/>
    </row>
    <row r="1159" spans="1:12">
      <c r="A1159" s="106"/>
      <c r="B1159" s="106"/>
      <c r="C1159" s="107"/>
      <c r="D1159" s="106"/>
      <c r="E1159" s="106"/>
      <c r="F1159" s="107"/>
      <c r="G1159" s="106"/>
      <c r="H1159" s="106"/>
      <c r="I1159" s="381"/>
      <c r="J1159" s="106"/>
      <c r="K1159" s="106"/>
      <c r="L1159" s="106"/>
    </row>
    <row r="1160" spans="1:12">
      <c r="A1160" s="106"/>
      <c r="B1160" s="106"/>
      <c r="C1160" s="107"/>
      <c r="D1160" s="106"/>
      <c r="E1160" s="106"/>
      <c r="F1160" s="107"/>
      <c r="G1160" s="106"/>
      <c r="H1160" s="106"/>
      <c r="I1160" s="381"/>
      <c r="J1160" s="106"/>
      <c r="K1160" s="106"/>
      <c r="L1160" s="106"/>
    </row>
    <row r="1161" spans="1:12">
      <c r="A1161" s="106"/>
      <c r="B1161" s="106"/>
      <c r="C1161" s="107"/>
      <c r="D1161" s="106"/>
      <c r="E1161" s="106"/>
      <c r="F1161" s="107"/>
      <c r="G1161" s="106"/>
      <c r="H1161" s="106"/>
      <c r="I1161" s="381"/>
      <c r="J1161" s="106"/>
      <c r="K1161" s="106"/>
      <c r="L1161" s="106"/>
    </row>
    <row r="1162" spans="1:12">
      <c r="A1162" s="106"/>
      <c r="B1162" s="106"/>
      <c r="C1162" s="107"/>
      <c r="D1162" s="106"/>
      <c r="E1162" s="106"/>
      <c r="F1162" s="107"/>
      <c r="G1162" s="106"/>
      <c r="H1162" s="106"/>
      <c r="I1162" s="381"/>
      <c r="J1162" s="106"/>
      <c r="K1162" s="106"/>
      <c r="L1162" s="106"/>
    </row>
    <row r="1163" spans="1:12">
      <c r="A1163" s="106"/>
      <c r="B1163" s="106"/>
      <c r="C1163" s="107"/>
      <c r="D1163" s="106"/>
      <c r="E1163" s="106"/>
      <c r="F1163" s="107"/>
      <c r="G1163" s="106"/>
      <c r="H1163" s="106"/>
      <c r="I1163" s="381"/>
      <c r="J1163" s="106"/>
      <c r="K1163" s="106"/>
      <c r="L1163" s="106"/>
    </row>
    <row r="1164" spans="1:12">
      <c r="A1164" s="106"/>
      <c r="B1164" s="106"/>
      <c r="C1164" s="107"/>
      <c r="D1164" s="106"/>
      <c r="E1164" s="106"/>
      <c r="F1164" s="107"/>
      <c r="G1164" s="106"/>
      <c r="H1164" s="106"/>
      <c r="I1164" s="381"/>
      <c r="J1164" s="106"/>
      <c r="K1164" s="106"/>
      <c r="L1164" s="106"/>
    </row>
    <row r="1165" spans="1:12">
      <c r="A1165" s="106"/>
      <c r="B1165" s="106"/>
      <c r="C1165" s="107"/>
      <c r="D1165" s="106"/>
      <c r="E1165" s="106"/>
      <c r="F1165" s="107"/>
      <c r="G1165" s="106"/>
      <c r="H1165" s="106"/>
      <c r="I1165" s="381"/>
      <c r="J1165" s="106"/>
      <c r="K1165" s="106"/>
      <c r="L1165" s="106"/>
    </row>
    <row r="1166" spans="1:12">
      <c r="A1166" s="106"/>
      <c r="B1166" s="106"/>
      <c r="C1166" s="107"/>
      <c r="D1166" s="106"/>
      <c r="E1166" s="106"/>
      <c r="F1166" s="107"/>
      <c r="G1166" s="106"/>
      <c r="H1166" s="106"/>
      <c r="I1166" s="381"/>
      <c r="J1166" s="106"/>
      <c r="K1166" s="106"/>
      <c r="L1166" s="106"/>
    </row>
    <row r="1167" spans="1:12">
      <c r="A1167" s="106"/>
      <c r="B1167" s="106"/>
      <c r="C1167" s="107"/>
      <c r="D1167" s="106"/>
      <c r="E1167" s="106"/>
      <c r="F1167" s="107"/>
      <c r="G1167" s="106"/>
      <c r="H1167" s="106"/>
      <c r="I1167" s="381"/>
      <c r="J1167" s="106"/>
      <c r="K1167" s="106"/>
      <c r="L1167" s="106"/>
    </row>
    <row r="1168" spans="1:12">
      <c r="A1168" s="106"/>
      <c r="B1168" s="106"/>
      <c r="C1168" s="107"/>
      <c r="D1168" s="106"/>
      <c r="E1168" s="106"/>
      <c r="F1168" s="107"/>
      <c r="G1168" s="106"/>
      <c r="H1168" s="106"/>
      <c r="I1168" s="381"/>
      <c r="J1168" s="106"/>
      <c r="K1168" s="106"/>
      <c r="L1168" s="106"/>
    </row>
    <row r="1169" spans="1:12">
      <c r="A1169" s="106"/>
      <c r="B1169" s="106"/>
      <c r="C1169" s="107"/>
      <c r="D1169" s="106"/>
      <c r="E1169" s="106"/>
      <c r="F1169" s="107"/>
      <c r="G1169" s="106"/>
      <c r="H1169" s="106"/>
      <c r="I1169" s="381"/>
      <c r="J1169" s="106"/>
      <c r="K1169" s="106"/>
      <c r="L1169" s="106"/>
    </row>
    <row r="1170" spans="1:12">
      <c r="A1170" s="106"/>
      <c r="B1170" s="106"/>
      <c r="C1170" s="107"/>
      <c r="D1170" s="106"/>
      <c r="E1170" s="106"/>
      <c r="F1170" s="107"/>
      <c r="G1170" s="106"/>
      <c r="H1170" s="106"/>
      <c r="I1170" s="381"/>
      <c r="J1170" s="106"/>
      <c r="K1170" s="106"/>
      <c r="L1170" s="106"/>
    </row>
    <row r="1171" spans="1:12">
      <c r="A1171" s="106"/>
      <c r="B1171" s="106"/>
      <c r="C1171" s="107"/>
      <c r="D1171" s="106"/>
      <c r="E1171" s="106"/>
      <c r="F1171" s="107"/>
      <c r="G1171" s="106"/>
      <c r="H1171" s="106"/>
      <c r="I1171" s="381"/>
      <c r="J1171" s="106"/>
      <c r="K1171" s="106"/>
      <c r="L1171" s="106"/>
    </row>
    <row r="1172" spans="1:12">
      <c r="A1172" s="106"/>
      <c r="B1172" s="106"/>
      <c r="C1172" s="107"/>
      <c r="D1172" s="106"/>
      <c r="E1172" s="106"/>
      <c r="F1172" s="107"/>
      <c r="G1172" s="106"/>
      <c r="H1172" s="106"/>
      <c r="I1172" s="381"/>
      <c r="J1172" s="106"/>
      <c r="K1172" s="106"/>
      <c r="L1172" s="106"/>
    </row>
    <row r="1173" spans="1:12">
      <c r="A1173" s="106"/>
      <c r="B1173" s="106"/>
      <c r="C1173" s="107"/>
      <c r="D1173" s="106"/>
      <c r="E1173" s="106"/>
      <c r="F1173" s="107"/>
      <c r="G1173" s="106"/>
      <c r="H1173" s="106"/>
      <c r="I1173" s="381"/>
      <c r="J1173" s="106"/>
      <c r="K1173" s="106"/>
      <c r="L1173" s="106"/>
    </row>
    <row r="1174" spans="1:12">
      <c r="A1174" s="106"/>
      <c r="B1174" s="106"/>
      <c r="C1174" s="107"/>
      <c r="D1174" s="106"/>
      <c r="E1174" s="106"/>
      <c r="F1174" s="107"/>
      <c r="G1174" s="106"/>
      <c r="H1174" s="106"/>
      <c r="I1174" s="381"/>
      <c r="J1174" s="106"/>
      <c r="K1174" s="106"/>
      <c r="L1174" s="106"/>
    </row>
    <row r="1175" spans="1:12">
      <c r="A1175" s="106"/>
      <c r="B1175" s="106"/>
      <c r="C1175" s="107"/>
      <c r="D1175" s="106"/>
      <c r="E1175" s="106"/>
      <c r="F1175" s="107"/>
      <c r="G1175" s="106"/>
      <c r="H1175" s="106"/>
      <c r="I1175" s="381"/>
      <c r="J1175" s="106"/>
      <c r="K1175" s="106"/>
      <c r="L1175" s="106"/>
    </row>
    <row r="1176" spans="1:12">
      <c r="A1176" s="106"/>
      <c r="B1176" s="106"/>
      <c r="C1176" s="107"/>
      <c r="D1176" s="106"/>
      <c r="E1176" s="106"/>
      <c r="F1176" s="107"/>
      <c r="G1176" s="106"/>
      <c r="H1176" s="106"/>
      <c r="I1176" s="381"/>
      <c r="J1176" s="106"/>
      <c r="K1176" s="106"/>
      <c r="L1176" s="106"/>
    </row>
    <row r="1177" spans="1:12">
      <c r="A1177" s="106"/>
      <c r="B1177" s="106"/>
      <c r="C1177" s="107"/>
      <c r="D1177" s="106"/>
      <c r="E1177" s="106"/>
      <c r="F1177" s="107"/>
      <c r="G1177" s="106"/>
      <c r="H1177" s="106"/>
      <c r="I1177" s="381"/>
      <c r="J1177" s="106"/>
      <c r="K1177" s="106"/>
      <c r="L1177" s="106"/>
    </row>
    <row r="1178" spans="1:12">
      <c r="A1178" s="106"/>
      <c r="B1178" s="106"/>
      <c r="C1178" s="107"/>
      <c r="D1178" s="106"/>
      <c r="E1178" s="106"/>
      <c r="F1178" s="107"/>
      <c r="G1178" s="106"/>
      <c r="H1178" s="106"/>
      <c r="I1178" s="381"/>
      <c r="J1178" s="106"/>
      <c r="K1178" s="106"/>
      <c r="L1178" s="106"/>
    </row>
    <row r="1179" spans="1:12">
      <c r="A1179" s="106"/>
      <c r="B1179" s="106"/>
      <c r="C1179" s="107"/>
      <c r="D1179" s="106"/>
      <c r="E1179" s="106"/>
      <c r="F1179" s="107"/>
      <c r="G1179" s="106"/>
      <c r="H1179" s="106"/>
      <c r="I1179" s="381"/>
      <c r="J1179" s="106"/>
      <c r="K1179" s="106"/>
      <c r="L1179" s="106"/>
    </row>
    <row r="1180" spans="1:12">
      <c r="A1180" s="106"/>
      <c r="B1180" s="106"/>
      <c r="C1180" s="107"/>
      <c r="D1180" s="106"/>
      <c r="E1180" s="106"/>
      <c r="F1180" s="107"/>
      <c r="G1180" s="106"/>
      <c r="H1180" s="106"/>
      <c r="I1180" s="381"/>
      <c r="J1180" s="106"/>
      <c r="K1180" s="106"/>
      <c r="L1180" s="106"/>
    </row>
    <row r="1181" spans="1:12">
      <c r="A1181" s="106"/>
      <c r="B1181" s="106"/>
      <c r="C1181" s="107"/>
      <c r="D1181" s="106"/>
      <c r="E1181" s="106"/>
      <c r="F1181" s="107"/>
      <c r="G1181" s="106"/>
      <c r="H1181" s="106"/>
      <c r="I1181" s="381"/>
      <c r="J1181" s="106"/>
      <c r="K1181" s="106"/>
      <c r="L1181" s="106"/>
    </row>
    <row r="1182" spans="1:12">
      <c r="A1182" s="106"/>
      <c r="B1182" s="106"/>
      <c r="C1182" s="107"/>
      <c r="D1182" s="106"/>
      <c r="E1182" s="106"/>
      <c r="F1182" s="107"/>
      <c r="G1182" s="106"/>
      <c r="H1182" s="106"/>
      <c r="I1182" s="381"/>
      <c r="J1182" s="106"/>
      <c r="K1182" s="106"/>
      <c r="L1182" s="106"/>
    </row>
    <row r="1183" spans="1:12">
      <c r="A1183" s="106"/>
      <c r="B1183" s="106"/>
      <c r="C1183" s="107"/>
      <c r="D1183" s="106"/>
      <c r="E1183" s="106"/>
      <c r="F1183" s="107"/>
      <c r="G1183" s="106"/>
      <c r="H1183" s="106"/>
      <c r="I1183" s="381"/>
      <c r="J1183" s="106"/>
      <c r="K1183" s="106"/>
      <c r="L1183" s="106"/>
    </row>
    <row r="1184" spans="1:12">
      <c r="A1184" s="106"/>
      <c r="B1184" s="106"/>
      <c r="C1184" s="107"/>
      <c r="D1184" s="106"/>
      <c r="E1184" s="106"/>
      <c r="F1184" s="107"/>
      <c r="G1184" s="106"/>
      <c r="H1184" s="106"/>
      <c r="I1184" s="381"/>
      <c r="J1184" s="106"/>
      <c r="K1184" s="106"/>
      <c r="L1184" s="106"/>
    </row>
    <row r="1185" spans="1:12">
      <c r="A1185" s="106"/>
      <c r="B1185" s="106"/>
      <c r="C1185" s="107"/>
      <c r="D1185" s="106"/>
      <c r="E1185" s="106"/>
      <c r="F1185" s="107"/>
      <c r="G1185" s="106"/>
      <c r="H1185" s="106"/>
      <c r="I1185" s="381"/>
      <c r="J1185" s="106"/>
      <c r="K1185" s="106"/>
      <c r="L1185" s="106"/>
    </row>
    <row r="1186" spans="1:12">
      <c r="A1186" s="106"/>
      <c r="B1186" s="106"/>
      <c r="C1186" s="107"/>
      <c r="D1186" s="106"/>
      <c r="E1186" s="106"/>
      <c r="F1186" s="107"/>
      <c r="G1186" s="106"/>
      <c r="H1186" s="106"/>
      <c r="I1186" s="381"/>
      <c r="J1186" s="106"/>
      <c r="K1186" s="106"/>
      <c r="L1186" s="106"/>
    </row>
    <row r="1187" spans="1:12">
      <c r="A1187" s="106"/>
      <c r="B1187" s="106"/>
      <c r="C1187" s="107"/>
      <c r="D1187" s="106"/>
      <c r="E1187" s="106"/>
      <c r="F1187" s="107"/>
      <c r="G1187" s="106"/>
      <c r="H1187" s="106"/>
      <c r="I1187" s="381"/>
      <c r="J1187" s="106"/>
      <c r="K1187" s="106"/>
      <c r="L1187" s="106"/>
    </row>
    <row r="1188" spans="1:12">
      <c r="A1188" s="106"/>
      <c r="B1188" s="106"/>
      <c r="C1188" s="107"/>
      <c r="D1188" s="106"/>
      <c r="E1188" s="106"/>
      <c r="F1188" s="107"/>
      <c r="G1188" s="106"/>
      <c r="H1188" s="106"/>
      <c r="I1188" s="381"/>
      <c r="J1188" s="106"/>
      <c r="K1188" s="106"/>
      <c r="L1188" s="106"/>
    </row>
    <row r="1189" spans="1:12">
      <c r="A1189" s="106"/>
      <c r="B1189" s="106"/>
      <c r="C1189" s="107"/>
      <c r="D1189" s="106"/>
      <c r="E1189" s="106"/>
      <c r="F1189" s="107"/>
      <c r="G1189" s="106"/>
      <c r="H1189" s="106"/>
      <c r="I1189" s="381"/>
      <c r="J1189" s="106"/>
      <c r="K1189" s="106"/>
      <c r="L1189" s="106"/>
    </row>
    <row r="1190" spans="1:12">
      <c r="A1190" s="106"/>
      <c r="B1190" s="106"/>
      <c r="C1190" s="107"/>
      <c r="D1190" s="106"/>
      <c r="E1190" s="106"/>
      <c r="F1190" s="107"/>
      <c r="G1190" s="106"/>
      <c r="H1190" s="106"/>
      <c r="I1190" s="381"/>
      <c r="J1190" s="106"/>
      <c r="K1190" s="106"/>
      <c r="L1190" s="106"/>
    </row>
    <row r="1191" spans="1:12">
      <c r="A1191" s="106"/>
      <c r="B1191" s="106"/>
      <c r="C1191" s="107"/>
      <c r="D1191" s="106"/>
      <c r="E1191" s="106"/>
      <c r="F1191" s="107"/>
      <c r="G1191" s="106"/>
      <c r="H1191" s="106"/>
      <c r="I1191" s="381"/>
      <c r="J1191" s="106"/>
      <c r="K1191" s="106"/>
      <c r="L1191" s="106"/>
    </row>
    <row r="1192" spans="1:12">
      <c r="A1192" s="106"/>
      <c r="B1192" s="106"/>
      <c r="C1192" s="107"/>
      <c r="D1192" s="106"/>
      <c r="E1192" s="106"/>
      <c r="F1192" s="107"/>
      <c r="G1192" s="106"/>
      <c r="H1192" s="106"/>
      <c r="I1192" s="381"/>
      <c r="J1192" s="106"/>
      <c r="K1192" s="106"/>
      <c r="L1192" s="106"/>
    </row>
    <row r="1193" spans="1:12">
      <c r="A1193" s="106"/>
      <c r="B1193" s="106"/>
      <c r="C1193" s="107"/>
      <c r="D1193" s="106"/>
      <c r="E1193" s="106"/>
      <c r="F1193" s="107"/>
      <c r="G1193" s="106"/>
      <c r="H1193" s="106"/>
      <c r="I1193" s="381"/>
      <c r="J1193" s="106"/>
      <c r="K1193" s="106"/>
      <c r="L1193" s="106"/>
    </row>
    <row r="1194" spans="1:12">
      <c r="A1194" s="106"/>
      <c r="B1194" s="106"/>
      <c r="C1194" s="107"/>
      <c r="D1194" s="106"/>
      <c r="E1194" s="106"/>
      <c r="F1194" s="107"/>
      <c r="G1194" s="106"/>
      <c r="H1194" s="106"/>
      <c r="I1194" s="381"/>
      <c r="J1194" s="106"/>
      <c r="K1194" s="106"/>
      <c r="L1194" s="106"/>
    </row>
    <row r="1195" spans="1:12">
      <c r="A1195" s="106"/>
      <c r="B1195" s="106"/>
      <c r="C1195" s="107"/>
      <c r="D1195" s="106"/>
      <c r="E1195" s="106"/>
      <c r="F1195" s="107"/>
      <c r="G1195" s="106"/>
      <c r="H1195" s="106"/>
      <c r="I1195" s="381"/>
      <c r="J1195" s="106"/>
      <c r="K1195" s="106"/>
      <c r="L1195" s="106"/>
    </row>
    <row r="1196" spans="1:12">
      <c r="A1196" s="106"/>
      <c r="B1196" s="106"/>
      <c r="C1196" s="107"/>
      <c r="D1196" s="106"/>
      <c r="E1196" s="106"/>
      <c r="F1196" s="107"/>
      <c r="G1196" s="106"/>
      <c r="H1196" s="106"/>
      <c r="I1196" s="381"/>
      <c r="J1196" s="106"/>
      <c r="K1196" s="106"/>
      <c r="L1196" s="106"/>
    </row>
    <row r="1197" spans="1:12">
      <c r="A1197" s="106"/>
      <c r="B1197" s="106"/>
      <c r="C1197" s="107"/>
      <c r="D1197" s="106"/>
      <c r="E1197" s="106"/>
      <c r="F1197" s="107"/>
      <c r="G1197" s="106"/>
      <c r="H1197" s="106"/>
      <c r="I1197" s="381"/>
      <c r="J1197" s="106"/>
      <c r="K1197" s="106"/>
      <c r="L1197" s="106"/>
    </row>
    <row r="1198" spans="1:12">
      <c r="A1198" s="106"/>
      <c r="B1198" s="106"/>
      <c r="C1198" s="107"/>
      <c r="D1198" s="106"/>
      <c r="E1198" s="106"/>
      <c r="F1198" s="107"/>
      <c r="G1198" s="106"/>
      <c r="H1198" s="106"/>
      <c r="I1198" s="381"/>
      <c r="J1198" s="106"/>
      <c r="K1198" s="106"/>
      <c r="L1198" s="106"/>
    </row>
    <row r="1199" spans="1:12">
      <c r="A1199" s="106"/>
      <c r="B1199" s="106"/>
      <c r="C1199" s="107"/>
      <c r="D1199" s="106"/>
      <c r="E1199" s="106"/>
      <c r="F1199" s="107"/>
      <c r="G1199" s="106"/>
      <c r="H1199" s="106"/>
      <c r="I1199" s="381"/>
      <c r="J1199" s="106"/>
      <c r="K1199" s="106"/>
      <c r="L1199" s="106"/>
    </row>
    <row r="1200" spans="1:12">
      <c r="A1200" s="106"/>
      <c r="B1200" s="106"/>
      <c r="C1200" s="107"/>
      <c r="D1200" s="106"/>
      <c r="E1200" s="106"/>
      <c r="F1200" s="107"/>
      <c r="G1200" s="106"/>
      <c r="H1200" s="106"/>
      <c r="I1200" s="381"/>
      <c r="J1200" s="106"/>
      <c r="K1200" s="106"/>
      <c r="L1200" s="106"/>
    </row>
    <row r="1201" spans="1:12">
      <c r="A1201" s="106"/>
      <c r="B1201" s="106"/>
      <c r="C1201" s="107"/>
      <c r="D1201" s="106"/>
      <c r="E1201" s="106"/>
      <c r="F1201" s="107"/>
      <c r="G1201" s="106"/>
      <c r="H1201" s="106"/>
      <c r="I1201" s="381"/>
      <c r="J1201" s="106"/>
      <c r="K1201" s="106"/>
      <c r="L1201" s="106"/>
    </row>
    <row r="1202" spans="1:12">
      <c r="A1202" s="106"/>
      <c r="B1202" s="106"/>
      <c r="C1202" s="107"/>
      <c r="D1202" s="106"/>
      <c r="E1202" s="106"/>
      <c r="F1202" s="107"/>
      <c r="G1202" s="106"/>
      <c r="H1202" s="106"/>
      <c r="I1202" s="381"/>
      <c r="J1202" s="106"/>
      <c r="K1202" s="106"/>
      <c r="L1202" s="106"/>
    </row>
    <row r="1203" spans="1:12">
      <c r="A1203" s="106"/>
      <c r="B1203" s="106"/>
      <c r="C1203" s="107"/>
      <c r="D1203" s="106"/>
      <c r="E1203" s="106"/>
      <c r="F1203" s="107"/>
      <c r="G1203" s="106"/>
      <c r="H1203" s="106"/>
      <c r="I1203" s="381"/>
      <c r="J1203" s="106"/>
      <c r="K1203" s="106"/>
      <c r="L1203" s="106"/>
    </row>
    <row r="1204" spans="1:12">
      <c r="A1204" s="106"/>
      <c r="B1204" s="106"/>
      <c r="C1204" s="107"/>
      <c r="D1204" s="106"/>
      <c r="E1204" s="106"/>
      <c r="F1204" s="107"/>
      <c r="G1204" s="106"/>
      <c r="H1204" s="106"/>
      <c r="I1204" s="381"/>
      <c r="J1204" s="106"/>
      <c r="K1204" s="106"/>
      <c r="L1204" s="106"/>
    </row>
    <row r="1205" spans="1:12">
      <c r="A1205" s="106"/>
      <c r="B1205" s="106"/>
      <c r="C1205" s="107"/>
      <c r="D1205" s="106"/>
      <c r="E1205" s="106"/>
      <c r="F1205" s="107"/>
      <c r="G1205" s="106"/>
      <c r="H1205" s="106"/>
      <c r="I1205" s="381"/>
      <c r="J1205" s="106"/>
      <c r="K1205" s="106"/>
      <c r="L1205" s="106"/>
    </row>
    <row r="1206" spans="1:12">
      <c r="A1206" s="106"/>
      <c r="B1206" s="106"/>
      <c r="C1206" s="107"/>
      <c r="D1206" s="106"/>
      <c r="E1206" s="106"/>
      <c r="F1206" s="107"/>
      <c r="G1206" s="106"/>
      <c r="H1206" s="106"/>
      <c r="I1206" s="381"/>
      <c r="J1206" s="106"/>
      <c r="K1206" s="106"/>
      <c r="L1206" s="106"/>
    </row>
    <row r="1207" spans="1:12">
      <c r="A1207" s="106"/>
      <c r="B1207" s="106"/>
      <c r="C1207" s="107"/>
      <c r="D1207" s="106"/>
      <c r="E1207" s="106"/>
      <c r="F1207" s="107"/>
      <c r="G1207" s="106"/>
      <c r="H1207" s="106"/>
      <c r="I1207" s="381"/>
      <c r="J1207" s="106"/>
      <c r="K1207" s="106"/>
      <c r="L1207" s="106"/>
    </row>
    <row r="1208" spans="1:12">
      <c r="A1208" s="106"/>
      <c r="B1208" s="106"/>
      <c r="C1208" s="107"/>
      <c r="D1208" s="106"/>
      <c r="E1208" s="106"/>
      <c r="F1208" s="107"/>
      <c r="G1208" s="106"/>
      <c r="H1208" s="106"/>
      <c r="I1208" s="381"/>
      <c r="J1208" s="106"/>
      <c r="K1208" s="106"/>
      <c r="L1208" s="106"/>
    </row>
    <row r="1209" spans="1:12">
      <c r="A1209" s="106"/>
      <c r="B1209" s="106"/>
      <c r="C1209" s="107"/>
      <c r="D1209" s="106"/>
      <c r="E1209" s="106"/>
      <c r="F1209" s="107"/>
      <c r="G1209" s="106"/>
      <c r="H1209" s="106"/>
      <c r="I1209" s="381"/>
      <c r="J1209" s="106"/>
      <c r="K1209" s="106"/>
      <c r="L1209" s="106"/>
    </row>
    <row r="1210" spans="1:12">
      <c r="A1210" s="106"/>
      <c r="B1210" s="106"/>
      <c r="C1210" s="107"/>
      <c r="D1210" s="106"/>
      <c r="E1210" s="106"/>
      <c r="F1210" s="107"/>
      <c r="G1210" s="106"/>
      <c r="H1210" s="106"/>
      <c r="I1210" s="381"/>
      <c r="J1210" s="106"/>
      <c r="K1210" s="106"/>
      <c r="L1210" s="106"/>
    </row>
    <row r="1211" spans="1:12">
      <c r="A1211" s="106"/>
      <c r="B1211" s="106"/>
      <c r="C1211" s="107"/>
      <c r="D1211" s="106"/>
      <c r="E1211" s="106"/>
      <c r="F1211" s="107"/>
      <c r="G1211" s="106"/>
      <c r="H1211" s="106"/>
      <c r="I1211" s="381"/>
      <c r="J1211" s="106"/>
      <c r="K1211" s="106"/>
      <c r="L1211" s="106"/>
    </row>
    <row r="1212" spans="1:12">
      <c r="A1212" s="106"/>
      <c r="B1212" s="106"/>
      <c r="C1212" s="107"/>
      <c r="D1212" s="106"/>
      <c r="E1212" s="106"/>
      <c r="F1212" s="107"/>
      <c r="G1212" s="106"/>
      <c r="H1212" s="106"/>
      <c r="I1212" s="381"/>
      <c r="J1212" s="106"/>
      <c r="K1212" s="106"/>
      <c r="L1212" s="106"/>
    </row>
    <row r="1213" spans="1:12">
      <c r="A1213" s="106"/>
      <c r="B1213" s="106"/>
      <c r="C1213" s="107"/>
      <c r="D1213" s="106"/>
      <c r="E1213" s="106"/>
      <c r="F1213" s="107"/>
      <c r="G1213" s="106"/>
      <c r="H1213" s="106"/>
      <c r="I1213" s="381"/>
      <c r="J1213" s="106"/>
      <c r="K1213" s="106"/>
      <c r="L1213" s="106"/>
    </row>
    <row r="1214" spans="1:12">
      <c r="A1214" s="106"/>
      <c r="B1214" s="106"/>
      <c r="C1214" s="107"/>
      <c r="D1214" s="106"/>
      <c r="E1214" s="106"/>
      <c r="F1214" s="107"/>
      <c r="G1214" s="106"/>
      <c r="H1214" s="106"/>
      <c r="I1214" s="381"/>
      <c r="J1214" s="106"/>
      <c r="K1214" s="106"/>
      <c r="L1214" s="106"/>
    </row>
    <row r="1215" spans="1:12">
      <c r="A1215" s="106"/>
      <c r="B1215" s="106"/>
      <c r="C1215" s="107"/>
      <c r="D1215" s="106"/>
      <c r="E1215" s="106"/>
      <c r="F1215" s="107"/>
      <c r="G1215" s="106"/>
      <c r="H1215" s="106"/>
      <c r="I1215" s="381"/>
      <c r="J1215" s="106"/>
      <c r="K1215" s="106"/>
      <c r="L1215" s="106"/>
    </row>
    <row r="1216" spans="1:12">
      <c r="A1216" s="106"/>
      <c r="B1216" s="106"/>
      <c r="C1216" s="107"/>
      <c r="D1216" s="106"/>
      <c r="E1216" s="106"/>
      <c r="F1216" s="107"/>
      <c r="G1216" s="106"/>
      <c r="H1216" s="106"/>
      <c r="I1216" s="381"/>
      <c r="J1216" s="106"/>
      <c r="K1216" s="106"/>
      <c r="L1216" s="106"/>
    </row>
    <row r="1217" spans="1:12">
      <c r="A1217" s="106"/>
      <c r="B1217" s="106"/>
      <c r="C1217" s="107"/>
      <c r="D1217" s="106"/>
      <c r="E1217" s="106"/>
      <c r="F1217" s="107"/>
      <c r="G1217" s="106"/>
      <c r="H1217" s="106"/>
      <c r="I1217" s="381"/>
      <c r="J1217" s="106"/>
      <c r="K1217" s="106"/>
      <c r="L1217" s="106"/>
    </row>
    <row r="1218" spans="1:12">
      <c r="A1218" s="106"/>
      <c r="B1218" s="106"/>
      <c r="C1218" s="107"/>
      <c r="D1218" s="106"/>
      <c r="E1218" s="106"/>
      <c r="F1218" s="107"/>
      <c r="G1218" s="106"/>
      <c r="H1218" s="106"/>
      <c r="I1218" s="381"/>
      <c r="J1218" s="106"/>
      <c r="K1218" s="106"/>
      <c r="L1218" s="106"/>
    </row>
    <row r="1219" spans="1:12">
      <c r="A1219" s="106"/>
      <c r="B1219" s="106"/>
      <c r="C1219" s="107"/>
      <c r="D1219" s="106"/>
      <c r="E1219" s="106"/>
      <c r="F1219" s="107"/>
      <c r="G1219" s="106"/>
      <c r="H1219" s="106"/>
      <c r="I1219" s="381"/>
      <c r="J1219" s="106"/>
      <c r="K1219" s="106"/>
      <c r="L1219" s="106"/>
    </row>
    <row r="1220" spans="1:12">
      <c r="A1220" s="106"/>
      <c r="B1220" s="106"/>
      <c r="C1220" s="107"/>
      <c r="D1220" s="106"/>
      <c r="E1220" s="106"/>
      <c r="F1220" s="107"/>
      <c r="G1220" s="106"/>
      <c r="H1220" s="106"/>
      <c r="I1220" s="381"/>
      <c r="J1220" s="106"/>
      <c r="K1220" s="106"/>
      <c r="L1220" s="106"/>
    </row>
    <row r="1221" spans="1:12">
      <c r="A1221" s="106"/>
      <c r="B1221" s="106"/>
      <c r="C1221" s="107"/>
      <c r="D1221" s="106"/>
      <c r="E1221" s="106"/>
      <c r="F1221" s="107"/>
      <c r="G1221" s="106"/>
      <c r="H1221" s="106"/>
      <c r="I1221" s="381"/>
      <c r="J1221" s="106"/>
      <c r="K1221" s="106"/>
      <c r="L1221" s="106"/>
    </row>
    <row r="1222" spans="1:12">
      <c r="A1222" s="106"/>
      <c r="B1222" s="106"/>
      <c r="C1222" s="107"/>
      <c r="D1222" s="106"/>
      <c r="E1222" s="106"/>
      <c r="F1222" s="107"/>
      <c r="G1222" s="106"/>
      <c r="H1222" s="106"/>
      <c r="I1222" s="381"/>
      <c r="J1222" s="106"/>
      <c r="K1222" s="106"/>
      <c r="L1222" s="106"/>
    </row>
    <row r="1223" spans="1:12">
      <c r="A1223" s="106"/>
      <c r="B1223" s="106"/>
      <c r="C1223" s="107"/>
      <c r="D1223" s="106"/>
      <c r="E1223" s="106"/>
      <c r="F1223" s="107"/>
      <c r="G1223" s="106"/>
      <c r="H1223" s="106"/>
      <c r="I1223" s="381"/>
      <c r="J1223" s="106"/>
      <c r="K1223" s="106"/>
      <c r="L1223" s="106"/>
    </row>
    <row r="1224" spans="1:12">
      <c r="A1224" s="106"/>
      <c r="B1224" s="106"/>
      <c r="C1224" s="107"/>
      <c r="D1224" s="106"/>
      <c r="E1224" s="106"/>
      <c r="F1224" s="107"/>
      <c r="G1224" s="106"/>
      <c r="H1224" s="106"/>
      <c r="I1224" s="381"/>
      <c r="J1224" s="106"/>
      <c r="K1224" s="106"/>
      <c r="L1224" s="106"/>
    </row>
    <row r="1225" spans="1:12">
      <c r="A1225" s="106"/>
      <c r="B1225" s="106"/>
      <c r="C1225" s="107"/>
      <c r="D1225" s="106"/>
      <c r="E1225" s="106"/>
      <c r="F1225" s="107"/>
      <c r="G1225" s="106"/>
      <c r="H1225" s="106"/>
      <c r="I1225" s="381"/>
      <c r="J1225" s="106"/>
      <c r="K1225" s="106"/>
      <c r="L1225" s="106"/>
    </row>
    <row r="1226" spans="1:12">
      <c r="A1226" s="106"/>
      <c r="B1226" s="106"/>
      <c r="C1226" s="107"/>
      <c r="D1226" s="106"/>
      <c r="E1226" s="106"/>
      <c r="F1226" s="107"/>
      <c r="G1226" s="106"/>
      <c r="H1226" s="106"/>
      <c r="I1226" s="381"/>
      <c r="J1226" s="106"/>
      <c r="K1226" s="106"/>
      <c r="L1226" s="106"/>
    </row>
    <row r="1227" spans="1:12">
      <c r="A1227" s="106"/>
      <c r="B1227" s="106"/>
      <c r="C1227" s="107"/>
      <c r="D1227" s="106"/>
      <c r="E1227" s="106"/>
      <c r="F1227" s="107"/>
      <c r="G1227" s="106"/>
      <c r="H1227" s="106"/>
      <c r="I1227" s="381"/>
      <c r="J1227" s="106"/>
      <c r="K1227" s="106"/>
      <c r="L1227" s="106"/>
    </row>
    <row r="1228" spans="1:12">
      <c r="A1228" s="106"/>
      <c r="B1228" s="106"/>
      <c r="C1228" s="107"/>
      <c r="D1228" s="106"/>
      <c r="E1228" s="106"/>
      <c r="F1228" s="107"/>
      <c r="G1228" s="106"/>
      <c r="H1228" s="106"/>
      <c r="I1228" s="381"/>
      <c r="J1228" s="106"/>
      <c r="K1228" s="106"/>
      <c r="L1228" s="106"/>
    </row>
    <row r="1229" spans="1:12">
      <c r="A1229" s="106"/>
      <c r="B1229" s="106"/>
      <c r="C1229" s="107"/>
      <c r="D1229" s="106"/>
      <c r="E1229" s="106"/>
      <c r="F1229" s="107"/>
      <c r="G1229" s="106"/>
      <c r="H1229" s="106"/>
      <c r="I1229" s="381"/>
      <c r="J1229" s="106"/>
      <c r="K1229" s="106"/>
      <c r="L1229" s="106"/>
    </row>
    <row r="1230" spans="1:12">
      <c r="A1230" s="106"/>
      <c r="B1230" s="106"/>
      <c r="C1230" s="107"/>
      <c r="D1230" s="106"/>
      <c r="E1230" s="106"/>
      <c r="F1230" s="107"/>
      <c r="G1230" s="106"/>
      <c r="H1230" s="106"/>
      <c r="I1230" s="381"/>
      <c r="J1230" s="106"/>
      <c r="K1230" s="106"/>
      <c r="L1230" s="106"/>
    </row>
    <row r="1231" spans="1:12">
      <c r="A1231" s="106"/>
      <c r="B1231" s="106"/>
      <c r="C1231" s="107"/>
      <c r="D1231" s="106"/>
      <c r="E1231" s="106"/>
      <c r="F1231" s="107"/>
      <c r="G1231" s="106"/>
      <c r="H1231" s="106"/>
      <c r="I1231" s="381"/>
      <c r="J1231" s="106"/>
      <c r="K1231" s="106"/>
      <c r="L1231" s="106"/>
    </row>
    <row r="1232" spans="1:12">
      <c r="A1232" s="106"/>
      <c r="B1232" s="106"/>
      <c r="C1232" s="107"/>
      <c r="D1232" s="106"/>
      <c r="E1232" s="106"/>
      <c r="F1232" s="107"/>
      <c r="G1232" s="106"/>
      <c r="H1232" s="106"/>
      <c r="I1232" s="381"/>
      <c r="J1232" s="106"/>
      <c r="K1232" s="106"/>
      <c r="L1232" s="106"/>
    </row>
    <row r="1233" spans="1:12">
      <c r="A1233" s="106"/>
      <c r="B1233" s="106"/>
      <c r="C1233" s="107"/>
      <c r="D1233" s="106"/>
      <c r="E1233" s="106"/>
      <c r="F1233" s="107"/>
      <c r="G1233" s="106"/>
      <c r="H1233" s="106"/>
      <c r="I1233" s="381"/>
      <c r="J1233" s="106"/>
      <c r="K1233" s="106"/>
      <c r="L1233" s="106"/>
    </row>
    <row r="1234" spans="1:12">
      <c r="A1234" s="106"/>
      <c r="B1234" s="106"/>
      <c r="C1234" s="107"/>
      <c r="D1234" s="106"/>
      <c r="E1234" s="106"/>
      <c r="F1234" s="107"/>
      <c r="G1234" s="106"/>
      <c r="H1234" s="106"/>
      <c r="I1234" s="381"/>
      <c r="J1234" s="106"/>
      <c r="K1234" s="106"/>
      <c r="L1234" s="106"/>
    </row>
    <row r="1235" spans="1:12">
      <c r="A1235" s="106"/>
      <c r="B1235" s="106"/>
      <c r="C1235" s="107"/>
      <c r="D1235" s="106"/>
      <c r="E1235" s="106"/>
      <c r="F1235" s="107"/>
      <c r="G1235" s="106"/>
      <c r="H1235" s="106"/>
      <c r="I1235" s="381"/>
      <c r="J1235" s="106"/>
      <c r="K1235" s="106"/>
      <c r="L1235" s="106"/>
    </row>
    <row r="1236" spans="1:12">
      <c r="A1236" s="106"/>
      <c r="B1236" s="106"/>
      <c r="C1236" s="107"/>
      <c r="D1236" s="106"/>
      <c r="E1236" s="106"/>
      <c r="F1236" s="107"/>
      <c r="G1236" s="106"/>
      <c r="H1236" s="106"/>
      <c r="I1236" s="381"/>
      <c r="J1236" s="106"/>
      <c r="K1236" s="106"/>
      <c r="L1236" s="106"/>
    </row>
    <row r="1237" spans="1:12">
      <c r="A1237" s="106"/>
      <c r="B1237" s="106"/>
      <c r="C1237" s="107"/>
      <c r="D1237" s="106"/>
      <c r="E1237" s="106"/>
      <c r="F1237" s="107"/>
      <c r="G1237" s="106"/>
      <c r="H1237" s="106"/>
      <c r="I1237" s="381"/>
      <c r="J1237" s="106"/>
      <c r="K1237" s="106"/>
      <c r="L1237" s="106"/>
    </row>
    <row r="1238" spans="1:12">
      <c r="A1238" s="106"/>
      <c r="B1238" s="106"/>
      <c r="C1238" s="107"/>
      <c r="D1238" s="106"/>
      <c r="E1238" s="106"/>
      <c r="F1238" s="107"/>
      <c r="G1238" s="106"/>
      <c r="H1238" s="106"/>
      <c r="I1238" s="381"/>
      <c r="J1238" s="106"/>
      <c r="K1238" s="106"/>
      <c r="L1238" s="106"/>
    </row>
    <row r="1239" spans="1:12">
      <c r="A1239" s="106"/>
      <c r="B1239" s="106"/>
      <c r="C1239" s="107"/>
      <c r="D1239" s="106"/>
      <c r="E1239" s="106"/>
      <c r="F1239" s="107"/>
      <c r="G1239" s="106"/>
      <c r="H1239" s="106"/>
      <c r="I1239" s="381"/>
      <c r="J1239" s="106"/>
      <c r="K1239" s="106"/>
      <c r="L1239" s="106"/>
    </row>
    <row r="1240" spans="1:12">
      <c r="A1240" s="106"/>
      <c r="B1240" s="106"/>
      <c r="C1240" s="107"/>
      <c r="D1240" s="106"/>
      <c r="E1240" s="106"/>
      <c r="F1240" s="107"/>
      <c r="G1240" s="106"/>
      <c r="H1240" s="106"/>
      <c r="I1240" s="381"/>
      <c r="J1240" s="106"/>
      <c r="K1240" s="106"/>
      <c r="L1240" s="106"/>
    </row>
    <row r="1241" spans="1:12">
      <c r="A1241" s="106"/>
      <c r="B1241" s="106"/>
      <c r="C1241" s="107"/>
      <c r="D1241" s="106"/>
      <c r="E1241" s="106"/>
      <c r="F1241" s="107"/>
      <c r="G1241" s="106"/>
      <c r="H1241" s="106"/>
      <c r="I1241" s="381"/>
      <c r="J1241" s="106"/>
      <c r="K1241" s="106"/>
      <c r="L1241" s="106"/>
    </row>
    <row r="1242" spans="1:12">
      <c r="A1242" s="106"/>
      <c r="B1242" s="106"/>
      <c r="C1242" s="107"/>
      <c r="D1242" s="106"/>
      <c r="E1242" s="106"/>
      <c r="F1242" s="107"/>
      <c r="G1242" s="106"/>
      <c r="H1242" s="106"/>
      <c r="I1242" s="381"/>
      <c r="J1242" s="106"/>
      <c r="K1242" s="106"/>
      <c r="L1242" s="106"/>
    </row>
    <row r="1243" spans="1:12">
      <c r="A1243" s="106"/>
      <c r="B1243" s="106"/>
      <c r="C1243" s="107"/>
      <c r="D1243" s="106"/>
      <c r="E1243" s="106"/>
      <c r="F1243" s="107"/>
      <c r="G1243" s="106"/>
      <c r="H1243" s="106"/>
      <c r="I1243" s="381"/>
      <c r="J1243" s="106"/>
      <c r="K1243" s="106"/>
      <c r="L1243" s="106"/>
    </row>
    <row r="1244" spans="1:12">
      <c r="A1244" s="106"/>
      <c r="B1244" s="106"/>
      <c r="C1244" s="107"/>
      <c r="D1244" s="106"/>
      <c r="E1244" s="106"/>
      <c r="F1244" s="107"/>
      <c r="G1244" s="106"/>
      <c r="H1244" s="106"/>
      <c r="I1244" s="381"/>
      <c r="J1244" s="106"/>
      <c r="K1244" s="106"/>
      <c r="L1244" s="106"/>
    </row>
    <row r="1245" spans="1:12">
      <c r="A1245" s="106"/>
      <c r="B1245" s="106"/>
      <c r="C1245" s="107"/>
      <c r="D1245" s="106"/>
      <c r="E1245" s="106"/>
      <c r="F1245" s="107"/>
      <c r="G1245" s="106"/>
      <c r="H1245" s="106"/>
      <c r="I1245" s="381"/>
      <c r="J1245" s="106"/>
      <c r="K1245" s="106"/>
      <c r="L1245" s="106"/>
    </row>
    <row r="1246" spans="1:12">
      <c r="A1246" s="106"/>
      <c r="B1246" s="106"/>
      <c r="C1246" s="107"/>
      <c r="D1246" s="106"/>
      <c r="E1246" s="106"/>
      <c r="F1246" s="107"/>
      <c r="G1246" s="106"/>
      <c r="H1246" s="106"/>
      <c r="I1246" s="381"/>
      <c r="J1246" s="106"/>
      <c r="K1246" s="106"/>
      <c r="L1246" s="106"/>
    </row>
    <row r="1247" spans="1:12">
      <c r="A1247" s="106"/>
      <c r="B1247" s="106"/>
      <c r="C1247" s="107"/>
      <c r="D1247" s="106"/>
      <c r="E1247" s="106"/>
      <c r="F1247" s="107"/>
      <c r="G1247" s="106"/>
      <c r="H1247" s="106"/>
      <c r="I1247" s="381"/>
      <c r="J1247" s="106"/>
      <c r="K1247" s="106"/>
      <c r="L1247" s="106"/>
    </row>
    <row r="1248" spans="1:12">
      <c r="A1248" s="106"/>
      <c r="B1248" s="106"/>
      <c r="C1248" s="107"/>
      <c r="D1248" s="106"/>
      <c r="E1248" s="106"/>
      <c r="F1248" s="107"/>
      <c r="G1248" s="106"/>
      <c r="H1248" s="106"/>
      <c r="I1248" s="381"/>
      <c r="J1248" s="106"/>
      <c r="K1248" s="106"/>
      <c r="L1248" s="106"/>
    </row>
    <row r="1249" spans="1:12">
      <c r="A1249" s="106"/>
      <c r="B1249" s="106"/>
      <c r="C1249" s="107"/>
      <c r="D1249" s="106"/>
      <c r="E1249" s="106"/>
      <c r="F1249" s="107"/>
      <c r="G1249" s="106"/>
      <c r="H1249" s="106"/>
      <c r="I1249" s="381"/>
      <c r="J1249" s="106"/>
      <c r="K1249" s="106"/>
      <c r="L1249" s="106"/>
    </row>
    <row r="1250" spans="1:12">
      <c r="A1250" s="106"/>
      <c r="B1250" s="106"/>
      <c r="C1250" s="107"/>
      <c r="D1250" s="106"/>
      <c r="E1250" s="106"/>
      <c r="F1250" s="107"/>
      <c r="G1250" s="106"/>
      <c r="H1250" s="106"/>
      <c r="I1250" s="381"/>
      <c r="J1250" s="106"/>
      <c r="K1250" s="106"/>
      <c r="L1250" s="106"/>
    </row>
    <row r="1251" spans="1:12">
      <c r="A1251" s="106"/>
      <c r="B1251" s="106"/>
      <c r="C1251" s="107"/>
      <c r="D1251" s="106"/>
      <c r="E1251" s="106"/>
      <c r="F1251" s="107"/>
      <c r="G1251" s="106"/>
      <c r="H1251" s="106"/>
      <c r="I1251" s="381"/>
      <c r="J1251" s="106"/>
      <c r="K1251" s="106"/>
      <c r="L1251" s="106"/>
    </row>
    <row r="1252" spans="1:12">
      <c r="A1252" s="106"/>
      <c r="B1252" s="106"/>
      <c r="C1252" s="107"/>
      <c r="D1252" s="106"/>
      <c r="E1252" s="106"/>
      <c r="F1252" s="107"/>
      <c r="G1252" s="106"/>
      <c r="H1252" s="106"/>
      <c r="I1252" s="381"/>
      <c r="J1252" s="106"/>
      <c r="K1252" s="106"/>
      <c r="L1252" s="106"/>
    </row>
    <row r="1253" spans="1:12">
      <c r="A1253" s="106"/>
      <c r="B1253" s="106"/>
      <c r="C1253" s="107"/>
      <c r="D1253" s="106"/>
      <c r="E1253" s="106"/>
      <c r="F1253" s="107"/>
      <c r="G1253" s="106"/>
      <c r="H1253" s="106"/>
      <c r="I1253" s="381"/>
      <c r="J1253" s="106"/>
      <c r="K1253" s="106"/>
      <c r="L1253" s="106"/>
    </row>
    <row r="1254" spans="1:12">
      <c r="A1254" s="106"/>
      <c r="B1254" s="106"/>
      <c r="C1254" s="107"/>
      <c r="D1254" s="106"/>
      <c r="E1254" s="106"/>
      <c r="F1254" s="107"/>
      <c r="G1254" s="106"/>
      <c r="H1254" s="106"/>
      <c r="I1254" s="381"/>
      <c r="J1254" s="106"/>
      <c r="K1254" s="106"/>
      <c r="L1254" s="106"/>
    </row>
    <row r="1255" spans="1:12">
      <c r="A1255" s="106"/>
      <c r="B1255" s="106"/>
      <c r="C1255" s="107"/>
      <c r="D1255" s="106"/>
      <c r="E1255" s="106"/>
      <c r="F1255" s="107"/>
      <c r="G1255" s="106"/>
      <c r="H1255" s="106"/>
      <c r="I1255" s="381"/>
      <c r="J1255" s="106"/>
      <c r="K1255" s="106"/>
      <c r="L1255" s="106"/>
    </row>
    <row r="1256" spans="1:12">
      <c r="A1256" s="106"/>
      <c r="B1256" s="106"/>
      <c r="C1256" s="107"/>
      <c r="D1256" s="106"/>
      <c r="E1256" s="106"/>
      <c r="F1256" s="107"/>
      <c r="G1256" s="106"/>
      <c r="H1256" s="106"/>
      <c r="I1256" s="381"/>
      <c r="J1256" s="106"/>
      <c r="K1256" s="106"/>
      <c r="L1256" s="106"/>
    </row>
    <row r="1257" spans="1:12">
      <c r="A1257" s="106"/>
      <c r="B1257" s="106"/>
      <c r="C1257" s="107"/>
      <c r="D1257" s="106"/>
      <c r="E1257" s="106"/>
      <c r="F1257" s="107"/>
      <c r="G1257" s="106"/>
      <c r="H1257" s="106"/>
      <c r="I1257" s="381"/>
      <c r="J1257" s="106"/>
      <c r="K1257" s="106"/>
      <c r="L1257" s="106"/>
    </row>
    <row r="1258" spans="1:12">
      <c r="A1258" s="106"/>
      <c r="B1258" s="106"/>
      <c r="C1258" s="107"/>
      <c r="D1258" s="106"/>
      <c r="E1258" s="106"/>
      <c r="F1258" s="107"/>
      <c r="G1258" s="106"/>
      <c r="H1258" s="106"/>
      <c r="I1258" s="381"/>
      <c r="J1258" s="106"/>
      <c r="K1258" s="106"/>
      <c r="L1258" s="106"/>
    </row>
    <row r="1259" spans="1:12">
      <c r="A1259" s="106"/>
      <c r="B1259" s="106"/>
      <c r="C1259" s="107"/>
      <c r="D1259" s="106"/>
      <c r="E1259" s="106"/>
      <c r="F1259" s="107"/>
      <c r="G1259" s="106"/>
      <c r="H1259" s="106"/>
      <c r="I1259" s="381"/>
      <c r="J1259" s="106"/>
      <c r="K1259" s="106"/>
      <c r="L1259" s="106"/>
    </row>
    <row r="1260" spans="1:12">
      <c r="A1260" s="106"/>
      <c r="B1260" s="106"/>
      <c r="C1260" s="107"/>
      <c r="D1260" s="106"/>
      <c r="E1260" s="106"/>
      <c r="F1260" s="107"/>
      <c r="G1260" s="106"/>
      <c r="H1260" s="106"/>
      <c r="I1260" s="381"/>
      <c r="J1260" s="106"/>
      <c r="K1260" s="106"/>
      <c r="L1260" s="106"/>
    </row>
    <row r="1261" spans="1:12">
      <c r="A1261" s="106"/>
      <c r="B1261" s="106"/>
      <c r="C1261" s="107"/>
      <c r="D1261" s="106"/>
      <c r="E1261" s="106"/>
      <c r="F1261" s="107"/>
      <c r="G1261" s="106"/>
      <c r="H1261" s="106"/>
      <c r="I1261" s="381"/>
      <c r="J1261" s="106"/>
      <c r="K1261" s="106"/>
      <c r="L1261" s="106"/>
    </row>
    <row r="1262" spans="1:12">
      <c r="A1262" s="106"/>
      <c r="B1262" s="106"/>
      <c r="C1262" s="107"/>
      <c r="D1262" s="106"/>
      <c r="E1262" s="106"/>
      <c r="F1262" s="107"/>
      <c r="G1262" s="106"/>
      <c r="H1262" s="106"/>
      <c r="I1262" s="381"/>
      <c r="J1262" s="106"/>
      <c r="K1262" s="106"/>
      <c r="L1262" s="106"/>
    </row>
    <row r="1263" spans="1:12">
      <c r="A1263" s="106"/>
      <c r="B1263" s="106"/>
      <c r="C1263" s="107"/>
      <c r="D1263" s="106"/>
      <c r="E1263" s="106"/>
      <c r="F1263" s="107"/>
      <c r="G1263" s="106"/>
      <c r="H1263" s="106"/>
      <c r="I1263" s="381"/>
      <c r="J1263" s="106"/>
      <c r="K1263" s="106"/>
      <c r="L1263" s="106"/>
    </row>
    <row r="1264" spans="1:12">
      <c r="A1264" s="106"/>
      <c r="B1264" s="106"/>
      <c r="C1264" s="107"/>
      <c r="D1264" s="106"/>
      <c r="E1264" s="106"/>
      <c r="F1264" s="107"/>
      <c r="G1264" s="106"/>
      <c r="H1264" s="106"/>
      <c r="I1264" s="381"/>
      <c r="J1264" s="106"/>
      <c r="K1264" s="106"/>
      <c r="L1264" s="106"/>
    </row>
    <row r="1265" spans="1:12">
      <c r="A1265" s="106"/>
      <c r="B1265" s="106"/>
      <c r="C1265" s="107"/>
      <c r="D1265" s="106"/>
      <c r="E1265" s="106"/>
      <c r="F1265" s="107"/>
      <c r="G1265" s="106"/>
      <c r="H1265" s="106"/>
      <c r="I1265" s="381"/>
      <c r="J1265" s="106"/>
      <c r="K1265" s="106"/>
      <c r="L1265" s="106"/>
    </row>
    <row r="1266" spans="1:12">
      <c r="A1266" s="106"/>
      <c r="B1266" s="106"/>
      <c r="C1266" s="107"/>
      <c r="D1266" s="106"/>
      <c r="E1266" s="106"/>
      <c r="F1266" s="107"/>
      <c r="G1266" s="106"/>
      <c r="H1266" s="106"/>
      <c r="I1266" s="381"/>
      <c r="J1266" s="106"/>
      <c r="K1266" s="106"/>
      <c r="L1266" s="106"/>
    </row>
    <row r="1267" spans="1:12">
      <c r="A1267" s="106"/>
      <c r="B1267" s="106"/>
      <c r="C1267" s="107"/>
      <c r="D1267" s="106"/>
      <c r="E1267" s="106"/>
      <c r="F1267" s="107"/>
      <c r="G1267" s="106"/>
      <c r="H1267" s="106"/>
      <c r="I1267" s="381"/>
      <c r="J1267" s="106"/>
      <c r="K1267" s="106"/>
      <c r="L1267" s="106"/>
    </row>
    <row r="1268" spans="1:12">
      <c r="A1268" s="106"/>
      <c r="B1268" s="106"/>
      <c r="C1268" s="107"/>
      <c r="D1268" s="106"/>
      <c r="E1268" s="106"/>
      <c r="F1268" s="107"/>
      <c r="G1268" s="106"/>
      <c r="H1268" s="106"/>
      <c r="I1268" s="381"/>
      <c r="J1268" s="106"/>
      <c r="K1268" s="106"/>
      <c r="L1268" s="106"/>
    </row>
    <row r="1269" spans="1:12">
      <c r="A1269" s="106"/>
      <c r="B1269" s="106"/>
      <c r="C1269" s="107"/>
      <c r="D1269" s="106"/>
      <c r="E1269" s="106"/>
      <c r="F1269" s="107"/>
      <c r="G1269" s="106"/>
      <c r="H1269" s="106"/>
      <c r="I1269" s="381"/>
      <c r="J1269" s="106"/>
      <c r="K1269" s="106"/>
      <c r="L1269" s="106"/>
    </row>
    <row r="1270" spans="1:12">
      <c r="A1270" s="106"/>
      <c r="B1270" s="106"/>
      <c r="C1270" s="107"/>
      <c r="D1270" s="106"/>
      <c r="E1270" s="106"/>
      <c r="F1270" s="107"/>
      <c r="G1270" s="106"/>
      <c r="H1270" s="106"/>
      <c r="I1270" s="381"/>
      <c r="J1270" s="106"/>
      <c r="K1270" s="106"/>
      <c r="L1270" s="106"/>
    </row>
    <row r="1271" spans="1:12">
      <c r="A1271" s="106"/>
      <c r="B1271" s="106"/>
      <c r="C1271" s="107"/>
      <c r="D1271" s="106"/>
      <c r="E1271" s="106"/>
      <c r="F1271" s="107"/>
      <c r="G1271" s="106"/>
      <c r="H1271" s="106"/>
      <c r="I1271" s="381"/>
      <c r="J1271" s="106"/>
      <c r="K1271" s="106"/>
      <c r="L1271" s="106"/>
    </row>
    <row r="1272" spans="1:12">
      <c r="A1272" s="106"/>
      <c r="B1272" s="106"/>
      <c r="C1272" s="107"/>
      <c r="D1272" s="106"/>
      <c r="E1272" s="106"/>
      <c r="F1272" s="107"/>
      <c r="G1272" s="106"/>
      <c r="H1272" s="106"/>
      <c r="I1272" s="381"/>
      <c r="J1272" s="106"/>
      <c r="K1272" s="106"/>
      <c r="L1272" s="106"/>
    </row>
    <row r="1273" spans="1:12">
      <c r="A1273" s="106"/>
      <c r="B1273" s="106"/>
      <c r="C1273" s="107"/>
      <c r="D1273" s="106"/>
      <c r="E1273" s="106"/>
      <c r="F1273" s="107"/>
      <c r="G1273" s="106"/>
      <c r="H1273" s="106"/>
      <c r="I1273" s="381"/>
      <c r="J1273" s="106"/>
      <c r="K1273" s="106"/>
      <c r="L1273" s="106"/>
    </row>
    <row r="1274" spans="1:12">
      <c r="A1274" s="106"/>
      <c r="B1274" s="106"/>
      <c r="C1274" s="107"/>
      <c r="D1274" s="106"/>
      <c r="E1274" s="106"/>
      <c r="F1274" s="107"/>
      <c r="G1274" s="106"/>
      <c r="H1274" s="106"/>
      <c r="I1274" s="381"/>
      <c r="J1274" s="106"/>
      <c r="K1274" s="106"/>
      <c r="L1274" s="106"/>
    </row>
    <row r="1275" spans="1:12">
      <c r="A1275" s="106"/>
      <c r="B1275" s="106"/>
      <c r="C1275" s="107"/>
      <c r="D1275" s="106"/>
      <c r="E1275" s="106"/>
      <c r="F1275" s="107"/>
      <c r="G1275" s="106"/>
      <c r="H1275" s="106"/>
      <c r="I1275" s="381"/>
      <c r="J1275" s="106"/>
      <c r="K1275" s="106"/>
      <c r="L1275" s="106"/>
    </row>
    <row r="1276" spans="1:12">
      <c r="A1276" s="106"/>
      <c r="B1276" s="106"/>
      <c r="C1276" s="107"/>
      <c r="D1276" s="106"/>
      <c r="E1276" s="106"/>
      <c r="F1276" s="107"/>
      <c r="G1276" s="106"/>
      <c r="H1276" s="106"/>
      <c r="I1276" s="381"/>
      <c r="J1276" s="106"/>
      <c r="K1276" s="106"/>
      <c r="L1276" s="106"/>
    </row>
    <row r="1277" spans="1:12">
      <c r="A1277" s="106"/>
      <c r="B1277" s="106"/>
      <c r="C1277" s="107"/>
      <c r="D1277" s="106"/>
      <c r="E1277" s="106"/>
      <c r="F1277" s="107"/>
      <c r="G1277" s="106"/>
      <c r="H1277" s="106"/>
      <c r="I1277" s="381"/>
      <c r="J1277" s="106"/>
      <c r="K1277" s="106"/>
      <c r="L1277" s="106"/>
    </row>
    <row r="1278" spans="1:12">
      <c r="A1278" s="106"/>
      <c r="B1278" s="106"/>
      <c r="C1278" s="107"/>
      <c r="D1278" s="106"/>
      <c r="E1278" s="106"/>
      <c r="F1278" s="107"/>
      <c r="G1278" s="106"/>
      <c r="H1278" s="106"/>
      <c r="I1278" s="381"/>
      <c r="J1278" s="106"/>
      <c r="K1278" s="106"/>
      <c r="L1278" s="106"/>
    </row>
    <row r="1279" spans="1:12">
      <c r="A1279" s="106"/>
      <c r="B1279" s="106"/>
      <c r="C1279" s="107"/>
      <c r="D1279" s="106"/>
      <c r="E1279" s="106"/>
      <c r="F1279" s="107"/>
      <c r="G1279" s="106"/>
      <c r="H1279" s="106"/>
      <c r="I1279" s="381"/>
      <c r="J1279" s="106"/>
      <c r="K1279" s="106"/>
      <c r="L1279" s="106"/>
    </row>
    <row r="1280" spans="1:12">
      <c r="A1280" s="106"/>
      <c r="B1280" s="106"/>
      <c r="C1280" s="107"/>
      <c r="D1280" s="106"/>
      <c r="E1280" s="106"/>
      <c r="F1280" s="107"/>
      <c r="G1280" s="106"/>
      <c r="H1280" s="106"/>
      <c r="I1280" s="381"/>
      <c r="J1280" s="106"/>
      <c r="K1280" s="106"/>
      <c r="L1280" s="106"/>
    </row>
    <row r="1281" spans="1:12">
      <c r="A1281" s="106"/>
      <c r="B1281" s="106"/>
      <c r="C1281" s="107"/>
      <c r="D1281" s="106"/>
      <c r="E1281" s="106"/>
      <c r="F1281" s="107"/>
      <c r="G1281" s="106"/>
      <c r="H1281" s="106"/>
      <c r="I1281" s="381"/>
      <c r="J1281" s="106"/>
      <c r="K1281" s="106"/>
      <c r="L1281" s="106"/>
    </row>
    <row r="1282" spans="1:12">
      <c r="A1282" s="106"/>
      <c r="B1282" s="106"/>
      <c r="C1282" s="107"/>
      <c r="D1282" s="106"/>
      <c r="E1282" s="106"/>
      <c r="F1282" s="107"/>
      <c r="G1282" s="106"/>
      <c r="H1282" s="106"/>
      <c r="I1282" s="381"/>
      <c r="J1282" s="106"/>
      <c r="K1282" s="106"/>
      <c r="L1282" s="106"/>
    </row>
    <row r="1283" spans="1:12">
      <c r="A1283" s="106"/>
      <c r="B1283" s="106"/>
      <c r="C1283" s="107"/>
      <c r="D1283" s="106"/>
      <c r="E1283" s="106"/>
      <c r="F1283" s="107"/>
      <c r="G1283" s="106"/>
      <c r="H1283" s="106"/>
      <c r="I1283" s="381"/>
      <c r="J1283" s="106"/>
      <c r="K1283" s="106"/>
      <c r="L1283" s="106"/>
    </row>
    <row r="1284" spans="1:12">
      <c r="A1284" s="106"/>
      <c r="B1284" s="106"/>
      <c r="C1284" s="107"/>
      <c r="D1284" s="106"/>
      <c r="E1284" s="106"/>
      <c r="F1284" s="107"/>
      <c r="G1284" s="106"/>
      <c r="H1284" s="106"/>
      <c r="I1284" s="381"/>
      <c r="J1284" s="106"/>
      <c r="K1284" s="106"/>
      <c r="L1284" s="106"/>
    </row>
    <row r="1285" spans="1:12">
      <c r="A1285" s="106"/>
      <c r="B1285" s="106"/>
      <c r="C1285" s="107"/>
      <c r="D1285" s="106"/>
      <c r="E1285" s="106"/>
      <c r="F1285" s="107"/>
      <c r="G1285" s="106"/>
      <c r="H1285" s="106"/>
      <c r="I1285" s="381"/>
      <c r="J1285" s="106"/>
      <c r="K1285" s="106"/>
      <c r="L1285" s="106"/>
    </row>
    <row r="1286" spans="1:12">
      <c r="A1286" s="106"/>
      <c r="B1286" s="106"/>
      <c r="C1286" s="107"/>
      <c r="D1286" s="106"/>
      <c r="E1286" s="106"/>
      <c r="F1286" s="107"/>
      <c r="G1286" s="106"/>
      <c r="H1286" s="106"/>
      <c r="I1286" s="381"/>
      <c r="J1286" s="106"/>
      <c r="K1286" s="106"/>
      <c r="L1286" s="106"/>
    </row>
    <row r="1287" spans="1:12">
      <c r="A1287" s="106"/>
      <c r="B1287" s="106"/>
      <c r="C1287" s="107"/>
      <c r="D1287" s="106"/>
      <c r="E1287" s="106"/>
      <c r="F1287" s="107"/>
      <c r="G1287" s="106"/>
      <c r="H1287" s="106"/>
      <c r="I1287" s="381"/>
      <c r="J1287" s="106"/>
      <c r="K1287" s="106"/>
      <c r="L1287" s="106"/>
    </row>
    <row r="1288" spans="1:12">
      <c r="A1288" s="106"/>
      <c r="B1288" s="106"/>
      <c r="C1288" s="107"/>
      <c r="D1288" s="106"/>
      <c r="E1288" s="106"/>
      <c r="F1288" s="107"/>
      <c r="G1288" s="106"/>
      <c r="H1288" s="106"/>
      <c r="I1288" s="381"/>
      <c r="J1288" s="106"/>
      <c r="K1288" s="106"/>
      <c r="L1288" s="106"/>
    </row>
    <row r="1289" spans="1:12">
      <c r="A1289" s="106"/>
      <c r="B1289" s="106"/>
      <c r="C1289" s="107"/>
      <c r="D1289" s="106"/>
      <c r="E1289" s="106"/>
      <c r="F1289" s="107"/>
      <c r="G1289" s="106"/>
      <c r="H1289" s="106"/>
      <c r="I1289" s="381"/>
      <c r="J1289" s="106"/>
      <c r="K1289" s="106"/>
      <c r="L1289" s="106"/>
    </row>
    <row r="1290" spans="1:12">
      <c r="A1290" s="106"/>
      <c r="B1290" s="106"/>
      <c r="C1290" s="107"/>
      <c r="D1290" s="106"/>
      <c r="E1290" s="106"/>
      <c r="F1290" s="107"/>
      <c r="G1290" s="106"/>
      <c r="H1290" s="106"/>
      <c r="I1290" s="381"/>
      <c r="J1290" s="106"/>
      <c r="K1290" s="106"/>
      <c r="L1290" s="106"/>
    </row>
    <row r="1291" spans="1:12">
      <c r="A1291" s="106"/>
      <c r="B1291" s="106"/>
      <c r="C1291" s="107"/>
      <c r="D1291" s="106"/>
      <c r="E1291" s="106"/>
      <c r="F1291" s="107"/>
      <c r="G1291" s="106"/>
      <c r="H1291" s="106"/>
      <c r="I1291" s="381"/>
      <c r="J1291" s="106"/>
      <c r="K1291" s="106"/>
      <c r="L1291" s="106"/>
    </row>
    <row r="1292" spans="1:12">
      <c r="A1292" s="106"/>
      <c r="B1292" s="106"/>
      <c r="C1292" s="107"/>
      <c r="D1292" s="106"/>
      <c r="E1292" s="106"/>
      <c r="F1292" s="107"/>
      <c r="G1292" s="106"/>
      <c r="H1292" s="106"/>
      <c r="I1292" s="381"/>
      <c r="J1292" s="106"/>
      <c r="K1292" s="106"/>
      <c r="L1292" s="106"/>
    </row>
    <row r="1293" spans="1:12">
      <c r="A1293" s="106"/>
      <c r="B1293" s="106"/>
      <c r="C1293" s="107"/>
      <c r="D1293" s="106"/>
      <c r="E1293" s="106"/>
      <c r="F1293" s="107"/>
      <c r="G1293" s="106"/>
      <c r="H1293" s="106"/>
      <c r="I1293" s="381"/>
      <c r="J1293" s="106"/>
      <c r="K1293" s="106"/>
      <c r="L1293" s="106"/>
    </row>
    <row r="1294" spans="1:12">
      <c r="A1294" s="106"/>
      <c r="B1294" s="106"/>
      <c r="C1294" s="107"/>
      <c r="D1294" s="106"/>
      <c r="E1294" s="106"/>
      <c r="F1294" s="107"/>
      <c r="G1294" s="106"/>
      <c r="H1294" s="106"/>
      <c r="I1294" s="381"/>
      <c r="J1294" s="106"/>
      <c r="K1294" s="106"/>
      <c r="L1294" s="106"/>
    </row>
    <row r="1295" spans="1:12">
      <c r="A1295" s="106"/>
      <c r="B1295" s="106"/>
      <c r="C1295" s="107"/>
      <c r="D1295" s="106"/>
      <c r="E1295" s="106"/>
      <c r="F1295" s="107"/>
      <c r="G1295" s="106"/>
      <c r="H1295" s="106"/>
      <c r="I1295" s="381"/>
      <c r="J1295" s="106"/>
      <c r="K1295" s="106"/>
      <c r="L1295" s="106"/>
    </row>
    <row r="1296" spans="1:12">
      <c r="A1296" s="106"/>
      <c r="B1296" s="106"/>
      <c r="C1296" s="107"/>
      <c r="D1296" s="106"/>
      <c r="E1296" s="106"/>
      <c r="F1296" s="107"/>
      <c r="G1296" s="106"/>
      <c r="H1296" s="106"/>
      <c r="I1296" s="381"/>
      <c r="J1296" s="106"/>
      <c r="K1296" s="106"/>
      <c r="L1296" s="106"/>
    </row>
    <row r="1297" spans="1:12">
      <c r="A1297" s="106"/>
      <c r="B1297" s="106"/>
      <c r="C1297" s="107"/>
      <c r="D1297" s="106"/>
      <c r="E1297" s="106"/>
      <c r="F1297" s="107"/>
      <c r="G1297" s="106"/>
      <c r="H1297" s="106"/>
      <c r="I1297" s="381"/>
      <c r="J1297" s="106"/>
      <c r="K1297" s="106"/>
      <c r="L1297" s="106"/>
    </row>
    <row r="1298" spans="1:12">
      <c r="A1298" s="106"/>
      <c r="B1298" s="106"/>
      <c r="C1298" s="107"/>
      <c r="D1298" s="106"/>
      <c r="E1298" s="106"/>
      <c r="F1298" s="107"/>
      <c r="G1298" s="106"/>
      <c r="H1298" s="106"/>
      <c r="I1298" s="381"/>
      <c r="J1298" s="106"/>
      <c r="K1298" s="106"/>
      <c r="L1298" s="106"/>
    </row>
    <row r="1299" spans="1:12">
      <c r="A1299" s="106"/>
      <c r="B1299" s="106"/>
      <c r="C1299" s="107"/>
      <c r="D1299" s="106"/>
      <c r="E1299" s="106"/>
      <c r="F1299" s="107"/>
      <c r="G1299" s="106"/>
      <c r="H1299" s="106"/>
      <c r="I1299" s="381"/>
      <c r="J1299" s="106"/>
      <c r="K1299" s="106"/>
      <c r="L1299" s="106"/>
    </row>
    <row r="1300" spans="1:12">
      <c r="A1300" s="106"/>
      <c r="B1300" s="106"/>
      <c r="C1300" s="107"/>
      <c r="D1300" s="106"/>
      <c r="E1300" s="106"/>
      <c r="F1300" s="107"/>
      <c r="G1300" s="106"/>
      <c r="H1300" s="106"/>
      <c r="I1300" s="381"/>
      <c r="J1300" s="106"/>
      <c r="K1300" s="106"/>
      <c r="L1300" s="106"/>
    </row>
    <row r="1301" spans="1:12">
      <c r="A1301" s="106"/>
      <c r="B1301" s="106"/>
      <c r="C1301" s="107"/>
      <c r="D1301" s="106"/>
      <c r="E1301" s="106"/>
      <c r="F1301" s="107"/>
      <c r="G1301" s="106"/>
      <c r="H1301" s="106"/>
      <c r="I1301" s="381"/>
      <c r="J1301" s="106"/>
      <c r="K1301" s="106"/>
      <c r="L1301" s="106"/>
    </row>
    <row r="1302" spans="1:12">
      <c r="A1302" s="106"/>
      <c r="B1302" s="106"/>
      <c r="C1302" s="107"/>
      <c r="D1302" s="106"/>
      <c r="E1302" s="106"/>
      <c r="F1302" s="107"/>
      <c r="G1302" s="106"/>
      <c r="H1302" s="106"/>
      <c r="I1302" s="381"/>
      <c r="J1302" s="106"/>
      <c r="K1302" s="106"/>
      <c r="L1302" s="106"/>
    </row>
    <row r="1303" spans="1:12">
      <c r="A1303" s="106"/>
      <c r="B1303" s="106"/>
      <c r="C1303" s="107"/>
      <c r="D1303" s="106"/>
      <c r="E1303" s="106"/>
      <c r="F1303" s="107"/>
      <c r="G1303" s="106"/>
      <c r="H1303" s="106"/>
      <c r="I1303" s="381"/>
      <c r="J1303" s="106"/>
      <c r="K1303" s="106"/>
      <c r="L1303" s="106"/>
    </row>
    <row r="1304" spans="1:12">
      <c r="A1304" s="106"/>
      <c r="B1304" s="106"/>
      <c r="C1304" s="107"/>
      <c r="D1304" s="106"/>
      <c r="E1304" s="106"/>
      <c r="F1304" s="107"/>
      <c r="G1304" s="106"/>
      <c r="H1304" s="106"/>
      <c r="I1304" s="381"/>
      <c r="J1304" s="106"/>
      <c r="K1304" s="106"/>
      <c r="L1304" s="106"/>
    </row>
    <row r="1305" spans="1:12">
      <c r="A1305" s="106"/>
      <c r="B1305" s="106"/>
      <c r="C1305" s="107"/>
      <c r="D1305" s="106"/>
      <c r="E1305" s="106"/>
      <c r="F1305" s="107"/>
      <c r="G1305" s="106"/>
      <c r="H1305" s="106"/>
      <c r="I1305" s="381"/>
      <c r="J1305" s="106"/>
      <c r="K1305" s="106"/>
      <c r="L1305" s="106"/>
    </row>
    <row r="1306" spans="1:12">
      <c r="A1306" s="106"/>
      <c r="B1306" s="106"/>
      <c r="C1306" s="107"/>
      <c r="D1306" s="106"/>
      <c r="E1306" s="106"/>
      <c r="F1306" s="107"/>
      <c r="G1306" s="106"/>
      <c r="H1306" s="106"/>
      <c r="I1306" s="381"/>
      <c r="J1306" s="106"/>
      <c r="K1306" s="106"/>
      <c r="L1306" s="106"/>
    </row>
    <row r="1307" spans="1:12">
      <c r="A1307" s="106"/>
      <c r="B1307" s="106"/>
      <c r="C1307" s="107"/>
      <c r="D1307" s="106"/>
      <c r="E1307" s="106"/>
      <c r="F1307" s="107"/>
      <c r="G1307" s="106"/>
      <c r="H1307" s="106"/>
      <c r="I1307" s="381"/>
      <c r="J1307" s="106"/>
      <c r="K1307" s="106"/>
      <c r="L1307" s="106"/>
    </row>
    <row r="1308" spans="1:12">
      <c r="A1308" s="106"/>
      <c r="B1308" s="106"/>
      <c r="C1308" s="107"/>
      <c r="D1308" s="106"/>
      <c r="E1308" s="106"/>
      <c r="F1308" s="107"/>
      <c r="G1308" s="106"/>
      <c r="H1308" s="106"/>
      <c r="I1308" s="381"/>
      <c r="J1308" s="106"/>
      <c r="K1308" s="106"/>
      <c r="L1308" s="106"/>
    </row>
    <row r="1309" spans="1:12">
      <c r="A1309" s="106"/>
      <c r="B1309" s="106"/>
      <c r="C1309" s="107"/>
      <c r="D1309" s="106"/>
      <c r="E1309" s="106"/>
      <c r="F1309" s="107"/>
      <c r="G1309" s="106"/>
      <c r="H1309" s="106"/>
      <c r="I1309" s="381"/>
      <c r="J1309" s="106"/>
      <c r="K1309" s="106"/>
      <c r="L1309" s="106"/>
    </row>
    <row r="1310" spans="1:12">
      <c r="A1310" s="106"/>
      <c r="B1310" s="106"/>
      <c r="C1310" s="107"/>
      <c r="D1310" s="106"/>
      <c r="E1310" s="106"/>
      <c r="F1310" s="107"/>
      <c r="G1310" s="106"/>
      <c r="H1310" s="106"/>
      <c r="I1310" s="381"/>
      <c r="J1310" s="106"/>
      <c r="K1310" s="106"/>
      <c r="L1310" s="106"/>
    </row>
    <row r="1311" spans="1:12">
      <c r="A1311" s="106"/>
      <c r="B1311" s="106"/>
      <c r="C1311" s="107"/>
      <c r="D1311" s="106"/>
      <c r="E1311" s="106"/>
      <c r="F1311" s="107"/>
      <c r="G1311" s="106"/>
      <c r="H1311" s="106"/>
      <c r="I1311" s="381"/>
      <c r="J1311" s="106"/>
      <c r="K1311" s="106"/>
      <c r="L1311" s="106"/>
    </row>
    <row r="1312" spans="1:12">
      <c r="A1312" s="106"/>
      <c r="B1312" s="106"/>
      <c r="C1312" s="107"/>
      <c r="D1312" s="106"/>
      <c r="E1312" s="106"/>
      <c r="F1312" s="107"/>
      <c r="G1312" s="106"/>
      <c r="H1312" s="106"/>
      <c r="I1312" s="381"/>
      <c r="J1312" s="106"/>
      <c r="K1312" s="106"/>
      <c r="L1312" s="106"/>
    </row>
    <row r="1313" spans="1:12">
      <c r="A1313" s="106"/>
      <c r="B1313" s="106"/>
      <c r="C1313" s="107"/>
      <c r="D1313" s="106"/>
      <c r="E1313" s="106"/>
      <c r="F1313" s="107"/>
      <c r="G1313" s="106"/>
      <c r="H1313" s="106"/>
      <c r="I1313" s="381"/>
      <c r="J1313" s="106"/>
      <c r="K1313" s="106"/>
      <c r="L1313" s="106"/>
    </row>
    <row r="1314" spans="1:12">
      <c r="A1314" s="106"/>
      <c r="B1314" s="106"/>
      <c r="C1314" s="107"/>
      <c r="D1314" s="106"/>
      <c r="E1314" s="106"/>
      <c r="F1314" s="107"/>
      <c r="G1314" s="106"/>
      <c r="H1314" s="106"/>
      <c r="I1314" s="381"/>
      <c r="J1314" s="106"/>
      <c r="K1314" s="106"/>
      <c r="L1314" s="106"/>
    </row>
    <row r="1315" spans="1:12">
      <c r="A1315" s="106"/>
      <c r="B1315" s="106"/>
      <c r="C1315" s="107"/>
      <c r="D1315" s="106"/>
      <c r="E1315" s="106"/>
      <c r="F1315" s="107"/>
      <c r="G1315" s="106"/>
      <c r="H1315" s="106"/>
      <c r="I1315" s="381"/>
      <c r="J1315" s="106"/>
      <c r="K1315" s="106"/>
      <c r="L1315" s="106"/>
    </row>
    <row r="1316" spans="1:12">
      <c r="A1316" s="106"/>
      <c r="B1316" s="106"/>
      <c r="C1316" s="107"/>
      <c r="D1316" s="106"/>
      <c r="E1316" s="106"/>
      <c r="F1316" s="107"/>
      <c r="G1316" s="106"/>
      <c r="H1316" s="106"/>
      <c r="I1316" s="381"/>
      <c r="J1316" s="106"/>
      <c r="K1316" s="106"/>
      <c r="L1316" s="106"/>
    </row>
    <row r="1317" spans="1:12">
      <c r="A1317" s="106"/>
      <c r="B1317" s="106"/>
      <c r="C1317" s="107"/>
      <c r="D1317" s="106"/>
      <c r="E1317" s="106"/>
      <c r="F1317" s="107"/>
      <c r="G1317" s="106"/>
      <c r="H1317" s="106"/>
      <c r="I1317" s="381"/>
      <c r="J1317" s="106"/>
      <c r="K1317" s="106"/>
      <c r="L1317" s="106"/>
    </row>
    <row r="1318" spans="1:12">
      <c r="A1318" s="106"/>
      <c r="B1318" s="106"/>
      <c r="C1318" s="107"/>
      <c r="D1318" s="106"/>
      <c r="E1318" s="106"/>
      <c r="F1318" s="107"/>
      <c r="G1318" s="106"/>
      <c r="H1318" s="106"/>
      <c r="I1318" s="381"/>
      <c r="J1318" s="106"/>
      <c r="K1318" s="106"/>
      <c r="L1318" s="106"/>
    </row>
    <row r="1319" spans="1:12">
      <c r="A1319" s="106"/>
      <c r="B1319" s="106"/>
      <c r="C1319" s="107"/>
      <c r="D1319" s="106"/>
      <c r="E1319" s="106"/>
      <c r="F1319" s="107"/>
      <c r="G1319" s="106"/>
      <c r="H1319" s="106"/>
      <c r="I1319" s="381"/>
      <c r="J1319" s="106"/>
      <c r="K1319" s="106"/>
      <c r="L1319" s="106"/>
    </row>
    <row r="1320" spans="1:12">
      <c r="A1320" s="106"/>
      <c r="B1320" s="106"/>
      <c r="C1320" s="107"/>
      <c r="D1320" s="106"/>
      <c r="E1320" s="106"/>
      <c r="F1320" s="107"/>
      <c r="G1320" s="106"/>
      <c r="H1320" s="106"/>
      <c r="I1320" s="381"/>
      <c r="J1320" s="106"/>
      <c r="K1320" s="106"/>
      <c r="L1320" s="106"/>
    </row>
    <row r="1321" spans="1:12">
      <c r="A1321" s="106"/>
      <c r="B1321" s="106"/>
      <c r="C1321" s="107"/>
      <c r="D1321" s="106"/>
      <c r="E1321" s="106"/>
      <c r="F1321" s="107"/>
      <c r="G1321" s="106"/>
      <c r="H1321" s="106"/>
      <c r="I1321" s="381"/>
      <c r="J1321" s="106"/>
      <c r="K1321" s="106"/>
      <c r="L1321" s="106"/>
    </row>
    <row r="1322" spans="1:12">
      <c r="A1322" s="106"/>
      <c r="B1322" s="106"/>
      <c r="C1322" s="107"/>
      <c r="D1322" s="106"/>
      <c r="E1322" s="106"/>
      <c r="F1322" s="107"/>
      <c r="G1322" s="106"/>
      <c r="H1322" s="106"/>
      <c r="I1322" s="381"/>
      <c r="J1322" s="106"/>
      <c r="K1322" s="106"/>
      <c r="L1322" s="106"/>
    </row>
    <row r="1323" spans="1:12">
      <c r="A1323" s="106"/>
      <c r="B1323" s="106"/>
      <c r="C1323" s="107"/>
      <c r="D1323" s="106"/>
      <c r="E1323" s="106"/>
      <c r="F1323" s="107"/>
      <c r="G1323" s="106"/>
      <c r="H1323" s="106"/>
      <c r="I1323" s="381"/>
      <c r="J1323" s="106"/>
      <c r="K1323" s="106"/>
      <c r="L1323" s="106"/>
    </row>
    <row r="1324" spans="1:12">
      <c r="A1324" s="106"/>
      <c r="B1324" s="106"/>
      <c r="C1324" s="107"/>
      <c r="D1324" s="106"/>
      <c r="E1324" s="106"/>
      <c r="F1324" s="107"/>
      <c r="G1324" s="106"/>
      <c r="H1324" s="106"/>
      <c r="I1324" s="381"/>
      <c r="J1324" s="106"/>
      <c r="K1324" s="106"/>
      <c r="L1324" s="106"/>
    </row>
    <row r="1325" spans="1:12">
      <c r="A1325" s="106"/>
      <c r="B1325" s="106"/>
      <c r="C1325" s="107"/>
      <c r="D1325" s="106"/>
      <c r="E1325" s="106"/>
      <c r="F1325" s="107"/>
      <c r="G1325" s="106"/>
      <c r="H1325" s="106"/>
      <c r="I1325" s="381"/>
      <c r="J1325" s="106"/>
      <c r="K1325" s="106"/>
      <c r="L1325" s="106"/>
    </row>
    <row r="1326" spans="1:12">
      <c r="A1326" s="106"/>
      <c r="B1326" s="106"/>
      <c r="C1326" s="107"/>
      <c r="D1326" s="106"/>
      <c r="E1326" s="106"/>
      <c r="F1326" s="107"/>
      <c r="G1326" s="106"/>
      <c r="H1326" s="106"/>
      <c r="I1326" s="381"/>
      <c r="J1326" s="106"/>
      <c r="K1326" s="106"/>
      <c r="L1326" s="106"/>
    </row>
    <row r="1327" spans="1:12">
      <c r="A1327" s="106"/>
      <c r="B1327" s="106"/>
      <c r="C1327" s="107"/>
      <c r="D1327" s="106"/>
      <c r="E1327" s="106"/>
      <c r="F1327" s="107"/>
      <c r="G1327" s="106"/>
      <c r="H1327" s="106"/>
      <c r="I1327" s="381"/>
      <c r="J1327" s="106"/>
      <c r="K1327" s="106"/>
      <c r="L1327" s="106"/>
    </row>
    <row r="1328" spans="1:12">
      <c r="A1328" s="106"/>
      <c r="B1328" s="106"/>
      <c r="C1328" s="107"/>
      <c r="D1328" s="106"/>
      <c r="E1328" s="106"/>
      <c r="F1328" s="107"/>
      <c r="G1328" s="106"/>
      <c r="H1328" s="106"/>
      <c r="I1328" s="381"/>
      <c r="J1328" s="106"/>
      <c r="K1328" s="106"/>
      <c r="L1328" s="106"/>
    </row>
    <row r="1329" spans="1:12">
      <c r="A1329" s="106"/>
      <c r="B1329" s="106"/>
      <c r="C1329" s="107"/>
      <c r="D1329" s="106"/>
      <c r="E1329" s="106"/>
      <c r="F1329" s="107"/>
      <c r="G1329" s="106"/>
      <c r="H1329" s="106"/>
      <c r="I1329" s="381"/>
      <c r="J1329" s="106"/>
      <c r="K1329" s="106"/>
      <c r="L1329" s="106"/>
    </row>
    <row r="1330" spans="1:12">
      <c r="A1330" s="106"/>
      <c r="B1330" s="106"/>
      <c r="C1330" s="107"/>
      <c r="D1330" s="106"/>
      <c r="E1330" s="106"/>
      <c r="F1330" s="107"/>
      <c r="G1330" s="106"/>
      <c r="H1330" s="106"/>
      <c r="I1330" s="381"/>
      <c r="J1330" s="106"/>
      <c r="K1330" s="106"/>
      <c r="L1330" s="106"/>
    </row>
    <row r="1331" spans="1:12">
      <c r="A1331" s="106"/>
      <c r="B1331" s="106"/>
      <c r="C1331" s="107"/>
      <c r="D1331" s="106"/>
      <c r="E1331" s="106"/>
      <c r="F1331" s="107"/>
      <c r="G1331" s="106"/>
      <c r="H1331" s="106"/>
      <c r="I1331" s="381"/>
      <c r="J1331" s="106"/>
      <c r="K1331" s="106"/>
      <c r="L1331" s="106"/>
    </row>
    <row r="1332" spans="1:12">
      <c r="A1332" s="106"/>
      <c r="B1332" s="106"/>
      <c r="C1332" s="107"/>
      <c r="D1332" s="106"/>
      <c r="E1332" s="106"/>
      <c r="F1332" s="107"/>
      <c r="G1332" s="106"/>
      <c r="H1332" s="106"/>
      <c r="I1332" s="381"/>
      <c r="J1332" s="106"/>
      <c r="K1332" s="106"/>
      <c r="L1332" s="106"/>
    </row>
    <row r="1333" spans="1:12">
      <c r="A1333" s="106"/>
      <c r="B1333" s="106"/>
      <c r="C1333" s="107"/>
      <c r="D1333" s="106"/>
      <c r="E1333" s="106"/>
      <c r="F1333" s="107"/>
      <c r="G1333" s="106"/>
      <c r="H1333" s="106"/>
      <c r="I1333" s="381"/>
      <c r="J1333" s="106"/>
      <c r="K1333" s="106"/>
      <c r="L1333" s="106"/>
    </row>
    <row r="1334" spans="1:12">
      <c r="A1334" s="106"/>
      <c r="B1334" s="106"/>
      <c r="C1334" s="107"/>
      <c r="D1334" s="106"/>
      <c r="E1334" s="106"/>
      <c r="F1334" s="107"/>
      <c r="G1334" s="106"/>
      <c r="H1334" s="106"/>
      <c r="I1334" s="381"/>
      <c r="J1334" s="106"/>
      <c r="K1334" s="106"/>
      <c r="L1334" s="106"/>
    </row>
    <row r="1335" spans="1:12">
      <c r="A1335" s="106"/>
      <c r="B1335" s="106"/>
      <c r="C1335" s="107"/>
      <c r="D1335" s="106"/>
      <c r="E1335" s="106"/>
      <c r="F1335" s="107"/>
      <c r="G1335" s="106"/>
      <c r="H1335" s="106"/>
      <c r="I1335" s="381"/>
      <c r="J1335" s="106"/>
      <c r="K1335" s="106"/>
      <c r="L1335" s="106"/>
    </row>
    <row r="1336" spans="1:12">
      <c r="A1336" s="106"/>
      <c r="B1336" s="106"/>
      <c r="C1336" s="107"/>
      <c r="D1336" s="106"/>
      <c r="E1336" s="106"/>
      <c r="F1336" s="107"/>
      <c r="G1336" s="106"/>
      <c r="H1336" s="106"/>
      <c r="I1336" s="381"/>
      <c r="J1336" s="106"/>
      <c r="K1336" s="106"/>
      <c r="L1336" s="106"/>
    </row>
    <row r="1337" spans="1:12">
      <c r="A1337" s="106"/>
      <c r="B1337" s="106"/>
      <c r="C1337" s="107"/>
      <c r="D1337" s="106"/>
      <c r="E1337" s="106"/>
      <c r="F1337" s="107"/>
      <c r="G1337" s="106"/>
      <c r="H1337" s="106"/>
      <c r="I1337" s="381"/>
      <c r="J1337" s="106"/>
      <c r="K1337" s="106"/>
      <c r="L1337" s="106"/>
    </row>
    <row r="1338" spans="1:12">
      <c r="A1338" s="106"/>
      <c r="B1338" s="106"/>
      <c r="C1338" s="107"/>
      <c r="D1338" s="106"/>
      <c r="E1338" s="106"/>
      <c r="F1338" s="107"/>
      <c r="G1338" s="106"/>
      <c r="H1338" s="106"/>
      <c r="I1338" s="381"/>
      <c r="J1338" s="106"/>
      <c r="K1338" s="106"/>
      <c r="L1338" s="106"/>
    </row>
    <row r="1339" spans="1:12">
      <c r="A1339" s="106"/>
      <c r="B1339" s="106"/>
      <c r="C1339" s="107"/>
      <c r="D1339" s="106"/>
      <c r="E1339" s="106"/>
      <c r="F1339" s="107"/>
      <c r="G1339" s="106"/>
      <c r="H1339" s="106"/>
      <c r="I1339" s="381"/>
      <c r="J1339" s="106"/>
      <c r="K1339" s="106"/>
      <c r="L1339" s="106"/>
    </row>
    <row r="1340" spans="1:12">
      <c r="A1340" s="106"/>
      <c r="B1340" s="106"/>
      <c r="C1340" s="107"/>
      <c r="D1340" s="106"/>
      <c r="E1340" s="106"/>
      <c r="F1340" s="107"/>
      <c r="G1340" s="106"/>
      <c r="H1340" s="106"/>
      <c r="I1340" s="381"/>
      <c r="J1340" s="106"/>
      <c r="K1340" s="106"/>
      <c r="L1340" s="106"/>
    </row>
    <row r="1341" spans="1:12">
      <c r="A1341" s="106"/>
      <c r="B1341" s="106"/>
      <c r="C1341" s="107"/>
      <c r="D1341" s="106"/>
      <c r="E1341" s="106"/>
      <c r="F1341" s="107"/>
      <c r="G1341" s="106"/>
      <c r="H1341" s="106"/>
      <c r="I1341" s="381"/>
      <c r="J1341" s="106"/>
      <c r="K1341" s="106"/>
      <c r="L1341" s="106"/>
    </row>
    <row r="1342" spans="1:12">
      <c r="A1342" s="106"/>
      <c r="B1342" s="106"/>
      <c r="C1342" s="107"/>
      <c r="D1342" s="106"/>
      <c r="E1342" s="106"/>
      <c r="F1342" s="107"/>
      <c r="G1342" s="106"/>
      <c r="H1342" s="106"/>
      <c r="I1342" s="381"/>
      <c r="J1342" s="106"/>
      <c r="K1342" s="106"/>
      <c r="L1342" s="106"/>
    </row>
    <row r="1343" spans="1:12">
      <c r="A1343" s="106"/>
      <c r="B1343" s="106"/>
      <c r="C1343" s="107"/>
      <c r="D1343" s="106"/>
      <c r="E1343" s="106"/>
      <c r="F1343" s="107"/>
      <c r="G1343" s="106"/>
      <c r="H1343" s="106"/>
      <c r="I1343" s="381"/>
      <c r="J1343" s="106"/>
      <c r="K1343" s="106"/>
      <c r="L1343" s="106"/>
    </row>
    <row r="1344" spans="1:12">
      <c r="A1344" s="106"/>
      <c r="B1344" s="106"/>
      <c r="C1344" s="107"/>
      <c r="D1344" s="106"/>
      <c r="E1344" s="106"/>
      <c r="F1344" s="107"/>
      <c r="G1344" s="106"/>
      <c r="H1344" s="106"/>
      <c r="I1344" s="381"/>
      <c r="J1344" s="106"/>
      <c r="K1344" s="106"/>
      <c r="L1344" s="106"/>
    </row>
    <row r="1345" spans="1:12">
      <c r="A1345" s="106"/>
      <c r="B1345" s="106"/>
      <c r="C1345" s="107"/>
      <c r="D1345" s="106"/>
      <c r="E1345" s="106"/>
      <c r="F1345" s="107"/>
      <c r="G1345" s="106"/>
      <c r="H1345" s="106"/>
      <c r="I1345" s="381"/>
      <c r="J1345" s="106"/>
      <c r="K1345" s="106"/>
      <c r="L1345" s="106"/>
    </row>
    <row r="1346" spans="1:12">
      <c r="A1346" s="106"/>
      <c r="B1346" s="106"/>
      <c r="C1346" s="107"/>
      <c r="D1346" s="106"/>
      <c r="E1346" s="106"/>
      <c r="F1346" s="107"/>
      <c r="G1346" s="106"/>
      <c r="H1346" s="106"/>
      <c r="I1346" s="381"/>
      <c r="J1346" s="106"/>
      <c r="K1346" s="106"/>
      <c r="L1346" s="106"/>
    </row>
    <row r="1347" spans="1:12">
      <c r="A1347" s="106"/>
      <c r="B1347" s="106"/>
      <c r="C1347" s="107"/>
      <c r="D1347" s="106"/>
      <c r="E1347" s="106"/>
      <c r="F1347" s="107"/>
      <c r="G1347" s="106"/>
      <c r="H1347" s="106"/>
      <c r="I1347" s="381"/>
      <c r="J1347" s="106"/>
      <c r="K1347" s="106"/>
      <c r="L1347" s="106"/>
    </row>
    <row r="1348" spans="1:12">
      <c r="A1348" s="106"/>
      <c r="B1348" s="106"/>
      <c r="C1348" s="107"/>
      <c r="D1348" s="106"/>
      <c r="E1348" s="106"/>
      <c r="F1348" s="107"/>
      <c r="G1348" s="106"/>
      <c r="H1348" s="106"/>
      <c r="I1348" s="381"/>
      <c r="J1348" s="106"/>
      <c r="K1348" s="106"/>
      <c r="L1348" s="106"/>
    </row>
    <row r="1349" spans="1:12">
      <c r="A1349" s="106"/>
      <c r="B1349" s="106"/>
      <c r="C1349" s="107"/>
      <c r="D1349" s="106"/>
      <c r="E1349" s="106"/>
      <c r="F1349" s="107"/>
      <c r="G1349" s="106"/>
      <c r="H1349" s="106"/>
      <c r="I1349" s="381"/>
      <c r="J1349" s="106"/>
      <c r="K1349" s="106"/>
      <c r="L1349" s="106"/>
    </row>
    <row r="1350" spans="1:12">
      <c r="A1350" s="106"/>
      <c r="B1350" s="106"/>
      <c r="C1350" s="107"/>
      <c r="D1350" s="106"/>
      <c r="E1350" s="106"/>
      <c r="F1350" s="107"/>
      <c r="G1350" s="106"/>
      <c r="H1350" s="106"/>
      <c r="I1350" s="381"/>
      <c r="J1350" s="106"/>
      <c r="K1350" s="106"/>
      <c r="L1350" s="106"/>
    </row>
    <row r="1351" spans="1:12">
      <c r="A1351" s="106"/>
      <c r="B1351" s="106"/>
      <c r="C1351" s="107"/>
      <c r="D1351" s="106"/>
      <c r="E1351" s="106"/>
      <c r="F1351" s="107"/>
      <c r="G1351" s="106"/>
      <c r="H1351" s="106"/>
      <c r="I1351" s="381"/>
      <c r="J1351" s="106"/>
      <c r="K1351" s="106"/>
      <c r="L1351" s="106"/>
    </row>
    <row r="1352" spans="1:12">
      <c r="A1352" s="106"/>
      <c r="B1352" s="106"/>
      <c r="C1352" s="107"/>
      <c r="D1352" s="106"/>
      <c r="E1352" s="106"/>
      <c r="F1352" s="107"/>
      <c r="G1352" s="106"/>
      <c r="H1352" s="106"/>
      <c r="I1352" s="381"/>
      <c r="J1352" s="106"/>
      <c r="K1352" s="106"/>
      <c r="L1352" s="106"/>
    </row>
    <row r="1353" spans="1:12">
      <c r="A1353" s="106"/>
      <c r="B1353" s="106"/>
      <c r="C1353" s="107"/>
      <c r="D1353" s="106"/>
      <c r="E1353" s="106"/>
      <c r="F1353" s="107"/>
      <c r="G1353" s="106"/>
      <c r="H1353" s="106"/>
      <c r="I1353" s="381"/>
      <c r="J1353" s="106"/>
      <c r="K1353" s="106"/>
      <c r="L1353" s="106"/>
    </row>
    <row r="1354" spans="1:12">
      <c r="A1354" s="106"/>
      <c r="B1354" s="106"/>
      <c r="C1354" s="107"/>
      <c r="D1354" s="106"/>
      <c r="E1354" s="106"/>
      <c r="F1354" s="107"/>
      <c r="G1354" s="106"/>
      <c r="H1354" s="106"/>
      <c r="I1354" s="381"/>
      <c r="J1354" s="106"/>
      <c r="K1354" s="106"/>
      <c r="L1354" s="106"/>
    </row>
    <row r="1355" spans="1:12">
      <c r="A1355" s="106"/>
      <c r="B1355" s="106"/>
      <c r="C1355" s="107"/>
      <c r="D1355" s="106"/>
      <c r="E1355" s="106"/>
      <c r="F1355" s="107"/>
      <c r="G1355" s="106"/>
      <c r="H1355" s="106"/>
      <c r="I1355" s="381"/>
      <c r="J1355" s="106"/>
      <c r="K1355" s="106"/>
      <c r="L1355" s="106"/>
    </row>
    <row r="1356" spans="1:12">
      <c r="A1356" s="106"/>
      <c r="B1356" s="106"/>
      <c r="C1356" s="107"/>
      <c r="D1356" s="106"/>
      <c r="E1356" s="106"/>
      <c r="F1356" s="107"/>
      <c r="G1356" s="106"/>
      <c r="H1356" s="106"/>
      <c r="I1356" s="381"/>
      <c r="J1356" s="106"/>
      <c r="K1356" s="106"/>
      <c r="L1356" s="106"/>
    </row>
    <row r="1357" spans="1:12">
      <c r="A1357" s="106"/>
      <c r="B1357" s="106"/>
      <c r="C1357" s="107"/>
      <c r="D1357" s="106"/>
      <c r="E1357" s="106"/>
      <c r="F1357" s="107"/>
      <c r="G1357" s="106"/>
      <c r="H1357" s="106"/>
      <c r="I1357" s="381"/>
      <c r="J1357" s="106"/>
      <c r="K1357" s="106"/>
      <c r="L1357" s="106"/>
    </row>
    <row r="1358" spans="1:12">
      <c r="A1358" s="106"/>
      <c r="B1358" s="106"/>
      <c r="C1358" s="107"/>
      <c r="D1358" s="106"/>
      <c r="E1358" s="106"/>
      <c r="F1358" s="107"/>
      <c r="G1358" s="106"/>
      <c r="H1358" s="106"/>
      <c r="I1358" s="381"/>
      <c r="J1358" s="106"/>
      <c r="K1358" s="106"/>
      <c r="L1358" s="106"/>
    </row>
    <row r="1359" spans="1:12">
      <c r="A1359" s="106"/>
      <c r="B1359" s="106"/>
      <c r="C1359" s="107"/>
      <c r="D1359" s="106"/>
      <c r="E1359" s="106"/>
      <c r="F1359" s="107"/>
      <c r="G1359" s="106"/>
      <c r="H1359" s="106"/>
      <c r="I1359" s="381"/>
      <c r="J1359" s="106"/>
      <c r="K1359" s="106"/>
      <c r="L1359" s="106"/>
    </row>
    <row r="1360" spans="1:12">
      <c r="A1360" s="106"/>
      <c r="B1360" s="106"/>
      <c r="C1360" s="107"/>
      <c r="D1360" s="106"/>
      <c r="E1360" s="106"/>
      <c r="F1360" s="107"/>
      <c r="G1360" s="106"/>
      <c r="H1360" s="106"/>
      <c r="I1360" s="381"/>
      <c r="J1360" s="106"/>
      <c r="K1360" s="106"/>
      <c r="L1360" s="106"/>
    </row>
    <row r="1361" spans="1:12">
      <c r="A1361" s="106"/>
      <c r="B1361" s="106"/>
      <c r="C1361" s="107"/>
      <c r="D1361" s="106"/>
      <c r="E1361" s="106"/>
      <c r="F1361" s="107"/>
      <c r="G1361" s="106"/>
      <c r="H1361" s="106"/>
      <c r="I1361" s="381"/>
      <c r="J1361" s="106"/>
      <c r="K1361" s="106"/>
      <c r="L1361" s="106"/>
    </row>
    <row r="1362" spans="1:12">
      <c r="A1362" s="106"/>
      <c r="B1362" s="106"/>
      <c r="C1362" s="107"/>
      <c r="D1362" s="106"/>
      <c r="E1362" s="106"/>
      <c r="F1362" s="107"/>
      <c r="G1362" s="106"/>
      <c r="H1362" s="106"/>
      <c r="I1362" s="381"/>
      <c r="J1362" s="106"/>
      <c r="K1362" s="106"/>
      <c r="L1362" s="106"/>
    </row>
    <row r="1363" spans="1:12">
      <c r="A1363" s="106"/>
      <c r="B1363" s="106"/>
      <c r="C1363" s="107"/>
      <c r="D1363" s="106"/>
      <c r="E1363" s="106"/>
      <c r="F1363" s="107"/>
      <c r="G1363" s="106"/>
      <c r="H1363" s="106"/>
      <c r="I1363" s="381"/>
      <c r="J1363" s="106"/>
      <c r="K1363" s="106"/>
      <c r="L1363" s="106"/>
    </row>
    <row r="1364" spans="1:12">
      <c r="A1364" s="106"/>
      <c r="B1364" s="106"/>
      <c r="C1364" s="107"/>
      <c r="D1364" s="106"/>
      <c r="E1364" s="106"/>
      <c r="F1364" s="107"/>
      <c r="G1364" s="106"/>
      <c r="H1364" s="106"/>
      <c r="I1364" s="381"/>
      <c r="J1364" s="106"/>
      <c r="K1364" s="106"/>
      <c r="L1364" s="106"/>
    </row>
    <row r="1365" spans="1:12">
      <c r="A1365" s="106"/>
      <c r="B1365" s="106"/>
      <c r="C1365" s="107"/>
      <c r="D1365" s="106"/>
      <c r="E1365" s="106"/>
      <c r="F1365" s="107"/>
      <c r="G1365" s="106"/>
      <c r="H1365" s="106"/>
      <c r="I1365" s="381"/>
      <c r="J1365" s="106"/>
      <c r="K1365" s="106"/>
      <c r="L1365" s="106"/>
    </row>
    <row r="1366" spans="1:12">
      <c r="A1366" s="106"/>
      <c r="B1366" s="106"/>
      <c r="C1366" s="107"/>
      <c r="D1366" s="106"/>
      <c r="E1366" s="106"/>
      <c r="F1366" s="107"/>
      <c r="G1366" s="106"/>
      <c r="H1366" s="106"/>
      <c r="I1366" s="381"/>
      <c r="J1366" s="106"/>
      <c r="K1366" s="106"/>
      <c r="L1366" s="106"/>
    </row>
    <row r="1367" spans="1:12">
      <c r="A1367" s="106"/>
      <c r="B1367" s="106"/>
      <c r="C1367" s="107"/>
      <c r="D1367" s="106"/>
      <c r="E1367" s="106"/>
      <c r="F1367" s="107"/>
      <c r="G1367" s="106"/>
      <c r="H1367" s="106"/>
      <c r="I1367" s="381"/>
      <c r="J1367" s="106"/>
      <c r="K1367" s="106"/>
      <c r="L1367" s="106"/>
    </row>
    <row r="1368" spans="1:12">
      <c r="A1368" s="106"/>
      <c r="B1368" s="106"/>
      <c r="C1368" s="107"/>
      <c r="D1368" s="106"/>
      <c r="E1368" s="106"/>
      <c r="F1368" s="107"/>
      <c r="G1368" s="106"/>
      <c r="H1368" s="106"/>
      <c r="I1368" s="381"/>
      <c r="J1368" s="106"/>
      <c r="K1368" s="106"/>
      <c r="L1368" s="106"/>
    </row>
    <row r="1369" spans="1:12">
      <c r="A1369" s="106"/>
      <c r="B1369" s="106"/>
      <c r="C1369" s="107"/>
      <c r="D1369" s="106"/>
      <c r="E1369" s="106"/>
      <c r="F1369" s="107"/>
      <c r="G1369" s="106"/>
      <c r="H1369" s="106"/>
      <c r="I1369" s="381"/>
      <c r="J1369" s="106"/>
      <c r="K1369" s="106"/>
      <c r="L1369" s="106"/>
    </row>
    <row r="1370" spans="1:12">
      <c r="A1370" s="106"/>
      <c r="B1370" s="106"/>
      <c r="C1370" s="107"/>
      <c r="D1370" s="106"/>
      <c r="E1370" s="106"/>
      <c r="F1370" s="107"/>
      <c r="G1370" s="106"/>
      <c r="H1370" s="106"/>
      <c r="I1370" s="381"/>
      <c r="J1370" s="106"/>
      <c r="K1370" s="106"/>
      <c r="L1370" s="106"/>
    </row>
    <row r="1371" spans="1:12">
      <c r="A1371" s="106"/>
      <c r="B1371" s="106"/>
      <c r="C1371" s="107"/>
      <c r="D1371" s="106"/>
      <c r="E1371" s="106"/>
      <c r="F1371" s="107"/>
      <c r="G1371" s="106"/>
      <c r="H1371" s="106"/>
      <c r="I1371" s="381"/>
      <c r="J1371" s="106"/>
      <c r="K1371" s="106"/>
      <c r="L1371" s="106"/>
    </row>
    <row r="1372" spans="1:12">
      <c r="A1372" s="106"/>
      <c r="B1372" s="106"/>
      <c r="C1372" s="107"/>
      <c r="D1372" s="106"/>
      <c r="E1372" s="106"/>
      <c r="F1372" s="107"/>
      <c r="G1372" s="106"/>
      <c r="H1372" s="106"/>
      <c r="I1372" s="381"/>
      <c r="J1372" s="106"/>
      <c r="K1372" s="106"/>
      <c r="L1372" s="106"/>
    </row>
    <row r="1373" spans="1:12">
      <c r="A1373" s="106"/>
      <c r="B1373" s="106"/>
      <c r="C1373" s="107"/>
      <c r="D1373" s="106"/>
      <c r="E1373" s="106"/>
      <c r="F1373" s="107"/>
      <c r="G1373" s="106"/>
      <c r="H1373" s="106"/>
      <c r="I1373" s="381"/>
      <c r="J1373" s="106"/>
      <c r="K1373" s="106"/>
      <c r="L1373" s="106"/>
    </row>
    <row r="1374" spans="1:12">
      <c r="A1374" s="106"/>
      <c r="B1374" s="106"/>
      <c r="C1374" s="107"/>
      <c r="D1374" s="106"/>
      <c r="E1374" s="106"/>
      <c r="F1374" s="107"/>
      <c r="G1374" s="106"/>
      <c r="H1374" s="106"/>
      <c r="I1374" s="381"/>
      <c r="J1374" s="106"/>
      <c r="K1374" s="106"/>
      <c r="L1374" s="106"/>
    </row>
    <row r="1375" spans="1:12">
      <c r="A1375" s="106"/>
      <c r="B1375" s="106"/>
      <c r="C1375" s="107"/>
      <c r="D1375" s="106"/>
      <c r="E1375" s="106"/>
      <c r="F1375" s="107"/>
      <c r="G1375" s="106"/>
      <c r="H1375" s="106"/>
      <c r="I1375" s="381"/>
      <c r="J1375" s="106"/>
      <c r="K1375" s="106"/>
      <c r="L1375" s="106"/>
    </row>
    <row r="1376" spans="1:12">
      <c r="A1376" s="106"/>
      <c r="B1376" s="106"/>
      <c r="C1376" s="107"/>
      <c r="D1376" s="106"/>
      <c r="E1376" s="106"/>
      <c r="F1376" s="107"/>
      <c r="G1376" s="106"/>
      <c r="H1376" s="106"/>
      <c r="I1376" s="381"/>
      <c r="J1376" s="106"/>
      <c r="K1376" s="106"/>
      <c r="L1376" s="106"/>
    </row>
    <row r="1377" spans="1:12">
      <c r="A1377" s="106"/>
      <c r="B1377" s="106"/>
      <c r="C1377" s="107"/>
      <c r="D1377" s="106"/>
      <c r="E1377" s="106"/>
      <c r="F1377" s="107"/>
      <c r="G1377" s="106"/>
      <c r="H1377" s="106"/>
      <c r="I1377" s="381"/>
      <c r="J1377" s="106"/>
      <c r="K1377" s="106"/>
      <c r="L1377" s="106"/>
    </row>
    <row r="1378" spans="1:12">
      <c r="A1378" s="106"/>
      <c r="B1378" s="106"/>
      <c r="C1378" s="107"/>
      <c r="D1378" s="106"/>
      <c r="E1378" s="106"/>
      <c r="F1378" s="107"/>
      <c r="G1378" s="106"/>
      <c r="H1378" s="106"/>
      <c r="I1378" s="381"/>
      <c r="J1378" s="106"/>
      <c r="K1378" s="106"/>
      <c r="L1378" s="106"/>
    </row>
    <row r="1379" spans="1:12">
      <c r="A1379" s="106"/>
      <c r="B1379" s="106"/>
      <c r="C1379" s="107"/>
      <c r="D1379" s="106"/>
      <c r="E1379" s="106"/>
      <c r="F1379" s="107"/>
      <c r="G1379" s="106"/>
      <c r="H1379" s="106"/>
      <c r="I1379" s="381"/>
      <c r="J1379" s="106"/>
      <c r="K1379" s="106"/>
      <c r="L1379" s="106"/>
    </row>
    <row r="1380" spans="1:12">
      <c r="A1380" s="106"/>
      <c r="B1380" s="106"/>
      <c r="C1380" s="107"/>
      <c r="D1380" s="106"/>
      <c r="E1380" s="106"/>
      <c r="F1380" s="107"/>
      <c r="G1380" s="106"/>
      <c r="H1380" s="106"/>
      <c r="I1380" s="381"/>
      <c r="J1380" s="106"/>
      <c r="K1380" s="106"/>
      <c r="L1380" s="106"/>
    </row>
    <row r="1381" spans="1:12">
      <c r="A1381" s="106"/>
      <c r="B1381" s="106"/>
      <c r="C1381" s="107"/>
      <c r="D1381" s="106"/>
      <c r="E1381" s="106"/>
      <c r="F1381" s="107"/>
      <c r="G1381" s="106"/>
      <c r="H1381" s="106"/>
      <c r="I1381" s="381"/>
      <c r="J1381" s="106"/>
      <c r="K1381" s="106"/>
      <c r="L1381" s="106"/>
    </row>
    <row r="1382" spans="1:12">
      <c r="A1382" s="106"/>
      <c r="B1382" s="106"/>
      <c r="C1382" s="107"/>
      <c r="D1382" s="106"/>
      <c r="E1382" s="106"/>
      <c r="F1382" s="107"/>
      <c r="G1382" s="106"/>
      <c r="H1382" s="106"/>
      <c r="I1382" s="381"/>
      <c r="J1382" s="106"/>
      <c r="K1382" s="106"/>
      <c r="L1382" s="106"/>
    </row>
    <row r="1383" spans="1:12">
      <c r="A1383" s="106"/>
      <c r="B1383" s="106"/>
      <c r="C1383" s="107"/>
      <c r="D1383" s="106"/>
      <c r="E1383" s="106"/>
      <c r="F1383" s="107"/>
      <c r="G1383" s="106"/>
      <c r="H1383" s="106"/>
      <c r="I1383" s="381"/>
      <c r="J1383" s="106"/>
      <c r="K1383" s="106"/>
      <c r="L1383" s="106"/>
    </row>
    <row r="1384" spans="1:12">
      <c r="A1384" s="106"/>
      <c r="B1384" s="106"/>
      <c r="C1384" s="107"/>
      <c r="D1384" s="106"/>
      <c r="E1384" s="106"/>
      <c r="F1384" s="107"/>
      <c r="G1384" s="106"/>
      <c r="H1384" s="106"/>
      <c r="I1384" s="381"/>
      <c r="J1384" s="106"/>
      <c r="K1384" s="106"/>
      <c r="L1384" s="106"/>
    </row>
    <row r="1385" spans="1:12">
      <c r="A1385" s="106"/>
      <c r="B1385" s="106"/>
      <c r="C1385" s="107"/>
      <c r="D1385" s="106"/>
      <c r="E1385" s="106"/>
      <c r="F1385" s="107"/>
      <c r="G1385" s="106"/>
      <c r="H1385" s="106"/>
      <c r="I1385" s="381"/>
      <c r="J1385" s="106"/>
      <c r="K1385" s="106"/>
      <c r="L1385" s="106"/>
    </row>
    <row r="1386" spans="1:12">
      <c r="A1386" s="106"/>
      <c r="B1386" s="106"/>
      <c r="C1386" s="107"/>
      <c r="D1386" s="106"/>
      <c r="E1386" s="106"/>
      <c r="F1386" s="107"/>
      <c r="G1386" s="106"/>
      <c r="H1386" s="106"/>
      <c r="I1386" s="381"/>
      <c r="J1386" s="106"/>
      <c r="K1386" s="106"/>
      <c r="L1386" s="106"/>
    </row>
    <row r="1387" spans="1:12">
      <c r="A1387" s="106"/>
      <c r="B1387" s="106"/>
      <c r="C1387" s="107"/>
      <c r="D1387" s="106"/>
      <c r="E1387" s="106"/>
      <c r="F1387" s="107"/>
      <c r="G1387" s="106"/>
      <c r="H1387" s="106"/>
      <c r="I1387" s="381"/>
      <c r="J1387" s="106"/>
      <c r="K1387" s="106"/>
      <c r="L1387" s="106"/>
    </row>
    <row r="1388" spans="1:12">
      <c r="A1388" s="106"/>
      <c r="B1388" s="106"/>
      <c r="C1388" s="107"/>
      <c r="D1388" s="106"/>
      <c r="E1388" s="106"/>
      <c r="F1388" s="107"/>
      <c r="G1388" s="106"/>
      <c r="H1388" s="106"/>
      <c r="I1388" s="381"/>
      <c r="J1388" s="106"/>
      <c r="K1388" s="106"/>
      <c r="L1388" s="106"/>
    </row>
    <row r="1389" spans="1:12">
      <c r="A1389" s="106"/>
      <c r="B1389" s="106"/>
      <c r="C1389" s="107"/>
      <c r="D1389" s="106"/>
      <c r="E1389" s="106"/>
      <c r="F1389" s="107"/>
      <c r="G1389" s="106"/>
      <c r="H1389" s="106"/>
      <c r="I1389" s="381"/>
      <c r="J1389" s="106"/>
      <c r="K1389" s="106"/>
      <c r="L1389" s="106"/>
    </row>
    <row r="1390" spans="1:12">
      <c r="A1390" s="106"/>
      <c r="B1390" s="106"/>
      <c r="C1390" s="107"/>
      <c r="D1390" s="106"/>
      <c r="E1390" s="106"/>
      <c r="F1390" s="107"/>
      <c r="G1390" s="106"/>
      <c r="H1390" s="106"/>
      <c r="I1390" s="381"/>
      <c r="J1390" s="106"/>
      <c r="K1390" s="106"/>
      <c r="L1390" s="106"/>
    </row>
    <row r="1391" spans="1:12">
      <c r="A1391" s="106"/>
      <c r="B1391" s="106"/>
      <c r="C1391" s="107"/>
      <c r="D1391" s="106"/>
      <c r="E1391" s="106"/>
      <c r="F1391" s="107"/>
      <c r="G1391" s="106"/>
      <c r="H1391" s="106"/>
      <c r="I1391" s="381"/>
      <c r="J1391" s="106"/>
      <c r="K1391" s="106"/>
      <c r="L1391" s="106"/>
    </row>
    <row r="1392" spans="1:12">
      <c r="A1392" s="106"/>
      <c r="B1392" s="106"/>
      <c r="C1392" s="107"/>
      <c r="D1392" s="106"/>
      <c r="E1392" s="106"/>
      <c r="F1392" s="107"/>
      <c r="G1392" s="106"/>
      <c r="H1392" s="106"/>
      <c r="I1392" s="381"/>
      <c r="J1392" s="106"/>
      <c r="K1392" s="106"/>
      <c r="L1392" s="106"/>
    </row>
    <row r="1393" spans="1:12">
      <c r="A1393" s="106"/>
      <c r="B1393" s="106"/>
      <c r="C1393" s="107"/>
      <c r="D1393" s="106"/>
      <c r="E1393" s="106"/>
      <c r="F1393" s="107"/>
      <c r="G1393" s="106"/>
      <c r="H1393" s="106"/>
      <c r="I1393" s="381"/>
      <c r="J1393" s="106"/>
      <c r="K1393" s="106"/>
      <c r="L1393" s="106"/>
    </row>
    <row r="1394" spans="1:12">
      <c r="A1394" s="106"/>
      <c r="B1394" s="106"/>
      <c r="C1394" s="107"/>
      <c r="D1394" s="106"/>
      <c r="E1394" s="106"/>
      <c r="F1394" s="107"/>
      <c r="G1394" s="106"/>
      <c r="H1394" s="106"/>
      <c r="I1394" s="381"/>
      <c r="J1394" s="106"/>
      <c r="K1394" s="106"/>
      <c r="L1394" s="106"/>
    </row>
    <row r="1395" spans="1:12">
      <c r="A1395" s="106"/>
      <c r="B1395" s="106"/>
      <c r="C1395" s="107"/>
      <c r="D1395" s="106"/>
      <c r="E1395" s="106"/>
      <c r="F1395" s="107"/>
      <c r="G1395" s="106"/>
      <c r="H1395" s="106"/>
      <c r="I1395" s="381"/>
      <c r="J1395" s="106"/>
      <c r="K1395" s="106"/>
      <c r="L1395" s="106"/>
    </row>
    <row r="1396" spans="1:12">
      <c r="A1396" s="106"/>
      <c r="B1396" s="106"/>
      <c r="C1396" s="107"/>
      <c r="D1396" s="106"/>
      <c r="E1396" s="106"/>
      <c r="F1396" s="107"/>
      <c r="G1396" s="106"/>
      <c r="H1396" s="106"/>
      <c r="I1396" s="381"/>
      <c r="J1396" s="106"/>
      <c r="K1396" s="106"/>
      <c r="L1396" s="106"/>
    </row>
    <row r="1397" spans="1:12">
      <c r="A1397" s="106"/>
      <c r="B1397" s="106"/>
      <c r="C1397" s="107"/>
      <c r="D1397" s="106"/>
      <c r="E1397" s="106"/>
      <c r="F1397" s="107"/>
      <c r="G1397" s="106"/>
      <c r="H1397" s="106"/>
      <c r="I1397" s="381"/>
      <c r="J1397" s="106"/>
      <c r="K1397" s="106"/>
      <c r="L1397" s="106"/>
    </row>
    <row r="1398" spans="1:12">
      <c r="A1398" s="106"/>
      <c r="B1398" s="106"/>
      <c r="C1398" s="107"/>
      <c r="D1398" s="106"/>
      <c r="E1398" s="106"/>
      <c r="F1398" s="107"/>
      <c r="G1398" s="106"/>
      <c r="H1398" s="106"/>
      <c r="I1398" s="381"/>
      <c r="J1398" s="106"/>
      <c r="K1398" s="106"/>
      <c r="L1398" s="106"/>
    </row>
    <row r="1399" spans="1:12">
      <c r="A1399" s="106"/>
      <c r="B1399" s="106"/>
      <c r="C1399" s="107"/>
      <c r="D1399" s="106"/>
      <c r="E1399" s="106"/>
      <c r="F1399" s="107"/>
      <c r="G1399" s="106"/>
      <c r="H1399" s="106"/>
      <c r="I1399" s="381"/>
      <c r="J1399" s="106"/>
      <c r="K1399" s="106"/>
      <c r="L1399" s="106"/>
    </row>
    <row r="1400" spans="1:12">
      <c r="A1400" s="106"/>
      <c r="B1400" s="106"/>
      <c r="C1400" s="107"/>
      <c r="D1400" s="106"/>
      <c r="E1400" s="106"/>
      <c r="F1400" s="107"/>
      <c r="G1400" s="106"/>
      <c r="H1400" s="106"/>
      <c r="I1400" s="381"/>
      <c r="J1400" s="106"/>
      <c r="K1400" s="106"/>
      <c r="L1400" s="106"/>
    </row>
    <row r="1401" spans="1:12">
      <c r="A1401" s="106"/>
      <c r="B1401" s="106"/>
      <c r="C1401" s="107"/>
      <c r="D1401" s="106"/>
      <c r="E1401" s="106"/>
      <c r="F1401" s="107"/>
      <c r="G1401" s="106"/>
      <c r="H1401" s="106"/>
      <c r="I1401" s="381"/>
      <c r="J1401" s="106"/>
      <c r="K1401" s="106"/>
      <c r="L1401" s="106"/>
    </row>
    <row r="1402" spans="1:12">
      <c r="A1402" s="106"/>
      <c r="B1402" s="106"/>
      <c r="C1402" s="107"/>
      <c r="D1402" s="106"/>
      <c r="E1402" s="106"/>
      <c r="F1402" s="107"/>
      <c r="G1402" s="106"/>
      <c r="H1402" s="106"/>
      <c r="I1402" s="381"/>
      <c r="J1402" s="106"/>
      <c r="K1402" s="106"/>
      <c r="L1402" s="106"/>
    </row>
    <row r="1403" spans="1:12">
      <c r="A1403" s="106"/>
      <c r="B1403" s="106"/>
      <c r="C1403" s="107"/>
      <c r="D1403" s="106"/>
      <c r="E1403" s="106"/>
      <c r="F1403" s="107"/>
      <c r="G1403" s="106"/>
      <c r="H1403" s="106"/>
      <c r="I1403" s="381"/>
      <c r="J1403" s="106"/>
      <c r="K1403" s="106"/>
      <c r="L1403" s="106"/>
    </row>
    <row r="1404" spans="1:12">
      <c r="A1404" s="106"/>
      <c r="B1404" s="106"/>
      <c r="C1404" s="107"/>
      <c r="D1404" s="106"/>
      <c r="E1404" s="106"/>
      <c r="F1404" s="107"/>
      <c r="G1404" s="106"/>
      <c r="H1404" s="106"/>
      <c r="I1404" s="381"/>
      <c r="J1404" s="106"/>
      <c r="K1404" s="106"/>
      <c r="L1404" s="106"/>
    </row>
    <row r="1405" spans="1:12">
      <c r="A1405" s="106"/>
      <c r="B1405" s="106"/>
      <c r="C1405" s="107"/>
      <c r="D1405" s="106"/>
      <c r="E1405" s="106"/>
      <c r="F1405" s="107"/>
      <c r="G1405" s="106"/>
      <c r="H1405" s="106"/>
      <c r="I1405" s="381"/>
      <c r="J1405" s="106"/>
      <c r="K1405" s="106"/>
      <c r="L1405" s="106"/>
    </row>
    <row r="1406" spans="1:12">
      <c r="A1406" s="106"/>
      <c r="B1406" s="106"/>
      <c r="C1406" s="107"/>
      <c r="D1406" s="106"/>
      <c r="E1406" s="106"/>
      <c r="F1406" s="107"/>
      <c r="G1406" s="106"/>
      <c r="H1406" s="106"/>
      <c r="I1406" s="381"/>
      <c r="J1406" s="106"/>
      <c r="K1406" s="106"/>
      <c r="L1406" s="106"/>
    </row>
    <row r="1407" spans="1:12">
      <c r="A1407" s="106"/>
      <c r="B1407" s="106"/>
      <c r="C1407" s="107"/>
      <c r="D1407" s="106"/>
      <c r="E1407" s="106"/>
      <c r="F1407" s="107"/>
      <c r="G1407" s="106"/>
      <c r="H1407" s="106"/>
      <c r="I1407" s="381"/>
      <c r="J1407" s="106"/>
      <c r="K1407" s="106"/>
      <c r="L1407" s="106"/>
    </row>
    <row r="1408" spans="1:12">
      <c r="A1408" s="106"/>
      <c r="B1408" s="106"/>
      <c r="C1408" s="107"/>
      <c r="D1408" s="106"/>
      <c r="E1408" s="106"/>
      <c r="F1408" s="107"/>
      <c r="G1408" s="106"/>
      <c r="H1408" s="106"/>
      <c r="I1408" s="381"/>
      <c r="J1408" s="106"/>
      <c r="K1408" s="106"/>
      <c r="L1408" s="106"/>
    </row>
    <row r="1409" spans="1:12">
      <c r="A1409" s="106"/>
      <c r="B1409" s="106"/>
      <c r="C1409" s="107"/>
      <c r="D1409" s="106"/>
      <c r="E1409" s="106"/>
      <c r="F1409" s="107"/>
      <c r="G1409" s="106"/>
      <c r="H1409" s="106"/>
      <c r="I1409" s="381"/>
      <c r="J1409" s="106"/>
      <c r="K1409" s="106"/>
      <c r="L1409" s="106"/>
    </row>
    <row r="1410" spans="1:12">
      <c r="A1410" s="106"/>
      <c r="B1410" s="106"/>
      <c r="C1410" s="107"/>
      <c r="D1410" s="106"/>
      <c r="E1410" s="106"/>
      <c r="F1410" s="107"/>
      <c r="G1410" s="106"/>
      <c r="H1410" s="106"/>
      <c r="I1410" s="381"/>
      <c r="J1410" s="106"/>
      <c r="K1410" s="106"/>
      <c r="L1410" s="106"/>
    </row>
    <row r="1411" spans="1:12">
      <c r="A1411" s="106"/>
      <c r="B1411" s="106"/>
      <c r="C1411" s="107"/>
      <c r="D1411" s="106"/>
      <c r="E1411" s="106"/>
      <c r="F1411" s="107"/>
      <c r="G1411" s="106"/>
      <c r="H1411" s="106"/>
      <c r="I1411" s="381"/>
      <c r="J1411" s="106"/>
      <c r="K1411" s="106"/>
      <c r="L1411" s="106"/>
    </row>
    <row r="1412" spans="1:12">
      <c r="A1412" s="106"/>
      <c r="B1412" s="106"/>
      <c r="C1412" s="107"/>
      <c r="D1412" s="106"/>
      <c r="E1412" s="106"/>
      <c r="F1412" s="107"/>
      <c r="G1412" s="106"/>
      <c r="H1412" s="106"/>
      <c r="I1412" s="381"/>
      <c r="J1412" s="106"/>
      <c r="K1412" s="106"/>
      <c r="L1412" s="106"/>
    </row>
    <row r="1413" spans="1:12">
      <c r="A1413" s="106"/>
      <c r="B1413" s="106"/>
      <c r="C1413" s="107"/>
      <c r="D1413" s="106"/>
      <c r="E1413" s="106"/>
      <c r="F1413" s="107"/>
      <c r="G1413" s="106"/>
      <c r="H1413" s="106"/>
      <c r="I1413" s="381"/>
      <c r="J1413" s="106"/>
      <c r="K1413" s="106"/>
      <c r="L1413" s="106"/>
    </row>
    <row r="1414" spans="1:12">
      <c r="A1414" s="106"/>
      <c r="B1414" s="106"/>
      <c r="C1414" s="107"/>
      <c r="D1414" s="106"/>
      <c r="E1414" s="106"/>
      <c r="F1414" s="107"/>
      <c r="G1414" s="106"/>
      <c r="H1414" s="106"/>
      <c r="I1414" s="381"/>
      <c r="J1414" s="106"/>
      <c r="K1414" s="106"/>
      <c r="L1414" s="106"/>
    </row>
    <row r="1415" spans="1:12">
      <c r="A1415" s="106"/>
      <c r="B1415" s="106"/>
      <c r="C1415" s="107"/>
      <c r="D1415" s="106"/>
      <c r="E1415" s="106"/>
      <c r="F1415" s="107"/>
      <c r="G1415" s="106"/>
      <c r="H1415" s="106"/>
      <c r="I1415" s="381"/>
      <c r="J1415" s="106"/>
      <c r="K1415" s="106"/>
      <c r="L1415" s="106"/>
    </row>
    <row r="1416" spans="1:12">
      <c r="A1416" s="106"/>
      <c r="B1416" s="106"/>
      <c r="C1416" s="107"/>
      <c r="D1416" s="106"/>
      <c r="E1416" s="106"/>
      <c r="F1416" s="107"/>
      <c r="G1416" s="106"/>
      <c r="H1416" s="106"/>
      <c r="I1416" s="381"/>
      <c r="J1416" s="106"/>
      <c r="K1416" s="106"/>
      <c r="L1416" s="106"/>
    </row>
    <row r="1417" spans="1:12">
      <c r="A1417" s="106"/>
      <c r="B1417" s="106"/>
      <c r="C1417" s="107"/>
      <c r="D1417" s="106"/>
      <c r="E1417" s="106"/>
      <c r="F1417" s="107"/>
      <c r="G1417" s="106"/>
      <c r="H1417" s="106"/>
      <c r="I1417" s="381"/>
      <c r="J1417" s="106"/>
      <c r="K1417" s="106"/>
      <c r="L1417" s="106"/>
    </row>
    <row r="1418" spans="1:12">
      <c r="A1418" s="106"/>
      <c r="B1418" s="106"/>
      <c r="C1418" s="107"/>
      <c r="D1418" s="106"/>
      <c r="E1418" s="106"/>
      <c r="F1418" s="107"/>
      <c r="G1418" s="106"/>
      <c r="H1418" s="106"/>
      <c r="I1418" s="381"/>
      <c r="J1418" s="106"/>
      <c r="K1418" s="106"/>
      <c r="L1418" s="106"/>
    </row>
    <row r="1419" spans="1:12">
      <c r="A1419" s="106"/>
      <c r="B1419" s="106"/>
      <c r="C1419" s="107"/>
      <c r="D1419" s="106"/>
      <c r="E1419" s="106"/>
      <c r="F1419" s="107"/>
      <c r="G1419" s="106"/>
      <c r="H1419" s="106"/>
      <c r="I1419" s="381"/>
      <c r="J1419" s="106"/>
      <c r="K1419" s="106"/>
      <c r="L1419" s="106"/>
    </row>
    <row r="1420" spans="1:12">
      <c r="A1420" s="106"/>
      <c r="B1420" s="106"/>
      <c r="C1420" s="107"/>
      <c r="D1420" s="106"/>
      <c r="E1420" s="106"/>
      <c r="F1420" s="107"/>
      <c r="G1420" s="106"/>
      <c r="H1420" s="106"/>
      <c r="I1420" s="381"/>
      <c r="J1420" s="106"/>
      <c r="K1420" s="106"/>
      <c r="L1420" s="106"/>
    </row>
    <row r="1421" spans="1:12">
      <c r="A1421" s="106"/>
      <c r="B1421" s="106"/>
      <c r="C1421" s="107"/>
      <c r="D1421" s="106"/>
      <c r="E1421" s="106"/>
      <c r="F1421" s="107"/>
      <c r="G1421" s="106"/>
      <c r="H1421" s="106"/>
      <c r="I1421" s="381"/>
      <c r="J1421" s="106"/>
      <c r="K1421" s="106"/>
      <c r="L1421" s="106"/>
    </row>
    <row r="1422" spans="1:12">
      <c r="A1422" s="106"/>
      <c r="B1422" s="106"/>
      <c r="C1422" s="107"/>
      <c r="D1422" s="106"/>
      <c r="E1422" s="106"/>
      <c r="F1422" s="107"/>
      <c r="G1422" s="106"/>
      <c r="H1422" s="106"/>
      <c r="I1422" s="381"/>
      <c r="J1422" s="106"/>
      <c r="K1422" s="106"/>
      <c r="L1422" s="106"/>
    </row>
    <row r="1423" spans="1:12">
      <c r="A1423" s="106"/>
      <c r="B1423" s="106"/>
      <c r="C1423" s="107"/>
      <c r="D1423" s="106"/>
      <c r="E1423" s="106"/>
      <c r="F1423" s="107"/>
      <c r="G1423" s="106"/>
      <c r="H1423" s="106"/>
      <c r="I1423" s="381"/>
      <c r="J1423" s="106"/>
      <c r="K1423" s="106"/>
      <c r="L1423" s="106"/>
    </row>
    <row r="1424" spans="1:12">
      <c r="A1424" s="106"/>
      <c r="B1424" s="106"/>
      <c r="C1424" s="107"/>
      <c r="D1424" s="106"/>
      <c r="E1424" s="106"/>
      <c r="F1424" s="107"/>
      <c r="G1424" s="106"/>
      <c r="H1424" s="106"/>
      <c r="I1424" s="381"/>
      <c r="J1424" s="106"/>
      <c r="K1424" s="106"/>
      <c r="L1424" s="106"/>
    </row>
    <row r="1425" spans="1:12">
      <c r="A1425" s="106"/>
      <c r="B1425" s="106"/>
      <c r="C1425" s="107"/>
      <c r="D1425" s="106"/>
      <c r="E1425" s="106"/>
      <c r="F1425" s="107"/>
      <c r="G1425" s="106"/>
      <c r="H1425" s="106"/>
      <c r="I1425" s="381"/>
      <c r="J1425" s="106"/>
      <c r="K1425" s="106"/>
      <c r="L1425" s="106"/>
    </row>
    <row r="1426" spans="1:12">
      <c r="A1426" s="106"/>
      <c r="B1426" s="106"/>
      <c r="C1426" s="107"/>
      <c r="D1426" s="106"/>
      <c r="E1426" s="106"/>
      <c r="F1426" s="107"/>
      <c r="G1426" s="106"/>
      <c r="H1426" s="106"/>
      <c r="I1426" s="381"/>
      <c r="J1426" s="106"/>
      <c r="K1426" s="106"/>
      <c r="L1426" s="106"/>
    </row>
    <row r="1427" spans="1:12">
      <c r="A1427" s="106"/>
      <c r="B1427" s="106"/>
      <c r="C1427" s="107"/>
      <c r="D1427" s="106"/>
      <c r="E1427" s="106"/>
      <c r="F1427" s="107"/>
      <c r="G1427" s="106"/>
      <c r="H1427" s="106"/>
      <c r="I1427" s="381"/>
      <c r="J1427" s="106"/>
      <c r="K1427" s="106"/>
      <c r="L1427" s="106"/>
    </row>
    <row r="1428" spans="1:12">
      <c r="A1428" s="106"/>
      <c r="B1428" s="106"/>
      <c r="C1428" s="107"/>
      <c r="D1428" s="106"/>
      <c r="E1428" s="106"/>
      <c r="F1428" s="107"/>
      <c r="G1428" s="106"/>
      <c r="H1428" s="106"/>
      <c r="I1428" s="381"/>
      <c r="J1428" s="106"/>
      <c r="K1428" s="106"/>
      <c r="L1428" s="106"/>
    </row>
    <row r="1429" spans="1:12">
      <c r="A1429" s="106"/>
      <c r="B1429" s="106"/>
      <c r="C1429" s="107"/>
      <c r="D1429" s="106"/>
      <c r="E1429" s="106"/>
      <c r="F1429" s="107"/>
      <c r="G1429" s="106"/>
      <c r="H1429" s="106"/>
      <c r="I1429" s="381"/>
      <c r="J1429" s="106"/>
      <c r="K1429" s="106"/>
      <c r="L1429" s="106"/>
    </row>
    <row r="1430" spans="1:12">
      <c r="A1430" s="106"/>
      <c r="B1430" s="106"/>
      <c r="C1430" s="107"/>
      <c r="D1430" s="106"/>
      <c r="E1430" s="106"/>
      <c r="F1430" s="107"/>
      <c r="G1430" s="106"/>
      <c r="H1430" s="106"/>
      <c r="I1430" s="381"/>
      <c r="J1430" s="106"/>
      <c r="K1430" s="106"/>
      <c r="L1430" s="106"/>
    </row>
    <row r="1431" spans="1:12">
      <c r="A1431" s="106"/>
      <c r="B1431" s="106"/>
      <c r="C1431" s="107"/>
      <c r="D1431" s="106"/>
      <c r="E1431" s="106"/>
      <c r="F1431" s="107"/>
      <c r="G1431" s="106"/>
      <c r="H1431" s="106"/>
      <c r="I1431" s="381"/>
      <c r="J1431" s="106"/>
      <c r="K1431" s="106"/>
      <c r="L1431" s="106"/>
    </row>
    <row r="1432" spans="1:12">
      <c r="A1432" s="106"/>
      <c r="B1432" s="106"/>
      <c r="C1432" s="107"/>
      <c r="D1432" s="106"/>
      <c r="E1432" s="106"/>
      <c r="F1432" s="107"/>
      <c r="G1432" s="106"/>
      <c r="H1432" s="106"/>
      <c r="I1432" s="381"/>
      <c r="J1432" s="106"/>
      <c r="K1432" s="106"/>
      <c r="L1432" s="106"/>
    </row>
    <row r="1433" spans="1:12">
      <c r="A1433" s="106"/>
      <c r="B1433" s="106"/>
      <c r="C1433" s="107"/>
      <c r="D1433" s="106"/>
      <c r="E1433" s="106"/>
      <c r="F1433" s="107"/>
      <c r="G1433" s="106"/>
      <c r="H1433" s="106"/>
      <c r="I1433" s="381"/>
      <c r="J1433" s="106"/>
      <c r="K1433" s="106"/>
      <c r="L1433" s="106"/>
    </row>
    <row r="1434" spans="1:12">
      <c r="A1434" s="106"/>
      <c r="B1434" s="106"/>
      <c r="C1434" s="107"/>
      <c r="D1434" s="106"/>
      <c r="E1434" s="106"/>
      <c r="F1434" s="107"/>
      <c r="G1434" s="106"/>
      <c r="H1434" s="106"/>
      <c r="I1434" s="381"/>
      <c r="J1434" s="106"/>
      <c r="K1434" s="106"/>
      <c r="L1434" s="106"/>
    </row>
    <row r="1435" spans="1:12">
      <c r="A1435" s="106"/>
      <c r="B1435" s="106"/>
      <c r="C1435" s="107"/>
      <c r="D1435" s="106"/>
      <c r="E1435" s="106"/>
      <c r="F1435" s="107"/>
      <c r="G1435" s="106"/>
      <c r="H1435" s="106"/>
      <c r="I1435" s="381"/>
      <c r="J1435" s="106"/>
      <c r="K1435" s="106"/>
      <c r="L1435" s="106"/>
    </row>
    <row r="1436" spans="1:12">
      <c r="A1436" s="106"/>
      <c r="B1436" s="106"/>
      <c r="C1436" s="107"/>
      <c r="D1436" s="106"/>
      <c r="E1436" s="106"/>
      <c r="F1436" s="107"/>
      <c r="G1436" s="106"/>
      <c r="H1436" s="106"/>
      <c r="I1436" s="381"/>
      <c r="J1436" s="106"/>
      <c r="K1436" s="106"/>
      <c r="L1436" s="106"/>
    </row>
    <row r="1437" spans="1:12">
      <c r="A1437" s="106"/>
      <c r="B1437" s="106"/>
      <c r="C1437" s="107"/>
      <c r="D1437" s="106"/>
      <c r="E1437" s="106"/>
      <c r="F1437" s="107"/>
      <c r="G1437" s="106"/>
      <c r="H1437" s="106"/>
      <c r="I1437" s="381"/>
      <c r="J1437" s="106"/>
      <c r="K1437" s="106"/>
      <c r="L1437" s="106"/>
    </row>
    <row r="1438" spans="1:12">
      <c r="A1438" s="106"/>
      <c r="B1438" s="106"/>
      <c r="C1438" s="107"/>
      <c r="D1438" s="106"/>
      <c r="E1438" s="106"/>
      <c r="F1438" s="107"/>
      <c r="G1438" s="106"/>
      <c r="H1438" s="106"/>
      <c r="I1438" s="381"/>
      <c r="J1438" s="106"/>
      <c r="K1438" s="106"/>
      <c r="L1438" s="106"/>
    </row>
    <row r="1439" spans="1:12">
      <c r="A1439" s="106"/>
      <c r="B1439" s="106"/>
      <c r="C1439" s="107"/>
      <c r="D1439" s="106"/>
      <c r="E1439" s="106"/>
      <c r="F1439" s="107"/>
      <c r="G1439" s="106"/>
      <c r="H1439" s="106"/>
      <c r="I1439" s="381"/>
      <c r="J1439" s="106"/>
      <c r="K1439" s="106"/>
      <c r="L1439" s="106"/>
    </row>
    <row r="1440" spans="1:12">
      <c r="A1440" s="106"/>
      <c r="B1440" s="106"/>
      <c r="C1440" s="107"/>
      <c r="D1440" s="106"/>
      <c r="E1440" s="106"/>
      <c r="F1440" s="107"/>
      <c r="G1440" s="106"/>
      <c r="H1440" s="106"/>
      <c r="I1440" s="381"/>
      <c r="J1440" s="106"/>
      <c r="K1440" s="106"/>
      <c r="L1440" s="106"/>
    </row>
    <row r="1441" spans="1:12">
      <c r="A1441" s="106"/>
      <c r="B1441" s="106"/>
      <c r="C1441" s="107"/>
      <c r="D1441" s="106"/>
      <c r="E1441" s="106"/>
      <c r="F1441" s="107"/>
      <c r="G1441" s="106"/>
      <c r="H1441" s="106"/>
      <c r="I1441" s="381"/>
      <c r="J1441" s="106"/>
      <c r="K1441" s="106"/>
      <c r="L1441" s="106"/>
    </row>
    <row r="1442" spans="1:12">
      <c r="A1442" s="106"/>
      <c r="B1442" s="106"/>
      <c r="C1442" s="107"/>
      <c r="D1442" s="106"/>
      <c r="E1442" s="106"/>
      <c r="F1442" s="107"/>
      <c r="G1442" s="106"/>
      <c r="H1442" s="106"/>
      <c r="I1442" s="381"/>
      <c r="J1442" s="106"/>
      <c r="K1442" s="106"/>
      <c r="L1442" s="106"/>
    </row>
    <row r="1443" spans="1:12">
      <c r="A1443" s="106"/>
      <c r="B1443" s="106"/>
      <c r="C1443" s="107"/>
      <c r="D1443" s="106"/>
      <c r="E1443" s="106"/>
      <c r="F1443" s="107"/>
      <c r="G1443" s="106"/>
      <c r="H1443" s="106"/>
      <c r="I1443" s="381"/>
      <c r="J1443" s="106"/>
      <c r="K1443" s="106"/>
      <c r="L1443" s="106"/>
    </row>
    <row r="1444" spans="1:12">
      <c r="A1444" s="106"/>
      <c r="B1444" s="106"/>
      <c r="C1444" s="107"/>
      <c r="D1444" s="106"/>
      <c r="E1444" s="106"/>
      <c r="F1444" s="107"/>
      <c r="G1444" s="106"/>
      <c r="H1444" s="106"/>
      <c r="I1444" s="381"/>
      <c r="J1444" s="106"/>
      <c r="K1444" s="106"/>
      <c r="L1444" s="106"/>
    </row>
    <row r="1445" spans="1:12">
      <c r="A1445" s="106"/>
      <c r="B1445" s="106"/>
      <c r="C1445" s="107"/>
      <c r="D1445" s="106"/>
      <c r="E1445" s="106"/>
      <c r="F1445" s="107"/>
      <c r="G1445" s="106"/>
      <c r="H1445" s="106"/>
      <c r="I1445" s="381"/>
      <c r="J1445" s="106"/>
      <c r="K1445" s="106"/>
      <c r="L1445" s="106"/>
    </row>
    <row r="1446" spans="1:12">
      <c r="A1446" s="106"/>
      <c r="B1446" s="106"/>
      <c r="C1446" s="107"/>
      <c r="D1446" s="106"/>
      <c r="E1446" s="106"/>
      <c r="F1446" s="107"/>
      <c r="G1446" s="106"/>
      <c r="H1446" s="106"/>
      <c r="I1446" s="381"/>
      <c r="J1446" s="106"/>
      <c r="K1446" s="106"/>
      <c r="L1446" s="106"/>
    </row>
    <row r="1447" spans="1:12">
      <c r="A1447" s="106"/>
      <c r="B1447" s="106"/>
      <c r="C1447" s="107"/>
      <c r="D1447" s="106"/>
      <c r="E1447" s="106"/>
      <c r="F1447" s="107"/>
      <c r="G1447" s="106"/>
      <c r="H1447" s="106"/>
      <c r="I1447" s="381"/>
      <c r="J1447" s="106"/>
      <c r="K1447" s="106"/>
      <c r="L1447" s="106"/>
    </row>
    <row r="1448" spans="1:12">
      <c r="A1448" s="106"/>
      <c r="B1448" s="106"/>
      <c r="C1448" s="107"/>
      <c r="D1448" s="106"/>
      <c r="E1448" s="106"/>
      <c r="F1448" s="107"/>
      <c r="G1448" s="106"/>
      <c r="H1448" s="106"/>
      <c r="I1448" s="381"/>
      <c r="J1448" s="106"/>
      <c r="K1448" s="106"/>
      <c r="L1448" s="106"/>
    </row>
    <row r="1449" spans="1:12">
      <c r="A1449" s="106"/>
      <c r="B1449" s="106"/>
      <c r="C1449" s="107"/>
      <c r="D1449" s="106"/>
      <c r="E1449" s="106"/>
      <c r="F1449" s="107"/>
      <c r="G1449" s="106"/>
      <c r="H1449" s="106"/>
      <c r="I1449" s="381"/>
      <c r="J1449" s="106"/>
      <c r="K1449" s="106"/>
      <c r="L1449" s="106"/>
    </row>
    <row r="1450" spans="1:12">
      <c r="A1450" s="106"/>
      <c r="B1450" s="106"/>
      <c r="C1450" s="107"/>
      <c r="D1450" s="106"/>
      <c r="E1450" s="106"/>
      <c r="F1450" s="107"/>
      <c r="G1450" s="106"/>
      <c r="H1450" s="106"/>
      <c r="I1450" s="381"/>
      <c r="J1450" s="106"/>
      <c r="K1450" s="106"/>
      <c r="L1450" s="106"/>
    </row>
    <row r="1451" spans="1:12">
      <c r="A1451" s="106"/>
      <c r="B1451" s="106"/>
      <c r="C1451" s="107"/>
      <c r="D1451" s="106"/>
      <c r="E1451" s="106"/>
      <c r="F1451" s="107"/>
      <c r="G1451" s="106"/>
      <c r="H1451" s="106"/>
      <c r="I1451" s="381"/>
      <c r="J1451" s="106"/>
      <c r="K1451" s="106"/>
      <c r="L1451" s="106"/>
    </row>
    <row r="1452" spans="1:12">
      <c r="A1452" s="106"/>
      <c r="B1452" s="106"/>
      <c r="C1452" s="107"/>
      <c r="D1452" s="106"/>
      <c r="E1452" s="106"/>
      <c r="F1452" s="107"/>
      <c r="G1452" s="106"/>
      <c r="H1452" s="106"/>
      <c r="I1452" s="381"/>
      <c r="J1452" s="106"/>
      <c r="K1452" s="106"/>
      <c r="L1452" s="106"/>
    </row>
    <row r="1453" spans="1:12">
      <c r="A1453" s="106"/>
      <c r="B1453" s="106"/>
      <c r="C1453" s="107"/>
      <c r="D1453" s="106"/>
      <c r="E1453" s="106"/>
      <c r="F1453" s="107"/>
      <c r="G1453" s="106"/>
      <c r="H1453" s="106"/>
      <c r="I1453" s="381"/>
      <c r="J1453" s="106"/>
      <c r="K1453" s="106"/>
      <c r="L1453" s="106"/>
    </row>
    <row r="1454" spans="1:12">
      <c r="A1454" s="106"/>
      <c r="B1454" s="106"/>
      <c r="C1454" s="107"/>
      <c r="D1454" s="106"/>
      <c r="E1454" s="106"/>
      <c r="F1454" s="107"/>
      <c r="G1454" s="106"/>
      <c r="H1454" s="106"/>
      <c r="I1454" s="381"/>
      <c r="J1454" s="106"/>
      <c r="K1454" s="106"/>
      <c r="L1454" s="106"/>
    </row>
    <row r="1455" spans="1:12">
      <c r="A1455" s="106"/>
      <c r="B1455" s="106"/>
      <c r="C1455" s="107"/>
      <c r="D1455" s="106"/>
      <c r="E1455" s="106"/>
      <c r="F1455" s="107"/>
      <c r="G1455" s="106"/>
      <c r="H1455" s="106"/>
      <c r="I1455" s="381"/>
      <c r="J1455" s="106"/>
      <c r="K1455" s="106"/>
      <c r="L1455" s="106"/>
    </row>
    <row r="1456" spans="1:12">
      <c r="A1456" s="106"/>
      <c r="B1456" s="106"/>
      <c r="C1456" s="107"/>
      <c r="D1456" s="106"/>
      <c r="E1456" s="106"/>
      <c r="F1456" s="107"/>
      <c r="G1456" s="106"/>
      <c r="H1456" s="106"/>
      <c r="I1456" s="381"/>
      <c r="J1456" s="106"/>
      <c r="K1456" s="106"/>
      <c r="L1456" s="106"/>
    </row>
    <row r="1457" spans="1:12">
      <c r="A1457" s="106"/>
      <c r="B1457" s="106"/>
      <c r="C1457" s="107"/>
      <c r="D1457" s="106"/>
      <c r="E1457" s="106"/>
      <c r="F1457" s="107"/>
      <c r="G1457" s="106"/>
      <c r="H1457" s="106"/>
      <c r="I1457" s="381"/>
      <c r="J1457" s="106"/>
      <c r="K1457" s="106"/>
      <c r="L1457" s="106"/>
    </row>
    <row r="1458" spans="1:12">
      <c r="A1458" s="106"/>
      <c r="B1458" s="106"/>
      <c r="C1458" s="107"/>
      <c r="D1458" s="106"/>
      <c r="E1458" s="106"/>
      <c r="F1458" s="107"/>
      <c r="G1458" s="106"/>
      <c r="H1458" s="106"/>
      <c r="I1458" s="381"/>
      <c r="J1458" s="106"/>
      <c r="K1458" s="106"/>
      <c r="L1458" s="106"/>
    </row>
    <row r="1459" spans="1:12">
      <c r="A1459" s="106"/>
      <c r="B1459" s="106"/>
      <c r="C1459" s="107"/>
      <c r="D1459" s="106"/>
      <c r="E1459" s="106"/>
      <c r="F1459" s="107"/>
      <c r="G1459" s="106"/>
      <c r="H1459" s="106"/>
      <c r="I1459" s="381"/>
      <c r="J1459" s="106"/>
      <c r="K1459" s="106"/>
      <c r="L1459" s="106"/>
    </row>
    <row r="1460" spans="1:12">
      <c r="A1460" s="106"/>
      <c r="B1460" s="106"/>
      <c r="C1460" s="107"/>
      <c r="D1460" s="106"/>
      <c r="E1460" s="106"/>
      <c r="F1460" s="107"/>
      <c r="G1460" s="106"/>
      <c r="H1460" s="106"/>
      <c r="I1460" s="381"/>
      <c r="J1460" s="106"/>
      <c r="K1460" s="106"/>
      <c r="L1460" s="106"/>
    </row>
    <row r="1461" spans="1:12">
      <c r="A1461" s="106"/>
      <c r="B1461" s="106"/>
      <c r="C1461" s="107"/>
      <c r="D1461" s="106"/>
      <c r="E1461" s="106"/>
      <c r="F1461" s="107"/>
      <c r="G1461" s="106"/>
      <c r="H1461" s="106"/>
      <c r="I1461" s="381"/>
      <c r="J1461" s="106"/>
      <c r="K1461" s="106"/>
      <c r="L1461" s="106"/>
    </row>
    <row r="1462" spans="1:12">
      <c r="A1462" s="106"/>
      <c r="B1462" s="106"/>
      <c r="C1462" s="107"/>
      <c r="D1462" s="106"/>
      <c r="E1462" s="106"/>
      <c r="F1462" s="107"/>
      <c r="G1462" s="106"/>
      <c r="H1462" s="106"/>
      <c r="I1462" s="381"/>
      <c r="J1462" s="106"/>
      <c r="K1462" s="106"/>
      <c r="L1462" s="106"/>
    </row>
    <row r="1463" spans="1:12">
      <c r="A1463" s="106"/>
      <c r="B1463" s="106"/>
      <c r="C1463" s="107"/>
      <c r="D1463" s="106"/>
      <c r="E1463" s="106"/>
      <c r="F1463" s="107"/>
      <c r="G1463" s="106"/>
      <c r="H1463" s="106"/>
      <c r="I1463" s="381"/>
      <c r="J1463" s="106"/>
      <c r="K1463" s="106"/>
      <c r="L1463" s="106"/>
    </row>
    <row r="1464" spans="1:12">
      <c r="A1464" s="106"/>
      <c r="B1464" s="106"/>
      <c r="C1464" s="107"/>
      <c r="D1464" s="106"/>
      <c r="E1464" s="106"/>
      <c r="F1464" s="107"/>
      <c r="G1464" s="106"/>
      <c r="H1464" s="106"/>
      <c r="I1464" s="381"/>
      <c r="J1464" s="106"/>
      <c r="K1464" s="106"/>
      <c r="L1464" s="106"/>
    </row>
    <row r="1465" spans="1:12">
      <c r="A1465" s="106"/>
      <c r="B1465" s="106"/>
      <c r="C1465" s="107"/>
      <c r="D1465" s="106"/>
      <c r="E1465" s="106"/>
      <c r="F1465" s="107"/>
      <c r="G1465" s="106"/>
      <c r="H1465" s="106"/>
      <c r="I1465" s="381"/>
      <c r="J1465" s="106"/>
      <c r="K1465" s="106"/>
      <c r="L1465" s="106"/>
    </row>
    <row r="1466" spans="1:12">
      <c r="A1466" s="106"/>
      <c r="B1466" s="106"/>
      <c r="C1466" s="107"/>
      <c r="D1466" s="106"/>
      <c r="E1466" s="106"/>
      <c r="F1466" s="107"/>
      <c r="G1466" s="106"/>
      <c r="H1466" s="106"/>
      <c r="I1466" s="381"/>
      <c r="J1466" s="106"/>
      <c r="K1466" s="106"/>
      <c r="L1466" s="106"/>
    </row>
    <row r="1467" spans="1:12">
      <c r="A1467" s="106"/>
      <c r="B1467" s="106"/>
      <c r="C1467" s="107"/>
      <c r="D1467" s="106"/>
      <c r="E1467" s="106"/>
      <c r="F1467" s="107"/>
      <c r="G1467" s="106"/>
      <c r="H1467" s="106"/>
      <c r="I1467" s="381"/>
      <c r="J1467" s="106"/>
      <c r="K1467" s="106"/>
      <c r="L1467" s="106"/>
    </row>
    <row r="1468" spans="1:12">
      <c r="A1468" s="106"/>
      <c r="B1468" s="106"/>
      <c r="C1468" s="107"/>
      <c r="D1468" s="106"/>
      <c r="E1468" s="106"/>
      <c r="F1468" s="107"/>
      <c r="G1468" s="106"/>
      <c r="H1468" s="106"/>
      <c r="I1468" s="381"/>
      <c r="J1468" s="106"/>
      <c r="K1468" s="106"/>
      <c r="L1468" s="106"/>
    </row>
    <row r="1469" spans="1:12">
      <c r="A1469" s="106"/>
      <c r="B1469" s="106"/>
      <c r="C1469" s="107"/>
      <c r="D1469" s="106"/>
      <c r="E1469" s="106"/>
      <c r="F1469" s="107"/>
      <c r="G1469" s="106"/>
      <c r="H1469" s="106"/>
      <c r="I1469" s="381"/>
      <c r="J1469" s="106"/>
      <c r="K1469" s="106"/>
      <c r="L1469" s="106"/>
    </row>
    <row r="1470" spans="1:12">
      <c r="A1470" s="106"/>
      <c r="B1470" s="106"/>
      <c r="C1470" s="107"/>
      <c r="D1470" s="106"/>
      <c r="E1470" s="106"/>
      <c r="F1470" s="107"/>
      <c r="G1470" s="106"/>
      <c r="H1470" s="106"/>
      <c r="I1470" s="381"/>
      <c r="J1470" s="106"/>
      <c r="K1470" s="106"/>
      <c r="L1470" s="106"/>
    </row>
    <row r="1471" spans="1:12">
      <c r="A1471" s="106"/>
      <c r="B1471" s="106"/>
      <c r="C1471" s="107"/>
      <c r="D1471" s="106"/>
      <c r="E1471" s="106"/>
      <c r="F1471" s="107"/>
      <c r="G1471" s="106"/>
      <c r="H1471" s="106"/>
      <c r="I1471" s="381"/>
      <c r="J1471" s="106"/>
      <c r="K1471" s="106"/>
      <c r="L1471" s="106"/>
    </row>
    <row r="1472" spans="1:12">
      <c r="A1472" s="106"/>
      <c r="B1472" s="106"/>
      <c r="C1472" s="107"/>
      <c r="D1472" s="106"/>
      <c r="E1472" s="106"/>
      <c r="F1472" s="107"/>
      <c r="G1472" s="106"/>
      <c r="H1472" s="106"/>
      <c r="I1472" s="381"/>
      <c r="J1472" s="106"/>
      <c r="K1472" s="106"/>
      <c r="L1472" s="106"/>
    </row>
    <row r="1473" spans="1:12">
      <c r="A1473" s="106"/>
      <c r="B1473" s="106"/>
      <c r="C1473" s="107"/>
      <c r="D1473" s="106"/>
      <c r="E1473" s="106"/>
      <c r="F1473" s="107"/>
      <c r="G1473" s="106"/>
      <c r="H1473" s="106"/>
      <c r="I1473" s="381"/>
      <c r="J1473" s="106"/>
      <c r="K1473" s="106"/>
      <c r="L1473" s="106"/>
    </row>
    <row r="1474" spans="1:12">
      <c r="A1474" s="106"/>
      <c r="B1474" s="106"/>
      <c r="C1474" s="107"/>
      <c r="D1474" s="106"/>
      <c r="E1474" s="106"/>
      <c r="F1474" s="107"/>
      <c r="G1474" s="106"/>
      <c r="H1474" s="106"/>
      <c r="I1474" s="381"/>
      <c r="J1474" s="106"/>
      <c r="K1474" s="106"/>
      <c r="L1474" s="106"/>
    </row>
    <row r="1475" spans="1:12">
      <c r="A1475" s="106"/>
      <c r="B1475" s="106"/>
      <c r="C1475" s="107"/>
      <c r="D1475" s="106"/>
      <c r="E1475" s="106"/>
      <c r="F1475" s="107"/>
      <c r="G1475" s="106"/>
      <c r="H1475" s="106"/>
      <c r="I1475" s="381"/>
      <c r="J1475" s="106"/>
      <c r="K1475" s="106"/>
      <c r="L1475" s="106"/>
    </row>
    <row r="1476" spans="1:12">
      <c r="A1476" s="106"/>
      <c r="B1476" s="106"/>
      <c r="C1476" s="107"/>
      <c r="D1476" s="106"/>
      <c r="E1476" s="106"/>
      <c r="F1476" s="107"/>
      <c r="G1476" s="106"/>
      <c r="H1476" s="106"/>
      <c r="I1476" s="381"/>
      <c r="J1476" s="106"/>
      <c r="K1476" s="106"/>
      <c r="L1476" s="106"/>
    </row>
    <row r="1477" spans="1:12">
      <c r="A1477" s="106"/>
      <c r="B1477" s="106"/>
      <c r="C1477" s="107"/>
      <c r="D1477" s="106"/>
      <c r="E1477" s="106"/>
      <c r="F1477" s="107"/>
      <c r="G1477" s="106"/>
      <c r="H1477" s="106"/>
      <c r="I1477" s="381"/>
      <c r="J1477" s="106"/>
      <c r="K1477" s="106"/>
      <c r="L1477" s="106"/>
    </row>
    <row r="1478" spans="1:12">
      <c r="A1478" s="106"/>
      <c r="B1478" s="106"/>
      <c r="C1478" s="107"/>
      <c r="D1478" s="106"/>
      <c r="E1478" s="106"/>
      <c r="F1478" s="107"/>
      <c r="G1478" s="106"/>
      <c r="H1478" s="106"/>
      <c r="I1478" s="381"/>
      <c r="J1478" s="106"/>
      <c r="K1478" s="106"/>
      <c r="L1478" s="106"/>
    </row>
    <row r="1479" spans="1:12">
      <c r="A1479" s="106"/>
      <c r="B1479" s="106"/>
      <c r="C1479" s="107"/>
      <c r="D1479" s="106"/>
      <c r="E1479" s="106"/>
      <c r="F1479" s="107"/>
      <c r="G1479" s="106"/>
      <c r="H1479" s="106"/>
      <c r="I1479" s="381"/>
      <c r="J1479" s="106"/>
      <c r="K1479" s="106"/>
      <c r="L1479" s="106"/>
    </row>
    <row r="1480" spans="1:12">
      <c r="A1480" s="106"/>
      <c r="B1480" s="106"/>
      <c r="C1480" s="107"/>
      <c r="D1480" s="106"/>
      <c r="E1480" s="106"/>
      <c r="F1480" s="107"/>
      <c r="G1480" s="106"/>
      <c r="H1480" s="106"/>
      <c r="I1480" s="381"/>
      <c r="J1480" s="106"/>
      <c r="K1480" s="106"/>
      <c r="L1480" s="106"/>
    </row>
    <row r="1481" spans="1:12">
      <c r="A1481" s="106"/>
      <c r="B1481" s="106"/>
      <c r="C1481" s="107"/>
      <c r="D1481" s="106"/>
      <c r="E1481" s="106"/>
      <c r="F1481" s="107"/>
      <c r="G1481" s="106"/>
      <c r="H1481" s="106"/>
      <c r="I1481" s="381"/>
      <c r="J1481" s="106"/>
      <c r="K1481" s="106"/>
      <c r="L1481" s="106"/>
    </row>
    <row r="1482" spans="1:12">
      <c r="A1482" s="106"/>
      <c r="B1482" s="106"/>
      <c r="C1482" s="107"/>
      <c r="D1482" s="106"/>
      <c r="E1482" s="106"/>
      <c r="F1482" s="107"/>
      <c r="G1482" s="106"/>
      <c r="H1482" s="106"/>
      <c r="I1482" s="381"/>
      <c r="J1482" s="106"/>
      <c r="K1482" s="106"/>
      <c r="L1482" s="106"/>
    </row>
    <row r="1483" spans="1:12">
      <c r="A1483" s="106"/>
      <c r="B1483" s="106"/>
      <c r="C1483" s="107"/>
      <c r="D1483" s="106"/>
      <c r="E1483" s="106"/>
      <c r="F1483" s="107"/>
      <c r="G1483" s="106"/>
      <c r="H1483" s="106"/>
      <c r="I1483" s="381"/>
      <c r="J1483" s="106"/>
      <c r="K1483" s="106"/>
      <c r="L1483" s="106"/>
    </row>
    <row r="1484" spans="1:12">
      <c r="A1484" s="106"/>
      <c r="B1484" s="106"/>
      <c r="C1484" s="107"/>
      <c r="D1484" s="106"/>
      <c r="E1484" s="106"/>
      <c r="F1484" s="107"/>
      <c r="G1484" s="106"/>
      <c r="H1484" s="106"/>
      <c r="I1484" s="381"/>
      <c r="J1484" s="106"/>
      <c r="K1484" s="106"/>
      <c r="L1484" s="106"/>
    </row>
    <row r="1485" spans="1:12">
      <c r="A1485" s="106"/>
      <c r="B1485" s="106"/>
      <c r="C1485" s="107"/>
      <c r="D1485" s="106"/>
      <c r="E1485" s="106"/>
      <c r="F1485" s="107"/>
      <c r="G1485" s="106"/>
      <c r="H1485" s="106"/>
      <c r="I1485" s="381"/>
      <c r="J1485" s="106"/>
      <c r="K1485" s="106"/>
      <c r="L1485" s="106"/>
    </row>
    <row r="1486" spans="1:12">
      <c r="A1486" s="106"/>
      <c r="B1486" s="106"/>
      <c r="C1486" s="107"/>
      <c r="D1486" s="106"/>
      <c r="E1486" s="106"/>
      <c r="F1486" s="107"/>
      <c r="G1486" s="106"/>
      <c r="H1486" s="106"/>
      <c r="I1486" s="381"/>
      <c r="J1486" s="106"/>
      <c r="K1486" s="106"/>
      <c r="L1486" s="106"/>
    </row>
    <row r="1487" spans="1:12">
      <c r="A1487" s="106"/>
      <c r="B1487" s="106"/>
      <c r="C1487" s="107"/>
      <c r="D1487" s="106"/>
      <c r="E1487" s="106"/>
      <c r="F1487" s="107"/>
      <c r="G1487" s="106"/>
      <c r="H1487" s="106"/>
      <c r="I1487" s="381"/>
      <c r="J1487" s="106"/>
      <c r="K1487" s="106"/>
      <c r="L1487" s="106"/>
    </row>
    <row r="1488" spans="1:12">
      <c r="A1488" s="106"/>
      <c r="B1488" s="106"/>
      <c r="C1488" s="107"/>
      <c r="D1488" s="106"/>
      <c r="E1488" s="106"/>
      <c r="F1488" s="107"/>
      <c r="G1488" s="106"/>
      <c r="H1488" s="106"/>
      <c r="I1488" s="381"/>
      <c r="J1488" s="106"/>
      <c r="K1488" s="106"/>
      <c r="L1488" s="106"/>
    </row>
    <row r="1489" spans="1:12">
      <c r="A1489" s="106"/>
      <c r="B1489" s="106"/>
      <c r="C1489" s="107"/>
      <c r="D1489" s="106"/>
      <c r="E1489" s="106"/>
      <c r="F1489" s="107"/>
      <c r="G1489" s="106"/>
      <c r="H1489" s="106"/>
      <c r="I1489" s="381"/>
      <c r="J1489" s="106"/>
      <c r="K1489" s="106"/>
      <c r="L1489" s="106"/>
    </row>
    <row r="1490" spans="1:12">
      <c r="A1490" s="106"/>
      <c r="B1490" s="106"/>
      <c r="C1490" s="107"/>
      <c r="D1490" s="106"/>
      <c r="E1490" s="106"/>
      <c r="F1490" s="107"/>
      <c r="G1490" s="106"/>
      <c r="H1490" s="106"/>
      <c r="I1490" s="381"/>
      <c r="J1490" s="106"/>
      <c r="K1490" s="106"/>
      <c r="L1490" s="106"/>
    </row>
    <row r="1491" spans="1:12">
      <c r="A1491" s="106"/>
      <c r="B1491" s="106"/>
      <c r="C1491" s="107"/>
      <c r="D1491" s="106"/>
      <c r="E1491" s="106"/>
      <c r="F1491" s="107"/>
      <c r="G1491" s="106"/>
      <c r="H1491" s="106"/>
      <c r="I1491" s="381"/>
      <c r="J1491" s="106"/>
      <c r="K1491" s="106"/>
      <c r="L1491" s="106"/>
    </row>
    <row r="1492" spans="1:12">
      <c r="A1492" s="106"/>
      <c r="B1492" s="106"/>
      <c r="C1492" s="107"/>
      <c r="D1492" s="106"/>
      <c r="E1492" s="106"/>
      <c r="F1492" s="107"/>
      <c r="G1492" s="106"/>
      <c r="H1492" s="106"/>
      <c r="I1492" s="381"/>
      <c r="J1492" s="106"/>
      <c r="K1492" s="106"/>
      <c r="L1492" s="106"/>
    </row>
    <row r="1493" spans="1:12">
      <c r="A1493" s="106"/>
      <c r="B1493" s="106"/>
      <c r="C1493" s="107"/>
      <c r="D1493" s="106"/>
      <c r="E1493" s="106"/>
      <c r="F1493" s="107"/>
      <c r="G1493" s="106"/>
      <c r="H1493" s="106"/>
      <c r="I1493" s="381"/>
      <c r="J1493" s="106"/>
      <c r="K1493" s="106"/>
      <c r="L1493" s="106"/>
    </row>
    <row r="1494" spans="1:12">
      <c r="A1494" s="106"/>
      <c r="B1494" s="106"/>
      <c r="C1494" s="107"/>
      <c r="D1494" s="106"/>
      <c r="E1494" s="106"/>
      <c r="F1494" s="107"/>
      <c r="G1494" s="106"/>
      <c r="H1494" s="106"/>
      <c r="I1494" s="381"/>
      <c r="J1494" s="106"/>
      <c r="K1494" s="106"/>
      <c r="L1494" s="106"/>
    </row>
    <row r="1495" spans="1:12">
      <c r="A1495" s="106"/>
      <c r="B1495" s="106"/>
      <c r="C1495" s="107"/>
      <c r="D1495" s="106"/>
      <c r="E1495" s="106"/>
      <c r="F1495" s="107"/>
      <c r="G1495" s="106"/>
      <c r="H1495" s="106"/>
      <c r="I1495" s="381"/>
      <c r="J1495" s="106"/>
      <c r="K1495" s="106"/>
      <c r="L1495" s="106"/>
    </row>
    <row r="1496" spans="1:12">
      <c r="A1496" s="106"/>
      <c r="B1496" s="106"/>
      <c r="C1496" s="107"/>
      <c r="D1496" s="106"/>
      <c r="E1496" s="106"/>
      <c r="F1496" s="107"/>
      <c r="G1496" s="106"/>
      <c r="H1496" s="106"/>
      <c r="I1496" s="381"/>
      <c r="J1496" s="106"/>
      <c r="K1496" s="106"/>
      <c r="L1496" s="106"/>
    </row>
    <row r="1497" spans="1:12">
      <c r="A1497" s="106"/>
      <c r="B1497" s="106"/>
      <c r="C1497" s="107"/>
      <c r="D1497" s="106"/>
      <c r="E1497" s="106"/>
      <c r="F1497" s="107"/>
      <c r="G1497" s="106"/>
      <c r="H1497" s="106"/>
      <c r="I1497" s="381"/>
      <c r="J1497" s="106"/>
      <c r="K1497" s="106"/>
      <c r="L1497" s="106"/>
    </row>
    <row r="1498" spans="1:12">
      <c r="A1498" s="106"/>
      <c r="B1498" s="106"/>
      <c r="C1498" s="107"/>
      <c r="D1498" s="106"/>
      <c r="E1498" s="106"/>
      <c r="F1498" s="107"/>
      <c r="G1498" s="106"/>
      <c r="H1498" s="106"/>
      <c r="I1498" s="381"/>
      <c r="J1498" s="106"/>
      <c r="K1498" s="106"/>
      <c r="L1498" s="106"/>
    </row>
    <row r="1499" spans="1:12">
      <c r="A1499" s="106"/>
      <c r="B1499" s="106"/>
      <c r="C1499" s="107"/>
      <c r="D1499" s="106"/>
      <c r="E1499" s="106"/>
      <c r="F1499" s="107"/>
      <c r="G1499" s="106"/>
      <c r="H1499" s="106"/>
      <c r="I1499" s="381"/>
      <c r="J1499" s="106"/>
      <c r="K1499" s="106"/>
      <c r="L1499" s="106"/>
    </row>
    <row r="1500" spans="1:12">
      <c r="A1500" s="106"/>
      <c r="B1500" s="106"/>
      <c r="C1500" s="107"/>
      <c r="D1500" s="106"/>
      <c r="E1500" s="106"/>
      <c r="F1500" s="107"/>
      <c r="G1500" s="106"/>
      <c r="H1500" s="106"/>
      <c r="I1500" s="381"/>
      <c r="J1500" s="106"/>
      <c r="K1500" s="106"/>
      <c r="L1500" s="106"/>
    </row>
    <row r="1501" spans="1:12">
      <c r="A1501" s="106"/>
      <c r="B1501" s="106"/>
      <c r="C1501" s="107"/>
      <c r="D1501" s="106"/>
      <c r="E1501" s="106"/>
      <c r="F1501" s="107"/>
      <c r="G1501" s="106"/>
      <c r="H1501" s="106"/>
      <c r="I1501" s="381"/>
      <c r="J1501" s="106"/>
      <c r="K1501" s="106"/>
      <c r="L1501" s="106"/>
    </row>
    <row r="1502" spans="1:12">
      <c r="A1502" s="106"/>
      <c r="B1502" s="106"/>
      <c r="C1502" s="107"/>
      <c r="D1502" s="106"/>
      <c r="E1502" s="106"/>
      <c r="F1502" s="107"/>
      <c r="G1502" s="106"/>
      <c r="H1502" s="106"/>
      <c r="I1502" s="381"/>
      <c r="J1502" s="106"/>
      <c r="K1502" s="106"/>
      <c r="L1502" s="106"/>
    </row>
    <row r="1503" spans="1:12">
      <c r="A1503" s="106"/>
      <c r="B1503" s="106"/>
      <c r="C1503" s="107"/>
      <c r="D1503" s="106"/>
      <c r="E1503" s="106"/>
      <c r="F1503" s="107"/>
      <c r="G1503" s="106"/>
      <c r="H1503" s="106"/>
      <c r="I1503" s="381"/>
      <c r="J1503" s="106"/>
      <c r="K1503" s="106"/>
      <c r="L1503" s="106"/>
    </row>
    <row r="1504" spans="1:12">
      <c r="A1504" s="106"/>
      <c r="B1504" s="106"/>
      <c r="C1504" s="107"/>
      <c r="D1504" s="106"/>
      <c r="E1504" s="106"/>
      <c r="F1504" s="107"/>
      <c r="G1504" s="106"/>
      <c r="H1504" s="106"/>
      <c r="I1504" s="381"/>
      <c r="J1504" s="106"/>
      <c r="K1504" s="106"/>
      <c r="L1504" s="106"/>
    </row>
    <row r="1505" spans="1:12">
      <c r="A1505" s="106"/>
      <c r="B1505" s="106"/>
      <c r="C1505" s="107"/>
      <c r="D1505" s="106"/>
      <c r="E1505" s="106"/>
      <c r="F1505" s="107"/>
      <c r="G1505" s="106"/>
      <c r="H1505" s="106"/>
      <c r="I1505" s="381"/>
      <c r="J1505" s="106"/>
      <c r="K1505" s="106"/>
      <c r="L1505" s="106"/>
    </row>
    <row r="1506" spans="1:12">
      <c r="A1506" s="106"/>
      <c r="B1506" s="106"/>
      <c r="C1506" s="107"/>
      <c r="D1506" s="106"/>
      <c r="E1506" s="106"/>
      <c r="F1506" s="107"/>
      <c r="G1506" s="106"/>
      <c r="H1506" s="106"/>
      <c r="I1506" s="381"/>
      <c r="J1506" s="106"/>
      <c r="K1506" s="106"/>
      <c r="L1506" s="106"/>
    </row>
    <row r="1507" spans="1:12">
      <c r="A1507" s="106"/>
      <c r="B1507" s="106"/>
      <c r="C1507" s="107"/>
      <c r="D1507" s="106"/>
      <c r="E1507" s="106"/>
      <c r="F1507" s="107"/>
      <c r="G1507" s="106"/>
      <c r="H1507" s="106"/>
      <c r="I1507" s="381"/>
      <c r="J1507" s="106"/>
      <c r="K1507" s="106"/>
      <c r="L1507" s="106"/>
    </row>
    <row r="1508" spans="1:12">
      <c r="A1508" s="106"/>
      <c r="B1508" s="106"/>
      <c r="C1508" s="107"/>
      <c r="D1508" s="106"/>
      <c r="E1508" s="106"/>
      <c r="F1508" s="107"/>
      <c r="G1508" s="106"/>
      <c r="H1508" s="106"/>
      <c r="I1508" s="381"/>
      <c r="J1508" s="106"/>
      <c r="K1508" s="106"/>
      <c r="L1508" s="106"/>
    </row>
    <row r="1509" spans="1:12">
      <c r="A1509" s="106"/>
      <c r="B1509" s="106"/>
      <c r="C1509" s="107"/>
      <c r="D1509" s="106"/>
      <c r="E1509" s="106"/>
      <c r="F1509" s="107"/>
      <c r="G1509" s="106"/>
      <c r="H1509" s="106"/>
      <c r="I1509" s="381"/>
      <c r="J1509" s="106"/>
      <c r="K1509" s="106"/>
      <c r="L1509" s="106"/>
    </row>
    <row r="1510" spans="1:12">
      <c r="A1510" s="106"/>
      <c r="B1510" s="106"/>
      <c r="C1510" s="107"/>
      <c r="D1510" s="106"/>
      <c r="E1510" s="106"/>
      <c r="F1510" s="107"/>
      <c r="G1510" s="106"/>
      <c r="H1510" s="106"/>
      <c r="I1510" s="381"/>
      <c r="J1510" s="106"/>
      <c r="K1510" s="106"/>
      <c r="L1510" s="106"/>
    </row>
    <row r="1511" spans="1:12">
      <c r="A1511" s="106"/>
      <c r="B1511" s="106"/>
      <c r="C1511" s="107"/>
      <c r="D1511" s="106"/>
      <c r="E1511" s="106"/>
      <c r="F1511" s="107"/>
      <c r="G1511" s="106"/>
      <c r="H1511" s="106"/>
      <c r="I1511" s="381"/>
      <c r="J1511" s="106"/>
      <c r="K1511" s="106"/>
      <c r="L1511" s="106"/>
    </row>
    <row r="1512" spans="1:12">
      <c r="A1512" s="106"/>
      <c r="B1512" s="106"/>
      <c r="C1512" s="107"/>
      <c r="D1512" s="106"/>
      <c r="E1512" s="106"/>
      <c r="F1512" s="107"/>
      <c r="G1512" s="106"/>
      <c r="H1512" s="106"/>
      <c r="I1512" s="381"/>
      <c r="J1512" s="106"/>
      <c r="K1512" s="106"/>
      <c r="L1512" s="106"/>
    </row>
    <row r="1513" spans="1:12">
      <c r="A1513" s="106"/>
      <c r="B1513" s="106"/>
      <c r="C1513" s="107"/>
      <c r="D1513" s="106"/>
      <c r="E1513" s="106"/>
      <c r="F1513" s="107"/>
      <c r="G1513" s="106"/>
      <c r="H1513" s="106"/>
      <c r="I1513" s="381"/>
      <c r="J1513" s="106"/>
      <c r="K1513" s="106"/>
      <c r="L1513" s="106"/>
    </row>
    <row r="1514" spans="1:12">
      <c r="A1514" s="106"/>
      <c r="B1514" s="106"/>
      <c r="C1514" s="107"/>
      <c r="D1514" s="106"/>
      <c r="E1514" s="106"/>
      <c r="F1514" s="107"/>
      <c r="G1514" s="106"/>
      <c r="H1514" s="106"/>
      <c r="I1514" s="381"/>
      <c r="J1514" s="106"/>
      <c r="K1514" s="106"/>
      <c r="L1514" s="106"/>
    </row>
    <row r="1515" spans="1:12">
      <c r="A1515" s="106"/>
      <c r="B1515" s="106"/>
      <c r="C1515" s="107"/>
      <c r="D1515" s="106"/>
      <c r="E1515" s="106"/>
      <c r="F1515" s="107"/>
      <c r="G1515" s="106"/>
      <c r="H1515" s="106"/>
      <c r="I1515" s="381"/>
      <c r="J1515" s="106"/>
      <c r="K1515" s="106"/>
      <c r="L1515" s="106"/>
    </row>
    <row r="1516" spans="1:12">
      <c r="A1516" s="106"/>
      <c r="B1516" s="106"/>
      <c r="C1516" s="107"/>
      <c r="D1516" s="106"/>
      <c r="E1516" s="106"/>
      <c r="F1516" s="107"/>
      <c r="G1516" s="106"/>
      <c r="H1516" s="106"/>
      <c r="I1516" s="381"/>
      <c r="J1516" s="106"/>
      <c r="K1516" s="106"/>
      <c r="L1516" s="106"/>
    </row>
    <row r="1517" spans="1:12">
      <c r="A1517" s="106"/>
      <c r="B1517" s="106"/>
      <c r="C1517" s="107"/>
      <c r="D1517" s="106"/>
      <c r="E1517" s="106"/>
      <c r="F1517" s="107"/>
      <c r="G1517" s="106"/>
      <c r="H1517" s="106"/>
      <c r="I1517" s="381"/>
      <c r="J1517" s="106"/>
      <c r="K1517" s="106"/>
      <c r="L1517" s="106"/>
    </row>
    <row r="1518" spans="1:12">
      <c r="A1518" s="106"/>
      <c r="B1518" s="106"/>
      <c r="C1518" s="107"/>
      <c r="D1518" s="106"/>
      <c r="E1518" s="106"/>
      <c r="F1518" s="107"/>
      <c r="G1518" s="106"/>
      <c r="H1518" s="106"/>
      <c r="I1518" s="381"/>
      <c r="J1518" s="106"/>
      <c r="K1518" s="106"/>
      <c r="L1518" s="106"/>
    </row>
    <row r="1519" spans="1:12">
      <c r="A1519" s="106"/>
      <c r="B1519" s="106"/>
      <c r="C1519" s="107"/>
      <c r="D1519" s="106"/>
      <c r="E1519" s="106"/>
      <c r="F1519" s="107"/>
      <c r="G1519" s="106"/>
      <c r="H1519" s="106"/>
      <c r="I1519" s="381"/>
      <c r="J1519" s="106"/>
      <c r="K1519" s="106"/>
      <c r="L1519" s="106"/>
    </row>
    <row r="1520" spans="1:12">
      <c r="A1520" s="106"/>
      <c r="B1520" s="106"/>
      <c r="C1520" s="107"/>
      <c r="D1520" s="106"/>
      <c r="E1520" s="106"/>
      <c r="F1520" s="107"/>
      <c r="G1520" s="106"/>
      <c r="H1520" s="106"/>
      <c r="I1520" s="381"/>
      <c r="J1520" s="106"/>
      <c r="K1520" s="106"/>
      <c r="L1520" s="106"/>
    </row>
    <row r="1521" spans="1:12">
      <c r="A1521" s="106"/>
      <c r="B1521" s="106"/>
      <c r="C1521" s="107"/>
      <c r="D1521" s="106"/>
      <c r="E1521" s="106"/>
      <c r="F1521" s="107"/>
      <c r="G1521" s="106"/>
      <c r="H1521" s="106"/>
      <c r="I1521" s="381"/>
      <c r="J1521" s="106"/>
      <c r="K1521" s="106"/>
      <c r="L1521" s="106"/>
    </row>
    <row r="1522" spans="1:12">
      <c r="A1522" s="106"/>
      <c r="B1522" s="106"/>
      <c r="C1522" s="107"/>
      <c r="D1522" s="106"/>
      <c r="E1522" s="106"/>
      <c r="F1522" s="107"/>
      <c r="G1522" s="106"/>
      <c r="H1522" s="106"/>
      <c r="I1522" s="381"/>
      <c r="J1522" s="106"/>
      <c r="K1522" s="106"/>
      <c r="L1522" s="106"/>
    </row>
    <row r="1523" spans="1:12">
      <c r="A1523" s="106"/>
      <c r="B1523" s="106"/>
      <c r="C1523" s="107"/>
      <c r="D1523" s="106"/>
      <c r="E1523" s="106"/>
      <c r="F1523" s="107"/>
      <c r="G1523" s="106"/>
      <c r="H1523" s="106"/>
      <c r="I1523" s="381"/>
      <c r="J1523" s="106"/>
      <c r="K1523" s="106"/>
      <c r="L1523" s="106"/>
    </row>
    <row r="1524" spans="1:12">
      <c r="A1524" s="106"/>
      <c r="B1524" s="106"/>
      <c r="C1524" s="107"/>
      <c r="D1524" s="106"/>
      <c r="E1524" s="106"/>
      <c r="F1524" s="107"/>
      <c r="G1524" s="106"/>
      <c r="H1524" s="106"/>
      <c r="I1524" s="381"/>
      <c r="J1524" s="106"/>
      <c r="K1524" s="106"/>
      <c r="L1524" s="106"/>
    </row>
    <row r="1525" spans="1:12">
      <c r="A1525" s="106"/>
      <c r="B1525" s="106"/>
      <c r="C1525" s="107"/>
      <c r="D1525" s="106"/>
      <c r="E1525" s="106"/>
      <c r="F1525" s="107"/>
      <c r="G1525" s="106"/>
      <c r="H1525" s="106"/>
      <c r="I1525" s="381"/>
      <c r="J1525" s="106"/>
      <c r="K1525" s="106"/>
      <c r="L1525" s="106"/>
    </row>
    <row r="1526" spans="1:12">
      <c r="A1526" s="106"/>
      <c r="B1526" s="106"/>
      <c r="C1526" s="107"/>
      <c r="D1526" s="106"/>
      <c r="E1526" s="106"/>
      <c r="F1526" s="107"/>
      <c r="G1526" s="106"/>
      <c r="H1526" s="106"/>
      <c r="I1526" s="381"/>
      <c r="J1526" s="106"/>
      <c r="K1526" s="106"/>
      <c r="L1526" s="106"/>
    </row>
    <row r="1527" spans="1:12">
      <c r="A1527" s="106"/>
      <c r="B1527" s="106"/>
      <c r="C1527" s="107"/>
      <c r="D1527" s="106"/>
      <c r="E1527" s="106"/>
      <c r="F1527" s="107"/>
      <c r="G1527" s="106"/>
      <c r="H1527" s="106"/>
      <c r="I1527" s="381"/>
      <c r="J1527" s="106"/>
      <c r="K1527" s="106"/>
      <c r="L1527" s="106"/>
    </row>
    <row r="1528" spans="1:12">
      <c r="A1528" s="106"/>
      <c r="B1528" s="106"/>
      <c r="C1528" s="107"/>
      <c r="D1528" s="106"/>
      <c r="E1528" s="106"/>
      <c r="F1528" s="107"/>
      <c r="G1528" s="106"/>
      <c r="H1528" s="106"/>
      <c r="I1528" s="381"/>
      <c r="J1528" s="106"/>
      <c r="K1528" s="106"/>
      <c r="L1528" s="106"/>
    </row>
    <row r="1529" spans="1:12">
      <c r="A1529" s="106"/>
      <c r="B1529" s="106"/>
      <c r="C1529" s="107"/>
      <c r="D1529" s="106"/>
      <c r="E1529" s="106"/>
      <c r="F1529" s="107"/>
      <c r="G1529" s="106"/>
      <c r="H1529" s="106"/>
      <c r="I1529" s="381"/>
      <c r="J1529" s="106"/>
      <c r="K1529" s="106"/>
      <c r="L1529" s="106"/>
    </row>
    <row r="1530" spans="1:12">
      <c r="A1530" s="106"/>
      <c r="B1530" s="106"/>
      <c r="C1530" s="107"/>
      <c r="D1530" s="106"/>
      <c r="E1530" s="106"/>
      <c r="F1530" s="107"/>
      <c r="G1530" s="106"/>
      <c r="H1530" s="106"/>
      <c r="I1530" s="381"/>
      <c r="J1530" s="106"/>
      <c r="K1530" s="106"/>
      <c r="L1530" s="106"/>
    </row>
    <row r="1531" spans="1:12">
      <c r="A1531" s="106"/>
      <c r="B1531" s="106"/>
      <c r="C1531" s="107"/>
      <c r="D1531" s="106"/>
      <c r="E1531" s="106"/>
      <c r="F1531" s="107"/>
      <c r="G1531" s="106"/>
      <c r="H1531" s="106"/>
      <c r="I1531" s="381"/>
      <c r="J1531" s="106"/>
      <c r="K1531" s="106"/>
      <c r="L1531" s="106"/>
    </row>
    <row r="1532" spans="1:12">
      <c r="A1532" s="106"/>
      <c r="B1532" s="106"/>
      <c r="C1532" s="107"/>
      <c r="D1532" s="106"/>
      <c r="E1532" s="106"/>
      <c r="F1532" s="107"/>
      <c r="G1532" s="106"/>
      <c r="H1532" s="106"/>
      <c r="I1532" s="381"/>
      <c r="J1532" s="106"/>
      <c r="K1532" s="106"/>
      <c r="L1532" s="106"/>
    </row>
    <row r="1533" spans="1:12">
      <c r="A1533" s="106"/>
      <c r="B1533" s="106"/>
      <c r="C1533" s="107"/>
      <c r="D1533" s="106"/>
      <c r="E1533" s="106"/>
      <c r="F1533" s="107"/>
      <c r="G1533" s="106"/>
      <c r="H1533" s="106"/>
      <c r="I1533" s="381"/>
      <c r="J1533" s="106"/>
      <c r="K1533" s="106"/>
      <c r="L1533" s="106"/>
    </row>
    <row r="1534" spans="1:12">
      <c r="A1534" s="106"/>
      <c r="B1534" s="106"/>
      <c r="C1534" s="107"/>
      <c r="D1534" s="106"/>
      <c r="E1534" s="106"/>
      <c r="F1534" s="107"/>
      <c r="G1534" s="106"/>
      <c r="H1534" s="106"/>
      <c r="I1534" s="381"/>
      <c r="J1534" s="106"/>
      <c r="K1534" s="106"/>
      <c r="L1534" s="106"/>
    </row>
    <row r="1535" spans="1:12">
      <c r="A1535" s="106"/>
      <c r="B1535" s="106"/>
      <c r="C1535" s="107"/>
      <c r="D1535" s="106"/>
      <c r="E1535" s="106"/>
      <c r="F1535" s="107"/>
      <c r="G1535" s="106"/>
      <c r="H1535" s="106"/>
      <c r="I1535" s="381"/>
      <c r="J1535" s="106"/>
      <c r="K1535" s="106"/>
      <c r="L1535" s="106"/>
    </row>
    <row r="1536" spans="1:12">
      <c r="A1536" s="106"/>
      <c r="B1536" s="106"/>
      <c r="C1536" s="107"/>
      <c r="D1536" s="106"/>
      <c r="E1536" s="106"/>
      <c r="F1536" s="107"/>
      <c r="G1536" s="106"/>
      <c r="H1536" s="106"/>
      <c r="I1536" s="381"/>
      <c r="J1536" s="106"/>
      <c r="K1536" s="106"/>
      <c r="L1536" s="106"/>
    </row>
    <row r="1537" spans="1:12">
      <c r="A1537" s="106"/>
      <c r="B1537" s="106"/>
      <c r="C1537" s="107"/>
      <c r="D1537" s="106"/>
      <c r="E1537" s="106"/>
      <c r="F1537" s="107"/>
      <c r="G1537" s="106"/>
      <c r="H1537" s="106"/>
      <c r="I1537" s="381"/>
      <c r="J1537" s="106"/>
      <c r="K1537" s="106"/>
      <c r="L1537" s="106"/>
    </row>
    <row r="1538" spans="1:12">
      <c r="A1538" s="106"/>
      <c r="B1538" s="106"/>
      <c r="C1538" s="107"/>
      <c r="D1538" s="106"/>
      <c r="E1538" s="106"/>
      <c r="F1538" s="107"/>
      <c r="G1538" s="106"/>
      <c r="H1538" s="106"/>
      <c r="I1538" s="381"/>
      <c r="J1538" s="106"/>
      <c r="K1538" s="106"/>
      <c r="L1538" s="106"/>
    </row>
    <row r="1539" spans="1:12">
      <c r="A1539" s="106"/>
      <c r="B1539" s="106"/>
      <c r="C1539" s="107"/>
      <c r="D1539" s="106"/>
      <c r="E1539" s="106"/>
      <c r="F1539" s="107"/>
      <c r="G1539" s="106"/>
      <c r="H1539" s="106"/>
      <c r="I1539" s="381"/>
      <c r="J1539" s="106"/>
      <c r="K1539" s="106"/>
      <c r="L1539" s="106"/>
    </row>
    <row r="1540" spans="1:12">
      <c r="A1540" s="106"/>
      <c r="B1540" s="106"/>
      <c r="C1540" s="107"/>
      <c r="D1540" s="106"/>
      <c r="E1540" s="106"/>
      <c r="F1540" s="107"/>
      <c r="G1540" s="106"/>
      <c r="H1540" s="106"/>
      <c r="I1540" s="381"/>
      <c r="J1540" s="106"/>
      <c r="K1540" s="106"/>
      <c r="L1540" s="106"/>
    </row>
    <row r="1541" spans="1:12">
      <c r="A1541" s="106"/>
      <c r="B1541" s="106"/>
      <c r="C1541" s="107"/>
      <c r="D1541" s="106"/>
      <c r="E1541" s="106"/>
      <c r="F1541" s="107"/>
      <c r="G1541" s="106"/>
      <c r="H1541" s="106"/>
      <c r="I1541" s="381"/>
      <c r="J1541" s="106"/>
      <c r="K1541" s="106"/>
      <c r="L1541" s="106"/>
    </row>
    <row r="1542" spans="1:12">
      <c r="A1542" s="106"/>
      <c r="B1542" s="106"/>
      <c r="C1542" s="107"/>
      <c r="D1542" s="106"/>
      <c r="E1542" s="106"/>
      <c r="F1542" s="107"/>
      <c r="G1542" s="106"/>
      <c r="H1542" s="106"/>
      <c r="I1542" s="381"/>
      <c r="J1542" s="106"/>
      <c r="K1542" s="106"/>
      <c r="L1542" s="106"/>
    </row>
    <row r="1543" spans="1:12">
      <c r="A1543" s="106"/>
      <c r="B1543" s="106"/>
      <c r="C1543" s="107"/>
      <c r="D1543" s="106"/>
      <c r="E1543" s="106"/>
      <c r="F1543" s="107"/>
      <c r="G1543" s="106"/>
      <c r="H1543" s="106"/>
      <c r="I1543" s="381"/>
      <c r="J1543" s="106"/>
      <c r="K1543" s="106"/>
      <c r="L1543" s="106"/>
    </row>
    <row r="1544" spans="1:12">
      <c r="A1544" s="106"/>
      <c r="B1544" s="106"/>
      <c r="C1544" s="107"/>
      <c r="D1544" s="106"/>
      <c r="E1544" s="106"/>
      <c r="F1544" s="107"/>
      <c r="G1544" s="106"/>
      <c r="H1544" s="106"/>
      <c r="I1544" s="381"/>
      <c r="J1544" s="106"/>
      <c r="K1544" s="106"/>
      <c r="L1544" s="106"/>
    </row>
    <row r="1545" spans="1:12">
      <c r="A1545" s="106"/>
      <c r="B1545" s="106"/>
      <c r="C1545" s="107"/>
      <c r="D1545" s="106"/>
      <c r="E1545" s="106"/>
      <c r="F1545" s="107"/>
      <c r="G1545" s="106"/>
      <c r="H1545" s="106"/>
      <c r="I1545" s="381"/>
      <c r="J1545" s="106"/>
      <c r="K1545" s="106"/>
      <c r="L1545" s="106"/>
    </row>
    <row r="1546" spans="1:12">
      <c r="A1546" s="106"/>
      <c r="B1546" s="106"/>
      <c r="C1546" s="107"/>
      <c r="D1546" s="106"/>
      <c r="E1546" s="106"/>
      <c r="F1546" s="107"/>
      <c r="G1546" s="106"/>
      <c r="H1546" s="106"/>
      <c r="I1546" s="381"/>
      <c r="J1546" s="106"/>
      <c r="K1546" s="106"/>
      <c r="L1546" s="106"/>
    </row>
    <row r="1547" spans="1:12">
      <c r="A1547" s="106"/>
      <c r="B1547" s="106"/>
      <c r="C1547" s="107"/>
      <c r="D1547" s="106"/>
      <c r="E1547" s="106"/>
      <c r="F1547" s="107"/>
      <c r="G1547" s="106"/>
      <c r="H1547" s="106"/>
      <c r="I1547" s="381"/>
      <c r="J1547" s="106"/>
      <c r="K1547" s="106"/>
      <c r="L1547" s="106"/>
    </row>
    <row r="1548" spans="1:12">
      <c r="A1548" s="106"/>
      <c r="B1548" s="106"/>
      <c r="C1548" s="107"/>
      <c r="D1548" s="106"/>
      <c r="E1548" s="106"/>
      <c r="F1548" s="107"/>
      <c r="G1548" s="106"/>
      <c r="H1548" s="106"/>
      <c r="I1548" s="381"/>
      <c r="J1548" s="106"/>
      <c r="K1548" s="106"/>
      <c r="L1548" s="106"/>
    </row>
    <row r="1549" spans="1:12">
      <c r="A1549" s="106"/>
      <c r="B1549" s="106"/>
      <c r="C1549" s="107"/>
      <c r="D1549" s="106"/>
      <c r="E1549" s="106"/>
      <c r="F1549" s="107"/>
      <c r="G1549" s="106"/>
      <c r="H1549" s="106"/>
      <c r="I1549" s="381"/>
      <c r="J1549" s="106"/>
      <c r="K1549" s="106"/>
      <c r="L1549" s="106"/>
    </row>
    <row r="1550" spans="1:12">
      <c r="A1550" s="106"/>
      <c r="B1550" s="106"/>
      <c r="C1550" s="107"/>
      <c r="D1550" s="106"/>
      <c r="E1550" s="106"/>
      <c r="F1550" s="107"/>
      <c r="G1550" s="106"/>
      <c r="H1550" s="106"/>
      <c r="I1550" s="381"/>
      <c r="J1550" s="106"/>
      <c r="K1550" s="106"/>
      <c r="L1550" s="106"/>
    </row>
    <row r="1551" spans="1:12">
      <c r="A1551" s="106"/>
      <c r="B1551" s="106"/>
      <c r="C1551" s="107"/>
      <c r="D1551" s="106"/>
      <c r="E1551" s="106"/>
      <c r="F1551" s="107"/>
      <c r="G1551" s="106"/>
      <c r="H1551" s="106"/>
      <c r="I1551" s="381"/>
      <c r="J1551" s="106"/>
      <c r="K1551" s="106"/>
      <c r="L1551" s="106"/>
    </row>
    <row r="1552" spans="1:12">
      <c r="A1552" s="106"/>
      <c r="B1552" s="106"/>
      <c r="C1552" s="107"/>
      <c r="D1552" s="106"/>
      <c r="E1552" s="106"/>
      <c r="F1552" s="107"/>
      <c r="G1552" s="106"/>
      <c r="H1552" s="106"/>
      <c r="I1552" s="381"/>
      <c r="J1552" s="106"/>
      <c r="K1552" s="106"/>
      <c r="L1552" s="106"/>
    </row>
    <row r="1553" spans="1:12">
      <c r="A1553" s="106"/>
      <c r="B1553" s="106"/>
      <c r="C1553" s="107"/>
      <c r="D1553" s="106"/>
      <c r="E1553" s="106"/>
      <c r="F1553" s="107"/>
      <c r="G1553" s="106"/>
      <c r="H1553" s="106"/>
      <c r="I1553" s="381"/>
      <c r="J1553" s="106"/>
      <c r="K1553" s="106"/>
      <c r="L1553" s="106"/>
    </row>
    <row r="1554" spans="1:12">
      <c r="A1554" s="106"/>
      <c r="B1554" s="106"/>
      <c r="C1554" s="107"/>
      <c r="D1554" s="106"/>
      <c r="E1554" s="106"/>
      <c r="F1554" s="107"/>
      <c r="G1554" s="106"/>
      <c r="H1554" s="106"/>
      <c r="I1554" s="381"/>
      <c r="J1554" s="106"/>
      <c r="K1554" s="106"/>
      <c r="L1554" s="106"/>
    </row>
    <row r="1555" spans="1:12">
      <c r="A1555" s="106"/>
      <c r="B1555" s="106"/>
      <c r="C1555" s="107"/>
      <c r="D1555" s="106"/>
      <c r="E1555" s="106"/>
      <c r="F1555" s="107"/>
      <c r="G1555" s="106"/>
      <c r="H1555" s="106"/>
      <c r="I1555" s="381"/>
      <c r="J1555" s="106"/>
      <c r="K1555" s="106"/>
      <c r="L1555" s="106"/>
    </row>
    <row r="1556" spans="1:12">
      <c r="A1556" s="106"/>
      <c r="B1556" s="106"/>
      <c r="C1556" s="107"/>
      <c r="D1556" s="106"/>
      <c r="E1556" s="106"/>
      <c r="F1556" s="107"/>
      <c r="G1556" s="106"/>
      <c r="H1556" s="106"/>
      <c r="I1556" s="381"/>
      <c r="J1556" s="106"/>
      <c r="K1556" s="106"/>
      <c r="L1556" s="106"/>
    </row>
    <row r="1557" spans="1:12">
      <c r="A1557" s="106"/>
      <c r="B1557" s="106"/>
      <c r="C1557" s="107"/>
      <c r="D1557" s="106"/>
      <c r="E1557" s="106"/>
      <c r="F1557" s="107"/>
      <c r="G1557" s="106"/>
      <c r="H1557" s="106"/>
      <c r="I1557" s="381"/>
      <c r="J1557" s="106"/>
      <c r="K1557" s="106"/>
      <c r="L1557" s="106"/>
    </row>
    <row r="1558" spans="1:12">
      <c r="A1558" s="106"/>
      <c r="B1558" s="106"/>
      <c r="C1558" s="107"/>
      <c r="D1558" s="106"/>
      <c r="E1558" s="106"/>
      <c r="F1558" s="107"/>
      <c r="G1558" s="106"/>
      <c r="H1558" s="106"/>
      <c r="I1558" s="381"/>
      <c r="J1558" s="106"/>
      <c r="K1558" s="106"/>
      <c r="L1558" s="106"/>
    </row>
    <row r="1559" spans="1:12">
      <c r="A1559" s="106"/>
      <c r="B1559" s="106"/>
      <c r="C1559" s="107"/>
      <c r="D1559" s="106"/>
      <c r="E1559" s="106"/>
      <c r="F1559" s="107"/>
      <c r="G1559" s="106"/>
      <c r="H1559" s="106"/>
      <c r="I1559" s="381"/>
      <c r="J1559" s="106"/>
      <c r="K1559" s="106"/>
      <c r="L1559" s="106"/>
    </row>
    <row r="1560" spans="1:12">
      <c r="A1560" s="106"/>
      <c r="B1560" s="106"/>
      <c r="C1560" s="107"/>
      <c r="D1560" s="106"/>
      <c r="E1560" s="106"/>
      <c r="F1560" s="107"/>
      <c r="G1560" s="106"/>
      <c r="H1560" s="106"/>
      <c r="I1560" s="381"/>
      <c r="J1560" s="106"/>
      <c r="K1560" s="106"/>
      <c r="L1560" s="106"/>
    </row>
    <row r="1561" spans="1:12">
      <c r="A1561" s="106"/>
      <c r="B1561" s="106"/>
      <c r="C1561" s="107"/>
      <c r="D1561" s="106"/>
      <c r="E1561" s="106"/>
      <c r="F1561" s="107"/>
      <c r="G1561" s="106"/>
      <c r="H1561" s="106"/>
      <c r="I1561" s="381"/>
      <c r="J1561" s="106"/>
      <c r="K1561" s="106"/>
      <c r="L1561" s="106"/>
    </row>
    <row r="1562" spans="1:12">
      <c r="A1562" s="106"/>
      <c r="B1562" s="106"/>
      <c r="C1562" s="107"/>
      <c r="D1562" s="106"/>
      <c r="E1562" s="106"/>
      <c r="F1562" s="107"/>
      <c r="G1562" s="106"/>
      <c r="H1562" s="106"/>
      <c r="I1562" s="381"/>
      <c r="J1562" s="106"/>
      <c r="K1562" s="106"/>
      <c r="L1562" s="106"/>
    </row>
    <row r="1563" spans="1:12">
      <c r="A1563" s="106"/>
      <c r="B1563" s="106"/>
      <c r="C1563" s="107"/>
      <c r="D1563" s="106"/>
      <c r="E1563" s="106"/>
      <c r="F1563" s="107"/>
      <c r="G1563" s="106"/>
      <c r="H1563" s="106"/>
      <c r="I1563" s="381"/>
      <c r="J1563" s="106"/>
      <c r="K1563" s="106"/>
      <c r="L1563" s="106"/>
    </row>
    <row r="1564" spans="1:12">
      <c r="A1564" s="106"/>
      <c r="B1564" s="106"/>
      <c r="C1564" s="107"/>
      <c r="D1564" s="106"/>
      <c r="E1564" s="106"/>
      <c r="F1564" s="107"/>
      <c r="G1564" s="106"/>
      <c r="H1564" s="106"/>
      <c r="I1564" s="381"/>
      <c r="J1564" s="106"/>
      <c r="K1564" s="106"/>
      <c r="L1564" s="106"/>
    </row>
    <row r="1565" spans="1:12">
      <c r="A1565" s="106"/>
      <c r="B1565" s="106"/>
      <c r="C1565" s="107"/>
      <c r="D1565" s="106"/>
      <c r="E1565" s="106"/>
      <c r="F1565" s="107"/>
      <c r="G1565" s="106"/>
      <c r="H1565" s="106"/>
      <c r="I1565" s="381"/>
      <c r="J1565" s="106"/>
      <c r="K1565" s="106"/>
      <c r="L1565" s="106"/>
    </row>
    <row r="1566" spans="1:12">
      <c r="A1566" s="106"/>
      <c r="B1566" s="106"/>
      <c r="C1566" s="107"/>
      <c r="D1566" s="106"/>
      <c r="E1566" s="106"/>
      <c r="F1566" s="107"/>
      <c r="G1566" s="106"/>
      <c r="H1566" s="106"/>
      <c r="I1566" s="381"/>
      <c r="J1566" s="106"/>
      <c r="K1566" s="106"/>
      <c r="L1566" s="106"/>
    </row>
    <row r="1567" spans="1:12">
      <c r="A1567" s="106"/>
      <c r="B1567" s="106"/>
      <c r="C1567" s="107"/>
      <c r="D1567" s="106"/>
      <c r="E1567" s="106"/>
      <c r="F1567" s="107"/>
      <c r="G1567" s="106"/>
      <c r="H1567" s="106"/>
      <c r="I1567" s="381"/>
      <c r="J1567" s="106"/>
      <c r="K1567" s="106"/>
      <c r="L1567" s="106"/>
    </row>
    <row r="1568" spans="1:12">
      <c r="A1568" s="106"/>
      <c r="B1568" s="106"/>
      <c r="C1568" s="107"/>
      <c r="D1568" s="106"/>
      <c r="E1568" s="106"/>
      <c r="F1568" s="107"/>
      <c r="G1568" s="106"/>
      <c r="H1568" s="106"/>
      <c r="I1568" s="381"/>
      <c r="J1568" s="106"/>
      <c r="K1568" s="106"/>
      <c r="L1568" s="106"/>
    </row>
    <row r="1569" spans="1:12">
      <c r="A1569" s="106"/>
      <c r="B1569" s="106"/>
      <c r="C1569" s="107"/>
      <c r="D1569" s="106"/>
      <c r="E1569" s="106"/>
      <c r="F1569" s="107"/>
      <c r="G1569" s="106"/>
      <c r="H1569" s="106"/>
      <c r="I1569" s="381"/>
      <c r="J1569" s="106"/>
      <c r="K1569" s="106"/>
      <c r="L1569" s="106"/>
    </row>
    <row r="1570" spans="1:12">
      <c r="A1570" s="106"/>
      <c r="B1570" s="106"/>
      <c r="C1570" s="107"/>
      <c r="D1570" s="106"/>
      <c r="E1570" s="106"/>
      <c r="F1570" s="107"/>
      <c r="G1570" s="106"/>
      <c r="H1570" s="106"/>
      <c r="I1570" s="381"/>
      <c r="J1570" s="106"/>
      <c r="K1570" s="106"/>
      <c r="L1570" s="106"/>
    </row>
    <row r="1571" spans="1:12">
      <c r="A1571" s="106"/>
      <c r="B1571" s="106"/>
      <c r="C1571" s="107"/>
      <c r="D1571" s="106"/>
      <c r="E1571" s="106"/>
      <c r="F1571" s="107"/>
      <c r="G1571" s="106"/>
      <c r="H1571" s="106"/>
      <c r="I1571" s="381"/>
      <c r="J1571" s="106"/>
      <c r="K1571" s="106"/>
      <c r="L1571" s="106"/>
    </row>
    <row r="1572" spans="1:12">
      <c r="A1572" s="106"/>
      <c r="B1572" s="106"/>
      <c r="C1572" s="107"/>
      <c r="D1572" s="106"/>
      <c r="E1572" s="106"/>
      <c r="F1572" s="107"/>
      <c r="G1572" s="106"/>
      <c r="H1572" s="106"/>
      <c r="I1572" s="381"/>
      <c r="J1572" s="106"/>
      <c r="K1572" s="106"/>
      <c r="L1572" s="106"/>
    </row>
    <row r="1573" spans="1:12">
      <c r="A1573" s="106"/>
      <c r="B1573" s="106"/>
      <c r="C1573" s="107"/>
      <c r="D1573" s="106"/>
      <c r="E1573" s="106"/>
      <c r="F1573" s="107"/>
      <c r="G1573" s="106"/>
      <c r="H1573" s="106"/>
      <c r="I1573" s="381"/>
      <c r="J1573" s="106"/>
      <c r="K1573" s="106"/>
      <c r="L1573" s="106"/>
    </row>
    <row r="1574" spans="1:12">
      <c r="A1574" s="106"/>
      <c r="B1574" s="106"/>
      <c r="C1574" s="107"/>
      <c r="D1574" s="106"/>
      <c r="E1574" s="106"/>
      <c r="F1574" s="107"/>
      <c r="G1574" s="106"/>
      <c r="H1574" s="106"/>
      <c r="I1574" s="381"/>
      <c r="J1574" s="106"/>
      <c r="K1574" s="106"/>
      <c r="L1574" s="106"/>
    </row>
    <row r="1575" spans="1:12">
      <c r="A1575" s="106"/>
      <c r="B1575" s="106"/>
      <c r="C1575" s="107"/>
      <c r="D1575" s="106"/>
      <c r="E1575" s="106"/>
      <c r="F1575" s="107"/>
      <c r="G1575" s="106"/>
      <c r="H1575" s="106"/>
      <c r="I1575" s="381"/>
      <c r="J1575" s="106"/>
      <c r="K1575" s="106"/>
      <c r="L1575" s="106"/>
    </row>
    <row r="1576" spans="1:12">
      <c r="A1576" s="106"/>
      <c r="B1576" s="106"/>
      <c r="C1576" s="107"/>
      <c r="D1576" s="106"/>
      <c r="E1576" s="106"/>
      <c r="F1576" s="107"/>
      <c r="G1576" s="106"/>
      <c r="H1576" s="106"/>
      <c r="I1576" s="381"/>
      <c r="J1576" s="106"/>
      <c r="K1576" s="106"/>
      <c r="L1576" s="106"/>
    </row>
    <row r="1577" spans="1:12">
      <c r="A1577" s="106"/>
      <c r="B1577" s="106"/>
      <c r="C1577" s="107"/>
      <c r="D1577" s="106"/>
      <c r="E1577" s="106"/>
      <c r="F1577" s="107"/>
      <c r="G1577" s="106"/>
      <c r="H1577" s="106"/>
      <c r="I1577" s="381"/>
      <c r="J1577" s="106"/>
      <c r="K1577" s="106"/>
      <c r="L1577" s="106"/>
    </row>
    <row r="1578" spans="1:12">
      <c r="A1578" s="106"/>
      <c r="B1578" s="106"/>
      <c r="C1578" s="107"/>
      <c r="D1578" s="106"/>
      <c r="E1578" s="106"/>
      <c r="F1578" s="107"/>
      <c r="G1578" s="106"/>
      <c r="H1578" s="106"/>
      <c r="I1578" s="381"/>
      <c r="J1578" s="106"/>
      <c r="K1578" s="106"/>
      <c r="L1578" s="106"/>
    </row>
    <row r="1579" spans="1:12">
      <c r="A1579" s="106"/>
      <c r="B1579" s="106"/>
      <c r="C1579" s="107"/>
      <c r="D1579" s="106"/>
      <c r="E1579" s="106"/>
      <c r="F1579" s="107"/>
      <c r="G1579" s="106"/>
      <c r="H1579" s="106"/>
      <c r="I1579" s="381"/>
      <c r="J1579" s="106"/>
      <c r="K1579" s="106"/>
      <c r="L1579" s="106"/>
    </row>
    <row r="1580" spans="1:12">
      <c r="A1580" s="106"/>
      <c r="B1580" s="106"/>
      <c r="C1580" s="107"/>
      <c r="D1580" s="106"/>
      <c r="E1580" s="106"/>
      <c r="F1580" s="107"/>
      <c r="G1580" s="106"/>
      <c r="H1580" s="106"/>
      <c r="I1580" s="381"/>
      <c r="J1580" s="106"/>
      <c r="K1580" s="106"/>
      <c r="L1580" s="106"/>
    </row>
    <row r="1581" spans="1:12">
      <c r="A1581" s="106"/>
      <c r="B1581" s="106"/>
      <c r="C1581" s="107"/>
      <c r="D1581" s="106"/>
      <c r="E1581" s="106"/>
      <c r="F1581" s="107"/>
      <c r="G1581" s="106"/>
      <c r="H1581" s="106"/>
      <c r="I1581" s="381"/>
      <c r="J1581" s="106"/>
      <c r="K1581" s="106"/>
      <c r="L1581" s="106"/>
    </row>
    <row r="1582" spans="1:12">
      <c r="A1582" s="106"/>
      <c r="B1582" s="106"/>
      <c r="C1582" s="107"/>
      <c r="D1582" s="106"/>
      <c r="E1582" s="106"/>
      <c r="F1582" s="107"/>
      <c r="G1582" s="106"/>
      <c r="H1582" s="106"/>
      <c r="I1582" s="381"/>
      <c r="J1582" s="106"/>
      <c r="K1582" s="106"/>
      <c r="L1582" s="106"/>
    </row>
    <row r="1583" spans="1:12">
      <c r="A1583" s="106"/>
      <c r="B1583" s="106"/>
      <c r="C1583" s="107"/>
      <c r="D1583" s="106"/>
      <c r="E1583" s="106"/>
      <c r="F1583" s="107"/>
      <c r="G1583" s="106"/>
      <c r="H1583" s="106"/>
      <c r="I1583" s="381"/>
      <c r="J1583" s="106"/>
      <c r="K1583" s="106"/>
      <c r="L1583" s="106"/>
    </row>
    <row r="1584" spans="1:12">
      <c r="A1584" s="106"/>
      <c r="B1584" s="106"/>
      <c r="C1584" s="107"/>
      <c r="D1584" s="106"/>
      <c r="E1584" s="106"/>
      <c r="F1584" s="107"/>
      <c r="G1584" s="106"/>
      <c r="H1584" s="106"/>
      <c r="I1584" s="381"/>
      <c r="J1584" s="106"/>
      <c r="K1584" s="106"/>
      <c r="L1584" s="106"/>
    </row>
    <row r="1585" spans="1:12">
      <c r="A1585" s="106"/>
      <c r="B1585" s="106"/>
      <c r="C1585" s="107"/>
      <c r="D1585" s="106"/>
      <c r="E1585" s="106"/>
      <c r="F1585" s="107"/>
      <c r="G1585" s="106"/>
      <c r="H1585" s="106"/>
      <c r="I1585" s="381"/>
      <c r="J1585" s="106"/>
      <c r="K1585" s="106"/>
      <c r="L1585" s="106"/>
    </row>
    <row r="1586" spans="1:12">
      <c r="A1586" s="106"/>
      <c r="B1586" s="106"/>
      <c r="C1586" s="107"/>
      <c r="D1586" s="106"/>
      <c r="E1586" s="106"/>
      <c r="F1586" s="107"/>
      <c r="G1586" s="106"/>
      <c r="H1586" s="106"/>
      <c r="I1586" s="381"/>
      <c r="J1586" s="106"/>
      <c r="K1586" s="106"/>
      <c r="L1586" s="106"/>
    </row>
    <row r="1587" spans="1:12">
      <c r="A1587" s="106"/>
      <c r="B1587" s="106"/>
      <c r="C1587" s="107"/>
      <c r="D1587" s="106"/>
      <c r="E1587" s="106"/>
      <c r="F1587" s="107"/>
      <c r="G1587" s="106"/>
      <c r="H1587" s="106"/>
      <c r="I1587" s="381"/>
      <c r="J1587" s="106"/>
      <c r="K1587" s="106"/>
      <c r="L1587" s="106"/>
    </row>
    <row r="1588" spans="1:12">
      <c r="A1588" s="106"/>
      <c r="B1588" s="106"/>
      <c r="C1588" s="107"/>
      <c r="D1588" s="106"/>
      <c r="E1588" s="106"/>
      <c r="F1588" s="107"/>
      <c r="G1588" s="106"/>
      <c r="H1588" s="106"/>
      <c r="I1588" s="381"/>
      <c r="J1588" s="106"/>
      <c r="K1588" s="106"/>
      <c r="L1588" s="106"/>
    </row>
    <row r="1589" spans="1:12">
      <c r="A1589" s="106"/>
      <c r="B1589" s="106"/>
      <c r="C1589" s="107"/>
      <c r="D1589" s="106"/>
      <c r="E1589" s="106"/>
      <c r="F1589" s="107"/>
      <c r="G1589" s="106"/>
      <c r="H1589" s="106"/>
      <c r="I1589" s="381"/>
      <c r="J1589" s="106"/>
      <c r="K1589" s="106"/>
      <c r="L1589" s="106"/>
    </row>
    <row r="1590" spans="1:12">
      <c r="A1590" s="106"/>
      <c r="B1590" s="106"/>
      <c r="C1590" s="107"/>
      <c r="D1590" s="106"/>
      <c r="E1590" s="106"/>
      <c r="F1590" s="107"/>
      <c r="G1590" s="106"/>
      <c r="H1590" s="106"/>
      <c r="I1590" s="381"/>
      <c r="J1590" s="106"/>
      <c r="K1590" s="106"/>
      <c r="L1590" s="106"/>
    </row>
    <row r="1591" spans="1:12">
      <c r="A1591" s="106"/>
      <c r="B1591" s="106"/>
      <c r="C1591" s="107"/>
      <c r="D1591" s="106"/>
      <c r="E1591" s="106"/>
      <c r="F1591" s="107"/>
      <c r="G1591" s="106"/>
      <c r="H1591" s="106"/>
      <c r="I1591" s="381"/>
      <c r="J1591" s="106"/>
      <c r="K1591" s="106"/>
      <c r="L1591" s="106"/>
    </row>
    <row r="1592" spans="1:12">
      <c r="A1592" s="106"/>
      <c r="B1592" s="106"/>
      <c r="C1592" s="107"/>
      <c r="D1592" s="106"/>
      <c r="E1592" s="106"/>
      <c r="F1592" s="107"/>
      <c r="G1592" s="106"/>
      <c r="H1592" s="106"/>
      <c r="I1592" s="381"/>
      <c r="J1592" s="106"/>
      <c r="K1592" s="106"/>
      <c r="L1592" s="106"/>
    </row>
    <row r="1593" spans="1:12">
      <c r="A1593" s="106"/>
      <c r="B1593" s="106"/>
      <c r="C1593" s="107"/>
      <c r="D1593" s="106"/>
      <c r="E1593" s="106"/>
      <c r="F1593" s="107"/>
      <c r="G1593" s="106"/>
      <c r="H1593" s="106"/>
      <c r="I1593" s="381"/>
      <c r="J1593" s="106"/>
      <c r="K1593" s="106"/>
      <c r="L1593" s="106"/>
    </row>
    <row r="1594" spans="1:12">
      <c r="A1594" s="106"/>
      <c r="B1594" s="106"/>
      <c r="C1594" s="107"/>
      <c r="D1594" s="106"/>
      <c r="E1594" s="106"/>
      <c r="F1594" s="107"/>
      <c r="G1594" s="106"/>
      <c r="H1594" s="106"/>
      <c r="I1594" s="381"/>
      <c r="J1594" s="106"/>
      <c r="K1594" s="106"/>
      <c r="L1594" s="106"/>
    </row>
    <row r="1595" spans="1:12">
      <c r="A1595" s="106"/>
      <c r="B1595" s="106"/>
      <c r="C1595" s="107"/>
      <c r="D1595" s="106"/>
      <c r="E1595" s="106"/>
      <c r="F1595" s="107"/>
      <c r="G1595" s="106"/>
      <c r="H1595" s="106"/>
      <c r="I1595" s="381"/>
      <c r="J1595" s="106"/>
      <c r="K1595" s="106"/>
      <c r="L1595" s="106"/>
    </row>
    <row r="1596" spans="1:12">
      <c r="A1596" s="106"/>
      <c r="B1596" s="106"/>
      <c r="C1596" s="107"/>
      <c r="D1596" s="106"/>
      <c r="E1596" s="106"/>
      <c r="F1596" s="107"/>
      <c r="G1596" s="106"/>
      <c r="H1596" s="106"/>
      <c r="I1596" s="381"/>
      <c r="J1596" s="106"/>
      <c r="K1596" s="106"/>
      <c r="L1596" s="106"/>
    </row>
    <row r="1597" spans="1:12">
      <c r="A1597" s="106"/>
      <c r="B1597" s="106"/>
      <c r="C1597" s="107"/>
      <c r="D1597" s="106"/>
      <c r="E1597" s="106"/>
      <c r="F1597" s="107"/>
      <c r="G1597" s="106"/>
      <c r="H1597" s="106"/>
      <c r="I1597" s="381"/>
      <c r="J1597" s="106"/>
      <c r="K1597" s="106"/>
      <c r="L1597" s="106"/>
    </row>
    <row r="1598" spans="1:12">
      <c r="A1598" s="106"/>
      <c r="B1598" s="106"/>
      <c r="C1598" s="107"/>
      <c r="D1598" s="106"/>
      <c r="E1598" s="106"/>
      <c r="F1598" s="107"/>
      <c r="G1598" s="106"/>
      <c r="H1598" s="106"/>
      <c r="I1598" s="381"/>
      <c r="J1598" s="106"/>
      <c r="K1598" s="106"/>
      <c r="L1598" s="106"/>
    </row>
    <row r="1599" spans="1:12">
      <c r="A1599" s="106"/>
      <c r="B1599" s="106"/>
      <c r="C1599" s="107"/>
      <c r="D1599" s="106"/>
      <c r="E1599" s="106"/>
      <c r="F1599" s="107"/>
      <c r="G1599" s="106"/>
      <c r="H1599" s="106"/>
      <c r="I1599" s="381"/>
      <c r="J1599" s="106"/>
      <c r="K1599" s="106"/>
      <c r="L1599" s="106"/>
    </row>
    <row r="1600" spans="1:12">
      <c r="A1600" s="106"/>
      <c r="B1600" s="106"/>
      <c r="C1600" s="107"/>
      <c r="D1600" s="106"/>
      <c r="E1600" s="106"/>
      <c r="F1600" s="107"/>
      <c r="G1600" s="106"/>
      <c r="H1600" s="106"/>
      <c r="I1600" s="381"/>
      <c r="J1600" s="106"/>
      <c r="K1600" s="106"/>
      <c r="L1600" s="106"/>
    </row>
    <row r="1601" spans="1:12">
      <c r="A1601" s="106"/>
      <c r="B1601" s="106"/>
      <c r="C1601" s="107"/>
      <c r="D1601" s="106"/>
      <c r="E1601" s="106"/>
      <c r="F1601" s="107"/>
      <c r="G1601" s="106"/>
      <c r="H1601" s="106"/>
      <c r="I1601" s="381"/>
      <c r="J1601" s="106"/>
      <c r="K1601" s="106"/>
      <c r="L1601" s="106"/>
    </row>
    <row r="1602" spans="1:12">
      <c r="A1602" s="106"/>
      <c r="B1602" s="106"/>
      <c r="C1602" s="107"/>
      <c r="D1602" s="106"/>
      <c r="E1602" s="106"/>
      <c r="F1602" s="107"/>
      <c r="G1602" s="106"/>
      <c r="H1602" s="106"/>
      <c r="I1602" s="381"/>
      <c r="J1602" s="106"/>
      <c r="K1602" s="106"/>
      <c r="L1602" s="106"/>
    </row>
    <row r="1603" spans="1:12">
      <c r="A1603" s="106"/>
      <c r="B1603" s="106"/>
      <c r="C1603" s="107"/>
      <c r="D1603" s="106"/>
      <c r="E1603" s="106"/>
      <c r="F1603" s="107"/>
      <c r="G1603" s="106"/>
      <c r="H1603" s="106"/>
      <c r="I1603" s="381"/>
      <c r="J1603" s="106"/>
      <c r="K1603" s="106"/>
      <c r="L1603" s="106"/>
    </row>
    <row r="1604" spans="1:12">
      <c r="A1604" s="106"/>
      <c r="B1604" s="106"/>
      <c r="C1604" s="107"/>
      <c r="D1604" s="106"/>
      <c r="E1604" s="106"/>
      <c r="F1604" s="107"/>
      <c r="G1604" s="106"/>
      <c r="H1604" s="106"/>
      <c r="I1604" s="381"/>
      <c r="J1604" s="106"/>
      <c r="K1604" s="106"/>
      <c r="L1604" s="106"/>
    </row>
    <row r="1605" spans="1:12">
      <c r="A1605" s="106"/>
      <c r="B1605" s="106"/>
      <c r="C1605" s="107"/>
      <c r="D1605" s="106"/>
      <c r="E1605" s="106"/>
      <c r="F1605" s="107"/>
      <c r="G1605" s="106"/>
      <c r="H1605" s="106"/>
      <c r="I1605" s="381"/>
      <c r="J1605" s="106"/>
      <c r="K1605" s="106"/>
      <c r="L1605" s="106"/>
    </row>
    <row r="1606" spans="1:12">
      <c r="A1606" s="106"/>
      <c r="B1606" s="106"/>
      <c r="C1606" s="107"/>
      <c r="D1606" s="106"/>
      <c r="E1606" s="106"/>
      <c r="F1606" s="107"/>
      <c r="G1606" s="106"/>
      <c r="H1606" s="106"/>
      <c r="I1606" s="381"/>
      <c r="J1606" s="106"/>
      <c r="K1606" s="106"/>
      <c r="L1606" s="106"/>
    </row>
    <row r="1607" spans="1:12">
      <c r="A1607" s="106"/>
      <c r="B1607" s="106"/>
      <c r="C1607" s="107"/>
      <c r="D1607" s="106"/>
      <c r="E1607" s="106"/>
      <c r="F1607" s="107"/>
      <c r="G1607" s="106"/>
      <c r="H1607" s="106"/>
      <c r="I1607" s="381"/>
      <c r="J1607" s="106"/>
      <c r="K1607" s="106"/>
      <c r="L1607" s="106"/>
    </row>
    <row r="1608" spans="1:12">
      <c r="A1608" s="106"/>
      <c r="B1608" s="106"/>
      <c r="C1608" s="107"/>
      <c r="D1608" s="106"/>
      <c r="E1608" s="106"/>
      <c r="F1608" s="107"/>
      <c r="G1608" s="106"/>
      <c r="H1608" s="106"/>
      <c r="I1608" s="381"/>
      <c r="J1608" s="106"/>
      <c r="K1608" s="106"/>
      <c r="L1608" s="106"/>
    </row>
    <row r="1609" spans="1:12">
      <c r="A1609" s="106"/>
      <c r="B1609" s="106"/>
      <c r="C1609" s="107"/>
      <c r="D1609" s="106"/>
      <c r="E1609" s="106"/>
      <c r="F1609" s="107"/>
      <c r="G1609" s="106"/>
      <c r="H1609" s="106"/>
      <c r="I1609" s="381"/>
      <c r="J1609" s="106"/>
      <c r="K1609" s="106"/>
      <c r="L1609" s="106"/>
    </row>
    <row r="1610" spans="1:12">
      <c r="A1610" s="106"/>
      <c r="B1610" s="106"/>
      <c r="C1610" s="107"/>
      <c r="D1610" s="106"/>
      <c r="E1610" s="106"/>
      <c r="F1610" s="107"/>
      <c r="G1610" s="106"/>
      <c r="H1610" s="106"/>
      <c r="I1610" s="381"/>
      <c r="J1610" s="106"/>
      <c r="K1610" s="106"/>
      <c r="L1610" s="106"/>
    </row>
    <row r="1611" spans="1:12">
      <c r="A1611" s="106"/>
      <c r="B1611" s="106"/>
      <c r="C1611" s="107"/>
      <c r="D1611" s="106"/>
      <c r="E1611" s="106"/>
      <c r="F1611" s="107"/>
      <c r="G1611" s="106"/>
      <c r="H1611" s="106"/>
      <c r="I1611" s="381"/>
      <c r="J1611" s="106"/>
      <c r="K1611" s="106"/>
      <c r="L1611" s="106"/>
    </row>
    <row r="1612" spans="1:12">
      <c r="A1612" s="106"/>
      <c r="B1612" s="106"/>
      <c r="C1612" s="107"/>
      <c r="D1612" s="106"/>
      <c r="E1612" s="106"/>
      <c r="F1612" s="107"/>
      <c r="G1612" s="106"/>
      <c r="H1612" s="106"/>
      <c r="I1612" s="381"/>
      <c r="J1612" s="106"/>
      <c r="K1612" s="106"/>
      <c r="L1612" s="106"/>
    </row>
    <row r="1613" spans="1:12">
      <c r="A1613" s="106"/>
      <c r="B1613" s="106"/>
      <c r="C1613" s="107"/>
      <c r="D1613" s="106"/>
      <c r="E1613" s="106"/>
      <c r="F1613" s="107"/>
      <c r="G1613" s="106"/>
      <c r="H1613" s="106"/>
      <c r="I1613" s="381"/>
      <c r="J1613" s="106"/>
      <c r="K1613" s="106"/>
      <c r="L1613" s="106"/>
    </row>
    <row r="1614" spans="1:12">
      <c r="A1614" s="106"/>
      <c r="B1614" s="106"/>
      <c r="C1614" s="107"/>
      <c r="D1614" s="106"/>
      <c r="E1614" s="106"/>
      <c r="F1614" s="107"/>
      <c r="G1614" s="106"/>
      <c r="H1614" s="106"/>
      <c r="I1614" s="381"/>
      <c r="J1614" s="106"/>
      <c r="K1614" s="106"/>
      <c r="L1614" s="106"/>
    </row>
    <row r="1615" spans="1:12">
      <c r="A1615" s="106"/>
      <c r="B1615" s="106"/>
      <c r="C1615" s="107"/>
      <c r="D1615" s="106"/>
      <c r="E1615" s="106"/>
      <c r="F1615" s="107"/>
      <c r="G1615" s="106"/>
      <c r="H1615" s="106"/>
      <c r="I1615" s="381"/>
      <c r="J1615" s="106"/>
      <c r="K1615" s="106"/>
      <c r="L1615" s="106"/>
    </row>
    <row r="1616" spans="1:12">
      <c r="A1616" s="106"/>
      <c r="B1616" s="106"/>
      <c r="C1616" s="107"/>
      <c r="D1616" s="106"/>
      <c r="E1616" s="106"/>
      <c r="F1616" s="107"/>
      <c r="G1616" s="106"/>
      <c r="H1616" s="106"/>
      <c r="I1616" s="381"/>
      <c r="J1616" s="106"/>
      <c r="K1616" s="106"/>
      <c r="L1616" s="106"/>
    </row>
    <row r="1617" spans="1:12">
      <c r="A1617" s="106"/>
      <c r="B1617" s="106"/>
      <c r="C1617" s="107"/>
      <c r="D1617" s="106"/>
      <c r="E1617" s="106"/>
      <c r="F1617" s="107"/>
      <c r="G1617" s="106"/>
      <c r="H1617" s="106"/>
      <c r="I1617" s="381"/>
      <c r="J1617" s="106"/>
      <c r="K1617" s="106"/>
      <c r="L1617" s="106"/>
    </row>
    <row r="1618" spans="1:12">
      <c r="A1618" s="106"/>
      <c r="B1618" s="106"/>
      <c r="C1618" s="107"/>
      <c r="D1618" s="106"/>
      <c r="E1618" s="106"/>
      <c r="F1618" s="107"/>
      <c r="G1618" s="106"/>
      <c r="H1618" s="106"/>
      <c r="I1618" s="381"/>
      <c r="J1618" s="106"/>
      <c r="K1618" s="106"/>
      <c r="L1618" s="106"/>
    </row>
    <row r="1619" spans="1:12">
      <c r="A1619" s="106"/>
      <c r="B1619" s="106"/>
      <c r="C1619" s="107"/>
      <c r="D1619" s="106"/>
      <c r="E1619" s="106"/>
      <c r="F1619" s="107"/>
      <c r="G1619" s="106"/>
      <c r="H1619" s="106"/>
      <c r="I1619" s="381"/>
      <c r="J1619" s="106"/>
      <c r="K1619" s="106"/>
      <c r="L1619" s="106"/>
    </row>
    <row r="1620" spans="1:12">
      <c r="A1620" s="106"/>
      <c r="B1620" s="106"/>
      <c r="C1620" s="107"/>
      <c r="D1620" s="106"/>
      <c r="E1620" s="106"/>
      <c r="F1620" s="107"/>
      <c r="G1620" s="106"/>
      <c r="H1620" s="106"/>
      <c r="I1620" s="381"/>
      <c r="J1620" s="106"/>
      <c r="K1620" s="106"/>
      <c r="L1620" s="106"/>
    </row>
    <row r="1621" spans="1:12">
      <c r="A1621" s="106"/>
      <c r="B1621" s="106"/>
      <c r="C1621" s="107"/>
      <c r="D1621" s="106"/>
      <c r="E1621" s="106"/>
      <c r="F1621" s="107"/>
      <c r="G1621" s="106"/>
      <c r="H1621" s="106"/>
      <c r="I1621" s="381"/>
      <c r="J1621" s="106"/>
      <c r="K1621" s="106"/>
      <c r="L1621" s="106"/>
    </row>
    <row r="1622" spans="1:12">
      <c r="A1622" s="106"/>
      <c r="B1622" s="106"/>
      <c r="C1622" s="107"/>
      <c r="D1622" s="106"/>
      <c r="E1622" s="106"/>
      <c r="F1622" s="107"/>
      <c r="G1622" s="106"/>
      <c r="H1622" s="106"/>
      <c r="I1622" s="381"/>
      <c r="J1622" s="106"/>
      <c r="K1622" s="106"/>
      <c r="L1622" s="106"/>
    </row>
    <row r="1623" spans="1:12">
      <c r="A1623" s="106"/>
      <c r="B1623" s="106"/>
      <c r="C1623" s="107"/>
      <c r="D1623" s="106"/>
      <c r="E1623" s="106"/>
      <c r="F1623" s="107"/>
      <c r="G1623" s="106"/>
      <c r="H1623" s="106"/>
      <c r="I1623" s="381"/>
      <c r="J1623" s="106"/>
      <c r="K1623" s="106"/>
      <c r="L1623" s="106"/>
    </row>
    <row r="1624" spans="1:12">
      <c r="A1624" s="106"/>
      <c r="B1624" s="106"/>
      <c r="C1624" s="107"/>
      <c r="D1624" s="106"/>
      <c r="E1624" s="106"/>
      <c r="F1624" s="107"/>
      <c r="G1624" s="106"/>
      <c r="H1624" s="106"/>
      <c r="I1624" s="381"/>
      <c r="J1624" s="106"/>
      <c r="K1624" s="106"/>
      <c r="L1624" s="106"/>
    </row>
    <row r="1625" spans="1:12">
      <c r="A1625" s="106"/>
      <c r="B1625" s="106"/>
      <c r="C1625" s="107"/>
      <c r="D1625" s="106"/>
      <c r="E1625" s="106"/>
      <c r="F1625" s="107"/>
      <c r="G1625" s="106"/>
      <c r="H1625" s="106"/>
      <c r="I1625" s="381"/>
      <c r="J1625" s="106"/>
      <c r="K1625" s="106"/>
      <c r="L1625" s="106"/>
    </row>
    <row r="1626" spans="1:12">
      <c r="A1626" s="106"/>
      <c r="B1626" s="106"/>
      <c r="C1626" s="107"/>
      <c r="D1626" s="106"/>
      <c r="E1626" s="106"/>
      <c r="F1626" s="107"/>
      <c r="G1626" s="106"/>
      <c r="H1626" s="106"/>
      <c r="I1626" s="381"/>
      <c r="J1626" s="106"/>
      <c r="K1626" s="106"/>
      <c r="L1626" s="106"/>
    </row>
    <row r="1627" spans="1:12">
      <c r="A1627" s="106"/>
      <c r="B1627" s="106"/>
      <c r="C1627" s="107"/>
      <c r="D1627" s="106"/>
      <c r="E1627" s="106"/>
      <c r="F1627" s="107"/>
      <c r="G1627" s="106"/>
      <c r="H1627" s="106"/>
      <c r="I1627" s="381"/>
      <c r="J1627" s="106"/>
      <c r="K1627" s="106"/>
      <c r="L1627" s="106"/>
    </row>
    <row r="1628" spans="1:12">
      <c r="A1628" s="106"/>
      <c r="B1628" s="106"/>
      <c r="C1628" s="107"/>
      <c r="D1628" s="106"/>
      <c r="E1628" s="106"/>
      <c r="F1628" s="107"/>
      <c r="G1628" s="106"/>
      <c r="H1628" s="106"/>
      <c r="I1628" s="381"/>
      <c r="J1628" s="106"/>
      <c r="K1628" s="106"/>
      <c r="L1628" s="106"/>
    </row>
    <row r="1629" spans="1:12">
      <c r="A1629" s="106"/>
      <c r="B1629" s="106"/>
      <c r="C1629" s="107"/>
      <c r="D1629" s="106"/>
      <c r="E1629" s="106"/>
      <c r="F1629" s="107"/>
      <c r="G1629" s="106"/>
      <c r="H1629" s="106"/>
      <c r="I1629" s="381"/>
      <c r="J1629" s="106"/>
      <c r="K1629" s="106"/>
      <c r="L1629" s="106"/>
    </row>
    <row r="1630" spans="1:12">
      <c r="A1630" s="106"/>
      <c r="B1630" s="106"/>
      <c r="C1630" s="107"/>
      <c r="D1630" s="106"/>
      <c r="E1630" s="106"/>
      <c r="F1630" s="107"/>
      <c r="G1630" s="106"/>
      <c r="H1630" s="106"/>
      <c r="I1630" s="381"/>
      <c r="J1630" s="106"/>
      <c r="K1630" s="106"/>
      <c r="L1630" s="106"/>
    </row>
    <row r="1631" spans="1:12">
      <c r="A1631" s="106"/>
      <c r="B1631" s="106"/>
      <c r="C1631" s="107"/>
      <c r="D1631" s="106"/>
      <c r="E1631" s="106"/>
      <c r="F1631" s="107"/>
      <c r="G1631" s="106"/>
      <c r="H1631" s="106"/>
      <c r="I1631" s="381"/>
      <c r="J1631" s="106"/>
      <c r="K1631" s="106"/>
      <c r="L1631" s="106"/>
    </row>
    <row r="1632" spans="1:12">
      <c r="A1632" s="106"/>
      <c r="B1632" s="106"/>
      <c r="C1632" s="107"/>
      <c r="D1632" s="106"/>
      <c r="E1632" s="106"/>
      <c r="F1632" s="107"/>
      <c r="G1632" s="106"/>
      <c r="H1632" s="106"/>
      <c r="I1632" s="381"/>
      <c r="J1632" s="106"/>
      <c r="K1632" s="106"/>
      <c r="L1632" s="106"/>
    </row>
    <row r="1633" spans="1:12">
      <c r="A1633" s="106"/>
      <c r="B1633" s="106"/>
      <c r="C1633" s="107"/>
      <c r="D1633" s="106"/>
      <c r="E1633" s="106"/>
      <c r="F1633" s="107"/>
      <c r="G1633" s="106"/>
      <c r="H1633" s="106"/>
      <c r="I1633" s="381"/>
      <c r="J1633" s="106"/>
      <c r="K1633" s="106"/>
      <c r="L1633" s="106"/>
    </row>
    <row r="1634" spans="1:12">
      <c r="A1634" s="106"/>
      <c r="B1634" s="106"/>
      <c r="C1634" s="107"/>
      <c r="D1634" s="106"/>
      <c r="E1634" s="106"/>
      <c r="F1634" s="107"/>
      <c r="G1634" s="106"/>
      <c r="H1634" s="106"/>
      <c r="I1634" s="381"/>
      <c r="J1634" s="106"/>
      <c r="K1634" s="106"/>
      <c r="L1634" s="106"/>
    </row>
    <row r="1635" spans="1:12">
      <c r="A1635" s="106"/>
      <c r="B1635" s="106"/>
      <c r="C1635" s="107"/>
      <c r="D1635" s="106"/>
      <c r="E1635" s="106"/>
      <c r="F1635" s="107"/>
      <c r="G1635" s="106"/>
      <c r="H1635" s="106"/>
      <c r="I1635" s="381"/>
      <c r="J1635" s="106"/>
      <c r="K1635" s="106"/>
      <c r="L1635" s="106"/>
    </row>
    <row r="1636" spans="1:12">
      <c r="A1636" s="106"/>
      <c r="B1636" s="106"/>
      <c r="C1636" s="107"/>
      <c r="D1636" s="106"/>
      <c r="E1636" s="106"/>
      <c r="F1636" s="107"/>
      <c r="G1636" s="106"/>
      <c r="H1636" s="106"/>
      <c r="I1636" s="381"/>
      <c r="J1636" s="106"/>
      <c r="K1636" s="106"/>
      <c r="L1636" s="106"/>
    </row>
    <row r="1637" spans="1:12">
      <c r="A1637" s="106"/>
      <c r="B1637" s="106"/>
      <c r="C1637" s="107"/>
      <c r="D1637" s="106"/>
      <c r="E1637" s="106"/>
      <c r="F1637" s="107"/>
      <c r="G1637" s="106"/>
      <c r="H1637" s="106"/>
      <c r="I1637" s="381"/>
      <c r="J1637" s="106"/>
      <c r="K1637" s="106"/>
      <c r="L1637" s="106"/>
    </row>
    <row r="1638" spans="1:12">
      <c r="A1638" s="106"/>
      <c r="B1638" s="106"/>
      <c r="C1638" s="107"/>
      <c r="D1638" s="106"/>
      <c r="E1638" s="106"/>
      <c r="F1638" s="107"/>
      <c r="G1638" s="106"/>
      <c r="H1638" s="106"/>
      <c r="I1638" s="381"/>
      <c r="J1638" s="106"/>
      <c r="K1638" s="106"/>
      <c r="L1638" s="106"/>
    </row>
    <row r="1639" spans="1:12">
      <c r="A1639" s="106"/>
      <c r="B1639" s="106"/>
      <c r="C1639" s="107"/>
      <c r="D1639" s="106"/>
      <c r="E1639" s="106"/>
      <c r="F1639" s="107"/>
      <c r="G1639" s="106"/>
      <c r="H1639" s="106"/>
      <c r="I1639" s="381"/>
      <c r="J1639" s="106"/>
      <c r="K1639" s="106"/>
      <c r="L1639" s="106"/>
    </row>
    <row r="1640" spans="1:12">
      <c r="A1640" s="106"/>
      <c r="B1640" s="106"/>
      <c r="C1640" s="107"/>
      <c r="D1640" s="106"/>
      <c r="E1640" s="106"/>
      <c r="F1640" s="107"/>
      <c r="G1640" s="106"/>
      <c r="H1640" s="106"/>
      <c r="I1640" s="381"/>
      <c r="J1640" s="106"/>
      <c r="K1640" s="106"/>
      <c r="L1640" s="106"/>
    </row>
    <row r="1641" spans="1:12">
      <c r="A1641" s="106"/>
      <c r="B1641" s="106"/>
      <c r="C1641" s="107"/>
      <c r="D1641" s="106"/>
      <c r="E1641" s="106"/>
      <c r="F1641" s="107"/>
      <c r="G1641" s="106"/>
      <c r="H1641" s="106"/>
      <c r="I1641" s="381"/>
      <c r="J1641" s="106"/>
      <c r="K1641" s="106"/>
      <c r="L1641" s="106"/>
    </row>
    <row r="1642" spans="1:12">
      <c r="A1642" s="106"/>
      <c r="B1642" s="106"/>
      <c r="C1642" s="107"/>
      <c r="D1642" s="106"/>
      <c r="E1642" s="106"/>
      <c r="F1642" s="107"/>
      <c r="G1642" s="106"/>
      <c r="H1642" s="106"/>
      <c r="I1642" s="381"/>
      <c r="J1642" s="106"/>
      <c r="K1642" s="106"/>
      <c r="L1642" s="106"/>
    </row>
    <row r="1643" spans="1:12">
      <c r="A1643" s="106"/>
      <c r="B1643" s="106"/>
      <c r="C1643" s="107"/>
      <c r="D1643" s="106"/>
      <c r="E1643" s="106"/>
      <c r="F1643" s="107"/>
      <c r="G1643" s="106"/>
      <c r="H1643" s="106"/>
      <c r="I1643" s="381"/>
      <c r="J1643" s="106"/>
      <c r="K1643" s="106"/>
      <c r="L1643" s="106"/>
    </row>
    <row r="1644" spans="1:12">
      <c r="A1644" s="106"/>
      <c r="B1644" s="106"/>
      <c r="C1644" s="107"/>
      <c r="D1644" s="106"/>
      <c r="E1644" s="106"/>
      <c r="F1644" s="107"/>
      <c r="G1644" s="106"/>
      <c r="H1644" s="106"/>
      <c r="I1644" s="381"/>
      <c r="J1644" s="106"/>
      <c r="K1644" s="106"/>
      <c r="L1644" s="106"/>
    </row>
    <row r="1645" spans="1:12">
      <c r="A1645" s="106"/>
      <c r="B1645" s="106"/>
      <c r="C1645" s="107"/>
      <c r="D1645" s="106"/>
      <c r="E1645" s="106"/>
      <c r="F1645" s="107"/>
      <c r="G1645" s="106"/>
      <c r="H1645" s="106"/>
      <c r="I1645" s="381"/>
      <c r="J1645" s="106"/>
      <c r="K1645" s="106"/>
      <c r="L1645" s="106"/>
    </row>
    <row r="1646" spans="1:12">
      <c r="A1646" s="106"/>
      <c r="B1646" s="106"/>
      <c r="C1646" s="107"/>
      <c r="D1646" s="106"/>
      <c r="E1646" s="106"/>
      <c r="F1646" s="107"/>
      <c r="G1646" s="106"/>
      <c r="H1646" s="106"/>
      <c r="I1646" s="381"/>
      <c r="J1646" s="106"/>
      <c r="K1646" s="106"/>
      <c r="L1646" s="106"/>
    </row>
    <row r="1647" spans="1:12">
      <c r="A1647" s="106"/>
      <c r="B1647" s="106"/>
      <c r="C1647" s="107"/>
      <c r="D1647" s="106"/>
      <c r="E1647" s="106"/>
      <c r="F1647" s="107"/>
      <c r="G1647" s="106"/>
      <c r="H1647" s="106"/>
      <c r="I1647" s="381"/>
      <c r="J1647" s="106"/>
      <c r="K1647" s="106"/>
      <c r="L1647" s="106"/>
    </row>
    <row r="1648" spans="1:12">
      <c r="A1648" s="106"/>
      <c r="B1648" s="106"/>
      <c r="C1648" s="107"/>
      <c r="D1648" s="106"/>
      <c r="E1648" s="106"/>
      <c r="F1648" s="107"/>
      <c r="G1648" s="106"/>
      <c r="H1648" s="106"/>
      <c r="I1648" s="381"/>
      <c r="J1648" s="106"/>
      <c r="K1648" s="106"/>
      <c r="L1648" s="106"/>
    </row>
    <row r="1649" spans="1:12">
      <c r="A1649" s="106"/>
      <c r="B1649" s="106"/>
      <c r="C1649" s="107"/>
      <c r="D1649" s="106"/>
      <c r="E1649" s="106"/>
      <c r="F1649" s="107"/>
      <c r="G1649" s="106"/>
      <c r="H1649" s="106"/>
      <c r="I1649" s="381"/>
      <c r="J1649" s="106"/>
      <c r="K1649" s="106"/>
      <c r="L1649" s="106"/>
    </row>
    <row r="1650" spans="1:12">
      <c r="A1650" s="106"/>
      <c r="B1650" s="106"/>
      <c r="C1650" s="107"/>
      <c r="D1650" s="106"/>
      <c r="E1650" s="106"/>
      <c r="F1650" s="107"/>
      <c r="G1650" s="106"/>
      <c r="H1650" s="106"/>
      <c r="I1650" s="381"/>
      <c r="J1650" s="106"/>
      <c r="K1650" s="106"/>
      <c r="L1650" s="106"/>
    </row>
    <row r="1651" spans="1:12">
      <c r="A1651" s="106"/>
      <c r="B1651" s="106"/>
      <c r="C1651" s="107"/>
      <c r="D1651" s="106"/>
      <c r="E1651" s="106"/>
      <c r="F1651" s="107"/>
      <c r="G1651" s="106"/>
      <c r="H1651" s="106"/>
      <c r="I1651" s="381"/>
      <c r="J1651" s="106"/>
      <c r="K1651" s="106"/>
      <c r="L1651" s="106"/>
    </row>
    <row r="1652" spans="1:12">
      <c r="A1652" s="106"/>
      <c r="B1652" s="106"/>
      <c r="C1652" s="107"/>
      <c r="D1652" s="106"/>
      <c r="E1652" s="106"/>
      <c r="F1652" s="107"/>
      <c r="G1652" s="106"/>
      <c r="H1652" s="106"/>
      <c r="I1652" s="381"/>
      <c r="J1652" s="106"/>
      <c r="K1652" s="106"/>
      <c r="L1652" s="106"/>
    </row>
    <row r="1653" spans="1:12">
      <c r="A1653" s="106"/>
      <c r="B1653" s="106"/>
      <c r="C1653" s="107"/>
      <c r="D1653" s="106"/>
      <c r="E1653" s="106"/>
      <c r="F1653" s="107"/>
      <c r="G1653" s="106"/>
      <c r="H1653" s="106"/>
      <c r="I1653" s="381"/>
      <c r="J1653" s="106"/>
      <c r="K1653" s="106"/>
      <c r="L1653" s="106"/>
    </row>
    <row r="1654" spans="1:12">
      <c r="A1654" s="106"/>
      <c r="B1654" s="106"/>
      <c r="C1654" s="107"/>
      <c r="D1654" s="106"/>
      <c r="E1654" s="106"/>
      <c r="F1654" s="107"/>
      <c r="G1654" s="106"/>
      <c r="H1654" s="106"/>
      <c r="I1654" s="381"/>
      <c r="J1654" s="106"/>
      <c r="K1654" s="106"/>
      <c r="L1654" s="106"/>
    </row>
    <row r="1655" spans="1:12">
      <c r="A1655" s="106"/>
      <c r="B1655" s="106"/>
      <c r="C1655" s="107"/>
      <c r="D1655" s="106"/>
      <c r="E1655" s="106"/>
      <c r="F1655" s="107"/>
      <c r="G1655" s="106"/>
      <c r="H1655" s="106"/>
      <c r="I1655" s="381"/>
      <c r="J1655" s="106"/>
      <c r="K1655" s="106"/>
      <c r="L1655" s="106"/>
    </row>
    <row r="1656" spans="1:12">
      <c r="A1656" s="106"/>
      <c r="B1656" s="106"/>
      <c r="C1656" s="107"/>
      <c r="D1656" s="106"/>
      <c r="E1656" s="106"/>
      <c r="F1656" s="107"/>
      <c r="G1656" s="106"/>
      <c r="H1656" s="106"/>
      <c r="I1656" s="381"/>
      <c r="J1656" s="106"/>
      <c r="K1656" s="106"/>
      <c r="L1656" s="106"/>
    </row>
    <row r="1657" spans="1:12">
      <c r="A1657" s="106"/>
      <c r="B1657" s="106"/>
      <c r="C1657" s="107"/>
      <c r="D1657" s="106"/>
      <c r="E1657" s="106"/>
      <c r="F1657" s="107"/>
      <c r="G1657" s="106"/>
      <c r="H1657" s="106"/>
      <c r="I1657" s="381"/>
      <c r="J1657" s="106"/>
      <c r="K1657" s="106"/>
      <c r="L1657" s="106"/>
    </row>
    <row r="1658" spans="1:12">
      <c r="A1658" s="106"/>
      <c r="B1658" s="106"/>
      <c r="C1658" s="107"/>
      <c r="D1658" s="106"/>
      <c r="E1658" s="106"/>
      <c r="F1658" s="107"/>
      <c r="G1658" s="106"/>
      <c r="H1658" s="106"/>
      <c r="I1658" s="381"/>
      <c r="J1658" s="106"/>
      <c r="K1658" s="106"/>
      <c r="L1658" s="106"/>
    </row>
    <row r="1659" spans="1:12">
      <c r="A1659" s="106"/>
      <c r="B1659" s="106"/>
      <c r="C1659" s="107"/>
      <c r="D1659" s="106"/>
      <c r="E1659" s="106"/>
      <c r="F1659" s="107"/>
      <c r="G1659" s="106"/>
      <c r="H1659" s="106"/>
      <c r="I1659" s="381"/>
      <c r="J1659" s="106"/>
      <c r="K1659" s="106"/>
      <c r="L1659" s="106"/>
    </row>
    <row r="1660" spans="1:12">
      <c r="A1660" s="106"/>
      <c r="B1660" s="106"/>
      <c r="C1660" s="107"/>
      <c r="D1660" s="106"/>
      <c r="E1660" s="106"/>
      <c r="F1660" s="107"/>
      <c r="G1660" s="106"/>
      <c r="H1660" s="106"/>
      <c r="I1660" s="381"/>
      <c r="J1660" s="106"/>
      <c r="K1660" s="106"/>
      <c r="L1660" s="106"/>
    </row>
    <row r="1661" spans="1:12">
      <c r="A1661" s="106"/>
      <c r="B1661" s="106"/>
      <c r="C1661" s="107"/>
      <c r="D1661" s="106"/>
      <c r="E1661" s="106"/>
      <c r="F1661" s="107"/>
      <c r="G1661" s="106"/>
      <c r="H1661" s="106"/>
      <c r="I1661" s="381"/>
      <c r="J1661" s="106"/>
      <c r="K1661" s="106"/>
      <c r="L1661" s="106"/>
    </row>
    <row r="1662" spans="1:12">
      <c r="A1662" s="106"/>
      <c r="B1662" s="106"/>
      <c r="C1662" s="107"/>
      <c r="D1662" s="106"/>
      <c r="E1662" s="106"/>
      <c r="F1662" s="107"/>
      <c r="G1662" s="106"/>
      <c r="H1662" s="106"/>
      <c r="I1662" s="381"/>
      <c r="J1662" s="106"/>
      <c r="K1662" s="106"/>
      <c r="L1662" s="106"/>
    </row>
    <row r="1663" spans="1:12">
      <c r="A1663" s="106"/>
      <c r="B1663" s="106"/>
      <c r="C1663" s="107"/>
      <c r="D1663" s="106"/>
      <c r="E1663" s="106"/>
      <c r="F1663" s="107"/>
      <c r="G1663" s="106"/>
      <c r="H1663" s="106"/>
      <c r="I1663" s="381"/>
      <c r="J1663" s="106"/>
      <c r="K1663" s="106"/>
      <c r="L1663" s="106"/>
    </row>
    <row r="1664" spans="1:12">
      <c r="A1664" s="106"/>
      <c r="B1664" s="106"/>
      <c r="C1664" s="107"/>
      <c r="D1664" s="106"/>
      <c r="E1664" s="106"/>
      <c r="F1664" s="107"/>
      <c r="G1664" s="106"/>
      <c r="H1664" s="106"/>
      <c r="I1664" s="381"/>
      <c r="J1664" s="106"/>
      <c r="K1664" s="106"/>
      <c r="L1664" s="106"/>
    </row>
    <row r="1665" spans="1:12">
      <c r="A1665" s="106"/>
      <c r="B1665" s="106"/>
      <c r="C1665" s="107"/>
      <c r="D1665" s="106"/>
      <c r="E1665" s="106"/>
      <c r="F1665" s="107"/>
      <c r="G1665" s="106"/>
      <c r="H1665" s="106"/>
      <c r="I1665" s="381"/>
      <c r="J1665" s="106"/>
      <c r="K1665" s="106"/>
      <c r="L1665" s="106"/>
    </row>
    <row r="1666" spans="1:12">
      <c r="A1666" s="106"/>
      <c r="B1666" s="106"/>
      <c r="C1666" s="107"/>
      <c r="D1666" s="106"/>
      <c r="E1666" s="106"/>
      <c r="F1666" s="107"/>
      <c r="G1666" s="106"/>
      <c r="H1666" s="106"/>
      <c r="I1666" s="381"/>
      <c r="J1666" s="106"/>
      <c r="K1666" s="106"/>
      <c r="L1666" s="106"/>
    </row>
    <row r="1667" spans="1:12">
      <c r="A1667" s="106"/>
      <c r="B1667" s="106"/>
      <c r="C1667" s="107"/>
      <c r="D1667" s="106"/>
      <c r="E1667" s="106"/>
      <c r="F1667" s="107"/>
      <c r="G1667" s="106"/>
      <c r="H1667" s="106"/>
      <c r="I1667" s="381"/>
      <c r="J1667" s="106"/>
      <c r="K1667" s="106"/>
      <c r="L1667" s="106"/>
    </row>
    <row r="1668" spans="1:12">
      <c r="A1668" s="106"/>
      <c r="B1668" s="106"/>
      <c r="C1668" s="107"/>
      <c r="D1668" s="106"/>
      <c r="E1668" s="106"/>
      <c r="F1668" s="107"/>
      <c r="G1668" s="106"/>
      <c r="H1668" s="106"/>
      <c r="I1668" s="381"/>
      <c r="J1668" s="106"/>
      <c r="K1668" s="106"/>
      <c r="L1668" s="106"/>
    </row>
    <row r="1669" spans="1:12">
      <c r="A1669" s="106"/>
      <c r="B1669" s="106"/>
      <c r="C1669" s="107"/>
      <c r="D1669" s="106"/>
      <c r="E1669" s="106"/>
      <c r="F1669" s="107"/>
      <c r="G1669" s="106"/>
      <c r="H1669" s="106"/>
      <c r="I1669" s="381"/>
      <c r="J1669" s="106"/>
      <c r="K1669" s="106"/>
      <c r="L1669" s="106"/>
    </row>
    <row r="1670" spans="1:12">
      <c r="A1670" s="106"/>
      <c r="B1670" s="106"/>
      <c r="C1670" s="107"/>
      <c r="D1670" s="106"/>
      <c r="E1670" s="106"/>
      <c r="F1670" s="107"/>
      <c r="G1670" s="106"/>
      <c r="H1670" s="106"/>
      <c r="I1670" s="381"/>
      <c r="J1670" s="106"/>
      <c r="K1670" s="106"/>
      <c r="L1670" s="106"/>
    </row>
    <row r="1671" spans="1:12">
      <c r="A1671" s="106"/>
      <c r="B1671" s="106"/>
      <c r="C1671" s="107"/>
      <c r="D1671" s="106"/>
      <c r="E1671" s="106"/>
      <c r="F1671" s="107"/>
      <c r="G1671" s="106"/>
      <c r="H1671" s="106"/>
      <c r="I1671" s="381"/>
      <c r="J1671" s="106"/>
      <c r="K1671" s="106"/>
      <c r="L1671" s="106"/>
    </row>
    <row r="1672" spans="1:12">
      <c r="A1672" s="106"/>
      <c r="B1672" s="106"/>
      <c r="C1672" s="107"/>
      <c r="D1672" s="106"/>
      <c r="E1672" s="106"/>
      <c r="F1672" s="107"/>
      <c r="G1672" s="106"/>
      <c r="H1672" s="106"/>
      <c r="I1672" s="381"/>
      <c r="J1672" s="106"/>
      <c r="K1672" s="106"/>
      <c r="L1672" s="106"/>
    </row>
    <row r="1673" spans="1:12">
      <c r="A1673" s="106"/>
      <c r="B1673" s="106"/>
      <c r="C1673" s="107"/>
      <c r="D1673" s="106"/>
      <c r="E1673" s="106"/>
      <c r="F1673" s="107"/>
      <c r="G1673" s="106"/>
      <c r="H1673" s="106"/>
      <c r="I1673" s="381"/>
      <c r="J1673" s="106"/>
      <c r="K1673" s="106"/>
      <c r="L1673" s="106"/>
    </row>
    <row r="1674" spans="1:12">
      <c r="A1674" s="106"/>
      <c r="B1674" s="106"/>
      <c r="C1674" s="107"/>
      <c r="D1674" s="106"/>
      <c r="E1674" s="106"/>
      <c r="F1674" s="107"/>
      <c r="G1674" s="106"/>
      <c r="H1674" s="106"/>
      <c r="I1674" s="381"/>
      <c r="J1674" s="106"/>
      <c r="K1674" s="106"/>
      <c r="L1674" s="106"/>
    </row>
    <row r="1675" spans="1:12">
      <c r="A1675" s="106"/>
      <c r="B1675" s="106"/>
      <c r="C1675" s="107"/>
      <c r="D1675" s="106"/>
      <c r="E1675" s="106"/>
      <c r="F1675" s="107"/>
      <c r="G1675" s="106"/>
      <c r="H1675" s="106"/>
      <c r="I1675" s="381"/>
      <c r="J1675" s="106"/>
      <c r="K1675" s="106"/>
      <c r="L1675" s="106"/>
    </row>
    <row r="1676" spans="1:12">
      <c r="A1676" s="106"/>
      <c r="B1676" s="106"/>
      <c r="C1676" s="107"/>
      <c r="D1676" s="106"/>
      <c r="E1676" s="106"/>
      <c r="F1676" s="107"/>
      <c r="G1676" s="106"/>
      <c r="H1676" s="106"/>
      <c r="I1676" s="381"/>
      <c r="J1676" s="106"/>
      <c r="K1676" s="106"/>
      <c r="L1676" s="106"/>
    </row>
    <row r="1677" spans="1:12">
      <c r="A1677" s="106"/>
      <c r="B1677" s="106"/>
      <c r="C1677" s="107"/>
      <c r="D1677" s="106"/>
      <c r="E1677" s="106"/>
      <c r="F1677" s="107"/>
      <c r="G1677" s="106"/>
      <c r="H1677" s="106"/>
      <c r="I1677" s="381"/>
      <c r="J1677" s="106"/>
      <c r="K1677" s="106"/>
      <c r="L1677" s="106"/>
    </row>
    <row r="1678" spans="1:12">
      <c r="A1678" s="106"/>
      <c r="B1678" s="106"/>
      <c r="C1678" s="107"/>
      <c r="D1678" s="106"/>
      <c r="E1678" s="106"/>
      <c r="F1678" s="107"/>
      <c r="G1678" s="106"/>
      <c r="H1678" s="106"/>
      <c r="I1678" s="381"/>
      <c r="J1678" s="106"/>
      <c r="K1678" s="106"/>
      <c r="L1678" s="106"/>
    </row>
    <row r="1679" spans="1:12">
      <c r="A1679" s="106"/>
      <c r="B1679" s="106"/>
      <c r="C1679" s="107"/>
      <c r="D1679" s="106"/>
      <c r="E1679" s="106"/>
      <c r="F1679" s="107"/>
      <c r="G1679" s="106"/>
      <c r="H1679" s="106"/>
      <c r="I1679" s="381"/>
      <c r="J1679" s="106"/>
      <c r="K1679" s="106"/>
      <c r="L1679" s="106"/>
    </row>
    <row r="1680" spans="1:12">
      <c r="A1680" s="106"/>
      <c r="B1680" s="106"/>
      <c r="C1680" s="107"/>
      <c r="D1680" s="106"/>
      <c r="E1680" s="106"/>
      <c r="F1680" s="107"/>
      <c r="G1680" s="106"/>
      <c r="H1680" s="106"/>
      <c r="I1680" s="381"/>
      <c r="J1680" s="106"/>
      <c r="K1680" s="106"/>
      <c r="L1680" s="106"/>
    </row>
    <row r="1681" spans="1:12">
      <c r="A1681" s="106"/>
      <c r="B1681" s="106"/>
      <c r="C1681" s="107"/>
      <c r="D1681" s="106"/>
      <c r="E1681" s="106"/>
      <c r="F1681" s="107"/>
      <c r="G1681" s="106"/>
      <c r="H1681" s="106"/>
      <c r="I1681" s="381"/>
      <c r="J1681" s="106"/>
      <c r="K1681" s="106"/>
      <c r="L1681" s="106"/>
    </row>
    <row r="1682" spans="1:12">
      <c r="A1682" s="106"/>
      <c r="B1682" s="106"/>
      <c r="C1682" s="107"/>
      <c r="D1682" s="106"/>
      <c r="E1682" s="106"/>
      <c r="F1682" s="107"/>
      <c r="G1682" s="106"/>
      <c r="H1682" s="106"/>
      <c r="I1682" s="381"/>
      <c r="J1682" s="106"/>
      <c r="K1682" s="106"/>
      <c r="L1682" s="106"/>
    </row>
    <row r="1683" spans="1:12">
      <c r="A1683" s="106"/>
      <c r="B1683" s="106"/>
      <c r="C1683" s="107"/>
      <c r="D1683" s="106"/>
      <c r="E1683" s="106"/>
      <c r="F1683" s="107"/>
      <c r="G1683" s="106"/>
      <c r="H1683" s="106"/>
      <c r="I1683" s="381"/>
      <c r="J1683" s="106"/>
      <c r="K1683" s="106"/>
      <c r="L1683" s="106"/>
    </row>
    <row r="1684" spans="1:12">
      <c r="A1684" s="106"/>
      <c r="B1684" s="106"/>
      <c r="C1684" s="107"/>
      <c r="D1684" s="106"/>
      <c r="E1684" s="106"/>
      <c r="F1684" s="107"/>
      <c r="G1684" s="106"/>
      <c r="H1684" s="106"/>
      <c r="I1684" s="381"/>
      <c r="J1684" s="106"/>
      <c r="K1684" s="106"/>
      <c r="L1684" s="106"/>
    </row>
    <row r="1685" spans="1:12">
      <c r="A1685" s="106"/>
      <c r="B1685" s="106"/>
      <c r="C1685" s="107"/>
      <c r="D1685" s="106"/>
      <c r="E1685" s="106"/>
      <c r="F1685" s="107"/>
      <c r="G1685" s="106"/>
      <c r="H1685" s="106"/>
      <c r="I1685" s="381"/>
      <c r="J1685" s="106"/>
      <c r="K1685" s="106"/>
      <c r="L1685" s="106"/>
    </row>
    <row r="1686" spans="1:12">
      <c r="A1686" s="106"/>
      <c r="B1686" s="106"/>
      <c r="C1686" s="107"/>
      <c r="D1686" s="106"/>
      <c r="E1686" s="106"/>
      <c r="F1686" s="107"/>
      <c r="G1686" s="106"/>
      <c r="H1686" s="106"/>
      <c r="I1686" s="381"/>
      <c r="J1686" s="106"/>
      <c r="K1686" s="106"/>
      <c r="L1686" s="106"/>
    </row>
    <row r="1687" spans="1:12">
      <c r="A1687" s="106"/>
      <c r="B1687" s="106"/>
      <c r="C1687" s="107"/>
      <c r="D1687" s="106"/>
      <c r="E1687" s="106"/>
      <c r="F1687" s="107"/>
      <c r="G1687" s="106"/>
      <c r="H1687" s="106"/>
      <c r="I1687" s="381"/>
      <c r="J1687" s="106"/>
      <c r="K1687" s="106"/>
      <c r="L1687" s="106"/>
    </row>
    <row r="1688" spans="1:12">
      <c r="A1688" s="106"/>
      <c r="B1688" s="106"/>
      <c r="C1688" s="107"/>
      <c r="D1688" s="106"/>
      <c r="E1688" s="106"/>
      <c r="F1688" s="107"/>
      <c r="G1688" s="106"/>
      <c r="H1688" s="106"/>
      <c r="I1688" s="381"/>
      <c r="J1688" s="106"/>
      <c r="K1688" s="106"/>
      <c r="L1688" s="106"/>
    </row>
    <row r="1689" spans="1:12">
      <c r="A1689" s="106"/>
      <c r="B1689" s="106"/>
      <c r="C1689" s="107"/>
      <c r="D1689" s="106"/>
      <c r="E1689" s="106"/>
      <c r="F1689" s="107"/>
      <c r="G1689" s="106"/>
      <c r="H1689" s="106"/>
      <c r="I1689" s="381"/>
      <c r="J1689" s="106"/>
      <c r="K1689" s="106"/>
      <c r="L1689" s="106"/>
    </row>
    <row r="1690" spans="1:12">
      <c r="A1690" s="106"/>
      <c r="B1690" s="106"/>
      <c r="C1690" s="107"/>
      <c r="D1690" s="106"/>
      <c r="E1690" s="106"/>
      <c r="F1690" s="107"/>
      <c r="G1690" s="106"/>
      <c r="H1690" s="106"/>
      <c r="I1690" s="381"/>
      <c r="J1690" s="106"/>
      <c r="K1690" s="106"/>
      <c r="L1690" s="106"/>
    </row>
    <row r="1691" spans="1:12">
      <c r="A1691" s="106"/>
      <c r="B1691" s="106"/>
      <c r="C1691" s="107"/>
      <c r="D1691" s="106"/>
      <c r="E1691" s="106"/>
      <c r="F1691" s="107"/>
      <c r="G1691" s="106"/>
      <c r="H1691" s="106"/>
      <c r="I1691" s="381"/>
      <c r="J1691" s="106"/>
      <c r="K1691" s="106"/>
      <c r="L1691" s="106"/>
    </row>
    <row r="1692" spans="1:12">
      <c r="A1692" s="106"/>
      <c r="B1692" s="106"/>
      <c r="C1692" s="107"/>
      <c r="D1692" s="106"/>
      <c r="E1692" s="106"/>
      <c r="F1692" s="107"/>
      <c r="G1692" s="106"/>
      <c r="H1692" s="106"/>
      <c r="I1692" s="381"/>
      <c r="J1692" s="106"/>
      <c r="K1692" s="106"/>
      <c r="L1692" s="106"/>
    </row>
    <row r="1693" spans="1:12">
      <c r="A1693" s="106"/>
      <c r="B1693" s="106"/>
      <c r="C1693" s="107"/>
      <c r="D1693" s="106"/>
      <c r="E1693" s="106"/>
      <c r="F1693" s="107"/>
      <c r="G1693" s="106"/>
      <c r="H1693" s="106"/>
      <c r="I1693" s="381"/>
      <c r="J1693" s="106"/>
      <c r="K1693" s="106"/>
      <c r="L1693" s="106"/>
    </row>
    <row r="1694" spans="1:12">
      <c r="A1694" s="106"/>
      <c r="B1694" s="106"/>
      <c r="C1694" s="107"/>
      <c r="D1694" s="106"/>
      <c r="E1694" s="106"/>
      <c r="F1694" s="107"/>
      <c r="G1694" s="106"/>
      <c r="H1694" s="106"/>
      <c r="I1694" s="381"/>
      <c r="J1694" s="106"/>
      <c r="K1694" s="106"/>
      <c r="L1694" s="106"/>
    </row>
    <row r="1695" spans="1:12">
      <c r="A1695" s="106"/>
      <c r="B1695" s="106"/>
      <c r="C1695" s="107"/>
      <c r="D1695" s="106"/>
      <c r="E1695" s="106"/>
      <c r="F1695" s="107"/>
      <c r="G1695" s="106"/>
      <c r="H1695" s="106"/>
      <c r="I1695" s="381"/>
      <c r="J1695" s="106"/>
      <c r="K1695" s="106"/>
      <c r="L1695" s="106"/>
    </row>
    <row r="1696" spans="1:12">
      <c r="A1696" s="106"/>
      <c r="B1696" s="106"/>
      <c r="C1696" s="107"/>
      <c r="D1696" s="106"/>
      <c r="E1696" s="106"/>
      <c r="F1696" s="107"/>
      <c r="G1696" s="106"/>
      <c r="H1696" s="106"/>
      <c r="I1696" s="381"/>
      <c r="J1696" s="106"/>
      <c r="K1696" s="106"/>
      <c r="L1696" s="106"/>
    </row>
    <row r="1697" spans="1:12">
      <c r="A1697" s="106"/>
      <c r="B1697" s="106"/>
      <c r="C1697" s="107"/>
      <c r="D1697" s="106"/>
      <c r="E1697" s="106"/>
      <c r="F1697" s="107"/>
      <c r="G1697" s="106"/>
      <c r="H1697" s="106"/>
      <c r="I1697" s="381"/>
      <c r="J1697" s="106"/>
      <c r="K1697" s="106"/>
      <c r="L1697" s="106"/>
    </row>
    <row r="1698" spans="1:12">
      <c r="A1698" s="106"/>
      <c r="B1698" s="106"/>
      <c r="C1698" s="107"/>
      <c r="D1698" s="106"/>
      <c r="E1698" s="106"/>
      <c r="F1698" s="107"/>
      <c r="G1698" s="106"/>
      <c r="H1698" s="106"/>
      <c r="I1698" s="381"/>
      <c r="J1698" s="106"/>
      <c r="K1698" s="106"/>
      <c r="L1698" s="106"/>
    </row>
    <row r="1699" spans="1:12">
      <c r="A1699" s="106"/>
      <c r="B1699" s="106"/>
      <c r="C1699" s="107"/>
      <c r="D1699" s="106"/>
      <c r="E1699" s="106"/>
      <c r="F1699" s="107"/>
      <c r="G1699" s="106"/>
      <c r="H1699" s="106"/>
      <c r="I1699" s="381"/>
      <c r="J1699" s="106"/>
      <c r="K1699" s="106"/>
      <c r="L1699" s="106"/>
    </row>
    <row r="1700" spans="1:12">
      <c r="A1700" s="106"/>
      <c r="B1700" s="106"/>
      <c r="C1700" s="107"/>
      <c r="D1700" s="106"/>
      <c r="E1700" s="106"/>
      <c r="F1700" s="107"/>
      <c r="G1700" s="106"/>
      <c r="H1700" s="106"/>
      <c r="I1700" s="381"/>
      <c r="J1700" s="106"/>
      <c r="K1700" s="106"/>
      <c r="L1700" s="106"/>
    </row>
    <row r="1701" spans="1:12">
      <c r="A1701" s="106"/>
      <c r="B1701" s="106"/>
      <c r="C1701" s="107"/>
      <c r="D1701" s="106"/>
      <c r="E1701" s="106"/>
      <c r="F1701" s="107"/>
      <c r="G1701" s="106"/>
      <c r="H1701" s="106"/>
      <c r="I1701" s="381"/>
      <c r="J1701" s="106"/>
      <c r="K1701" s="106"/>
      <c r="L1701" s="106"/>
    </row>
    <row r="1702" spans="1:12">
      <c r="A1702" s="106"/>
      <c r="B1702" s="106"/>
      <c r="C1702" s="107"/>
      <c r="D1702" s="106"/>
      <c r="E1702" s="106"/>
      <c r="F1702" s="107"/>
      <c r="G1702" s="106"/>
      <c r="H1702" s="106"/>
      <c r="I1702" s="381"/>
      <c r="J1702" s="106"/>
      <c r="K1702" s="106"/>
      <c r="L1702" s="106"/>
    </row>
    <row r="1703" spans="1:12">
      <c r="A1703" s="106"/>
      <c r="B1703" s="106"/>
      <c r="C1703" s="107"/>
      <c r="D1703" s="106"/>
      <c r="E1703" s="106"/>
      <c r="F1703" s="107"/>
      <c r="G1703" s="106"/>
      <c r="H1703" s="106"/>
      <c r="I1703" s="381"/>
      <c r="J1703" s="106"/>
      <c r="K1703" s="106"/>
      <c r="L1703" s="106"/>
    </row>
    <row r="1704" spans="1:12">
      <c r="A1704" s="106"/>
      <c r="B1704" s="106"/>
      <c r="C1704" s="107"/>
      <c r="D1704" s="106"/>
      <c r="E1704" s="106"/>
      <c r="F1704" s="107"/>
      <c r="G1704" s="106"/>
      <c r="H1704" s="106"/>
      <c r="I1704" s="381"/>
      <c r="J1704" s="106"/>
      <c r="K1704" s="106"/>
      <c r="L1704" s="106"/>
    </row>
    <row r="1705" spans="1:12">
      <c r="A1705" s="106"/>
      <c r="B1705" s="106"/>
      <c r="C1705" s="107"/>
      <c r="D1705" s="106"/>
      <c r="E1705" s="106"/>
      <c r="F1705" s="107"/>
      <c r="G1705" s="106"/>
      <c r="H1705" s="106"/>
      <c r="I1705" s="381"/>
      <c r="J1705" s="106"/>
      <c r="K1705" s="106"/>
      <c r="L1705" s="106"/>
    </row>
    <row r="1706" spans="1:12">
      <c r="A1706" s="106"/>
      <c r="B1706" s="106"/>
      <c r="C1706" s="107"/>
      <c r="D1706" s="106"/>
      <c r="E1706" s="106"/>
      <c r="F1706" s="107"/>
      <c r="G1706" s="106"/>
      <c r="H1706" s="106"/>
      <c r="I1706" s="381"/>
      <c r="J1706" s="106"/>
      <c r="K1706" s="106"/>
      <c r="L1706" s="106"/>
    </row>
    <row r="1707" spans="1:12">
      <c r="A1707" s="106"/>
      <c r="B1707" s="106"/>
      <c r="C1707" s="107"/>
      <c r="D1707" s="106"/>
      <c r="E1707" s="106"/>
      <c r="F1707" s="107"/>
      <c r="G1707" s="106"/>
      <c r="H1707" s="106"/>
      <c r="I1707" s="381"/>
      <c r="J1707" s="106"/>
      <c r="K1707" s="106"/>
      <c r="L1707" s="106"/>
    </row>
    <row r="1708" spans="1:12">
      <c r="A1708" s="106"/>
      <c r="B1708" s="106"/>
      <c r="C1708" s="107"/>
      <c r="D1708" s="106"/>
      <c r="E1708" s="106"/>
      <c r="F1708" s="107"/>
      <c r="G1708" s="106"/>
      <c r="H1708" s="106"/>
      <c r="I1708" s="381"/>
      <c r="J1708" s="106"/>
      <c r="K1708" s="106"/>
      <c r="L1708" s="106"/>
    </row>
    <row r="1709" spans="1:12">
      <c r="A1709" s="106"/>
      <c r="B1709" s="106"/>
      <c r="C1709" s="107"/>
      <c r="D1709" s="106"/>
      <c r="E1709" s="106"/>
      <c r="F1709" s="107"/>
      <c r="G1709" s="106"/>
      <c r="H1709" s="106"/>
      <c r="I1709" s="381"/>
      <c r="J1709" s="106"/>
      <c r="K1709" s="106"/>
      <c r="L1709" s="106"/>
    </row>
    <row r="1710" spans="1:12">
      <c r="A1710" s="106"/>
      <c r="B1710" s="106"/>
      <c r="C1710" s="107"/>
      <c r="D1710" s="106"/>
      <c r="E1710" s="106"/>
      <c r="F1710" s="107"/>
      <c r="G1710" s="106"/>
      <c r="H1710" s="106"/>
      <c r="I1710" s="381"/>
      <c r="J1710" s="106"/>
      <c r="K1710" s="106"/>
      <c r="L1710" s="106"/>
    </row>
    <row r="1711" spans="1:12">
      <c r="A1711" s="106"/>
      <c r="B1711" s="106"/>
      <c r="C1711" s="107"/>
      <c r="D1711" s="106"/>
      <c r="E1711" s="106"/>
      <c r="F1711" s="107"/>
      <c r="G1711" s="106"/>
      <c r="H1711" s="106"/>
      <c r="I1711" s="381"/>
      <c r="J1711" s="106"/>
      <c r="K1711" s="106"/>
      <c r="L1711" s="106"/>
    </row>
    <row r="1712" spans="1:12">
      <c r="A1712" s="106"/>
      <c r="B1712" s="106"/>
      <c r="C1712" s="107"/>
      <c r="D1712" s="106"/>
      <c r="E1712" s="106"/>
      <c r="F1712" s="107"/>
      <c r="G1712" s="106"/>
      <c r="H1712" s="106"/>
      <c r="I1712" s="381"/>
      <c r="J1712" s="106"/>
      <c r="K1712" s="106"/>
      <c r="L1712" s="106"/>
    </row>
    <row r="1713" spans="1:12">
      <c r="A1713" s="106"/>
      <c r="B1713" s="106"/>
      <c r="C1713" s="107"/>
      <c r="D1713" s="106"/>
      <c r="E1713" s="106"/>
      <c r="F1713" s="107"/>
      <c r="G1713" s="106"/>
      <c r="H1713" s="106"/>
      <c r="I1713" s="381"/>
      <c r="J1713" s="106"/>
      <c r="K1713" s="106"/>
      <c r="L1713" s="106"/>
    </row>
    <row r="1714" spans="1:12">
      <c r="A1714" s="106"/>
      <c r="B1714" s="106"/>
      <c r="C1714" s="107"/>
      <c r="D1714" s="106"/>
      <c r="E1714" s="106"/>
      <c r="F1714" s="107"/>
      <c r="G1714" s="106"/>
      <c r="H1714" s="106"/>
      <c r="I1714" s="381"/>
      <c r="J1714" s="106"/>
      <c r="K1714" s="106"/>
      <c r="L1714" s="106"/>
    </row>
    <row r="1715" spans="1:12">
      <c r="A1715" s="106"/>
      <c r="B1715" s="106"/>
      <c r="C1715" s="107"/>
      <c r="D1715" s="106"/>
      <c r="E1715" s="106"/>
      <c r="F1715" s="107"/>
      <c r="G1715" s="106"/>
      <c r="H1715" s="106"/>
      <c r="I1715" s="381"/>
      <c r="J1715" s="106"/>
      <c r="K1715" s="106"/>
      <c r="L1715" s="106"/>
    </row>
    <row r="1716" spans="1:12">
      <c r="A1716" s="106"/>
      <c r="B1716" s="106"/>
      <c r="C1716" s="107"/>
      <c r="D1716" s="106"/>
      <c r="E1716" s="106"/>
      <c r="F1716" s="107"/>
      <c r="G1716" s="106"/>
      <c r="H1716" s="106"/>
      <c r="I1716" s="381"/>
      <c r="J1716" s="106"/>
      <c r="K1716" s="106"/>
      <c r="L1716" s="106"/>
    </row>
    <row r="1717" spans="1:12">
      <c r="A1717" s="106"/>
      <c r="B1717" s="106"/>
      <c r="C1717" s="107"/>
      <c r="D1717" s="106"/>
      <c r="E1717" s="106"/>
      <c r="F1717" s="107"/>
      <c r="G1717" s="106"/>
      <c r="H1717" s="106"/>
      <c r="I1717" s="381"/>
      <c r="J1717" s="106"/>
      <c r="K1717" s="106"/>
      <c r="L1717" s="106"/>
    </row>
    <row r="1718" spans="1:12">
      <c r="A1718" s="106"/>
      <c r="B1718" s="106"/>
      <c r="C1718" s="107"/>
      <c r="D1718" s="106"/>
      <c r="E1718" s="106"/>
      <c r="F1718" s="107"/>
      <c r="G1718" s="106"/>
      <c r="H1718" s="106"/>
      <c r="I1718" s="381"/>
      <c r="J1718" s="106"/>
      <c r="K1718" s="106"/>
      <c r="L1718" s="106"/>
    </row>
    <row r="1719" spans="1:12">
      <c r="A1719" s="106"/>
      <c r="B1719" s="106"/>
      <c r="C1719" s="107"/>
      <c r="D1719" s="106"/>
      <c r="E1719" s="106"/>
      <c r="F1719" s="107"/>
      <c r="G1719" s="106"/>
      <c r="H1719" s="106"/>
      <c r="I1719" s="381"/>
      <c r="J1719" s="106"/>
      <c r="K1719" s="106"/>
      <c r="L1719" s="106"/>
    </row>
    <row r="1720" spans="1:12">
      <c r="A1720" s="106"/>
      <c r="B1720" s="106"/>
      <c r="C1720" s="107"/>
      <c r="D1720" s="106"/>
      <c r="E1720" s="106"/>
      <c r="F1720" s="107"/>
      <c r="G1720" s="106"/>
      <c r="H1720" s="106"/>
      <c r="I1720" s="381"/>
      <c r="J1720" s="106"/>
      <c r="K1720" s="106"/>
      <c r="L1720" s="106"/>
    </row>
    <row r="1721" spans="1:12">
      <c r="A1721" s="106"/>
      <c r="B1721" s="106"/>
      <c r="C1721" s="107"/>
      <c r="D1721" s="106"/>
      <c r="E1721" s="106"/>
      <c r="F1721" s="107"/>
      <c r="G1721" s="106"/>
      <c r="H1721" s="106"/>
      <c r="I1721" s="381"/>
      <c r="J1721" s="106"/>
      <c r="K1721" s="106"/>
      <c r="L1721" s="106"/>
    </row>
    <row r="1722" spans="1:12">
      <c r="A1722" s="106"/>
      <c r="B1722" s="106"/>
      <c r="C1722" s="107"/>
      <c r="D1722" s="106"/>
      <c r="E1722" s="106"/>
      <c r="F1722" s="107"/>
      <c r="G1722" s="106"/>
      <c r="H1722" s="106"/>
      <c r="I1722" s="381"/>
      <c r="J1722" s="106"/>
      <c r="K1722" s="106"/>
      <c r="L1722" s="106"/>
    </row>
    <row r="1723" spans="1:12">
      <c r="A1723" s="106"/>
      <c r="B1723" s="106"/>
      <c r="C1723" s="107"/>
      <c r="D1723" s="106"/>
      <c r="E1723" s="106"/>
      <c r="F1723" s="107"/>
      <c r="G1723" s="106"/>
      <c r="H1723" s="106"/>
      <c r="I1723" s="381"/>
      <c r="J1723" s="106"/>
      <c r="K1723" s="106"/>
      <c r="L1723" s="106"/>
    </row>
    <row r="1724" spans="1:12">
      <c r="A1724" s="106"/>
      <c r="B1724" s="106"/>
      <c r="C1724" s="107"/>
      <c r="D1724" s="106"/>
      <c r="E1724" s="106"/>
      <c r="F1724" s="107"/>
      <c r="G1724" s="106"/>
      <c r="H1724" s="106"/>
      <c r="I1724" s="381"/>
      <c r="J1724" s="106"/>
      <c r="K1724" s="106"/>
      <c r="L1724" s="106"/>
    </row>
    <row r="1725" spans="1:12">
      <c r="A1725" s="106"/>
      <c r="B1725" s="106"/>
      <c r="C1725" s="107"/>
      <c r="D1725" s="106"/>
      <c r="E1725" s="106"/>
      <c r="F1725" s="107"/>
      <c r="G1725" s="106"/>
      <c r="H1725" s="106"/>
      <c r="I1725" s="381"/>
      <c r="J1725" s="106"/>
      <c r="K1725" s="106"/>
      <c r="L1725" s="106"/>
    </row>
    <row r="1726" spans="1:12">
      <c r="A1726" s="106"/>
      <c r="B1726" s="106"/>
      <c r="C1726" s="107"/>
      <c r="D1726" s="106"/>
      <c r="E1726" s="106"/>
      <c r="F1726" s="107"/>
      <c r="G1726" s="106"/>
      <c r="H1726" s="106"/>
      <c r="I1726" s="381"/>
      <c r="J1726" s="106"/>
      <c r="K1726" s="106"/>
      <c r="L1726" s="106"/>
    </row>
    <row r="1727" spans="1:12">
      <c r="A1727" s="106"/>
      <c r="B1727" s="106"/>
      <c r="C1727" s="107"/>
      <c r="D1727" s="106"/>
      <c r="E1727" s="106"/>
      <c r="F1727" s="107"/>
      <c r="G1727" s="106"/>
      <c r="H1727" s="106"/>
      <c r="I1727" s="381"/>
      <c r="J1727" s="106"/>
      <c r="K1727" s="106"/>
      <c r="L1727" s="106"/>
    </row>
    <row r="1728" spans="1:12">
      <c r="A1728" s="106"/>
      <c r="B1728" s="106"/>
      <c r="C1728" s="107"/>
      <c r="D1728" s="106"/>
      <c r="E1728" s="106"/>
      <c r="F1728" s="107"/>
      <c r="G1728" s="106"/>
      <c r="H1728" s="106"/>
      <c r="I1728" s="381"/>
      <c r="J1728" s="106"/>
      <c r="K1728" s="106"/>
      <c r="L1728" s="106"/>
    </row>
    <row r="1729" spans="1:12">
      <c r="A1729" s="106"/>
      <c r="B1729" s="106"/>
      <c r="C1729" s="107"/>
      <c r="D1729" s="106"/>
      <c r="E1729" s="106"/>
      <c r="F1729" s="107"/>
      <c r="G1729" s="106"/>
      <c r="H1729" s="106"/>
      <c r="I1729" s="381"/>
      <c r="J1729" s="106"/>
      <c r="K1729" s="106"/>
      <c r="L1729" s="106"/>
    </row>
    <row r="1730" spans="1:12">
      <c r="A1730" s="106"/>
      <c r="B1730" s="106"/>
      <c r="C1730" s="107"/>
      <c r="D1730" s="106"/>
      <c r="E1730" s="106"/>
      <c r="F1730" s="107"/>
      <c r="G1730" s="106"/>
      <c r="H1730" s="106"/>
      <c r="I1730" s="381"/>
      <c r="J1730" s="106"/>
      <c r="K1730" s="106"/>
      <c r="L1730" s="106"/>
    </row>
    <row r="1731" spans="1:12">
      <c r="A1731" s="106"/>
      <c r="B1731" s="106"/>
      <c r="C1731" s="107"/>
      <c r="D1731" s="106"/>
      <c r="E1731" s="106"/>
      <c r="F1731" s="107"/>
      <c r="G1731" s="106"/>
      <c r="H1731" s="106"/>
      <c r="I1731" s="381"/>
      <c r="J1731" s="106"/>
      <c r="K1731" s="106"/>
      <c r="L1731" s="106"/>
    </row>
    <row r="1732" spans="1:12">
      <c r="A1732" s="106"/>
      <c r="B1732" s="106"/>
      <c r="C1732" s="107"/>
      <c r="D1732" s="106"/>
      <c r="E1732" s="106"/>
      <c r="F1732" s="107"/>
      <c r="G1732" s="106"/>
      <c r="H1732" s="106"/>
      <c r="I1732" s="381"/>
      <c r="J1732" s="106"/>
      <c r="K1732" s="106"/>
      <c r="L1732" s="106"/>
    </row>
    <row r="1733" spans="1:12">
      <c r="A1733" s="106"/>
      <c r="B1733" s="106"/>
      <c r="C1733" s="107"/>
      <c r="D1733" s="106"/>
      <c r="E1733" s="106"/>
      <c r="F1733" s="107"/>
      <c r="G1733" s="106"/>
      <c r="H1733" s="106"/>
      <c r="I1733" s="381"/>
      <c r="J1733" s="106"/>
      <c r="K1733" s="106"/>
      <c r="L1733" s="106"/>
    </row>
    <row r="1734" spans="1:12">
      <c r="A1734" s="106"/>
      <c r="B1734" s="106"/>
      <c r="C1734" s="107"/>
      <c r="D1734" s="106"/>
      <c r="E1734" s="106"/>
      <c r="F1734" s="107"/>
      <c r="G1734" s="106"/>
      <c r="H1734" s="106"/>
      <c r="I1734" s="381"/>
      <c r="J1734" s="106"/>
      <c r="K1734" s="106"/>
      <c r="L1734" s="106"/>
    </row>
    <row r="1735" spans="1:12">
      <c r="A1735" s="106"/>
      <c r="B1735" s="106"/>
      <c r="C1735" s="107"/>
      <c r="D1735" s="106"/>
      <c r="E1735" s="106"/>
      <c r="F1735" s="107"/>
      <c r="G1735" s="106"/>
      <c r="H1735" s="106"/>
      <c r="I1735" s="381"/>
      <c r="J1735" s="106"/>
      <c r="K1735" s="106"/>
      <c r="L1735" s="106"/>
    </row>
    <row r="1736" spans="1:12">
      <c r="A1736" s="106"/>
      <c r="B1736" s="106"/>
      <c r="C1736" s="107"/>
      <c r="D1736" s="106"/>
      <c r="E1736" s="106"/>
      <c r="F1736" s="107"/>
      <c r="G1736" s="106"/>
      <c r="H1736" s="106"/>
      <c r="I1736" s="381"/>
      <c r="J1736" s="106"/>
      <c r="K1736" s="106"/>
      <c r="L1736" s="106"/>
    </row>
    <row r="1737" spans="1:12">
      <c r="A1737" s="106"/>
      <c r="B1737" s="106"/>
      <c r="C1737" s="107"/>
      <c r="D1737" s="106"/>
      <c r="E1737" s="106"/>
      <c r="F1737" s="107"/>
      <c r="G1737" s="106"/>
      <c r="H1737" s="106"/>
      <c r="I1737" s="381"/>
      <c r="J1737" s="106"/>
      <c r="K1737" s="106"/>
      <c r="L1737" s="106"/>
    </row>
    <row r="1738" spans="1:12">
      <c r="A1738" s="106"/>
      <c r="B1738" s="106"/>
      <c r="C1738" s="107"/>
      <c r="D1738" s="106"/>
      <c r="E1738" s="106"/>
      <c r="F1738" s="107"/>
      <c r="G1738" s="106"/>
      <c r="H1738" s="106"/>
      <c r="I1738" s="381"/>
      <c r="J1738" s="106"/>
      <c r="K1738" s="106"/>
      <c r="L1738" s="106"/>
    </row>
    <row r="1739" spans="1:12">
      <c r="A1739" s="106"/>
      <c r="B1739" s="106"/>
      <c r="C1739" s="107"/>
      <c r="D1739" s="106"/>
      <c r="E1739" s="106"/>
      <c r="F1739" s="107"/>
      <c r="G1739" s="106"/>
      <c r="H1739" s="106"/>
      <c r="I1739" s="381"/>
      <c r="J1739" s="106"/>
      <c r="K1739" s="106"/>
      <c r="L1739" s="106"/>
    </row>
    <row r="1740" spans="1:12">
      <c r="A1740" s="106"/>
      <c r="B1740" s="106"/>
      <c r="C1740" s="107"/>
      <c r="D1740" s="106"/>
      <c r="E1740" s="106"/>
      <c r="F1740" s="107"/>
      <c r="G1740" s="106"/>
      <c r="H1740" s="106"/>
      <c r="I1740" s="381"/>
      <c r="J1740" s="106"/>
      <c r="K1740" s="106"/>
      <c r="L1740" s="106"/>
    </row>
    <row r="1741" spans="1:12">
      <c r="A1741" s="106"/>
      <c r="B1741" s="106"/>
      <c r="C1741" s="107"/>
      <c r="D1741" s="106"/>
      <c r="E1741" s="106"/>
      <c r="F1741" s="107"/>
      <c r="G1741" s="106"/>
      <c r="H1741" s="106"/>
      <c r="I1741" s="381"/>
      <c r="J1741" s="106"/>
      <c r="K1741" s="106"/>
      <c r="L1741" s="106"/>
    </row>
    <row r="1742" spans="1:12">
      <c r="A1742" s="106"/>
      <c r="B1742" s="106"/>
      <c r="C1742" s="107"/>
      <c r="D1742" s="106"/>
      <c r="E1742" s="106"/>
      <c r="F1742" s="107"/>
      <c r="G1742" s="106"/>
      <c r="H1742" s="106"/>
      <c r="I1742" s="381"/>
      <c r="J1742" s="106"/>
      <c r="K1742" s="106"/>
      <c r="L1742" s="106"/>
    </row>
    <row r="1743" spans="1:12">
      <c r="A1743" s="106"/>
      <c r="B1743" s="106"/>
      <c r="C1743" s="107"/>
      <c r="D1743" s="106"/>
      <c r="E1743" s="106"/>
      <c r="F1743" s="107"/>
      <c r="G1743" s="106"/>
      <c r="H1743" s="106"/>
      <c r="I1743" s="381"/>
      <c r="J1743" s="106"/>
      <c r="K1743" s="106"/>
      <c r="L1743" s="106"/>
    </row>
    <row r="1744" spans="1:12">
      <c r="A1744" s="106"/>
      <c r="B1744" s="106"/>
      <c r="C1744" s="107"/>
      <c r="D1744" s="106"/>
      <c r="E1744" s="106"/>
      <c r="F1744" s="107"/>
      <c r="G1744" s="106"/>
      <c r="H1744" s="106"/>
      <c r="I1744" s="381"/>
      <c r="J1744" s="106"/>
      <c r="K1744" s="106"/>
      <c r="L1744" s="106"/>
    </row>
    <row r="1745" spans="1:12">
      <c r="A1745" s="106"/>
      <c r="B1745" s="106"/>
      <c r="C1745" s="107"/>
      <c r="D1745" s="106"/>
      <c r="E1745" s="106"/>
      <c r="F1745" s="107"/>
      <c r="G1745" s="106"/>
      <c r="H1745" s="106"/>
      <c r="I1745" s="381"/>
      <c r="J1745" s="106"/>
      <c r="K1745" s="106"/>
      <c r="L1745" s="106"/>
    </row>
    <row r="1746" spans="1:12">
      <c r="A1746" s="106"/>
      <c r="B1746" s="106"/>
      <c r="C1746" s="107"/>
      <c r="D1746" s="106"/>
      <c r="E1746" s="106"/>
      <c r="F1746" s="107"/>
      <c r="G1746" s="106"/>
      <c r="H1746" s="106"/>
      <c r="I1746" s="381"/>
      <c r="J1746" s="106"/>
      <c r="K1746" s="106"/>
      <c r="L1746" s="106"/>
    </row>
    <row r="1747" spans="1:12">
      <c r="A1747" s="106"/>
      <c r="B1747" s="106"/>
      <c r="C1747" s="107"/>
      <c r="D1747" s="106"/>
      <c r="E1747" s="106"/>
      <c r="F1747" s="107"/>
      <c r="G1747" s="106"/>
      <c r="H1747" s="106"/>
      <c r="I1747" s="381"/>
      <c r="J1747" s="106"/>
      <c r="K1747" s="106"/>
      <c r="L1747" s="106"/>
    </row>
    <row r="1748" spans="1:12">
      <c r="A1748" s="106"/>
      <c r="B1748" s="106"/>
      <c r="C1748" s="107"/>
      <c r="D1748" s="106"/>
      <c r="E1748" s="106"/>
      <c r="F1748" s="107"/>
      <c r="G1748" s="106"/>
      <c r="H1748" s="106"/>
      <c r="I1748" s="381"/>
      <c r="J1748" s="106"/>
      <c r="K1748" s="106"/>
      <c r="L1748" s="106"/>
    </row>
    <row r="1749" spans="1:12">
      <c r="A1749" s="106"/>
      <c r="B1749" s="106"/>
      <c r="C1749" s="107"/>
      <c r="D1749" s="106"/>
      <c r="E1749" s="106"/>
      <c r="F1749" s="107"/>
      <c r="G1749" s="106"/>
      <c r="H1749" s="106"/>
      <c r="I1749" s="381"/>
      <c r="J1749" s="106"/>
      <c r="K1749" s="106"/>
      <c r="L1749" s="106"/>
    </row>
    <row r="1750" spans="1:12">
      <c r="A1750" s="106"/>
      <c r="B1750" s="106"/>
      <c r="C1750" s="107"/>
      <c r="D1750" s="106"/>
      <c r="E1750" s="106"/>
      <c r="F1750" s="107"/>
      <c r="G1750" s="106"/>
      <c r="H1750" s="106"/>
      <c r="I1750" s="381"/>
      <c r="J1750" s="106"/>
      <c r="K1750" s="106"/>
      <c r="L1750" s="106"/>
    </row>
    <row r="1751" spans="1:12">
      <c r="A1751" s="106"/>
      <c r="B1751" s="106"/>
      <c r="C1751" s="107"/>
      <c r="D1751" s="106"/>
      <c r="E1751" s="106"/>
      <c r="F1751" s="107"/>
      <c r="G1751" s="106"/>
      <c r="H1751" s="106"/>
      <c r="I1751" s="381"/>
      <c r="J1751" s="106"/>
      <c r="K1751" s="106"/>
      <c r="L1751" s="106"/>
    </row>
    <row r="1752" spans="1:12">
      <c r="A1752" s="106"/>
      <c r="B1752" s="106"/>
      <c r="C1752" s="107"/>
      <c r="D1752" s="106"/>
      <c r="E1752" s="106"/>
      <c r="F1752" s="107"/>
      <c r="G1752" s="106"/>
      <c r="H1752" s="106"/>
      <c r="I1752" s="381"/>
      <c r="J1752" s="106"/>
      <c r="K1752" s="106"/>
      <c r="L1752" s="106"/>
    </row>
    <row r="1753" spans="1:12">
      <c r="A1753" s="106"/>
      <c r="B1753" s="106"/>
      <c r="C1753" s="107"/>
      <c r="D1753" s="106"/>
      <c r="E1753" s="106"/>
      <c r="F1753" s="107"/>
      <c r="G1753" s="106"/>
      <c r="H1753" s="106"/>
      <c r="I1753" s="381"/>
      <c r="J1753" s="106"/>
      <c r="K1753" s="106"/>
      <c r="L1753" s="106"/>
    </row>
    <row r="1754" spans="1:12">
      <c r="A1754" s="106"/>
      <c r="B1754" s="106"/>
      <c r="C1754" s="107"/>
      <c r="D1754" s="106"/>
      <c r="E1754" s="106"/>
      <c r="F1754" s="107"/>
      <c r="G1754" s="106"/>
      <c r="H1754" s="106"/>
      <c r="I1754" s="381"/>
      <c r="J1754" s="106"/>
      <c r="K1754" s="106"/>
      <c r="L1754" s="106"/>
    </row>
    <row r="1755" spans="1:12">
      <c r="A1755" s="106"/>
      <c r="B1755" s="106"/>
      <c r="C1755" s="107"/>
      <c r="D1755" s="106"/>
      <c r="E1755" s="106"/>
      <c r="F1755" s="107"/>
      <c r="G1755" s="106"/>
      <c r="H1755" s="106"/>
      <c r="I1755" s="381"/>
      <c r="J1755" s="106"/>
      <c r="K1755" s="106"/>
      <c r="L1755" s="106"/>
    </row>
    <row r="1756" spans="1:12">
      <c r="A1756" s="106"/>
      <c r="B1756" s="106"/>
      <c r="C1756" s="107"/>
      <c r="D1756" s="106"/>
      <c r="E1756" s="106"/>
      <c r="F1756" s="107"/>
      <c r="G1756" s="106"/>
      <c r="H1756" s="106"/>
      <c r="I1756" s="381"/>
      <c r="J1756" s="106"/>
      <c r="K1756" s="106"/>
      <c r="L1756" s="106"/>
    </row>
    <row r="1757" spans="1:12">
      <c r="A1757" s="106"/>
      <c r="B1757" s="106"/>
      <c r="C1757" s="107"/>
      <c r="D1757" s="106"/>
      <c r="E1757" s="106"/>
      <c r="F1757" s="107"/>
      <c r="G1757" s="106"/>
      <c r="H1757" s="106"/>
      <c r="I1757" s="381"/>
      <c r="J1757" s="106"/>
      <c r="K1757" s="106"/>
      <c r="L1757" s="106"/>
    </row>
    <row r="1758" spans="1:12">
      <c r="A1758" s="106"/>
      <c r="B1758" s="106"/>
      <c r="C1758" s="107"/>
      <c r="D1758" s="106"/>
      <c r="E1758" s="106"/>
      <c r="F1758" s="107"/>
      <c r="G1758" s="106"/>
      <c r="H1758" s="106"/>
      <c r="I1758" s="381"/>
      <c r="J1758" s="106"/>
      <c r="K1758" s="106"/>
      <c r="L1758" s="106"/>
    </row>
    <row r="1759" spans="1:12">
      <c r="A1759" s="106"/>
      <c r="B1759" s="106"/>
      <c r="C1759" s="107"/>
      <c r="D1759" s="106"/>
      <c r="E1759" s="106"/>
      <c r="F1759" s="107"/>
      <c r="G1759" s="106"/>
      <c r="H1759" s="106"/>
      <c r="I1759" s="381"/>
      <c r="J1759" s="106"/>
      <c r="K1759" s="106"/>
      <c r="L1759" s="106"/>
    </row>
    <row r="1760" spans="1:12">
      <c r="A1760" s="106"/>
      <c r="B1760" s="106"/>
      <c r="C1760" s="107"/>
      <c r="D1760" s="106"/>
      <c r="E1760" s="106"/>
      <c r="F1760" s="107"/>
      <c r="G1760" s="106"/>
      <c r="H1760" s="106"/>
      <c r="I1760" s="381"/>
      <c r="J1760" s="106"/>
      <c r="K1760" s="106"/>
      <c r="L1760" s="106"/>
    </row>
    <row r="1761" spans="1:12">
      <c r="A1761" s="106"/>
      <c r="B1761" s="106"/>
      <c r="C1761" s="107"/>
      <c r="D1761" s="106"/>
      <c r="E1761" s="106"/>
      <c r="F1761" s="107"/>
      <c r="G1761" s="106"/>
      <c r="H1761" s="106"/>
      <c r="I1761" s="381"/>
      <c r="J1761" s="106"/>
      <c r="K1761" s="106"/>
      <c r="L1761" s="106"/>
    </row>
    <row r="1762" spans="1:12">
      <c r="A1762" s="106"/>
      <c r="B1762" s="106"/>
      <c r="C1762" s="107"/>
      <c r="D1762" s="106"/>
      <c r="E1762" s="106"/>
      <c r="F1762" s="107"/>
      <c r="G1762" s="106"/>
      <c r="H1762" s="106"/>
      <c r="I1762" s="381"/>
      <c r="J1762" s="106"/>
      <c r="K1762" s="106"/>
      <c r="L1762" s="106"/>
    </row>
    <row r="1763" spans="1:12">
      <c r="A1763" s="106"/>
      <c r="B1763" s="106"/>
      <c r="C1763" s="107"/>
      <c r="D1763" s="106"/>
      <c r="E1763" s="106"/>
      <c r="F1763" s="107"/>
      <c r="G1763" s="106"/>
      <c r="H1763" s="106"/>
      <c r="I1763" s="381"/>
      <c r="J1763" s="106"/>
      <c r="K1763" s="106"/>
      <c r="L1763" s="106"/>
    </row>
    <row r="1764" spans="1:12">
      <c r="A1764" s="106"/>
      <c r="B1764" s="106"/>
      <c r="C1764" s="107"/>
      <c r="D1764" s="106"/>
      <c r="E1764" s="106"/>
      <c r="F1764" s="107"/>
      <c r="G1764" s="106"/>
      <c r="H1764" s="106"/>
      <c r="I1764" s="381"/>
      <c r="J1764" s="106"/>
      <c r="K1764" s="106"/>
      <c r="L1764" s="106"/>
    </row>
    <row r="1765" spans="1:12">
      <c r="A1765" s="106"/>
      <c r="B1765" s="106"/>
      <c r="C1765" s="107"/>
      <c r="D1765" s="106"/>
      <c r="E1765" s="106"/>
      <c r="F1765" s="107"/>
      <c r="G1765" s="106"/>
      <c r="H1765" s="106"/>
      <c r="I1765" s="381"/>
      <c r="J1765" s="106"/>
      <c r="K1765" s="106"/>
      <c r="L1765" s="106"/>
    </row>
    <row r="1766" spans="1:12">
      <c r="A1766" s="106"/>
      <c r="B1766" s="106"/>
      <c r="C1766" s="107"/>
      <c r="D1766" s="106"/>
      <c r="E1766" s="106"/>
      <c r="F1766" s="107"/>
      <c r="G1766" s="106"/>
      <c r="H1766" s="106"/>
      <c r="I1766" s="381"/>
      <c r="J1766" s="106"/>
      <c r="K1766" s="106"/>
      <c r="L1766" s="106"/>
    </row>
    <row r="1767" spans="1:12">
      <c r="A1767" s="106"/>
      <c r="B1767" s="106"/>
      <c r="C1767" s="107"/>
      <c r="D1767" s="106"/>
      <c r="E1767" s="106"/>
      <c r="F1767" s="107"/>
      <c r="G1767" s="106"/>
      <c r="H1767" s="106"/>
      <c r="I1767" s="381"/>
      <c r="J1767" s="106"/>
      <c r="K1767" s="106"/>
      <c r="L1767" s="106"/>
    </row>
    <row r="1768" spans="1:12">
      <c r="A1768" s="106"/>
      <c r="B1768" s="106"/>
      <c r="C1768" s="107"/>
      <c r="D1768" s="106"/>
      <c r="E1768" s="106"/>
      <c r="F1768" s="107"/>
      <c r="G1768" s="106"/>
      <c r="H1768" s="106"/>
      <c r="I1768" s="381"/>
      <c r="J1768" s="106"/>
      <c r="K1768" s="106"/>
      <c r="L1768" s="106"/>
    </row>
    <row r="1769" spans="1:12">
      <c r="A1769" s="106"/>
      <c r="B1769" s="106"/>
      <c r="C1769" s="107"/>
      <c r="D1769" s="106"/>
      <c r="E1769" s="106"/>
      <c r="F1769" s="107"/>
      <c r="G1769" s="106"/>
      <c r="H1769" s="106"/>
      <c r="I1769" s="381"/>
      <c r="J1769" s="106"/>
      <c r="K1769" s="106"/>
      <c r="L1769" s="106"/>
    </row>
    <row r="1770" spans="1:12">
      <c r="A1770" s="106"/>
      <c r="B1770" s="106"/>
      <c r="C1770" s="107"/>
      <c r="D1770" s="106"/>
      <c r="E1770" s="106"/>
      <c r="F1770" s="107"/>
      <c r="G1770" s="106"/>
      <c r="H1770" s="106"/>
      <c r="I1770" s="381"/>
      <c r="J1770" s="106"/>
      <c r="K1770" s="106"/>
      <c r="L1770" s="106"/>
    </row>
    <row r="1771" spans="1:12">
      <c r="A1771" s="106"/>
      <c r="B1771" s="106"/>
      <c r="C1771" s="107"/>
      <c r="D1771" s="106"/>
      <c r="E1771" s="106"/>
      <c r="F1771" s="107"/>
      <c r="G1771" s="106"/>
      <c r="H1771" s="106"/>
      <c r="I1771" s="381"/>
      <c r="J1771" s="106"/>
      <c r="K1771" s="106"/>
      <c r="L1771" s="106"/>
    </row>
    <row r="1772" spans="1:12">
      <c r="A1772" s="106"/>
      <c r="B1772" s="106"/>
      <c r="C1772" s="107"/>
      <c r="D1772" s="106"/>
      <c r="E1772" s="106"/>
      <c r="F1772" s="107"/>
      <c r="G1772" s="106"/>
      <c r="H1772" s="106"/>
      <c r="I1772" s="381"/>
      <c r="J1772" s="106"/>
      <c r="K1772" s="106"/>
      <c r="L1772" s="106"/>
    </row>
    <row r="1773" spans="1:12">
      <c r="A1773" s="106"/>
      <c r="B1773" s="106"/>
      <c r="C1773" s="107"/>
      <c r="D1773" s="106"/>
      <c r="E1773" s="106"/>
      <c r="F1773" s="107"/>
      <c r="G1773" s="106"/>
      <c r="H1773" s="106"/>
      <c r="I1773" s="381"/>
      <c r="J1773" s="106"/>
      <c r="K1773" s="106"/>
      <c r="L1773" s="106"/>
    </row>
    <row r="1774" spans="1:12">
      <c r="A1774" s="106"/>
      <c r="B1774" s="106"/>
      <c r="C1774" s="107"/>
      <c r="D1774" s="106"/>
      <c r="E1774" s="106"/>
      <c r="F1774" s="107"/>
      <c r="G1774" s="106"/>
      <c r="H1774" s="106"/>
      <c r="I1774" s="381"/>
      <c r="J1774" s="106"/>
      <c r="K1774" s="106"/>
      <c r="L1774" s="106"/>
    </row>
    <row r="1775" spans="1:12">
      <c r="A1775" s="106"/>
      <c r="B1775" s="106"/>
      <c r="C1775" s="107"/>
      <c r="D1775" s="106"/>
      <c r="E1775" s="106"/>
      <c r="F1775" s="107"/>
      <c r="G1775" s="106"/>
      <c r="H1775" s="106"/>
      <c r="I1775" s="381"/>
      <c r="J1775" s="106"/>
      <c r="K1775" s="106"/>
      <c r="L1775" s="106"/>
    </row>
    <row r="1776" spans="1:12">
      <c r="A1776" s="106"/>
      <c r="B1776" s="106"/>
      <c r="C1776" s="107"/>
      <c r="D1776" s="106"/>
      <c r="E1776" s="106"/>
      <c r="F1776" s="107"/>
      <c r="G1776" s="106"/>
      <c r="H1776" s="106"/>
      <c r="I1776" s="381"/>
      <c r="J1776" s="106"/>
      <c r="K1776" s="106"/>
      <c r="L1776" s="106"/>
    </row>
    <row r="1777" spans="1:12">
      <c r="A1777" s="106"/>
      <c r="B1777" s="106"/>
      <c r="C1777" s="107"/>
      <c r="D1777" s="106"/>
      <c r="E1777" s="106"/>
      <c r="F1777" s="107"/>
      <c r="G1777" s="106"/>
      <c r="H1777" s="106"/>
      <c r="I1777" s="381"/>
      <c r="J1777" s="106"/>
      <c r="K1777" s="106"/>
      <c r="L1777" s="106"/>
    </row>
    <row r="1778" spans="1:12">
      <c r="A1778" s="106"/>
      <c r="B1778" s="106"/>
      <c r="C1778" s="107"/>
      <c r="D1778" s="106"/>
      <c r="E1778" s="106"/>
      <c r="F1778" s="107"/>
      <c r="G1778" s="106"/>
      <c r="H1778" s="106"/>
      <c r="I1778" s="381"/>
      <c r="J1778" s="106"/>
      <c r="K1778" s="106"/>
      <c r="L1778" s="106"/>
    </row>
    <row r="1779" spans="1:12">
      <c r="A1779" s="106"/>
      <c r="B1779" s="106"/>
      <c r="C1779" s="107"/>
      <c r="D1779" s="106"/>
      <c r="E1779" s="106"/>
      <c r="F1779" s="107"/>
      <c r="G1779" s="106"/>
      <c r="H1779" s="106"/>
      <c r="I1779" s="381"/>
      <c r="J1779" s="106"/>
      <c r="K1779" s="106"/>
      <c r="L1779" s="106"/>
    </row>
    <row r="1780" spans="1:12">
      <c r="A1780" s="106"/>
      <c r="B1780" s="106"/>
      <c r="C1780" s="107"/>
      <c r="D1780" s="106"/>
      <c r="E1780" s="106"/>
      <c r="F1780" s="107"/>
      <c r="G1780" s="106"/>
      <c r="H1780" s="106"/>
      <c r="I1780" s="381"/>
      <c r="J1780" s="106"/>
      <c r="K1780" s="106"/>
      <c r="L1780" s="106"/>
    </row>
    <row r="1781" spans="1:12">
      <c r="A1781" s="106"/>
      <c r="B1781" s="106"/>
      <c r="C1781" s="107"/>
      <c r="D1781" s="106"/>
      <c r="E1781" s="106"/>
      <c r="F1781" s="107"/>
      <c r="G1781" s="106"/>
      <c r="H1781" s="106"/>
      <c r="I1781" s="381"/>
      <c r="J1781" s="106"/>
      <c r="K1781" s="106"/>
      <c r="L1781" s="106"/>
    </row>
    <row r="1782" spans="1:12">
      <c r="A1782" s="106"/>
      <c r="B1782" s="106"/>
      <c r="C1782" s="107"/>
      <c r="D1782" s="106"/>
      <c r="E1782" s="106"/>
      <c r="F1782" s="107"/>
      <c r="G1782" s="106"/>
      <c r="H1782" s="106"/>
      <c r="I1782" s="381"/>
      <c r="J1782" s="106"/>
      <c r="K1782" s="106"/>
      <c r="L1782" s="106"/>
    </row>
    <row r="1783" spans="1:12">
      <c r="A1783" s="106"/>
      <c r="B1783" s="106"/>
      <c r="C1783" s="107"/>
      <c r="D1783" s="106"/>
      <c r="E1783" s="106"/>
      <c r="F1783" s="107"/>
      <c r="G1783" s="106"/>
      <c r="H1783" s="106"/>
      <c r="I1783" s="381"/>
      <c r="J1783" s="106"/>
      <c r="K1783" s="106"/>
      <c r="L1783" s="106"/>
    </row>
    <row r="1784" spans="1:12">
      <c r="A1784" s="106"/>
      <c r="B1784" s="106"/>
      <c r="C1784" s="107"/>
      <c r="D1784" s="106"/>
      <c r="E1784" s="106"/>
      <c r="F1784" s="107"/>
      <c r="G1784" s="106"/>
      <c r="H1784" s="106"/>
      <c r="I1784" s="381"/>
      <c r="J1784" s="106"/>
      <c r="K1784" s="106"/>
      <c r="L1784" s="106"/>
    </row>
    <row r="1785" spans="1:12">
      <c r="A1785" s="106"/>
      <c r="B1785" s="106"/>
      <c r="C1785" s="107"/>
      <c r="D1785" s="106"/>
      <c r="E1785" s="106"/>
      <c r="F1785" s="107"/>
      <c r="G1785" s="106"/>
      <c r="H1785" s="106"/>
      <c r="I1785" s="381"/>
      <c r="J1785" s="106"/>
      <c r="K1785" s="106"/>
      <c r="L1785" s="106"/>
    </row>
    <row r="1786" spans="1:12">
      <c r="A1786" s="106"/>
      <c r="B1786" s="106"/>
      <c r="C1786" s="107"/>
      <c r="D1786" s="106"/>
      <c r="E1786" s="106"/>
      <c r="F1786" s="107"/>
      <c r="G1786" s="106"/>
      <c r="H1786" s="106"/>
      <c r="I1786" s="381"/>
      <c r="J1786" s="106"/>
      <c r="K1786" s="106"/>
      <c r="L1786" s="106"/>
    </row>
    <row r="1787" spans="1:12">
      <c r="A1787" s="106"/>
      <c r="B1787" s="106"/>
      <c r="C1787" s="107"/>
      <c r="D1787" s="106"/>
      <c r="E1787" s="106"/>
      <c r="F1787" s="107"/>
      <c r="G1787" s="106"/>
      <c r="H1787" s="106"/>
      <c r="I1787" s="381"/>
      <c r="J1787" s="106"/>
      <c r="K1787" s="106"/>
      <c r="L1787" s="106"/>
    </row>
    <row r="1788" spans="1:12">
      <c r="A1788" s="106"/>
      <c r="B1788" s="106"/>
      <c r="C1788" s="107"/>
      <c r="D1788" s="106"/>
      <c r="E1788" s="106"/>
      <c r="F1788" s="107"/>
      <c r="G1788" s="106"/>
      <c r="H1788" s="106"/>
      <c r="I1788" s="381"/>
      <c r="J1788" s="106"/>
      <c r="K1788" s="106"/>
      <c r="L1788" s="106"/>
    </row>
    <row r="1789" spans="1:12">
      <c r="A1789" s="106"/>
      <c r="B1789" s="106"/>
      <c r="C1789" s="107"/>
      <c r="D1789" s="106"/>
      <c r="E1789" s="106"/>
      <c r="F1789" s="107"/>
      <c r="G1789" s="106"/>
      <c r="H1789" s="106"/>
      <c r="I1789" s="381"/>
      <c r="J1789" s="106"/>
      <c r="K1789" s="106"/>
      <c r="L1789" s="106"/>
    </row>
    <row r="1790" spans="1:12">
      <c r="A1790" s="106"/>
      <c r="B1790" s="106"/>
      <c r="C1790" s="107"/>
      <c r="D1790" s="106"/>
      <c r="E1790" s="106"/>
      <c r="F1790" s="107"/>
      <c r="G1790" s="106"/>
      <c r="H1790" s="106"/>
      <c r="I1790" s="381"/>
      <c r="J1790" s="106"/>
      <c r="K1790" s="106"/>
      <c r="L1790" s="106"/>
    </row>
    <row r="1791" spans="1:12">
      <c r="A1791" s="106"/>
      <c r="B1791" s="106"/>
      <c r="C1791" s="107"/>
      <c r="D1791" s="106"/>
      <c r="E1791" s="106"/>
      <c r="F1791" s="107"/>
      <c r="G1791" s="106"/>
      <c r="H1791" s="106"/>
      <c r="I1791" s="381"/>
      <c r="J1791" s="106"/>
      <c r="K1791" s="106"/>
      <c r="L1791" s="106"/>
    </row>
    <row r="1792" spans="1:12">
      <c r="A1792" s="106"/>
      <c r="B1792" s="106"/>
      <c r="C1792" s="107"/>
      <c r="D1792" s="106"/>
      <c r="E1792" s="106"/>
      <c r="F1792" s="107"/>
      <c r="G1792" s="106"/>
      <c r="H1792" s="106"/>
      <c r="I1792" s="381"/>
      <c r="J1792" s="106"/>
      <c r="K1792" s="106"/>
      <c r="L1792" s="106"/>
    </row>
    <row r="1793" spans="1:12">
      <c r="A1793" s="106"/>
      <c r="B1793" s="106"/>
      <c r="C1793" s="107"/>
      <c r="D1793" s="106"/>
      <c r="E1793" s="106"/>
      <c r="F1793" s="107"/>
      <c r="G1793" s="106"/>
      <c r="H1793" s="106"/>
      <c r="I1793" s="381"/>
      <c r="J1793" s="106"/>
      <c r="K1793" s="106"/>
      <c r="L1793" s="106"/>
    </row>
    <row r="1794" spans="1:12">
      <c r="A1794" s="106"/>
      <c r="B1794" s="106"/>
      <c r="C1794" s="107"/>
      <c r="D1794" s="106"/>
      <c r="E1794" s="106"/>
      <c r="F1794" s="107"/>
      <c r="G1794" s="106"/>
      <c r="H1794" s="106"/>
      <c r="I1794" s="381"/>
      <c r="J1794" s="106"/>
      <c r="K1794" s="106"/>
      <c r="L1794" s="106"/>
    </row>
    <row r="1795" spans="1:12">
      <c r="A1795" s="106"/>
      <c r="B1795" s="106"/>
      <c r="C1795" s="107"/>
      <c r="D1795" s="106"/>
      <c r="E1795" s="106"/>
      <c r="F1795" s="107"/>
      <c r="G1795" s="106"/>
      <c r="H1795" s="106"/>
      <c r="I1795" s="381"/>
      <c r="J1795" s="106"/>
      <c r="K1795" s="106"/>
      <c r="L1795" s="106"/>
    </row>
    <row r="1796" spans="1:12">
      <c r="A1796" s="106"/>
      <c r="B1796" s="106"/>
      <c r="C1796" s="107"/>
      <c r="D1796" s="106"/>
      <c r="E1796" s="106"/>
      <c r="F1796" s="107"/>
      <c r="G1796" s="106"/>
      <c r="H1796" s="106"/>
      <c r="I1796" s="381"/>
      <c r="J1796" s="106"/>
      <c r="K1796" s="106"/>
      <c r="L1796" s="106"/>
    </row>
    <row r="1797" spans="1:12">
      <c r="A1797" s="106"/>
      <c r="B1797" s="106"/>
      <c r="C1797" s="107"/>
      <c r="D1797" s="106"/>
      <c r="E1797" s="106"/>
      <c r="F1797" s="107"/>
      <c r="G1797" s="106"/>
      <c r="H1797" s="106"/>
      <c r="I1797" s="381"/>
      <c r="J1797" s="106"/>
      <c r="K1797" s="106"/>
      <c r="L1797" s="106"/>
    </row>
    <row r="1798" spans="1:12">
      <c r="A1798" s="106"/>
      <c r="B1798" s="106"/>
      <c r="C1798" s="107"/>
      <c r="D1798" s="106"/>
      <c r="E1798" s="106"/>
      <c r="F1798" s="107"/>
      <c r="G1798" s="106"/>
      <c r="H1798" s="106"/>
      <c r="I1798" s="381"/>
      <c r="J1798" s="106"/>
      <c r="K1798" s="106"/>
      <c r="L1798" s="106"/>
    </row>
    <row r="1799" spans="1:12">
      <c r="A1799" s="106"/>
      <c r="B1799" s="106"/>
      <c r="C1799" s="107"/>
      <c r="D1799" s="106"/>
      <c r="E1799" s="106"/>
      <c r="F1799" s="107"/>
      <c r="G1799" s="106"/>
      <c r="H1799" s="106"/>
      <c r="I1799" s="381"/>
      <c r="J1799" s="106"/>
      <c r="K1799" s="106"/>
      <c r="L1799" s="106"/>
    </row>
    <row r="1800" spans="1:12">
      <c r="A1800" s="106"/>
      <c r="B1800" s="106"/>
      <c r="C1800" s="107"/>
      <c r="D1800" s="106"/>
      <c r="E1800" s="106"/>
      <c r="F1800" s="107"/>
      <c r="G1800" s="106"/>
      <c r="H1800" s="106"/>
      <c r="I1800" s="381"/>
      <c r="J1800" s="106"/>
      <c r="K1800" s="106"/>
      <c r="L1800" s="106"/>
    </row>
    <row r="1801" spans="1:12">
      <c r="A1801" s="106"/>
      <c r="B1801" s="106"/>
      <c r="C1801" s="107"/>
      <c r="D1801" s="106"/>
      <c r="E1801" s="106"/>
      <c r="F1801" s="107"/>
      <c r="G1801" s="106"/>
      <c r="H1801" s="106"/>
      <c r="I1801" s="381"/>
      <c r="J1801" s="106"/>
      <c r="K1801" s="106"/>
      <c r="L1801" s="106"/>
    </row>
    <row r="1802" spans="1:12">
      <c r="A1802" s="106"/>
      <c r="B1802" s="106"/>
      <c r="C1802" s="107"/>
      <c r="D1802" s="106"/>
      <c r="E1802" s="106"/>
      <c r="F1802" s="107"/>
      <c r="G1802" s="106"/>
      <c r="H1802" s="106"/>
      <c r="I1802" s="381"/>
      <c r="J1802" s="106"/>
      <c r="K1802" s="106"/>
      <c r="L1802" s="106"/>
    </row>
    <row r="1803" spans="1:12">
      <c r="A1803" s="106"/>
      <c r="B1803" s="106"/>
      <c r="C1803" s="107"/>
      <c r="D1803" s="106"/>
      <c r="E1803" s="106"/>
      <c r="F1803" s="107"/>
      <c r="G1803" s="106"/>
      <c r="H1803" s="106"/>
      <c r="I1803" s="381"/>
      <c r="J1803" s="106"/>
      <c r="K1803" s="106"/>
      <c r="L1803" s="106"/>
    </row>
    <row r="1804" spans="1:12">
      <c r="A1804" s="106"/>
      <c r="B1804" s="106"/>
      <c r="C1804" s="107"/>
      <c r="D1804" s="106"/>
      <c r="E1804" s="106"/>
      <c r="F1804" s="107"/>
      <c r="G1804" s="106"/>
      <c r="H1804" s="106"/>
      <c r="I1804" s="381"/>
      <c r="J1804" s="106"/>
      <c r="K1804" s="106"/>
      <c r="L1804" s="106"/>
    </row>
    <row r="1805" spans="1:12">
      <c r="A1805" s="106"/>
      <c r="B1805" s="106"/>
      <c r="C1805" s="107"/>
      <c r="D1805" s="106"/>
      <c r="E1805" s="106"/>
      <c r="F1805" s="107"/>
      <c r="G1805" s="106"/>
      <c r="H1805" s="106"/>
      <c r="I1805" s="381"/>
      <c r="J1805" s="106"/>
      <c r="K1805" s="106"/>
      <c r="L1805" s="106"/>
    </row>
    <row r="1806" spans="1:12">
      <c r="A1806" s="106"/>
      <c r="B1806" s="106"/>
      <c r="C1806" s="107"/>
      <c r="D1806" s="106"/>
      <c r="E1806" s="106"/>
      <c r="F1806" s="107"/>
      <c r="G1806" s="106"/>
      <c r="H1806" s="106"/>
      <c r="I1806" s="381"/>
      <c r="J1806" s="106"/>
      <c r="K1806" s="106"/>
      <c r="L1806" s="106"/>
    </row>
    <row r="1807" spans="1:12">
      <c r="A1807" s="106"/>
      <c r="B1807" s="106"/>
      <c r="C1807" s="107"/>
      <c r="D1807" s="106"/>
      <c r="E1807" s="106"/>
      <c r="F1807" s="107"/>
      <c r="G1807" s="106"/>
      <c r="H1807" s="106"/>
      <c r="I1807" s="381"/>
      <c r="J1807" s="106"/>
      <c r="K1807" s="106"/>
      <c r="L1807" s="106"/>
    </row>
    <row r="1808" spans="1:12">
      <c r="A1808" s="106"/>
      <c r="B1808" s="106"/>
      <c r="C1808" s="107"/>
      <c r="D1808" s="106"/>
      <c r="E1808" s="106"/>
      <c r="F1808" s="107"/>
      <c r="G1808" s="106"/>
      <c r="H1808" s="106"/>
      <c r="I1808" s="381"/>
      <c r="J1808" s="106"/>
      <c r="K1808" s="106"/>
      <c r="L1808" s="106"/>
    </row>
    <row r="1809" spans="1:12">
      <c r="A1809" s="106"/>
      <c r="B1809" s="106"/>
      <c r="C1809" s="107"/>
      <c r="D1809" s="106"/>
      <c r="E1809" s="106"/>
      <c r="F1809" s="107"/>
      <c r="G1809" s="106"/>
      <c r="H1809" s="106"/>
      <c r="I1809" s="381"/>
      <c r="J1809" s="106"/>
      <c r="K1809" s="106"/>
      <c r="L1809" s="106"/>
    </row>
    <row r="1810" spans="1:12">
      <c r="A1810" s="106"/>
      <c r="B1810" s="106"/>
      <c r="C1810" s="107"/>
      <c r="D1810" s="106"/>
      <c r="E1810" s="106"/>
      <c r="F1810" s="107"/>
      <c r="G1810" s="106"/>
      <c r="H1810" s="106"/>
      <c r="I1810" s="381"/>
      <c r="J1810" s="106"/>
      <c r="K1810" s="106"/>
      <c r="L1810" s="106"/>
    </row>
    <row r="1811" spans="1:12">
      <c r="A1811" s="106"/>
      <c r="B1811" s="106"/>
      <c r="C1811" s="107"/>
      <c r="D1811" s="106"/>
      <c r="E1811" s="106"/>
      <c r="F1811" s="107"/>
      <c r="G1811" s="106"/>
      <c r="H1811" s="106"/>
      <c r="I1811" s="381"/>
      <c r="J1811" s="106"/>
      <c r="K1811" s="106"/>
      <c r="L1811" s="106"/>
    </row>
    <row r="1812" spans="1:12">
      <c r="A1812" s="106"/>
      <c r="B1812" s="106"/>
      <c r="C1812" s="107"/>
      <c r="D1812" s="106"/>
      <c r="E1812" s="106"/>
      <c r="F1812" s="107"/>
      <c r="G1812" s="106"/>
      <c r="H1812" s="106"/>
      <c r="I1812" s="381"/>
      <c r="J1812" s="106"/>
      <c r="K1812" s="106"/>
      <c r="L1812" s="106"/>
    </row>
    <row r="1813" spans="1:12">
      <c r="A1813" s="106"/>
      <c r="B1813" s="106"/>
      <c r="C1813" s="107"/>
      <c r="D1813" s="106"/>
      <c r="E1813" s="106"/>
      <c r="F1813" s="107"/>
      <c r="G1813" s="106"/>
      <c r="H1813" s="106"/>
      <c r="I1813" s="381"/>
      <c r="J1813" s="106"/>
      <c r="K1813" s="106"/>
      <c r="L1813" s="106"/>
    </row>
    <row r="1814" spans="1:12">
      <c r="A1814" s="106"/>
      <c r="B1814" s="106"/>
      <c r="C1814" s="107"/>
      <c r="D1814" s="106"/>
      <c r="E1814" s="106"/>
      <c r="F1814" s="107"/>
      <c r="G1814" s="106"/>
      <c r="H1814" s="106"/>
      <c r="I1814" s="381"/>
      <c r="J1814" s="106"/>
      <c r="K1814" s="106"/>
      <c r="L1814" s="106"/>
    </row>
    <row r="1815" spans="1:12">
      <c r="A1815" s="106"/>
      <c r="B1815" s="106"/>
      <c r="C1815" s="107"/>
      <c r="D1815" s="106"/>
      <c r="E1815" s="106"/>
      <c r="F1815" s="107"/>
      <c r="G1815" s="106"/>
      <c r="H1815" s="106"/>
      <c r="I1815" s="381"/>
      <c r="J1815" s="106"/>
      <c r="K1815" s="106"/>
      <c r="L1815" s="106"/>
    </row>
    <row r="1816" spans="1:12">
      <c r="A1816" s="106"/>
      <c r="B1816" s="106"/>
      <c r="C1816" s="107"/>
      <c r="D1816" s="106"/>
      <c r="E1816" s="106"/>
      <c r="F1816" s="107"/>
      <c r="G1816" s="106"/>
      <c r="H1816" s="106"/>
      <c r="I1816" s="381"/>
      <c r="J1816" s="106"/>
      <c r="K1816" s="106"/>
      <c r="L1816" s="106"/>
    </row>
    <row r="1817" spans="1:12">
      <c r="A1817" s="106"/>
      <c r="B1817" s="106"/>
      <c r="C1817" s="107"/>
      <c r="D1817" s="106"/>
      <c r="E1817" s="106"/>
      <c r="F1817" s="107"/>
      <c r="G1817" s="106"/>
      <c r="H1817" s="106"/>
      <c r="I1817" s="381"/>
      <c r="J1817" s="106"/>
      <c r="K1817" s="106"/>
      <c r="L1817" s="106"/>
    </row>
    <row r="1818" spans="1:12">
      <c r="A1818" s="106"/>
      <c r="B1818" s="106"/>
      <c r="C1818" s="107"/>
      <c r="D1818" s="106"/>
      <c r="E1818" s="106"/>
      <c r="F1818" s="107"/>
      <c r="G1818" s="106"/>
      <c r="H1818" s="106"/>
      <c r="I1818" s="381"/>
      <c r="J1818" s="106"/>
      <c r="K1818" s="106"/>
      <c r="L1818" s="106"/>
    </row>
    <row r="1819" spans="1:12">
      <c r="A1819" s="106"/>
      <c r="B1819" s="106"/>
      <c r="C1819" s="107"/>
      <c r="D1819" s="106"/>
      <c r="E1819" s="106"/>
      <c r="F1819" s="107"/>
      <c r="G1819" s="106"/>
      <c r="H1819" s="106"/>
      <c r="I1819" s="381"/>
      <c r="J1819" s="106"/>
      <c r="K1819" s="106"/>
      <c r="L1819" s="106"/>
    </row>
    <row r="1820" spans="1:12">
      <c r="A1820" s="106"/>
      <c r="B1820" s="106"/>
      <c r="C1820" s="107"/>
      <c r="D1820" s="106"/>
      <c r="E1820" s="106"/>
      <c r="F1820" s="107"/>
      <c r="G1820" s="106"/>
      <c r="H1820" s="106"/>
      <c r="I1820" s="381"/>
      <c r="J1820" s="106"/>
      <c r="K1820" s="106"/>
      <c r="L1820" s="106"/>
    </row>
    <row r="1821" spans="1:12">
      <c r="A1821" s="106"/>
      <c r="B1821" s="106"/>
      <c r="C1821" s="107"/>
      <c r="D1821" s="106"/>
      <c r="E1821" s="106"/>
      <c r="F1821" s="107"/>
      <c r="G1821" s="106"/>
      <c r="H1821" s="106"/>
      <c r="I1821" s="381"/>
      <c r="J1821" s="106"/>
      <c r="K1821" s="106"/>
      <c r="L1821" s="106"/>
    </row>
    <row r="1822" spans="1:12">
      <c r="A1822" s="106"/>
      <c r="B1822" s="106"/>
      <c r="C1822" s="107"/>
      <c r="D1822" s="106"/>
      <c r="E1822" s="106"/>
      <c r="F1822" s="107"/>
      <c r="G1822" s="106"/>
      <c r="H1822" s="106"/>
      <c r="I1822" s="381"/>
      <c r="J1822" s="106"/>
      <c r="K1822" s="106"/>
      <c r="L1822" s="106"/>
    </row>
    <row r="1823" spans="1:12">
      <c r="A1823" s="106"/>
      <c r="B1823" s="106"/>
      <c r="C1823" s="107"/>
      <c r="D1823" s="106"/>
      <c r="E1823" s="106"/>
      <c r="F1823" s="107"/>
      <c r="G1823" s="106"/>
      <c r="H1823" s="106"/>
      <c r="I1823" s="381"/>
      <c r="J1823" s="106"/>
      <c r="K1823" s="106"/>
      <c r="L1823" s="106"/>
    </row>
    <row r="1824" spans="1:12">
      <c r="A1824" s="106"/>
      <c r="B1824" s="106"/>
      <c r="C1824" s="107"/>
      <c r="D1824" s="106"/>
      <c r="E1824" s="106"/>
      <c r="F1824" s="107"/>
      <c r="G1824" s="106"/>
      <c r="H1824" s="106"/>
      <c r="I1824" s="381"/>
      <c r="J1824" s="106"/>
      <c r="K1824" s="106"/>
      <c r="L1824" s="106"/>
    </row>
    <row r="1825" spans="1:12">
      <c r="A1825" s="106"/>
      <c r="B1825" s="106"/>
      <c r="C1825" s="107"/>
      <c r="D1825" s="106"/>
      <c r="E1825" s="106"/>
      <c r="F1825" s="107"/>
      <c r="G1825" s="106"/>
      <c r="H1825" s="106"/>
      <c r="I1825" s="381"/>
      <c r="J1825" s="106"/>
      <c r="K1825" s="106"/>
      <c r="L1825" s="106"/>
    </row>
    <row r="1826" spans="1:12">
      <c r="A1826" s="106"/>
      <c r="B1826" s="106"/>
      <c r="C1826" s="107"/>
      <c r="D1826" s="106"/>
      <c r="E1826" s="106"/>
      <c r="F1826" s="107"/>
      <c r="G1826" s="106"/>
      <c r="H1826" s="106"/>
      <c r="I1826" s="381"/>
      <c r="J1826" s="106"/>
      <c r="K1826" s="106"/>
      <c r="L1826" s="106"/>
    </row>
    <row r="1827" spans="1:12">
      <c r="A1827" s="106"/>
      <c r="B1827" s="106"/>
      <c r="C1827" s="107"/>
      <c r="D1827" s="106"/>
      <c r="E1827" s="106"/>
      <c r="F1827" s="107"/>
      <c r="G1827" s="106"/>
      <c r="H1827" s="106"/>
      <c r="I1827" s="381"/>
      <c r="J1827" s="106"/>
      <c r="K1827" s="106"/>
      <c r="L1827" s="106"/>
    </row>
    <row r="1828" spans="1:12">
      <c r="A1828" s="106"/>
      <c r="B1828" s="106"/>
      <c r="C1828" s="107"/>
      <c r="D1828" s="106"/>
      <c r="E1828" s="106"/>
      <c r="F1828" s="107"/>
      <c r="G1828" s="106"/>
      <c r="H1828" s="106"/>
      <c r="I1828" s="381"/>
      <c r="J1828" s="106"/>
      <c r="K1828" s="106"/>
      <c r="L1828" s="106"/>
    </row>
    <row r="1829" spans="1:12">
      <c r="A1829" s="106"/>
      <c r="B1829" s="106"/>
      <c r="C1829" s="107"/>
      <c r="D1829" s="106"/>
      <c r="E1829" s="106"/>
      <c r="F1829" s="107"/>
      <c r="G1829" s="106"/>
      <c r="H1829" s="106"/>
      <c r="I1829" s="381"/>
      <c r="J1829" s="106"/>
      <c r="K1829" s="106"/>
      <c r="L1829" s="106"/>
    </row>
    <row r="1830" spans="1:12">
      <c r="A1830" s="106"/>
      <c r="B1830" s="106"/>
      <c r="C1830" s="107"/>
      <c r="D1830" s="106"/>
      <c r="E1830" s="106"/>
      <c r="F1830" s="107"/>
      <c r="G1830" s="106"/>
      <c r="H1830" s="106"/>
      <c r="I1830" s="381"/>
      <c r="J1830" s="106"/>
      <c r="K1830" s="106"/>
      <c r="L1830" s="106"/>
    </row>
    <row r="1831" spans="1:12">
      <c r="A1831" s="106"/>
      <c r="B1831" s="106"/>
      <c r="C1831" s="107"/>
      <c r="D1831" s="106"/>
      <c r="E1831" s="106"/>
      <c r="F1831" s="107"/>
      <c r="G1831" s="106"/>
      <c r="H1831" s="106"/>
      <c r="I1831" s="381"/>
      <c r="J1831" s="106"/>
      <c r="K1831" s="106"/>
      <c r="L1831" s="106"/>
    </row>
    <row r="1832" spans="1:12">
      <c r="A1832" s="106"/>
      <c r="B1832" s="106"/>
      <c r="C1832" s="107"/>
      <c r="D1832" s="106"/>
      <c r="E1832" s="106"/>
      <c r="F1832" s="107"/>
      <c r="G1832" s="106"/>
      <c r="H1832" s="106"/>
      <c r="I1832" s="381"/>
      <c r="J1832" s="106"/>
      <c r="K1832" s="106"/>
      <c r="L1832" s="106"/>
    </row>
    <row r="1833" spans="1:12">
      <c r="A1833" s="106"/>
      <c r="B1833" s="106"/>
      <c r="C1833" s="107"/>
      <c r="D1833" s="106"/>
      <c r="E1833" s="106"/>
      <c r="F1833" s="107"/>
      <c r="G1833" s="106"/>
      <c r="H1833" s="106"/>
      <c r="I1833" s="381"/>
      <c r="J1833" s="106"/>
      <c r="K1833" s="106"/>
      <c r="L1833" s="106"/>
    </row>
    <row r="1834" spans="1:12">
      <c r="A1834" s="106"/>
      <c r="B1834" s="106"/>
      <c r="C1834" s="107"/>
      <c r="D1834" s="106"/>
      <c r="E1834" s="106"/>
      <c r="F1834" s="107"/>
      <c r="G1834" s="106"/>
      <c r="H1834" s="106"/>
      <c r="I1834" s="381"/>
      <c r="J1834" s="106"/>
      <c r="K1834" s="106"/>
      <c r="L1834" s="106"/>
    </row>
    <row r="1835" spans="1:12">
      <c r="A1835" s="106"/>
      <c r="B1835" s="106"/>
      <c r="C1835" s="107"/>
      <c r="D1835" s="106"/>
      <c r="E1835" s="106"/>
      <c r="F1835" s="107"/>
      <c r="G1835" s="106"/>
      <c r="H1835" s="106"/>
      <c r="I1835" s="381"/>
      <c r="J1835" s="106"/>
      <c r="K1835" s="106"/>
      <c r="L1835" s="106"/>
    </row>
    <row r="1836" spans="1:12">
      <c r="A1836" s="106"/>
      <c r="B1836" s="106"/>
      <c r="C1836" s="107"/>
      <c r="D1836" s="106"/>
      <c r="E1836" s="106"/>
      <c r="F1836" s="107"/>
      <c r="G1836" s="106"/>
      <c r="H1836" s="106"/>
      <c r="I1836" s="381"/>
      <c r="J1836" s="106"/>
      <c r="K1836" s="106"/>
      <c r="L1836" s="106"/>
    </row>
    <row r="1837" spans="1:12">
      <c r="A1837" s="106"/>
      <c r="B1837" s="106"/>
      <c r="C1837" s="107"/>
      <c r="D1837" s="106"/>
      <c r="E1837" s="106"/>
      <c r="F1837" s="107"/>
      <c r="G1837" s="106"/>
      <c r="H1837" s="106"/>
      <c r="I1837" s="381"/>
      <c r="J1837" s="106"/>
      <c r="K1837" s="106"/>
      <c r="L1837" s="106"/>
    </row>
    <row r="1838" spans="1:12">
      <c r="A1838" s="106"/>
      <c r="B1838" s="106"/>
      <c r="C1838" s="107"/>
      <c r="D1838" s="106"/>
      <c r="E1838" s="106"/>
      <c r="F1838" s="107"/>
      <c r="G1838" s="106"/>
      <c r="H1838" s="106"/>
      <c r="I1838" s="381"/>
      <c r="J1838" s="106"/>
      <c r="K1838" s="106"/>
      <c r="L1838" s="106"/>
    </row>
    <row r="1839" spans="1:12">
      <c r="A1839" s="106"/>
      <c r="B1839" s="106"/>
      <c r="C1839" s="107"/>
      <c r="D1839" s="106"/>
      <c r="E1839" s="106"/>
      <c r="F1839" s="107"/>
      <c r="G1839" s="106"/>
      <c r="H1839" s="106"/>
      <c r="I1839" s="381"/>
      <c r="J1839" s="106"/>
      <c r="K1839" s="106"/>
      <c r="L1839" s="106"/>
    </row>
    <row r="1840" spans="1:12">
      <c r="A1840" s="106"/>
      <c r="B1840" s="106"/>
      <c r="C1840" s="107"/>
      <c r="D1840" s="106"/>
      <c r="E1840" s="106"/>
      <c r="F1840" s="107"/>
      <c r="G1840" s="106"/>
      <c r="H1840" s="106"/>
      <c r="I1840" s="381"/>
      <c r="J1840" s="106"/>
      <c r="K1840" s="106"/>
      <c r="L1840" s="106"/>
    </row>
    <row r="1841" spans="1:12">
      <c r="A1841" s="106"/>
      <c r="B1841" s="106"/>
      <c r="C1841" s="107"/>
      <c r="D1841" s="106"/>
      <c r="E1841" s="106"/>
      <c r="F1841" s="107"/>
      <c r="G1841" s="106"/>
      <c r="H1841" s="106"/>
      <c r="I1841" s="381"/>
      <c r="J1841" s="106"/>
      <c r="K1841" s="106"/>
      <c r="L1841" s="106"/>
    </row>
    <row r="1842" spans="1:12">
      <c r="A1842" s="106"/>
      <c r="B1842" s="106"/>
      <c r="C1842" s="107"/>
      <c r="D1842" s="106"/>
      <c r="E1842" s="106"/>
      <c r="F1842" s="107"/>
      <c r="G1842" s="106"/>
      <c r="H1842" s="106"/>
      <c r="I1842" s="381"/>
      <c r="J1842" s="106"/>
      <c r="K1842" s="106"/>
      <c r="L1842" s="106"/>
    </row>
    <row r="1843" spans="1:12">
      <c r="A1843" s="106"/>
      <c r="B1843" s="106"/>
      <c r="C1843" s="107"/>
      <c r="D1843" s="106"/>
      <c r="E1843" s="106"/>
      <c r="F1843" s="107"/>
      <c r="G1843" s="106"/>
      <c r="H1843" s="106"/>
      <c r="I1843" s="381"/>
      <c r="J1843" s="106"/>
      <c r="K1843" s="106"/>
      <c r="L1843" s="106"/>
    </row>
    <row r="1844" spans="1:12">
      <c r="A1844" s="106"/>
      <c r="B1844" s="106"/>
      <c r="C1844" s="107"/>
      <c r="D1844" s="106"/>
      <c r="E1844" s="106"/>
      <c r="F1844" s="107"/>
      <c r="G1844" s="106"/>
      <c r="H1844" s="106"/>
      <c r="I1844" s="381"/>
      <c r="J1844" s="106"/>
      <c r="K1844" s="106"/>
      <c r="L1844" s="106"/>
    </row>
    <row r="1845" spans="1:12">
      <c r="A1845" s="106"/>
      <c r="B1845" s="106"/>
      <c r="C1845" s="107"/>
      <c r="D1845" s="106"/>
      <c r="E1845" s="106"/>
      <c r="F1845" s="107"/>
      <c r="G1845" s="106"/>
      <c r="H1845" s="106"/>
      <c r="I1845" s="381"/>
      <c r="J1845" s="106"/>
      <c r="K1845" s="106"/>
      <c r="L1845" s="106"/>
    </row>
    <row r="1846" spans="1:12">
      <c r="A1846" s="106"/>
      <c r="B1846" s="106"/>
      <c r="C1846" s="107"/>
      <c r="D1846" s="106"/>
      <c r="E1846" s="106"/>
      <c r="F1846" s="107"/>
      <c r="G1846" s="106"/>
      <c r="H1846" s="106"/>
      <c r="I1846" s="381"/>
      <c r="J1846" s="106"/>
      <c r="K1846" s="106"/>
      <c r="L1846" s="106"/>
    </row>
    <row r="1847" spans="1:12">
      <c r="A1847" s="106"/>
      <c r="B1847" s="106"/>
      <c r="C1847" s="107"/>
      <c r="D1847" s="106"/>
      <c r="E1847" s="106"/>
      <c r="F1847" s="107"/>
      <c r="G1847" s="106"/>
      <c r="H1847" s="106"/>
      <c r="I1847" s="381"/>
      <c r="J1847" s="106"/>
      <c r="K1847" s="106"/>
      <c r="L1847" s="106"/>
    </row>
    <row r="1848" spans="1:12">
      <c r="A1848" s="106"/>
      <c r="B1848" s="106"/>
      <c r="C1848" s="107"/>
      <c r="D1848" s="106"/>
      <c r="E1848" s="106"/>
      <c r="F1848" s="107"/>
      <c r="G1848" s="106"/>
      <c r="H1848" s="106"/>
      <c r="I1848" s="381"/>
      <c r="J1848" s="106"/>
      <c r="K1848" s="106"/>
      <c r="L1848" s="106"/>
    </row>
    <row r="1849" spans="1:12">
      <c r="A1849" s="106"/>
      <c r="B1849" s="106"/>
      <c r="C1849" s="107"/>
      <c r="D1849" s="106"/>
      <c r="E1849" s="106"/>
      <c r="F1849" s="107"/>
      <c r="G1849" s="106"/>
      <c r="H1849" s="106"/>
      <c r="I1849" s="381"/>
      <c r="J1849" s="106"/>
      <c r="K1849" s="106"/>
      <c r="L1849" s="106"/>
    </row>
    <row r="1850" spans="1:12">
      <c r="A1850" s="106"/>
      <c r="B1850" s="106"/>
      <c r="C1850" s="107"/>
      <c r="D1850" s="106"/>
      <c r="E1850" s="106"/>
      <c r="F1850" s="107"/>
      <c r="G1850" s="106"/>
      <c r="H1850" s="106"/>
      <c r="I1850" s="381"/>
      <c r="J1850" s="106"/>
      <c r="K1850" s="106"/>
      <c r="L1850" s="106"/>
    </row>
    <row r="1851" spans="1:12">
      <c r="A1851" s="106"/>
      <c r="B1851" s="106"/>
      <c r="C1851" s="107"/>
      <c r="D1851" s="106"/>
      <c r="E1851" s="106"/>
      <c r="F1851" s="107"/>
      <c r="G1851" s="106"/>
      <c r="H1851" s="106"/>
      <c r="I1851" s="381"/>
      <c r="J1851" s="106"/>
      <c r="K1851" s="106"/>
      <c r="L1851" s="106"/>
    </row>
    <row r="1852" spans="1:12">
      <c r="A1852" s="106"/>
      <c r="B1852" s="106"/>
      <c r="C1852" s="107"/>
      <c r="D1852" s="106"/>
      <c r="E1852" s="106"/>
      <c r="F1852" s="107"/>
      <c r="G1852" s="106"/>
      <c r="H1852" s="106"/>
      <c r="I1852" s="381"/>
      <c r="J1852" s="106"/>
      <c r="K1852" s="106"/>
      <c r="L1852" s="106"/>
    </row>
    <row r="1853" spans="1:12">
      <c r="A1853" s="106"/>
      <c r="B1853" s="106"/>
      <c r="C1853" s="107"/>
      <c r="D1853" s="106"/>
      <c r="E1853" s="106"/>
      <c r="F1853" s="107"/>
      <c r="G1853" s="106"/>
      <c r="H1853" s="106"/>
      <c r="I1853" s="381"/>
      <c r="J1853" s="106"/>
      <c r="K1853" s="106"/>
      <c r="L1853" s="106"/>
    </row>
    <row r="1854" spans="1:12">
      <c r="A1854" s="106"/>
      <c r="B1854" s="106"/>
      <c r="C1854" s="107"/>
      <c r="D1854" s="106"/>
      <c r="E1854" s="106"/>
      <c r="F1854" s="107"/>
      <c r="G1854" s="106"/>
      <c r="H1854" s="106"/>
      <c r="I1854" s="381"/>
      <c r="J1854" s="106"/>
      <c r="K1854" s="106"/>
      <c r="L1854" s="106"/>
    </row>
    <row r="1855" spans="1:12">
      <c r="A1855" s="106"/>
      <c r="B1855" s="106"/>
      <c r="C1855" s="107"/>
      <c r="D1855" s="106"/>
      <c r="E1855" s="106"/>
      <c r="F1855" s="107"/>
      <c r="G1855" s="106"/>
      <c r="H1855" s="106"/>
      <c r="I1855" s="381"/>
      <c r="J1855" s="106"/>
      <c r="K1855" s="106"/>
      <c r="L1855" s="106"/>
    </row>
    <row r="1856" spans="1:12">
      <c r="A1856" s="106"/>
      <c r="B1856" s="106"/>
      <c r="C1856" s="107"/>
      <c r="D1856" s="106"/>
      <c r="E1856" s="106"/>
      <c r="F1856" s="107"/>
      <c r="G1856" s="106"/>
      <c r="H1856" s="106"/>
      <c r="I1856" s="381"/>
      <c r="J1856" s="106"/>
      <c r="K1856" s="106"/>
      <c r="L1856" s="106"/>
    </row>
    <row r="1857" spans="1:12">
      <c r="A1857" s="106"/>
      <c r="B1857" s="106"/>
      <c r="C1857" s="107"/>
      <c r="D1857" s="106"/>
      <c r="E1857" s="106"/>
      <c r="F1857" s="107"/>
      <c r="G1857" s="106"/>
      <c r="H1857" s="106"/>
      <c r="I1857" s="381"/>
      <c r="J1857" s="106"/>
      <c r="K1857" s="106"/>
      <c r="L1857" s="106"/>
    </row>
    <row r="1858" spans="1:12">
      <c r="A1858" s="106"/>
      <c r="B1858" s="106"/>
      <c r="C1858" s="107"/>
      <c r="D1858" s="106"/>
      <c r="E1858" s="106"/>
      <c r="F1858" s="107"/>
      <c r="G1858" s="106"/>
      <c r="H1858" s="106"/>
      <c r="I1858" s="381"/>
      <c r="J1858" s="106"/>
      <c r="K1858" s="106"/>
      <c r="L1858" s="106"/>
    </row>
    <row r="1859" spans="1:12">
      <c r="A1859" s="106"/>
      <c r="B1859" s="106"/>
      <c r="C1859" s="107"/>
      <c r="D1859" s="106"/>
      <c r="E1859" s="106"/>
      <c r="F1859" s="107"/>
      <c r="G1859" s="106"/>
      <c r="H1859" s="106"/>
      <c r="I1859" s="381"/>
      <c r="J1859" s="106"/>
      <c r="K1859" s="106"/>
      <c r="L1859" s="106"/>
    </row>
    <row r="1860" spans="1:12">
      <c r="A1860" s="106"/>
      <c r="B1860" s="106"/>
      <c r="C1860" s="107"/>
      <c r="D1860" s="106"/>
      <c r="E1860" s="106"/>
      <c r="F1860" s="107"/>
      <c r="G1860" s="106"/>
      <c r="H1860" s="106"/>
      <c r="I1860" s="381"/>
      <c r="J1860" s="106"/>
      <c r="K1860" s="106"/>
      <c r="L1860" s="106"/>
    </row>
    <row r="1861" spans="1:12">
      <c r="A1861" s="106"/>
      <c r="B1861" s="106"/>
      <c r="C1861" s="107"/>
      <c r="D1861" s="106"/>
      <c r="E1861" s="106"/>
      <c r="F1861" s="107"/>
      <c r="G1861" s="106"/>
      <c r="H1861" s="106"/>
      <c r="I1861" s="381"/>
      <c r="J1861" s="106"/>
      <c r="K1861" s="106"/>
      <c r="L1861" s="106"/>
    </row>
    <row r="1862" spans="1:12">
      <c r="A1862" s="106"/>
      <c r="B1862" s="106"/>
      <c r="C1862" s="107"/>
      <c r="D1862" s="106"/>
      <c r="E1862" s="106"/>
      <c r="F1862" s="107"/>
      <c r="G1862" s="106"/>
      <c r="H1862" s="106"/>
      <c r="I1862" s="381"/>
      <c r="J1862" s="106"/>
      <c r="K1862" s="106"/>
      <c r="L1862" s="106"/>
    </row>
    <row r="1863" spans="1:12">
      <c r="A1863" s="106"/>
      <c r="B1863" s="106"/>
      <c r="C1863" s="107"/>
      <c r="D1863" s="106"/>
      <c r="E1863" s="106"/>
      <c r="F1863" s="107"/>
      <c r="G1863" s="106"/>
      <c r="H1863" s="106"/>
      <c r="I1863" s="381"/>
      <c r="J1863" s="106"/>
      <c r="K1863" s="106"/>
      <c r="L1863" s="106"/>
    </row>
    <row r="1864" spans="1:12">
      <c r="A1864" s="106"/>
      <c r="B1864" s="106"/>
      <c r="C1864" s="107"/>
      <c r="D1864" s="106"/>
      <c r="E1864" s="106"/>
      <c r="F1864" s="107"/>
      <c r="G1864" s="106"/>
      <c r="H1864" s="106"/>
      <c r="I1864" s="381"/>
      <c r="J1864" s="106"/>
      <c r="K1864" s="106"/>
      <c r="L1864" s="106"/>
    </row>
    <row r="1865" spans="1:12">
      <c r="A1865" s="106"/>
      <c r="B1865" s="106"/>
      <c r="C1865" s="107"/>
      <c r="D1865" s="106"/>
      <c r="E1865" s="106"/>
      <c r="F1865" s="107"/>
      <c r="G1865" s="106"/>
      <c r="H1865" s="106"/>
      <c r="I1865" s="381"/>
      <c r="J1865" s="106"/>
      <c r="K1865" s="106"/>
      <c r="L1865" s="106"/>
    </row>
    <row r="1866" spans="1:12">
      <c r="A1866" s="106"/>
      <c r="B1866" s="106"/>
      <c r="C1866" s="107"/>
      <c r="D1866" s="106"/>
      <c r="E1866" s="106"/>
      <c r="F1866" s="107"/>
      <c r="G1866" s="106"/>
      <c r="H1866" s="106"/>
      <c r="I1866" s="381"/>
      <c r="J1866" s="106"/>
      <c r="K1866" s="106"/>
      <c r="L1866" s="106"/>
    </row>
    <row r="1867" spans="1:12">
      <c r="A1867" s="106"/>
      <c r="B1867" s="106"/>
      <c r="C1867" s="107"/>
      <c r="D1867" s="106"/>
      <c r="E1867" s="106"/>
      <c r="F1867" s="107"/>
      <c r="G1867" s="106"/>
      <c r="H1867" s="106"/>
      <c r="I1867" s="381"/>
      <c r="J1867" s="106"/>
      <c r="K1867" s="106"/>
      <c r="L1867" s="106"/>
    </row>
    <row r="1868" spans="1:12">
      <c r="A1868" s="106"/>
      <c r="B1868" s="106"/>
      <c r="C1868" s="107"/>
      <c r="D1868" s="106"/>
      <c r="E1868" s="106"/>
      <c r="F1868" s="107"/>
      <c r="G1868" s="106"/>
      <c r="H1868" s="106"/>
      <c r="I1868" s="381"/>
      <c r="J1868" s="106"/>
      <c r="K1868" s="106"/>
      <c r="L1868" s="106"/>
    </row>
    <row r="1869" spans="1:12">
      <c r="A1869" s="106"/>
      <c r="B1869" s="106"/>
      <c r="C1869" s="107"/>
      <c r="D1869" s="106"/>
      <c r="E1869" s="106"/>
      <c r="F1869" s="107"/>
      <c r="G1869" s="106"/>
      <c r="H1869" s="106"/>
      <c r="I1869" s="381"/>
      <c r="J1869" s="106"/>
      <c r="K1869" s="106"/>
      <c r="L1869" s="106"/>
    </row>
    <row r="1870" spans="1:12">
      <c r="A1870" s="106"/>
      <c r="B1870" s="106"/>
      <c r="C1870" s="107"/>
      <c r="D1870" s="106"/>
      <c r="E1870" s="106"/>
      <c r="F1870" s="107"/>
      <c r="G1870" s="106"/>
      <c r="H1870" s="106"/>
      <c r="I1870" s="381"/>
      <c r="J1870" s="106"/>
      <c r="K1870" s="106"/>
      <c r="L1870" s="106"/>
    </row>
    <row r="1871" spans="1:12">
      <c r="A1871" s="106"/>
      <c r="B1871" s="106"/>
      <c r="C1871" s="107"/>
      <c r="D1871" s="106"/>
      <c r="E1871" s="106"/>
      <c r="F1871" s="107"/>
      <c r="G1871" s="106"/>
      <c r="H1871" s="106"/>
      <c r="I1871" s="381"/>
      <c r="J1871" s="106"/>
      <c r="K1871" s="106"/>
      <c r="L1871" s="106"/>
    </row>
    <row r="1872" spans="1:12">
      <c r="A1872" s="106"/>
      <c r="B1872" s="106"/>
      <c r="C1872" s="107"/>
      <c r="D1872" s="106"/>
      <c r="E1872" s="106"/>
      <c r="F1872" s="107"/>
      <c r="G1872" s="106"/>
      <c r="H1872" s="106"/>
      <c r="I1872" s="381"/>
      <c r="J1872" s="106"/>
      <c r="K1872" s="106"/>
      <c r="L1872" s="106"/>
    </row>
    <row r="1873" spans="1:12">
      <c r="A1873" s="106"/>
      <c r="B1873" s="106"/>
      <c r="C1873" s="107"/>
      <c r="D1873" s="106"/>
      <c r="E1873" s="106"/>
      <c r="F1873" s="107"/>
      <c r="G1873" s="106"/>
      <c r="H1873" s="106"/>
      <c r="I1873" s="381"/>
      <c r="J1873" s="106"/>
      <c r="K1873" s="106"/>
      <c r="L1873" s="106"/>
    </row>
    <row r="1874" spans="1:12">
      <c r="A1874" s="106"/>
      <c r="B1874" s="106"/>
      <c r="C1874" s="107"/>
      <c r="D1874" s="106"/>
      <c r="E1874" s="106"/>
      <c r="F1874" s="107"/>
      <c r="G1874" s="106"/>
      <c r="H1874" s="106"/>
      <c r="I1874" s="381"/>
      <c r="J1874" s="106"/>
      <c r="K1874" s="106"/>
      <c r="L1874" s="106"/>
    </row>
    <row r="1875" spans="1:12">
      <c r="A1875" s="106"/>
      <c r="B1875" s="106"/>
      <c r="C1875" s="107"/>
      <c r="D1875" s="106"/>
      <c r="E1875" s="106"/>
      <c r="F1875" s="107"/>
      <c r="G1875" s="106"/>
      <c r="H1875" s="106"/>
      <c r="I1875" s="381"/>
      <c r="J1875" s="106"/>
      <c r="K1875" s="106"/>
      <c r="L1875" s="106"/>
    </row>
    <row r="1876" spans="1:12">
      <c r="A1876" s="106"/>
      <c r="B1876" s="106"/>
      <c r="C1876" s="107"/>
      <c r="D1876" s="106"/>
      <c r="E1876" s="106"/>
      <c r="F1876" s="107"/>
      <c r="G1876" s="106"/>
      <c r="H1876" s="106"/>
      <c r="I1876" s="381"/>
      <c r="J1876" s="106"/>
      <c r="K1876" s="106"/>
      <c r="L1876" s="106"/>
    </row>
    <row r="1877" spans="1:12">
      <c r="A1877" s="106"/>
      <c r="B1877" s="106"/>
      <c r="C1877" s="107"/>
      <c r="D1877" s="106"/>
      <c r="E1877" s="106"/>
      <c r="F1877" s="107"/>
      <c r="G1877" s="106"/>
      <c r="H1877" s="106"/>
      <c r="I1877" s="381"/>
      <c r="J1877" s="106"/>
      <c r="K1877" s="106"/>
      <c r="L1877" s="106"/>
    </row>
    <row r="1878" spans="1:12">
      <c r="A1878" s="106"/>
      <c r="B1878" s="106"/>
      <c r="C1878" s="107"/>
      <c r="D1878" s="106"/>
      <c r="E1878" s="106"/>
      <c r="F1878" s="107"/>
      <c r="G1878" s="106"/>
      <c r="H1878" s="106"/>
      <c r="I1878" s="381"/>
      <c r="J1878" s="106"/>
      <c r="K1878" s="106"/>
      <c r="L1878" s="106"/>
    </row>
    <row r="1879" spans="1:12">
      <c r="A1879" s="106"/>
      <c r="B1879" s="106"/>
      <c r="C1879" s="107"/>
      <c r="D1879" s="106"/>
      <c r="E1879" s="106"/>
      <c r="F1879" s="107"/>
      <c r="G1879" s="106"/>
      <c r="H1879" s="106"/>
      <c r="I1879" s="381"/>
      <c r="J1879" s="106"/>
      <c r="K1879" s="106"/>
      <c r="L1879" s="106"/>
    </row>
    <row r="1880" spans="1:12">
      <c r="A1880" s="106"/>
      <c r="B1880" s="106"/>
      <c r="C1880" s="107"/>
      <c r="D1880" s="106"/>
      <c r="E1880" s="106"/>
      <c r="F1880" s="107"/>
      <c r="G1880" s="106"/>
      <c r="H1880" s="106"/>
      <c r="I1880" s="381"/>
      <c r="J1880" s="106"/>
      <c r="K1880" s="106"/>
      <c r="L1880" s="106"/>
    </row>
    <row r="1881" spans="1:12">
      <c r="A1881" s="106"/>
      <c r="B1881" s="106"/>
      <c r="C1881" s="107"/>
      <c r="D1881" s="106"/>
      <c r="E1881" s="106"/>
      <c r="F1881" s="107"/>
      <c r="G1881" s="106"/>
      <c r="H1881" s="106"/>
      <c r="I1881" s="381"/>
      <c r="J1881" s="106"/>
      <c r="K1881" s="106"/>
      <c r="L1881" s="106"/>
    </row>
    <row r="1882" spans="1:12">
      <c r="A1882" s="106"/>
      <c r="B1882" s="106"/>
      <c r="C1882" s="107"/>
      <c r="D1882" s="106"/>
      <c r="E1882" s="106"/>
      <c r="F1882" s="107"/>
      <c r="G1882" s="106"/>
      <c r="H1882" s="106"/>
      <c r="I1882" s="381"/>
      <c r="J1882" s="106"/>
      <c r="K1882" s="106"/>
      <c r="L1882" s="106"/>
    </row>
    <row r="1883" spans="1:12">
      <c r="A1883" s="106"/>
      <c r="B1883" s="106"/>
      <c r="C1883" s="107"/>
      <c r="D1883" s="106"/>
      <c r="E1883" s="106"/>
      <c r="F1883" s="107"/>
      <c r="G1883" s="106"/>
      <c r="H1883" s="106"/>
      <c r="I1883" s="381"/>
      <c r="J1883" s="106"/>
      <c r="K1883" s="106"/>
      <c r="L1883" s="106"/>
    </row>
    <row r="1884" spans="1:12">
      <c r="A1884" s="106"/>
      <c r="B1884" s="106"/>
      <c r="C1884" s="107"/>
      <c r="D1884" s="106"/>
      <c r="E1884" s="106"/>
      <c r="F1884" s="107"/>
      <c r="G1884" s="106"/>
      <c r="H1884" s="106"/>
      <c r="I1884" s="381"/>
      <c r="J1884" s="106"/>
      <c r="K1884" s="106"/>
      <c r="L1884" s="106"/>
    </row>
    <row r="1885" spans="1:12">
      <c r="A1885" s="106"/>
      <c r="B1885" s="106"/>
      <c r="C1885" s="107"/>
      <c r="D1885" s="106"/>
      <c r="E1885" s="106"/>
      <c r="F1885" s="107"/>
      <c r="G1885" s="106"/>
      <c r="H1885" s="106"/>
      <c r="I1885" s="381"/>
      <c r="J1885" s="106"/>
      <c r="K1885" s="106"/>
      <c r="L1885" s="106"/>
    </row>
    <row r="1886" spans="1:12">
      <c r="A1886" s="106"/>
      <c r="B1886" s="106"/>
      <c r="C1886" s="107"/>
      <c r="D1886" s="106"/>
      <c r="E1886" s="106"/>
      <c r="F1886" s="107"/>
      <c r="G1886" s="106"/>
      <c r="H1886" s="106"/>
      <c r="I1886" s="381"/>
      <c r="J1886" s="106"/>
      <c r="K1886" s="106"/>
      <c r="L1886" s="106"/>
    </row>
    <row r="1887" spans="1:12">
      <c r="A1887" s="106"/>
      <c r="B1887" s="106"/>
      <c r="C1887" s="107"/>
      <c r="D1887" s="106"/>
      <c r="E1887" s="106"/>
      <c r="F1887" s="107"/>
      <c r="G1887" s="106"/>
      <c r="H1887" s="106"/>
      <c r="I1887" s="381"/>
      <c r="J1887" s="106"/>
      <c r="K1887" s="106"/>
      <c r="L1887" s="106"/>
    </row>
    <row r="1888" spans="1:12">
      <c r="A1888" s="106"/>
      <c r="B1888" s="106"/>
      <c r="C1888" s="107"/>
      <c r="D1888" s="106"/>
      <c r="E1888" s="106"/>
      <c r="F1888" s="107"/>
      <c r="G1888" s="106"/>
      <c r="H1888" s="106"/>
      <c r="I1888" s="381"/>
      <c r="J1888" s="106"/>
      <c r="K1888" s="106"/>
      <c r="L1888" s="106"/>
    </row>
    <row r="1889" spans="1:12">
      <c r="A1889" s="106"/>
      <c r="B1889" s="106"/>
      <c r="C1889" s="107"/>
      <c r="D1889" s="106"/>
      <c r="E1889" s="106"/>
      <c r="F1889" s="107"/>
      <c r="G1889" s="106"/>
      <c r="H1889" s="106"/>
      <c r="I1889" s="381"/>
      <c r="J1889" s="106"/>
      <c r="K1889" s="106"/>
      <c r="L1889" s="106"/>
    </row>
    <row r="1890" spans="1:12">
      <c r="A1890" s="106"/>
      <c r="B1890" s="106"/>
      <c r="C1890" s="107"/>
      <c r="D1890" s="106"/>
      <c r="E1890" s="106"/>
      <c r="F1890" s="107"/>
      <c r="G1890" s="106"/>
      <c r="H1890" s="106"/>
      <c r="I1890" s="381"/>
      <c r="J1890" s="106"/>
      <c r="K1890" s="106"/>
      <c r="L1890" s="106"/>
    </row>
    <row r="1891" spans="1:12">
      <c r="A1891" s="106"/>
      <c r="B1891" s="106"/>
      <c r="C1891" s="107"/>
      <c r="D1891" s="106"/>
      <c r="E1891" s="106"/>
      <c r="F1891" s="107"/>
      <c r="G1891" s="106"/>
      <c r="H1891" s="106"/>
      <c r="I1891" s="381"/>
      <c r="J1891" s="106"/>
      <c r="K1891" s="106"/>
      <c r="L1891" s="106"/>
    </row>
    <row r="1892" spans="1:12">
      <c r="A1892" s="106"/>
      <c r="B1892" s="106"/>
      <c r="C1892" s="107"/>
      <c r="D1892" s="106"/>
      <c r="E1892" s="106"/>
      <c r="F1892" s="107"/>
      <c r="G1892" s="106"/>
      <c r="H1892" s="106"/>
      <c r="I1892" s="381"/>
      <c r="J1892" s="106"/>
      <c r="K1892" s="106"/>
      <c r="L1892" s="106"/>
    </row>
    <row r="1893" spans="1:12">
      <c r="A1893" s="106"/>
      <c r="B1893" s="106"/>
      <c r="C1893" s="107"/>
      <c r="D1893" s="106"/>
      <c r="E1893" s="106"/>
      <c r="F1893" s="107"/>
      <c r="G1893" s="106"/>
      <c r="H1893" s="106"/>
      <c r="I1893" s="381"/>
      <c r="J1893" s="106"/>
      <c r="K1893" s="106"/>
      <c r="L1893" s="106"/>
    </row>
    <row r="1894" spans="1:12">
      <c r="A1894" s="106"/>
      <c r="B1894" s="106"/>
      <c r="C1894" s="107"/>
      <c r="D1894" s="106"/>
      <c r="E1894" s="106"/>
      <c r="F1894" s="107"/>
      <c r="G1894" s="106"/>
      <c r="H1894" s="106"/>
      <c r="I1894" s="381"/>
      <c r="J1894" s="106"/>
      <c r="K1894" s="106"/>
      <c r="L1894" s="106"/>
    </row>
    <row r="1895" spans="1:12">
      <c r="A1895" s="106"/>
      <c r="B1895" s="106"/>
      <c r="C1895" s="107"/>
      <c r="D1895" s="106"/>
      <c r="E1895" s="106"/>
      <c r="F1895" s="107"/>
      <c r="G1895" s="106"/>
      <c r="H1895" s="106"/>
      <c r="I1895" s="381"/>
      <c r="J1895" s="106"/>
      <c r="K1895" s="106"/>
      <c r="L1895" s="106"/>
    </row>
    <row r="1896" spans="1:12">
      <c r="A1896" s="106"/>
      <c r="B1896" s="106"/>
      <c r="C1896" s="107"/>
      <c r="D1896" s="106"/>
      <c r="E1896" s="106"/>
      <c r="F1896" s="107"/>
      <c r="G1896" s="106"/>
      <c r="H1896" s="106"/>
      <c r="I1896" s="381"/>
      <c r="J1896" s="106"/>
      <c r="K1896" s="106"/>
      <c r="L1896" s="106"/>
    </row>
    <row r="1897" spans="1:12">
      <c r="A1897" s="106"/>
      <c r="B1897" s="106"/>
      <c r="C1897" s="107"/>
      <c r="D1897" s="106"/>
      <c r="E1897" s="106"/>
      <c r="F1897" s="107"/>
      <c r="G1897" s="106"/>
      <c r="H1897" s="106"/>
      <c r="I1897" s="381"/>
      <c r="J1897" s="106"/>
      <c r="K1897" s="106"/>
      <c r="L1897" s="106"/>
    </row>
    <row r="1898" spans="1:12">
      <c r="A1898" s="106"/>
      <c r="B1898" s="106"/>
      <c r="C1898" s="107"/>
      <c r="D1898" s="106"/>
      <c r="E1898" s="106"/>
      <c r="F1898" s="107"/>
      <c r="G1898" s="106"/>
      <c r="H1898" s="106"/>
      <c r="I1898" s="381"/>
      <c r="J1898" s="106"/>
      <c r="K1898" s="106"/>
      <c r="L1898" s="106"/>
    </row>
    <row r="1899" spans="1:12">
      <c r="A1899" s="106"/>
      <c r="B1899" s="106"/>
      <c r="C1899" s="107"/>
      <c r="D1899" s="106"/>
      <c r="E1899" s="106"/>
      <c r="F1899" s="107"/>
      <c r="G1899" s="106"/>
      <c r="H1899" s="106"/>
      <c r="I1899" s="381"/>
      <c r="J1899" s="106"/>
      <c r="K1899" s="106"/>
      <c r="L1899" s="106"/>
    </row>
    <row r="1900" spans="1:12">
      <c r="A1900" s="106"/>
      <c r="B1900" s="106"/>
      <c r="C1900" s="107"/>
      <c r="D1900" s="106"/>
      <c r="E1900" s="106"/>
      <c r="F1900" s="107"/>
      <c r="G1900" s="106"/>
      <c r="H1900" s="106"/>
      <c r="I1900" s="381"/>
      <c r="J1900" s="106"/>
      <c r="K1900" s="106"/>
      <c r="L1900" s="106"/>
    </row>
    <row r="1901" spans="1:12">
      <c r="A1901" s="106"/>
      <c r="B1901" s="106"/>
      <c r="C1901" s="107"/>
      <c r="D1901" s="106"/>
      <c r="E1901" s="106"/>
      <c r="F1901" s="107"/>
      <c r="G1901" s="106"/>
      <c r="H1901" s="106"/>
      <c r="I1901" s="381"/>
      <c r="J1901" s="106"/>
      <c r="K1901" s="106"/>
      <c r="L1901" s="106"/>
    </row>
    <row r="1902" spans="1:12">
      <c r="A1902" s="106"/>
      <c r="B1902" s="106"/>
      <c r="C1902" s="107"/>
      <c r="D1902" s="106"/>
      <c r="E1902" s="106"/>
      <c r="F1902" s="107"/>
      <c r="G1902" s="106"/>
      <c r="H1902" s="106"/>
      <c r="I1902" s="381"/>
      <c r="J1902" s="106"/>
      <c r="K1902" s="106"/>
      <c r="L1902" s="106"/>
    </row>
    <row r="1903" spans="1:12">
      <c r="A1903" s="106"/>
      <c r="B1903" s="106"/>
      <c r="C1903" s="107"/>
      <c r="D1903" s="106"/>
      <c r="E1903" s="106"/>
      <c r="F1903" s="107"/>
      <c r="G1903" s="106"/>
      <c r="H1903" s="106"/>
      <c r="I1903" s="381"/>
      <c r="J1903" s="106"/>
      <c r="K1903" s="106"/>
      <c r="L1903" s="106"/>
    </row>
    <row r="1904" spans="1:12">
      <c r="A1904" s="106"/>
      <c r="B1904" s="106"/>
      <c r="C1904" s="107"/>
      <c r="D1904" s="106"/>
      <c r="E1904" s="106"/>
      <c r="F1904" s="107"/>
      <c r="G1904" s="106"/>
      <c r="H1904" s="106"/>
      <c r="I1904" s="381"/>
      <c r="J1904" s="106"/>
      <c r="K1904" s="106"/>
      <c r="L1904" s="106"/>
    </row>
    <row r="1905" spans="1:12">
      <c r="A1905" s="106"/>
      <c r="B1905" s="106"/>
      <c r="C1905" s="107"/>
      <c r="D1905" s="106"/>
      <c r="E1905" s="106"/>
      <c r="F1905" s="107"/>
      <c r="G1905" s="106"/>
      <c r="H1905" s="106"/>
      <c r="I1905" s="381"/>
      <c r="J1905" s="106"/>
      <c r="K1905" s="106"/>
      <c r="L1905" s="106"/>
    </row>
    <row r="1906" spans="1:12">
      <c r="A1906" s="106"/>
      <c r="B1906" s="106"/>
      <c r="C1906" s="107"/>
      <c r="D1906" s="106"/>
      <c r="E1906" s="106"/>
      <c r="F1906" s="107"/>
      <c r="G1906" s="106"/>
      <c r="H1906" s="106"/>
      <c r="I1906" s="381"/>
      <c r="J1906" s="106"/>
      <c r="K1906" s="106"/>
      <c r="L1906" s="106"/>
    </row>
    <row r="1907" spans="1:12">
      <c r="A1907" s="106"/>
      <c r="B1907" s="106"/>
      <c r="C1907" s="107"/>
      <c r="D1907" s="106"/>
      <c r="E1907" s="106"/>
      <c r="F1907" s="107"/>
      <c r="G1907" s="106"/>
      <c r="H1907" s="106"/>
      <c r="I1907" s="381"/>
      <c r="J1907" s="106"/>
      <c r="K1907" s="106"/>
      <c r="L1907" s="106"/>
    </row>
    <row r="1908" spans="1:12">
      <c r="A1908" s="106"/>
      <c r="B1908" s="106"/>
      <c r="C1908" s="107"/>
      <c r="D1908" s="106"/>
      <c r="E1908" s="106"/>
      <c r="F1908" s="107"/>
      <c r="G1908" s="106"/>
      <c r="H1908" s="106"/>
      <c r="I1908" s="381"/>
      <c r="J1908" s="106"/>
      <c r="K1908" s="106"/>
      <c r="L1908" s="106"/>
    </row>
    <row r="1909" spans="1:12">
      <c r="A1909" s="106"/>
      <c r="B1909" s="106"/>
      <c r="C1909" s="107"/>
      <c r="D1909" s="106"/>
      <c r="E1909" s="106"/>
      <c r="F1909" s="107"/>
      <c r="G1909" s="106"/>
      <c r="H1909" s="106"/>
      <c r="I1909" s="381"/>
      <c r="J1909" s="106"/>
      <c r="K1909" s="106"/>
      <c r="L1909" s="106"/>
    </row>
    <row r="1910" spans="1:12">
      <c r="A1910" s="106"/>
      <c r="B1910" s="106"/>
      <c r="C1910" s="107"/>
      <c r="D1910" s="106"/>
      <c r="E1910" s="106"/>
      <c r="F1910" s="107"/>
      <c r="G1910" s="106"/>
      <c r="H1910" s="106"/>
      <c r="I1910" s="381"/>
      <c r="J1910" s="106"/>
      <c r="K1910" s="106"/>
      <c r="L1910" s="106"/>
    </row>
    <row r="1911" spans="1:12">
      <c r="A1911" s="106"/>
      <c r="B1911" s="106"/>
      <c r="C1911" s="107"/>
      <c r="D1911" s="106"/>
      <c r="E1911" s="106"/>
      <c r="F1911" s="107"/>
      <c r="G1911" s="106"/>
      <c r="H1911" s="106"/>
      <c r="I1911" s="381"/>
      <c r="J1911" s="106"/>
      <c r="K1911" s="106"/>
      <c r="L1911" s="106"/>
    </row>
    <row r="1912" spans="1:12">
      <c r="A1912" s="106"/>
      <c r="B1912" s="106"/>
      <c r="C1912" s="107"/>
      <c r="D1912" s="106"/>
      <c r="E1912" s="106"/>
      <c r="F1912" s="107"/>
      <c r="G1912" s="106"/>
      <c r="H1912" s="106"/>
      <c r="I1912" s="381"/>
      <c r="J1912" s="106"/>
      <c r="K1912" s="106"/>
      <c r="L1912" s="106"/>
    </row>
    <row r="1913" spans="1:12">
      <c r="A1913" s="106"/>
      <c r="B1913" s="106"/>
      <c r="C1913" s="107"/>
      <c r="D1913" s="106"/>
      <c r="E1913" s="106"/>
      <c r="F1913" s="107"/>
      <c r="G1913" s="106"/>
      <c r="H1913" s="106"/>
      <c r="I1913" s="381"/>
      <c r="J1913" s="106"/>
      <c r="K1913" s="106"/>
      <c r="L1913" s="106"/>
    </row>
    <row r="1914" spans="1:12">
      <c r="A1914" s="106"/>
      <c r="B1914" s="106"/>
      <c r="C1914" s="107"/>
      <c r="D1914" s="106"/>
      <c r="E1914" s="106"/>
      <c r="F1914" s="107"/>
      <c r="G1914" s="106"/>
      <c r="H1914" s="106"/>
      <c r="I1914" s="381"/>
      <c r="J1914" s="106"/>
      <c r="K1914" s="106"/>
      <c r="L1914" s="106"/>
    </row>
    <row r="1915" spans="1:12">
      <c r="A1915" s="106"/>
      <c r="B1915" s="106"/>
      <c r="C1915" s="107"/>
      <c r="D1915" s="106"/>
      <c r="E1915" s="106"/>
      <c r="F1915" s="107"/>
      <c r="G1915" s="106"/>
      <c r="H1915" s="106"/>
      <c r="I1915" s="381"/>
      <c r="J1915" s="106"/>
      <c r="K1915" s="106"/>
      <c r="L1915" s="106"/>
    </row>
    <row r="1916" spans="1:12">
      <c r="A1916" s="106"/>
      <c r="B1916" s="106"/>
      <c r="C1916" s="107"/>
      <c r="D1916" s="106"/>
      <c r="E1916" s="106"/>
      <c r="F1916" s="107"/>
      <c r="G1916" s="106"/>
      <c r="H1916" s="106"/>
      <c r="I1916" s="381"/>
      <c r="J1916" s="106"/>
      <c r="K1916" s="106"/>
      <c r="L1916" s="106"/>
    </row>
    <row r="1917" spans="1:12">
      <c r="A1917" s="106"/>
      <c r="B1917" s="106"/>
      <c r="C1917" s="107"/>
      <c r="D1917" s="106"/>
      <c r="E1917" s="106"/>
      <c r="F1917" s="107"/>
      <c r="G1917" s="106"/>
      <c r="H1917" s="106"/>
      <c r="I1917" s="381"/>
      <c r="J1917" s="106"/>
      <c r="K1917" s="106"/>
      <c r="L1917" s="106"/>
    </row>
    <row r="1918" spans="1:12">
      <c r="A1918" s="106"/>
      <c r="B1918" s="106"/>
      <c r="C1918" s="107"/>
      <c r="D1918" s="106"/>
      <c r="E1918" s="106"/>
      <c r="F1918" s="107"/>
      <c r="G1918" s="106"/>
      <c r="H1918" s="106"/>
      <c r="I1918" s="381"/>
      <c r="J1918" s="106"/>
      <c r="K1918" s="106"/>
      <c r="L1918" s="106"/>
    </row>
    <row r="1919" spans="1:12">
      <c r="A1919" s="106"/>
      <c r="B1919" s="106"/>
      <c r="C1919" s="107"/>
      <c r="D1919" s="106"/>
      <c r="E1919" s="106"/>
      <c r="F1919" s="107"/>
      <c r="G1919" s="106"/>
      <c r="H1919" s="106"/>
      <c r="I1919" s="381"/>
      <c r="J1919" s="106"/>
      <c r="K1919" s="106"/>
      <c r="L1919" s="106"/>
    </row>
    <row r="1920" spans="1:12">
      <c r="A1920" s="106"/>
      <c r="B1920" s="106"/>
      <c r="C1920" s="107"/>
      <c r="D1920" s="106"/>
      <c r="E1920" s="106"/>
      <c r="F1920" s="107"/>
      <c r="G1920" s="106"/>
      <c r="H1920" s="106"/>
      <c r="I1920" s="381"/>
      <c r="J1920" s="106"/>
      <c r="K1920" s="106"/>
      <c r="L1920" s="106"/>
    </row>
    <row r="1921" spans="1:12">
      <c r="A1921" s="106"/>
      <c r="B1921" s="106"/>
      <c r="C1921" s="107"/>
      <c r="D1921" s="106"/>
      <c r="E1921" s="106"/>
      <c r="F1921" s="107"/>
      <c r="G1921" s="106"/>
      <c r="H1921" s="106"/>
      <c r="I1921" s="381"/>
      <c r="J1921" s="106"/>
      <c r="K1921" s="106"/>
      <c r="L1921" s="106"/>
    </row>
    <row r="1922" spans="1:12">
      <c r="A1922" s="106"/>
      <c r="B1922" s="106"/>
      <c r="C1922" s="107"/>
      <c r="D1922" s="106"/>
      <c r="E1922" s="106"/>
      <c r="F1922" s="107"/>
      <c r="G1922" s="106"/>
      <c r="H1922" s="106"/>
      <c r="I1922" s="381"/>
      <c r="J1922" s="106"/>
      <c r="K1922" s="106"/>
      <c r="L1922" s="106"/>
    </row>
    <row r="1923" spans="1:12">
      <c r="A1923" s="106"/>
      <c r="B1923" s="106"/>
      <c r="C1923" s="107"/>
      <c r="D1923" s="106"/>
      <c r="E1923" s="106"/>
      <c r="F1923" s="107"/>
      <c r="G1923" s="106"/>
      <c r="H1923" s="106"/>
      <c r="I1923" s="381"/>
      <c r="J1923" s="106"/>
      <c r="K1923" s="106"/>
      <c r="L1923" s="106"/>
    </row>
    <row r="1924" spans="1:12">
      <c r="A1924" s="106"/>
      <c r="B1924" s="106"/>
      <c r="C1924" s="107"/>
      <c r="D1924" s="106"/>
      <c r="E1924" s="106"/>
      <c r="F1924" s="107"/>
      <c r="G1924" s="106"/>
      <c r="H1924" s="106"/>
      <c r="I1924" s="381"/>
      <c r="J1924" s="106"/>
      <c r="K1924" s="106"/>
      <c r="L1924" s="106"/>
    </row>
    <row r="1925" spans="1:12">
      <c r="A1925" s="106"/>
      <c r="B1925" s="106"/>
      <c r="C1925" s="107"/>
      <c r="D1925" s="106"/>
      <c r="E1925" s="106"/>
      <c r="F1925" s="107"/>
      <c r="G1925" s="106"/>
      <c r="H1925" s="106"/>
      <c r="I1925" s="381"/>
      <c r="J1925" s="106"/>
      <c r="K1925" s="106"/>
      <c r="L1925" s="106"/>
    </row>
    <row r="1926" spans="1:12">
      <c r="A1926" s="106"/>
      <c r="B1926" s="106"/>
      <c r="C1926" s="107"/>
      <c r="D1926" s="106"/>
      <c r="E1926" s="106"/>
      <c r="F1926" s="107"/>
      <c r="G1926" s="106"/>
      <c r="H1926" s="106"/>
      <c r="I1926" s="381"/>
      <c r="J1926" s="106"/>
      <c r="K1926" s="106"/>
      <c r="L1926" s="106"/>
    </row>
    <row r="1927" spans="1:12">
      <c r="A1927" s="106"/>
      <c r="B1927" s="106"/>
      <c r="C1927" s="107"/>
      <c r="D1927" s="106"/>
      <c r="E1927" s="106"/>
      <c r="F1927" s="107"/>
      <c r="G1927" s="106"/>
      <c r="H1927" s="106"/>
      <c r="I1927" s="381"/>
      <c r="J1927" s="106"/>
      <c r="K1927" s="106"/>
      <c r="L1927" s="106"/>
    </row>
    <row r="1928" spans="1:12">
      <c r="A1928" s="106"/>
      <c r="B1928" s="106"/>
      <c r="C1928" s="107"/>
      <c r="D1928" s="106"/>
      <c r="E1928" s="106"/>
      <c r="F1928" s="107"/>
      <c r="G1928" s="106"/>
      <c r="H1928" s="106"/>
      <c r="I1928" s="381"/>
      <c r="J1928" s="106"/>
      <c r="K1928" s="106"/>
      <c r="L1928" s="106"/>
    </row>
    <row r="1929" spans="1:12">
      <c r="A1929" s="106"/>
      <c r="B1929" s="106"/>
      <c r="C1929" s="107"/>
      <c r="D1929" s="106"/>
      <c r="E1929" s="106"/>
      <c r="F1929" s="107"/>
      <c r="G1929" s="106"/>
      <c r="H1929" s="106"/>
      <c r="I1929" s="381"/>
      <c r="J1929" s="106"/>
      <c r="K1929" s="106"/>
      <c r="L1929" s="106"/>
    </row>
    <row r="1930" spans="1:12">
      <c r="A1930" s="106"/>
      <c r="B1930" s="106"/>
      <c r="C1930" s="107"/>
      <c r="D1930" s="106"/>
      <c r="E1930" s="106"/>
      <c r="F1930" s="107"/>
      <c r="G1930" s="106"/>
      <c r="H1930" s="106"/>
      <c r="I1930" s="381"/>
      <c r="J1930" s="106"/>
      <c r="K1930" s="106"/>
      <c r="L1930" s="106"/>
    </row>
    <row r="1931" spans="1:12">
      <c r="A1931" s="106"/>
      <c r="B1931" s="106"/>
      <c r="C1931" s="107"/>
      <c r="D1931" s="106"/>
      <c r="E1931" s="106"/>
      <c r="F1931" s="107"/>
      <c r="G1931" s="106"/>
      <c r="H1931" s="106"/>
      <c r="I1931" s="381"/>
      <c r="J1931" s="106"/>
      <c r="K1931" s="106"/>
      <c r="L1931" s="106"/>
    </row>
    <row r="1932" spans="1:12">
      <c r="A1932" s="106"/>
      <c r="B1932" s="106"/>
      <c r="C1932" s="107"/>
      <c r="D1932" s="106"/>
      <c r="E1932" s="106"/>
      <c r="F1932" s="107"/>
      <c r="G1932" s="106"/>
      <c r="H1932" s="106"/>
      <c r="I1932" s="381"/>
      <c r="J1932" s="106"/>
      <c r="K1932" s="106"/>
      <c r="L1932" s="106"/>
    </row>
    <row r="1933" spans="1:12">
      <c r="A1933" s="106"/>
      <c r="B1933" s="106"/>
      <c r="C1933" s="107"/>
      <c r="D1933" s="106"/>
      <c r="E1933" s="106"/>
      <c r="F1933" s="107"/>
      <c r="G1933" s="106"/>
      <c r="H1933" s="106"/>
      <c r="I1933" s="381"/>
      <c r="J1933" s="106"/>
      <c r="K1933" s="106"/>
      <c r="L1933" s="106"/>
    </row>
    <row r="1934" spans="1:12">
      <c r="A1934" s="106"/>
      <c r="B1934" s="106"/>
      <c r="C1934" s="107"/>
      <c r="D1934" s="106"/>
      <c r="E1934" s="106"/>
      <c r="F1934" s="107"/>
      <c r="G1934" s="106"/>
      <c r="H1934" s="106"/>
      <c r="I1934" s="381"/>
      <c r="J1934" s="106"/>
      <c r="K1934" s="106"/>
      <c r="L1934" s="106"/>
    </row>
    <row r="1935" spans="1:12">
      <c r="A1935" s="106"/>
      <c r="B1935" s="106"/>
      <c r="C1935" s="107"/>
      <c r="D1935" s="106"/>
      <c r="E1935" s="106"/>
      <c r="F1935" s="107"/>
      <c r="G1935" s="106"/>
      <c r="H1935" s="106"/>
      <c r="I1935" s="381"/>
      <c r="J1935" s="106"/>
      <c r="K1935" s="106"/>
      <c r="L1935" s="106"/>
    </row>
    <row r="1936" spans="1:12">
      <c r="A1936" s="106"/>
      <c r="B1936" s="106"/>
      <c r="C1936" s="107"/>
      <c r="D1936" s="106"/>
      <c r="E1936" s="106"/>
      <c r="F1936" s="107"/>
      <c r="G1936" s="106"/>
      <c r="H1936" s="106"/>
      <c r="I1936" s="381"/>
      <c r="J1936" s="106"/>
      <c r="K1936" s="106"/>
      <c r="L1936" s="106"/>
    </row>
    <row r="1937" spans="1:12">
      <c r="A1937" s="106"/>
      <c r="B1937" s="106"/>
      <c r="C1937" s="107"/>
      <c r="D1937" s="106"/>
      <c r="E1937" s="106"/>
      <c r="F1937" s="107"/>
      <c r="G1937" s="106"/>
      <c r="H1937" s="106"/>
      <c r="I1937" s="381"/>
      <c r="J1937" s="106"/>
      <c r="K1937" s="106"/>
      <c r="L1937" s="106"/>
    </row>
    <row r="1938" spans="1:12">
      <c r="A1938" s="106"/>
      <c r="B1938" s="106"/>
      <c r="C1938" s="107"/>
      <c r="D1938" s="106"/>
      <c r="E1938" s="106"/>
      <c r="F1938" s="107"/>
      <c r="G1938" s="106"/>
      <c r="H1938" s="106"/>
      <c r="I1938" s="381"/>
      <c r="J1938" s="106"/>
      <c r="K1938" s="106"/>
      <c r="L1938" s="106"/>
    </row>
    <row r="1939" spans="1:12">
      <c r="A1939" s="106"/>
      <c r="B1939" s="106"/>
      <c r="C1939" s="107"/>
      <c r="D1939" s="106"/>
      <c r="E1939" s="106"/>
      <c r="F1939" s="107"/>
      <c r="G1939" s="106"/>
      <c r="H1939" s="106"/>
      <c r="I1939" s="381"/>
      <c r="J1939" s="106"/>
      <c r="K1939" s="106"/>
      <c r="L1939" s="106"/>
    </row>
    <row r="1940" spans="1:12">
      <c r="A1940" s="106"/>
      <c r="B1940" s="106"/>
      <c r="C1940" s="107"/>
      <c r="D1940" s="106"/>
      <c r="E1940" s="106"/>
      <c r="F1940" s="107"/>
      <c r="G1940" s="106"/>
      <c r="H1940" s="106"/>
      <c r="I1940" s="381"/>
      <c r="J1940" s="106"/>
      <c r="K1940" s="106"/>
      <c r="L1940" s="106"/>
    </row>
    <row r="1941" spans="1:12">
      <c r="A1941" s="106"/>
      <c r="B1941" s="106"/>
      <c r="C1941" s="107"/>
      <c r="D1941" s="106"/>
      <c r="E1941" s="106"/>
      <c r="F1941" s="107"/>
      <c r="G1941" s="106"/>
      <c r="H1941" s="106"/>
      <c r="I1941" s="381"/>
      <c r="J1941" s="106"/>
      <c r="K1941" s="106"/>
      <c r="L1941" s="106"/>
    </row>
    <row r="1942" spans="1:12">
      <c r="A1942" s="106"/>
      <c r="B1942" s="106"/>
      <c r="C1942" s="107"/>
      <c r="D1942" s="106"/>
      <c r="E1942" s="106"/>
      <c r="F1942" s="107"/>
      <c r="G1942" s="106"/>
      <c r="H1942" s="106"/>
      <c r="I1942" s="381"/>
      <c r="J1942" s="106"/>
      <c r="K1942" s="106"/>
      <c r="L1942" s="106"/>
    </row>
    <row r="1943" spans="1:12">
      <c r="A1943" s="106"/>
      <c r="B1943" s="106"/>
      <c r="C1943" s="107"/>
      <c r="D1943" s="106"/>
      <c r="E1943" s="106"/>
      <c r="F1943" s="107"/>
      <c r="G1943" s="106"/>
      <c r="H1943" s="106"/>
      <c r="I1943" s="381"/>
      <c r="J1943" s="106"/>
      <c r="K1943" s="106"/>
      <c r="L1943" s="106"/>
    </row>
    <row r="1944" spans="1:12">
      <c r="A1944" s="106"/>
      <c r="B1944" s="106"/>
      <c r="C1944" s="107"/>
      <c r="D1944" s="106"/>
      <c r="E1944" s="106"/>
      <c r="F1944" s="107"/>
      <c r="G1944" s="106"/>
      <c r="H1944" s="106"/>
      <c r="I1944" s="381"/>
      <c r="J1944" s="106"/>
      <c r="K1944" s="106"/>
      <c r="L1944" s="106"/>
    </row>
    <row r="1945" spans="1:12">
      <c r="A1945" s="106"/>
      <c r="B1945" s="106"/>
      <c r="C1945" s="107"/>
      <c r="D1945" s="106"/>
      <c r="E1945" s="106"/>
      <c r="F1945" s="107"/>
      <c r="G1945" s="106"/>
      <c r="H1945" s="106"/>
      <c r="I1945" s="381"/>
      <c r="J1945" s="106"/>
      <c r="K1945" s="106"/>
      <c r="L1945" s="106"/>
    </row>
    <row r="1946" spans="1:12">
      <c r="A1946" s="106"/>
      <c r="B1946" s="106"/>
      <c r="C1946" s="107"/>
      <c r="D1946" s="106"/>
      <c r="E1946" s="106"/>
      <c r="F1946" s="107"/>
      <c r="G1946" s="106"/>
      <c r="H1946" s="106"/>
      <c r="I1946" s="381"/>
      <c r="J1946" s="106"/>
      <c r="K1946" s="106"/>
      <c r="L1946" s="106"/>
    </row>
    <row r="1947" spans="1:12">
      <c r="A1947" s="106"/>
      <c r="B1947" s="106"/>
      <c r="C1947" s="107"/>
      <c r="D1947" s="106"/>
      <c r="E1947" s="106"/>
      <c r="F1947" s="107"/>
      <c r="G1947" s="106"/>
      <c r="H1947" s="106"/>
      <c r="I1947" s="381"/>
      <c r="J1947" s="106"/>
      <c r="K1947" s="106"/>
      <c r="L1947" s="106"/>
    </row>
    <row r="1948" spans="1:12">
      <c r="A1948" s="106"/>
      <c r="B1948" s="106"/>
      <c r="C1948" s="107"/>
      <c r="D1948" s="106"/>
      <c r="E1948" s="106"/>
      <c r="F1948" s="107"/>
      <c r="G1948" s="106"/>
      <c r="H1948" s="106"/>
      <c r="I1948" s="381"/>
      <c r="J1948" s="106"/>
      <c r="K1948" s="106"/>
      <c r="L1948" s="106"/>
    </row>
    <row r="1949" spans="1:12">
      <c r="A1949" s="106"/>
      <c r="B1949" s="106"/>
      <c r="C1949" s="107"/>
      <c r="D1949" s="106"/>
      <c r="E1949" s="106"/>
      <c r="F1949" s="107"/>
      <c r="G1949" s="106"/>
      <c r="H1949" s="106"/>
      <c r="I1949" s="381"/>
      <c r="J1949" s="106"/>
      <c r="K1949" s="106"/>
      <c r="L1949" s="106"/>
    </row>
    <row r="1950" spans="1:12">
      <c r="A1950" s="106"/>
      <c r="B1950" s="106"/>
      <c r="C1950" s="107"/>
      <c r="D1950" s="106"/>
      <c r="E1950" s="106"/>
      <c r="F1950" s="107"/>
      <c r="G1950" s="106"/>
      <c r="H1950" s="106"/>
      <c r="I1950" s="381"/>
      <c r="J1950" s="106"/>
      <c r="K1950" s="106"/>
      <c r="L1950" s="106"/>
    </row>
    <row r="1951" spans="1:12">
      <c r="A1951" s="106"/>
      <c r="B1951" s="106"/>
      <c r="C1951" s="107"/>
      <c r="D1951" s="106"/>
      <c r="E1951" s="106"/>
      <c r="F1951" s="107"/>
      <c r="G1951" s="106"/>
      <c r="H1951" s="106"/>
      <c r="I1951" s="381"/>
      <c r="J1951" s="106"/>
      <c r="K1951" s="106"/>
      <c r="L1951" s="106"/>
    </row>
    <row r="1952" spans="1:12">
      <c r="A1952" s="106"/>
      <c r="B1952" s="106"/>
      <c r="C1952" s="107"/>
      <c r="D1952" s="106"/>
      <c r="E1952" s="106"/>
      <c r="F1952" s="107"/>
      <c r="G1952" s="106"/>
      <c r="H1952" s="106"/>
      <c r="I1952" s="381"/>
      <c r="J1952" s="106"/>
      <c r="K1952" s="106"/>
      <c r="L1952" s="106"/>
    </row>
    <row r="1953" spans="1:12">
      <c r="A1953" s="106"/>
      <c r="B1953" s="106"/>
      <c r="C1953" s="107"/>
      <c r="D1953" s="106"/>
      <c r="E1953" s="106"/>
      <c r="F1953" s="107"/>
      <c r="G1953" s="106"/>
      <c r="H1953" s="106"/>
      <c r="I1953" s="381"/>
      <c r="J1953" s="106"/>
      <c r="K1953" s="106"/>
      <c r="L1953" s="106"/>
    </row>
    <row r="1954" spans="1:12">
      <c r="A1954" s="106"/>
      <c r="B1954" s="106"/>
      <c r="C1954" s="107"/>
      <c r="D1954" s="106"/>
      <c r="E1954" s="106"/>
      <c r="F1954" s="107"/>
      <c r="G1954" s="106"/>
      <c r="H1954" s="106"/>
      <c r="I1954" s="381"/>
      <c r="J1954" s="106"/>
      <c r="K1954" s="106"/>
      <c r="L1954" s="106"/>
    </row>
    <row r="1955" spans="1:12">
      <c r="A1955" s="106"/>
      <c r="B1955" s="106"/>
      <c r="C1955" s="107"/>
      <c r="D1955" s="106"/>
      <c r="E1955" s="106"/>
      <c r="F1955" s="107"/>
      <c r="G1955" s="106"/>
      <c r="H1955" s="106"/>
      <c r="I1955" s="381"/>
      <c r="J1955" s="106"/>
      <c r="K1955" s="106"/>
      <c r="L1955" s="106"/>
    </row>
    <row r="1956" spans="1:12">
      <c r="A1956" s="106"/>
      <c r="B1956" s="106"/>
      <c r="C1956" s="107"/>
      <c r="D1956" s="106"/>
      <c r="E1956" s="106"/>
      <c r="F1956" s="107"/>
      <c r="G1956" s="106"/>
      <c r="H1956" s="106"/>
      <c r="I1956" s="381"/>
      <c r="J1956" s="106"/>
      <c r="K1956" s="106"/>
      <c r="L1956" s="106"/>
    </row>
    <row r="1957" spans="1:12">
      <c r="A1957" s="106"/>
      <c r="B1957" s="106"/>
      <c r="C1957" s="107"/>
      <c r="D1957" s="106"/>
      <c r="E1957" s="106"/>
      <c r="F1957" s="107"/>
      <c r="G1957" s="106"/>
      <c r="H1957" s="106"/>
      <c r="I1957" s="381"/>
      <c r="J1957" s="106"/>
      <c r="K1957" s="106"/>
      <c r="L1957" s="106"/>
    </row>
    <row r="1958" spans="1:12">
      <c r="A1958" s="106"/>
      <c r="B1958" s="106"/>
      <c r="C1958" s="107"/>
      <c r="D1958" s="106"/>
      <c r="E1958" s="106"/>
      <c r="F1958" s="107"/>
      <c r="G1958" s="106"/>
      <c r="H1958" s="106"/>
      <c r="I1958" s="381"/>
      <c r="J1958" s="106"/>
      <c r="K1958" s="106"/>
      <c r="L1958" s="106"/>
    </row>
    <row r="1959" spans="1:12">
      <c r="A1959" s="106"/>
      <c r="B1959" s="106"/>
      <c r="C1959" s="107"/>
      <c r="D1959" s="106"/>
      <c r="E1959" s="106"/>
      <c r="F1959" s="107"/>
      <c r="G1959" s="106"/>
      <c r="H1959" s="106"/>
      <c r="I1959" s="381"/>
      <c r="J1959" s="106"/>
      <c r="K1959" s="106"/>
      <c r="L1959" s="106"/>
    </row>
    <row r="1960" spans="1:12">
      <c r="A1960" s="106"/>
      <c r="B1960" s="106"/>
      <c r="C1960" s="107"/>
      <c r="D1960" s="106"/>
      <c r="E1960" s="106"/>
      <c r="F1960" s="107"/>
      <c r="G1960" s="106"/>
      <c r="H1960" s="106"/>
      <c r="I1960" s="381"/>
      <c r="J1960" s="106"/>
      <c r="K1960" s="106"/>
      <c r="L1960" s="106"/>
    </row>
    <row r="1961" spans="1:12">
      <c r="A1961" s="106"/>
      <c r="B1961" s="106"/>
      <c r="C1961" s="107"/>
      <c r="D1961" s="106"/>
      <c r="E1961" s="106"/>
      <c r="F1961" s="107"/>
      <c r="G1961" s="106"/>
      <c r="H1961" s="106"/>
      <c r="I1961" s="381"/>
      <c r="J1961" s="106"/>
      <c r="K1961" s="106"/>
      <c r="L1961" s="106"/>
    </row>
    <row r="1962" spans="1:12">
      <c r="A1962" s="106"/>
      <c r="B1962" s="106"/>
      <c r="C1962" s="107"/>
      <c r="D1962" s="106"/>
      <c r="E1962" s="106"/>
      <c r="F1962" s="107"/>
      <c r="G1962" s="106"/>
      <c r="H1962" s="106"/>
      <c r="I1962" s="381"/>
      <c r="J1962" s="106"/>
      <c r="K1962" s="106"/>
      <c r="L1962" s="106"/>
    </row>
    <row r="1963" spans="1:12">
      <c r="A1963" s="106"/>
      <c r="B1963" s="106"/>
      <c r="C1963" s="107"/>
      <c r="D1963" s="106"/>
      <c r="E1963" s="106"/>
      <c r="F1963" s="107"/>
      <c r="G1963" s="106"/>
      <c r="H1963" s="106"/>
      <c r="I1963" s="381"/>
      <c r="J1963" s="106"/>
      <c r="K1963" s="106"/>
      <c r="L1963" s="106"/>
    </row>
    <row r="1964" spans="1:12">
      <c r="A1964" s="106"/>
      <c r="B1964" s="106"/>
      <c r="C1964" s="107"/>
      <c r="D1964" s="106"/>
      <c r="E1964" s="106"/>
      <c r="F1964" s="107"/>
      <c r="G1964" s="106"/>
      <c r="H1964" s="106"/>
      <c r="I1964" s="381"/>
      <c r="J1964" s="106"/>
      <c r="K1964" s="106"/>
      <c r="L1964" s="106"/>
    </row>
    <row r="1965" spans="1:12">
      <c r="A1965" s="106"/>
      <c r="B1965" s="106"/>
      <c r="C1965" s="107"/>
      <c r="D1965" s="106"/>
      <c r="E1965" s="106"/>
      <c r="F1965" s="107"/>
      <c r="G1965" s="106"/>
      <c r="H1965" s="106"/>
      <c r="I1965" s="381"/>
      <c r="J1965" s="106"/>
      <c r="K1965" s="106"/>
      <c r="L1965" s="106"/>
    </row>
    <row r="1966" spans="1:12">
      <c r="A1966" s="106"/>
      <c r="B1966" s="106"/>
      <c r="C1966" s="107"/>
      <c r="D1966" s="106"/>
      <c r="E1966" s="106"/>
      <c r="F1966" s="107"/>
      <c r="G1966" s="106"/>
      <c r="H1966" s="106"/>
      <c r="I1966" s="381"/>
      <c r="J1966" s="106"/>
      <c r="K1966" s="106"/>
      <c r="L1966" s="106"/>
    </row>
    <row r="1967" spans="1:12">
      <c r="A1967" s="106"/>
      <c r="B1967" s="106"/>
      <c r="C1967" s="107"/>
      <c r="D1967" s="106"/>
      <c r="E1967" s="106"/>
      <c r="F1967" s="107"/>
      <c r="G1967" s="106"/>
      <c r="H1967" s="106"/>
      <c r="I1967" s="381"/>
      <c r="J1967" s="106"/>
      <c r="K1967" s="106"/>
      <c r="L1967" s="106"/>
    </row>
    <row r="1968" spans="1:12">
      <c r="A1968" s="106"/>
      <c r="B1968" s="106"/>
      <c r="C1968" s="107"/>
      <c r="D1968" s="106"/>
      <c r="E1968" s="106"/>
      <c r="F1968" s="107"/>
      <c r="G1968" s="106"/>
      <c r="H1968" s="106"/>
      <c r="I1968" s="381"/>
      <c r="J1968" s="106"/>
      <c r="K1968" s="106"/>
      <c r="L1968" s="106"/>
    </row>
    <row r="1969" spans="1:12">
      <c r="A1969" s="106"/>
      <c r="B1969" s="106"/>
      <c r="C1969" s="107"/>
      <c r="D1969" s="106"/>
      <c r="E1969" s="106"/>
      <c r="F1969" s="107"/>
      <c r="G1969" s="106"/>
      <c r="H1969" s="106"/>
      <c r="I1969" s="381"/>
      <c r="J1969" s="106"/>
      <c r="K1969" s="106"/>
      <c r="L1969" s="106"/>
    </row>
    <row r="1970" spans="1:12">
      <c r="A1970" s="106"/>
      <c r="B1970" s="106"/>
      <c r="C1970" s="107"/>
      <c r="D1970" s="106"/>
      <c r="E1970" s="106"/>
      <c r="F1970" s="107"/>
      <c r="G1970" s="106"/>
      <c r="H1970" s="106"/>
      <c r="I1970" s="381"/>
      <c r="J1970" s="106"/>
      <c r="K1970" s="106"/>
      <c r="L1970" s="106"/>
    </row>
    <row r="1971" spans="1:12">
      <c r="A1971" s="106"/>
      <c r="B1971" s="106"/>
      <c r="C1971" s="107"/>
      <c r="D1971" s="106"/>
      <c r="E1971" s="106"/>
      <c r="F1971" s="107"/>
      <c r="G1971" s="106"/>
      <c r="H1971" s="106"/>
      <c r="I1971" s="381"/>
      <c r="J1971" s="106"/>
      <c r="K1971" s="106"/>
      <c r="L1971" s="106"/>
    </row>
    <row r="1972" spans="1:12">
      <c r="A1972" s="106"/>
      <c r="B1972" s="106"/>
      <c r="C1972" s="107"/>
      <c r="D1972" s="106"/>
      <c r="E1972" s="106"/>
      <c r="F1972" s="107"/>
      <c r="G1972" s="106"/>
      <c r="H1972" s="106"/>
      <c r="I1972" s="381"/>
      <c r="J1972" s="106"/>
      <c r="K1972" s="106"/>
      <c r="L1972" s="106"/>
    </row>
    <row r="1973" spans="1:12">
      <c r="A1973" s="106"/>
      <c r="B1973" s="106"/>
      <c r="C1973" s="107"/>
      <c r="D1973" s="106"/>
      <c r="E1973" s="106"/>
      <c r="F1973" s="107"/>
      <c r="G1973" s="106"/>
      <c r="H1973" s="106"/>
      <c r="I1973" s="381"/>
      <c r="J1973" s="106"/>
      <c r="K1973" s="106"/>
      <c r="L1973" s="106"/>
    </row>
    <row r="1974" spans="1:12">
      <c r="A1974" s="106"/>
      <c r="B1974" s="106"/>
      <c r="C1974" s="107"/>
      <c r="D1974" s="106"/>
      <c r="E1974" s="106"/>
      <c r="F1974" s="107"/>
      <c r="G1974" s="106"/>
      <c r="H1974" s="106"/>
      <c r="I1974" s="381"/>
      <c r="J1974" s="106"/>
      <c r="K1974" s="106"/>
      <c r="L1974" s="106"/>
    </row>
    <row r="1975" spans="1:12">
      <c r="A1975" s="106"/>
      <c r="B1975" s="106"/>
      <c r="C1975" s="107"/>
      <c r="D1975" s="106"/>
      <c r="E1975" s="106"/>
      <c r="F1975" s="107"/>
      <c r="G1975" s="106"/>
      <c r="H1975" s="106"/>
      <c r="I1975" s="381"/>
      <c r="J1975" s="106"/>
      <c r="K1975" s="106"/>
      <c r="L1975" s="106"/>
    </row>
    <row r="1976" spans="1:12">
      <c r="A1976" s="106"/>
      <c r="B1976" s="106"/>
      <c r="C1976" s="107"/>
      <c r="D1976" s="106"/>
      <c r="E1976" s="106"/>
      <c r="F1976" s="107"/>
      <c r="G1976" s="106"/>
      <c r="H1976" s="106"/>
      <c r="I1976" s="381"/>
      <c r="J1976" s="106"/>
      <c r="K1976" s="106"/>
      <c r="L1976" s="106"/>
    </row>
    <row r="1977" spans="1:12">
      <c r="A1977" s="106"/>
      <c r="B1977" s="106"/>
      <c r="C1977" s="107"/>
      <c r="D1977" s="106"/>
      <c r="E1977" s="106"/>
      <c r="F1977" s="107"/>
      <c r="G1977" s="106"/>
      <c r="H1977" s="106"/>
      <c r="I1977" s="381"/>
      <c r="J1977" s="106"/>
      <c r="K1977" s="106"/>
      <c r="L1977" s="106"/>
    </row>
    <row r="1978" spans="1:12">
      <c r="A1978" s="106"/>
      <c r="B1978" s="106"/>
      <c r="C1978" s="107"/>
      <c r="D1978" s="106"/>
      <c r="E1978" s="106"/>
      <c r="F1978" s="107"/>
      <c r="G1978" s="106"/>
      <c r="H1978" s="106"/>
      <c r="I1978" s="381"/>
      <c r="J1978" s="106"/>
      <c r="K1978" s="106"/>
      <c r="L1978" s="106"/>
    </row>
    <row r="1979" spans="1:12">
      <c r="A1979" s="106"/>
      <c r="B1979" s="106"/>
      <c r="C1979" s="107"/>
      <c r="D1979" s="106"/>
      <c r="E1979" s="106"/>
      <c r="F1979" s="107"/>
      <c r="G1979" s="106"/>
      <c r="H1979" s="106"/>
      <c r="I1979" s="381"/>
      <c r="J1979" s="106"/>
      <c r="K1979" s="106"/>
      <c r="L1979" s="106"/>
    </row>
    <row r="1980" spans="1:12">
      <c r="A1980" s="106"/>
      <c r="B1980" s="106"/>
      <c r="C1980" s="107"/>
      <c r="D1980" s="106"/>
      <c r="E1980" s="106"/>
      <c r="F1980" s="107"/>
      <c r="G1980" s="106"/>
      <c r="H1980" s="106"/>
      <c r="I1980" s="381"/>
      <c r="J1980" s="106"/>
      <c r="K1980" s="106"/>
      <c r="L1980" s="106"/>
    </row>
    <row r="1981" spans="1:12">
      <c r="A1981" s="106"/>
      <c r="B1981" s="106"/>
      <c r="C1981" s="107"/>
      <c r="D1981" s="106"/>
      <c r="E1981" s="106"/>
      <c r="F1981" s="107"/>
      <c r="G1981" s="106"/>
      <c r="H1981" s="106"/>
      <c r="I1981" s="381"/>
      <c r="J1981" s="106"/>
      <c r="K1981" s="106"/>
      <c r="L1981" s="106"/>
    </row>
    <row r="1982" spans="1:12">
      <c r="A1982" s="106"/>
      <c r="B1982" s="106"/>
      <c r="C1982" s="107"/>
      <c r="D1982" s="106"/>
      <c r="E1982" s="106"/>
      <c r="F1982" s="107"/>
      <c r="G1982" s="106"/>
      <c r="H1982" s="106"/>
      <c r="I1982" s="381"/>
      <c r="J1982" s="106"/>
      <c r="K1982" s="106"/>
      <c r="L1982" s="106"/>
    </row>
    <row r="1983" spans="1:12">
      <c r="A1983" s="106"/>
      <c r="B1983" s="106"/>
      <c r="C1983" s="107"/>
      <c r="D1983" s="106"/>
      <c r="E1983" s="106"/>
      <c r="F1983" s="107"/>
      <c r="G1983" s="106"/>
      <c r="H1983" s="106"/>
      <c r="I1983" s="381"/>
      <c r="J1983" s="106"/>
      <c r="K1983" s="106"/>
      <c r="L1983" s="106"/>
    </row>
    <row r="1984" spans="1:12">
      <c r="A1984" s="106"/>
      <c r="B1984" s="106"/>
      <c r="C1984" s="107"/>
      <c r="D1984" s="106"/>
      <c r="E1984" s="106"/>
      <c r="F1984" s="107"/>
      <c r="G1984" s="106"/>
      <c r="H1984" s="106"/>
      <c r="I1984" s="381"/>
      <c r="J1984" s="106"/>
      <c r="K1984" s="106"/>
      <c r="L1984" s="106"/>
    </row>
    <row r="1985" spans="1:12">
      <c r="A1985" s="106"/>
      <c r="B1985" s="106"/>
      <c r="C1985" s="107"/>
      <c r="D1985" s="106"/>
      <c r="E1985" s="106"/>
      <c r="F1985" s="107"/>
      <c r="G1985" s="106"/>
      <c r="H1985" s="106"/>
      <c r="I1985" s="381"/>
      <c r="J1985" s="106"/>
      <c r="K1985" s="106"/>
      <c r="L1985" s="106"/>
    </row>
    <row r="1986" spans="1:12">
      <c r="A1986" s="106"/>
      <c r="B1986" s="106"/>
      <c r="C1986" s="107"/>
      <c r="D1986" s="106"/>
      <c r="E1986" s="106"/>
      <c r="F1986" s="107"/>
      <c r="G1986" s="106"/>
      <c r="H1986" s="106"/>
      <c r="I1986" s="381"/>
      <c r="J1986" s="106"/>
      <c r="K1986" s="106"/>
      <c r="L1986" s="106"/>
    </row>
    <row r="1987" spans="1:12">
      <c r="A1987" s="106"/>
      <c r="B1987" s="106"/>
      <c r="C1987" s="107"/>
      <c r="D1987" s="106"/>
      <c r="E1987" s="106"/>
      <c r="F1987" s="107"/>
      <c r="G1987" s="106"/>
      <c r="H1987" s="106"/>
      <c r="I1987" s="381"/>
      <c r="J1987" s="106"/>
      <c r="K1987" s="106"/>
      <c r="L1987" s="106"/>
    </row>
    <row r="1988" spans="1:12">
      <c r="A1988" s="106"/>
      <c r="B1988" s="106"/>
      <c r="C1988" s="107"/>
      <c r="D1988" s="106"/>
      <c r="E1988" s="106"/>
      <c r="F1988" s="107"/>
      <c r="G1988" s="106"/>
      <c r="H1988" s="106"/>
      <c r="I1988" s="381"/>
      <c r="J1988" s="106"/>
      <c r="K1988" s="106"/>
      <c r="L1988" s="106"/>
    </row>
    <row r="1989" spans="1:12">
      <c r="A1989" s="106"/>
      <c r="B1989" s="106"/>
      <c r="C1989" s="107"/>
      <c r="D1989" s="106"/>
      <c r="E1989" s="106"/>
      <c r="F1989" s="107"/>
      <c r="G1989" s="106"/>
      <c r="H1989" s="106"/>
      <c r="I1989" s="381"/>
      <c r="J1989" s="106"/>
      <c r="K1989" s="106"/>
      <c r="L1989" s="106"/>
    </row>
    <row r="1990" spans="1:12">
      <c r="A1990" s="106"/>
      <c r="B1990" s="106"/>
      <c r="C1990" s="107"/>
      <c r="D1990" s="106"/>
      <c r="E1990" s="106"/>
      <c r="F1990" s="107"/>
      <c r="G1990" s="106"/>
      <c r="H1990" s="106"/>
      <c r="I1990" s="381"/>
      <c r="J1990" s="106"/>
      <c r="K1990" s="106"/>
      <c r="L1990" s="106"/>
    </row>
    <row r="1991" spans="1:12">
      <c r="A1991" s="106"/>
      <c r="B1991" s="106"/>
      <c r="C1991" s="107"/>
      <c r="D1991" s="106"/>
      <c r="E1991" s="106"/>
      <c r="F1991" s="107"/>
      <c r="G1991" s="106"/>
      <c r="H1991" s="106"/>
      <c r="I1991" s="381"/>
      <c r="J1991" s="106"/>
      <c r="K1991" s="106"/>
      <c r="L1991" s="106"/>
    </row>
    <row r="1992" spans="1:12">
      <c r="A1992" s="106"/>
      <c r="B1992" s="106"/>
      <c r="C1992" s="107"/>
      <c r="D1992" s="106"/>
      <c r="E1992" s="106"/>
      <c r="F1992" s="107"/>
      <c r="G1992" s="106"/>
      <c r="H1992" s="106"/>
      <c r="I1992" s="381"/>
      <c r="J1992" s="106"/>
      <c r="K1992" s="106"/>
      <c r="L1992" s="106"/>
    </row>
    <row r="1993" spans="1:12">
      <c r="A1993" s="106"/>
      <c r="B1993" s="106"/>
      <c r="C1993" s="107"/>
      <c r="D1993" s="106"/>
      <c r="E1993" s="106"/>
      <c r="F1993" s="107"/>
      <c r="G1993" s="106"/>
      <c r="H1993" s="106"/>
      <c r="I1993" s="381"/>
      <c r="J1993" s="106"/>
      <c r="K1993" s="106"/>
      <c r="L1993" s="106"/>
    </row>
    <row r="1994" spans="1:12">
      <c r="A1994" s="106"/>
      <c r="B1994" s="106"/>
      <c r="C1994" s="107"/>
      <c r="D1994" s="106"/>
      <c r="E1994" s="106"/>
      <c r="F1994" s="107"/>
      <c r="G1994" s="106"/>
      <c r="H1994" s="106"/>
      <c r="I1994" s="381"/>
      <c r="J1994" s="106"/>
      <c r="K1994" s="106"/>
      <c r="L1994" s="106"/>
    </row>
    <row r="1995" spans="1:12">
      <c r="A1995" s="106"/>
      <c r="B1995" s="106"/>
      <c r="C1995" s="107"/>
      <c r="D1995" s="106"/>
      <c r="E1995" s="106"/>
      <c r="F1995" s="107"/>
      <c r="G1995" s="106"/>
      <c r="H1995" s="106"/>
      <c r="I1995" s="381"/>
      <c r="J1995" s="106"/>
      <c r="K1995" s="106"/>
      <c r="L1995" s="106"/>
    </row>
    <row r="1996" spans="1:12">
      <c r="A1996" s="106"/>
      <c r="B1996" s="106"/>
      <c r="C1996" s="107"/>
      <c r="D1996" s="106"/>
      <c r="E1996" s="106"/>
      <c r="F1996" s="107"/>
      <c r="G1996" s="106"/>
      <c r="H1996" s="106"/>
      <c r="I1996" s="381"/>
      <c r="J1996" s="106"/>
      <c r="K1996" s="106"/>
      <c r="L1996" s="106"/>
    </row>
    <row r="1997" spans="1:12">
      <c r="A1997" s="106"/>
      <c r="B1997" s="106"/>
      <c r="C1997" s="107"/>
      <c r="D1997" s="106"/>
      <c r="E1997" s="106"/>
      <c r="F1997" s="107"/>
      <c r="G1997" s="106"/>
      <c r="H1997" s="106"/>
      <c r="I1997" s="381"/>
      <c r="J1997" s="106"/>
      <c r="K1997" s="106"/>
      <c r="L1997" s="106"/>
    </row>
    <row r="1998" spans="1:12">
      <c r="A1998" s="106"/>
      <c r="B1998" s="106"/>
      <c r="C1998" s="107"/>
      <c r="D1998" s="106"/>
      <c r="E1998" s="106"/>
      <c r="F1998" s="107"/>
      <c r="G1998" s="106"/>
      <c r="H1998" s="106"/>
      <c r="I1998" s="381"/>
      <c r="J1998" s="106"/>
      <c r="K1998" s="106"/>
      <c r="L1998" s="106"/>
    </row>
    <row r="1999" spans="1:12">
      <c r="A1999" s="106"/>
      <c r="B1999" s="106"/>
      <c r="C1999" s="107"/>
      <c r="D1999" s="106"/>
      <c r="E1999" s="106"/>
      <c r="F1999" s="107"/>
      <c r="G1999" s="106"/>
      <c r="H1999" s="106"/>
      <c r="I1999" s="381"/>
      <c r="J1999" s="106"/>
      <c r="K1999" s="106"/>
      <c r="L1999" s="106"/>
    </row>
    <row r="2000" spans="1:12">
      <c r="A2000" s="106"/>
      <c r="B2000" s="106"/>
      <c r="C2000" s="107"/>
      <c r="D2000" s="106"/>
      <c r="E2000" s="106"/>
      <c r="F2000" s="107"/>
      <c r="G2000" s="106"/>
      <c r="H2000" s="106"/>
      <c r="I2000" s="381"/>
      <c r="J2000" s="106"/>
      <c r="K2000" s="106"/>
      <c r="L2000" s="106"/>
    </row>
    <row r="2001" spans="1:12">
      <c r="A2001" s="106"/>
      <c r="B2001" s="106"/>
      <c r="C2001" s="107"/>
      <c r="D2001" s="106"/>
      <c r="E2001" s="106"/>
      <c r="F2001" s="107"/>
      <c r="G2001" s="106"/>
      <c r="H2001" s="106"/>
      <c r="I2001" s="381"/>
      <c r="J2001" s="106"/>
      <c r="K2001" s="106"/>
      <c r="L2001" s="106"/>
    </row>
    <row r="2002" spans="1:12">
      <c r="A2002" s="106"/>
      <c r="B2002" s="106"/>
      <c r="C2002" s="107"/>
      <c r="D2002" s="106"/>
      <c r="E2002" s="106"/>
      <c r="F2002" s="107"/>
      <c r="G2002" s="106"/>
      <c r="H2002" s="106"/>
      <c r="I2002" s="381"/>
      <c r="J2002" s="106"/>
      <c r="K2002" s="106"/>
      <c r="L2002" s="106"/>
    </row>
    <row r="2003" spans="1:12">
      <c r="A2003" s="106"/>
      <c r="B2003" s="106"/>
      <c r="C2003" s="107"/>
      <c r="D2003" s="106"/>
      <c r="E2003" s="106"/>
      <c r="F2003" s="107"/>
      <c r="G2003" s="106"/>
      <c r="H2003" s="106"/>
      <c r="I2003" s="381"/>
      <c r="J2003" s="106"/>
      <c r="K2003" s="106"/>
      <c r="L2003" s="106"/>
    </row>
    <row r="2004" spans="1:12">
      <c r="A2004" s="106"/>
      <c r="B2004" s="106"/>
      <c r="C2004" s="107"/>
      <c r="D2004" s="106"/>
      <c r="E2004" s="106"/>
      <c r="F2004" s="107"/>
      <c r="G2004" s="106"/>
      <c r="H2004" s="106"/>
      <c r="I2004" s="381"/>
      <c r="J2004" s="106"/>
      <c r="K2004" s="106"/>
      <c r="L2004" s="106"/>
    </row>
    <row r="2005" spans="1:12">
      <c r="A2005" s="106"/>
      <c r="B2005" s="106"/>
      <c r="C2005" s="107"/>
      <c r="D2005" s="106"/>
      <c r="E2005" s="106"/>
      <c r="F2005" s="107"/>
      <c r="G2005" s="106"/>
      <c r="H2005" s="106"/>
      <c r="I2005" s="106"/>
      <c r="J2005" s="106"/>
      <c r="K2005" s="106"/>
      <c r="L2005" s="106"/>
    </row>
    <row r="2006" spans="1:12">
      <c r="A2006" s="106"/>
      <c r="B2006" s="106"/>
      <c r="C2006" s="107"/>
      <c r="D2006" s="106"/>
      <c r="E2006" s="106"/>
      <c r="F2006" s="107"/>
      <c r="G2006" s="106"/>
      <c r="H2006" s="106"/>
      <c r="I2006" s="106"/>
      <c r="J2006" s="106"/>
      <c r="K2006" s="106"/>
      <c r="L2006" s="106"/>
    </row>
    <row r="2007" spans="1:12">
      <c r="A2007" s="106"/>
      <c r="B2007" s="106"/>
      <c r="C2007" s="107"/>
      <c r="D2007" s="106"/>
      <c r="E2007" s="106"/>
      <c r="F2007" s="107"/>
      <c r="G2007" s="106"/>
      <c r="H2007" s="106"/>
      <c r="I2007" s="106"/>
      <c r="J2007" s="106"/>
      <c r="K2007" s="106"/>
      <c r="L2007" s="106"/>
    </row>
    <row r="2008" spans="1:12">
      <c r="A2008" s="106"/>
      <c r="B2008" s="106"/>
      <c r="C2008" s="107"/>
      <c r="D2008" s="106"/>
      <c r="E2008" s="106"/>
      <c r="F2008" s="107"/>
      <c r="G2008" s="106"/>
      <c r="H2008" s="106"/>
      <c r="I2008" s="106"/>
      <c r="J2008" s="106"/>
      <c r="K2008" s="106"/>
      <c r="L2008" s="106"/>
    </row>
    <row r="2009" spans="1:12">
      <c r="A2009" s="106"/>
      <c r="B2009" s="106"/>
      <c r="C2009" s="107"/>
      <c r="D2009" s="106"/>
      <c r="E2009" s="106"/>
      <c r="F2009" s="107"/>
      <c r="G2009" s="106"/>
      <c r="H2009" s="106"/>
      <c r="I2009" s="106"/>
      <c r="J2009" s="106"/>
      <c r="K2009" s="106"/>
      <c r="L2009" s="106"/>
    </row>
    <row r="2010" spans="1:12">
      <c r="A2010" s="106"/>
      <c r="B2010" s="106"/>
      <c r="C2010" s="107"/>
      <c r="D2010" s="106"/>
      <c r="E2010" s="106"/>
      <c r="F2010" s="107"/>
      <c r="G2010" s="106"/>
      <c r="H2010" s="106"/>
      <c r="I2010" s="106"/>
      <c r="J2010" s="106"/>
      <c r="K2010" s="106"/>
      <c r="L2010" s="106"/>
    </row>
    <row r="2011" spans="1:12">
      <c r="A2011" s="106"/>
      <c r="B2011" s="106"/>
      <c r="C2011" s="107"/>
      <c r="D2011" s="106"/>
      <c r="E2011" s="106"/>
      <c r="F2011" s="107"/>
      <c r="G2011" s="106"/>
      <c r="H2011" s="106"/>
      <c r="I2011" s="106"/>
      <c r="J2011" s="106"/>
      <c r="K2011" s="106"/>
      <c r="L2011" s="106"/>
    </row>
    <row r="2012" spans="1:12">
      <c r="A2012" s="106"/>
      <c r="B2012" s="106"/>
      <c r="C2012" s="107"/>
      <c r="D2012" s="106"/>
      <c r="E2012" s="106"/>
      <c r="F2012" s="107"/>
      <c r="G2012" s="106"/>
      <c r="H2012" s="106"/>
      <c r="I2012" s="106"/>
      <c r="J2012" s="106"/>
      <c r="K2012" s="106"/>
      <c r="L2012" s="106"/>
    </row>
    <row r="2013" spans="1:12">
      <c r="A2013" s="106"/>
      <c r="B2013" s="106"/>
      <c r="C2013" s="107"/>
      <c r="D2013" s="106"/>
      <c r="E2013" s="106"/>
      <c r="F2013" s="107"/>
      <c r="G2013" s="106"/>
      <c r="H2013" s="106"/>
      <c r="I2013" s="106"/>
      <c r="J2013" s="106"/>
      <c r="K2013" s="106"/>
      <c r="L2013" s="106"/>
    </row>
    <row r="2014" spans="1:12">
      <c r="A2014" s="106"/>
      <c r="B2014" s="106"/>
      <c r="C2014" s="107"/>
      <c r="D2014" s="106"/>
      <c r="E2014" s="106"/>
      <c r="F2014" s="107"/>
      <c r="G2014" s="106"/>
      <c r="H2014" s="106"/>
      <c r="I2014" s="106"/>
      <c r="J2014" s="106"/>
      <c r="K2014" s="106"/>
      <c r="L2014" s="106"/>
    </row>
    <row r="2015" spans="1:12">
      <c r="A2015" s="106"/>
      <c r="B2015" s="106"/>
      <c r="C2015" s="107"/>
      <c r="D2015" s="106"/>
      <c r="E2015" s="106"/>
      <c r="F2015" s="107"/>
      <c r="G2015" s="106"/>
      <c r="H2015" s="106"/>
      <c r="I2015" s="106"/>
      <c r="J2015" s="106"/>
      <c r="K2015" s="106"/>
      <c r="L2015" s="106"/>
    </row>
    <row r="2016" spans="1:12">
      <c r="A2016" s="106"/>
      <c r="B2016" s="106"/>
      <c r="C2016" s="107"/>
      <c r="D2016" s="106"/>
      <c r="E2016" s="106"/>
      <c r="F2016" s="107"/>
      <c r="G2016" s="106"/>
      <c r="H2016" s="106"/>
      <c r="I2016" s="106"/>
      <c r="J2016" s="106"/>
      <c r="K2016" s="106"/>
      <c r="L2016" s="106"/>
    </row>
    <row r="2017" spans="1:12">
      <c r="A2017" s="106"/>
      <c r="B2017" s="106"/>
      <c r="C2017" s="107"/>
      <c r="D2017" s="106"/>
      <c r="E2017" s="106"/>
      <c r="F2017" s="107"/>
      <c r="G2017" s="106"/>
      <c r="H2017" s="106"/>
      <c r="I2017" s="106"/>
      <c r="J2017" s="106"/>
      <c r="K2017" s="106"/>
      <c r="L2017" s="106"/>
    </row>
    <row r="2018" spans="1:12">
      <c r="A2018" s="106"/>
      <c r="B2018" s="106"/>
      <c r="C2018" s="107"/>
      <c r="D2018" s="106"/>
      <c r="E2018" s="106"/>
      <c r="F2018" s="107"/>
      <c r="G2018" s="106"/>
      <c r="H2018" s="106"/>
      <c r="I2018" s="106"/>
      <c r="J2018" s="106"/>
      <c r="K2018" s="106"/>
      <c r="L2018" s="106"/>
    </row>
    <row r="2019" spans="1:12">
      <c r="A2019" s="106"/>
      <c r="B2019" s="106"/>
      <c r="C2019" s="107"/>
      <c r="D2019" s="106"/>
      <c r="E2019" s="106"/>
      <c r="F2019" s="107"/>
      <c r="G2019" s="106"/>
      <c r="H2019" s="106"/>
      <c r="I2019" s="106"/>
      <c r="J2019" s="106"/>
      <c r="K2019" s="106"/>
      <c r="L2019" s="106"/>
    </row>
    <row r="2020" spans="1:12">
      <c r="A2020" s="106"/>
      <c r="B2020" s="106"/>
      <c r="C2020" s="107"/>
      <c r="D2020" s="106"/>
      <c r="E2020" s="106"/>
      <c r="F2020" s="107"/>
      <c r="G2020" s="106"/>
      <c r="H2020" s="106"/>
      <c r="I2020" s="106"/>
      <c r="J2020" s="106"/>
      <c r="K2020" s="106"/>
      <c r="L2020" s="106"/>
    </row>
    <row r="2021" spans="1:12">
      <c r="A2021" s="106"/>
      <c r="B2021" s="106"/>
      <c r="C2021" s="107"/>
      <c r="D2021" s="106"/>
      <c r="E2021" s="106"/>
      <c r="F2021" s="107"/>
      <c r="G2021" s="106"/>
      <c r="H2021" s="106"/>
      <c r="I2021" s="106"/>
      <c r="J2021" s="106"/>
      <c r="K2021" s="106"/>
      <c r="L2021" s="106"/>
    </row>
    <row r="2022" spans="1:12">
      <c r="A2022" s="106"/>
      <c r="B2022" s="106"/>
      <c r="C2022" s="107"/>
      <c r="D2022" s="106"/>
      <c r="E2022" s="106"/>
      <c r="F2022" s="107"/>
      <c r="G2022" s="106"/>
      <c r="H2022" s="106"/>
      <c r="I2022" s="106"/>
      <c r="J2022" s="106"/>
      <c r="K2022" s="106"/>
      <c r="L2022" s="106"/>
    </row>
    <row r="2023" spans="1:12">
      <c r="A2023" s="106"/>
      <c r="B2023" s="106"/>
      <c r="C2023" s="107"/>
      <c r="D2023" s="106"/>
      <c r="E2023" s="106"/>
      <c r="F2023" s="107"/>
      <c r="G2023" s="106"/>
      <c r="H2023" s="106"/>
      <c r="I2023" s="106"/>
      <c r="J2023" s="106"/>
      <c r="K2023" s="106"/>
      <c r="L2023" s="106"/>
    </row>
    <row r="2024" spans="1:12">
      <c r="A2024" s="106"/>
      <c r="B2024" s="106"/>
      <c r="C2024" s="107"/>
      <c r="D2024" s="106"/>
      <c r="E2024" s="106"/>
      <c r="F2024" s="107"/>
      <c r="G2024" s="106"/>
      <c r="H2024" s="106"/>
      <c r="I2024" s="106"/>
      <c r="J2024" s="106"/>
      <c r="K2024" s="106"/>
      <c r="L2024" s="106"/>
    </row>
    <row r="2025" spans="1:12">
      <c r="A2025" s="106"/>
      <c r="B2025" s="106"/>
      <c r="C2025" s="107"/>
      <c r="D2025" s="106"/>
      <c r="E2025" s="106"/>
      <c r="F2025" s="107"/>
      <c r="G2025" s="106"/>
      <c r="H2025" s="106"/>
      <c r="I2025" s="106"/>
      <c r="J2025" s="106"/>
      <c r="K2025" s="106"/>
      <c r="L2025" s="106"/>
    </row>
    <row r="2026" spans="1:12">
      <c r="A2026" s="106"/>
      <c r="B2026" s="106"/>
      <c r="C2026" s="107"/>
      <c r="D2026" s="106"/>
      <c r="E2026" s="106"/>
      <c r="F2026" s="107"/>
      <c r="G2026" s="106"/>
      <c r="H2026" s="106"/>
      <c r="I2026" s="106"/>
      <c r="J2026" s="106"/>
      <c r="K2026" s="106"/>
      <c r="L2026" s="106"/>
    </row>
    <row r="2027" spans="1:12">
      <c r="A2027" s="106"/>
      <c r="B2027" s="106"/>
      <c r="C2027" s="107"/>
      <c r="D2027" s="106"/>
      <c r="E2027" s="106"/>
      <c r="F2027" s="107"/>
      <c r="G2027" s="106"/>
      <c r="H2027" s="106"/>
      <c r="I2027" s="106"/>
      <c r="J2027" s="106"/>
      <c r="K2027" s="106"/>
      <c r="L2027" s="106"/>
    </row>
    <row r="2028" spans="1:12">
      <c r="A2028" s="106"/>
      <c r="B2028" s="106"/>
      <c r="C2028" s="107"/>
      <c r="D2028" s="106"/>
      <c r="E2028" s="106"/>
      <c r="F2028" s="107"/>
      <c r="G2028" s="106"/>
      <c r="H2028" s="106"/>
      <c r="I2028" s="106"/>
      <c r="J2028" s="106"/>
      <c r="K2028" s="106"/>
      <c r="L2028" s="106"/>
    </row>
  </sheetData>
  <autoFilter ref="A2:L43" xr:uid="{00000000-0009-0000-0000-00000E000000}">
    <sortState xmlns:xlrd2="http://schemas.microsoft.com/office/spreadsheetml/2017/richdata2" ref="A3:L43">
      <sortCondition ref="A2"/>
    </sortState>
  </autoFilter>
  <mergeCells count="2">
    <mergeCell ref="A1:D1"/>
    <mergeCell ref="E1:L1"/>
  </mergeCells>
  <conditionalFormatting sqref="A3:L2005">
    <cfRule type="expression" dxfId="34" priority="1">
      <formula>MOD(ROW(),2)=1</formula>
    </cfRule>
  </conditionalFormatting>
  <hyperlinks>
    <hyperlink ref="A1" location="DASHBOARD!A1" display="Back to Dashboard" xr:uid="{00000000-0004-0000-0E00-000000000000}"/>
  </hyperlinks>
  <printOptions horizontalCentered="1"/>
  <pageMargins left="0.25" right="0.25" top="0.75" bottom="0.75" header="0.3" footer="0.3"/>
  <pageSetup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AA173"/>
  <sheetViews>
    <sheetView zoomScale="126" zoomScaleNormal="126" zoomScaleSheetLayoutView="70" workbookViewId="0">
      <pane ySplit="4" topLeftCell="A50" activePane="bottomLeft" state="frozen"/>
      <selection pane="bottomLeft" sqref="A1:F1"/>
    </sheetView>
  </sheetViews>
  <sheetFormatPr defaultColWidth="8.7109375" defaultRowHeight="15"/>
  <cols>
    <col min="1" max="1" width="13.140625" style="1" customWidth="1"/>
    <col min="2" max="2" width="6.85546875" style="123" customWidth="1"/>
    <col min="3" max="7" width="8" style="1" customWidth="1"/>
    <col min="8" max="8" width="6.85546875" style="1" customWidth="1"/>
    <col min="9" max="12" width="8" style="1" customWidth="1"/>
    <col min="13" max="16" width="6.85546875" style="1" customWidth="1"/>
    <col min="17" max="21" width="7" style="1" customWidth="1"/>
    <col min="22" max="22" width="7.85546875" style="1" customWidth="1"/>
    <col min="23" max="27" width="8.42578125" style="1" customWidth="1"/>
    <col min="28" max="16384" width="8.7109375" style="1"/>
  </cols>
  <sheetData>
    <row r="1" spans="1:27" s="233" customFormat="1" ht="47.25" thickBot="1">
      <c r="A1" s="750" t="s">
        <v>313</v>
      </c>
      <c r="B1" s="620"/>
      <c r="C1" s="620"/>
      <c r="D1" s="620"/>
      <c r="E1" s="620"/>
      <c r="F1" s="621"/>
      <c r="G1" s="751" t="s">
        <v>457</v>
      </c>
      <c r="H1" s="752"/>
      <c r="I1" s="752"/>
      <c r="J1" s="752"/>
      <c r="K1" s="752"/>
      <c r="L1" s="752"/>
      <c r="M1" s="752"/>
      <c r="N1" s="752"/>
      <c r="O1" s="752"/>
      <c r="P1" s="752"/>
      <c r="Q1" s="752"/>
      <c r="R1" s="752"/>
      <c r="S1" s="752"/>
      <c r="T1" s="752"/>
      <c r="U1" s="752"/>
      <c r="V1" s="752"/>
      <c r="W1" s="752"/>
      <c r="X1" s="752"/>
      <c r="Y1" s="752"/>
      <c r="Z1" s="752"/>
      <c r="AA1" s="752"/>
    </row>
    <row r="2" spans="1:27" ht="26.45" customHeight="1" thickBot="1">
      <c r="A2" s="753"/>
      <c r="B2" s="755" t="s">
        <v>81</v>
      </c>
      <c r="C2" s="756"/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  <c r="P2" s="757"/>
      <c r="Q2" s="768" t="s">
        <v>202</v>
      </c>
      <c r="R2" s="769"/>
      <c r="S2" s="769"/>
      <c r="T2" s="769"/>
      <c r="U2" s="769"/>
      <c r="V2" s="769"/>
      <c r="W2" s="769"/>
      <c r="X2" s="769"/>
      <c r="Y2" s="769"/>
      <c r="Z2" s="769"/>
      <c r="AA2" s="770"/>
    </row>
    <row r="3" spans="1:27" ht="24" customHeight="1" thickBot="1">
      <c r="A3" s="754"/>
      <c r="B3" s="758" t="s">
        <v>77</v>
      </c>
      <c r="C3" s="759"/>
      <c r="D3" s="759"/>
      <c r="E3" s="759"/>
      <c r="F3" s="759"/>
      <c r="G3" s="760"/>
      <c r="H3" s="761" t="s">
        <v>78</v>
      </c>
      <c r="I3" s="762"/>
      <c r="J3" s="762"/>
      <c r="K3" s="762"/>
      <c r="L3" s="762"/>
      <c r="M3" s="762"/>
      <c r="N3" s="762"/>
      <c r="O3" s="762"/>
      <c r="P3" s="763"/>
      <c r="Q3" s="765" t="s">
        <v>77</v>
      </c>
      <c r="R3" s="766"/>
      <c r="S3" s="766"/>
      <c r="T3" s="766"/>
      <c r="U3" s="767"/>
      <c r="V3" s="764" t="s">
        <v>78</v>
      </c>
      <c r="W3" s="762"/>
      <c r="X3" s="762"/>
      <c r="Y3" s="762"/>
      <c r="Z3" s="762"/>
      <c r="AA3" s="763"/>
    </row>
    <row r="4" spans="1:27" ht="27.75" customHeight="1" thickTop="1" thickBot="1">
      <c r="A4" s="119" t="s">
        <v>175</v>
      </c>
      <c r="B4" s="125" t="s">
        <v>306</v>
      </c>
      <c r="C4" s="369" t="s">
        <v>176</v>
      </c>
      <c r="D4" s="126" t="s">
        <v>177</v>
      </c>
      <c r="E4" s="126" t="s">
        <v>178</v>
      </c>
      <c r="F4" s="126" t="s">
        <v>305</v>
      </c>
      <c r="G4" s="370" t="s">
        <v>179</v>
      </c>
      <c r="H4" s="139" t="s">
        <v>180</v>
      </c>
      <c r="I4" s="371" t="s">
        <v>203</v>
      </c>
      <c r="J4" s="371" t="s">
        <v>204</v>
      </c>
      <c r="K4" s="371" t="s">
        <v>181</v>
      </c>
      <c r="L4" s="371" t="s">
        <v>182</v>
      </c>
      <c r="M4" s="382" t="s">
        <v>183</v>
      </c>
      <c r="N4" s="383" t="s">
        <v>184</v>
      </c>
      <c r="O4" s="383" t="s">
        <v>200</v>
      </c>
      <c r="P4" s="383" t="s">
        <v>201</v>
      </c>
      <c r="Q4" s="130" t="s">
        <v>306</v>
      </c>
      <c r="R4" s="131" t="s">
        <v>90</v>
      </c>
      <c r="S4" s="131" t="s">
        <v>185</v>
      </c>
      <c r="T4" s="132" t="s">
        <v>186</v>
      </c>
      <c r="U4" s="133" t="s">
        <v>187</v>
      </c>
      <c r="V4" s="127" t="s">
        <v>180</v>
      </c>
      <c r="W4" s="129" t="s">
        <v>188</v>
      </c>
      <c r="X4" s="129" t="s">
        <v>307</v>
      </c>
      <c r="Y4" s="129" t="s">
        <v>189</v>
      </c>
      <c r="Z4" s="129" t="s">
        <v>190</v>
      </c>
      <c r="AA4" s="128" t="s">
        <v>191</v>
      </c>
    </row>
    <row r="5" spans="1:27" ht="17.25" thickTop="1" thickBot="1">
      <c r="A5" s="259">
        <v>44025</v>
      </c>
      <c r="B5" s="260"/>
      <c r="C5" s="260"/>
      <c r="D5" s="260"/>
      <c r="E5" s="260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0"/>
      <c r="Q5" s="260"/>
      <c r="R5" s="260"/>
      <c r="S5" s="260"/>
      <c r="T5" s="260"/>
      <c r="U5" s="260"/>
      <c r="V5" s="260"/>
      <c r="W5" s="260"/>
      <c r="X5" s="261"/>
      <c r="Y5" s="260"/>
      <c r="Z5" s="260"/>
      <c r="AA5" s="260"/>
    </row>
    <row r="6" spans="1:27" ht="17.25" thickTop="1" thickBot="1">
      <c r="A6" s="259">
        <v>44024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1"/>
      <c r="Y6" s="260"/>
      <c r="Z6" s="260"/>
      <c r="AA6" s="260"/>
    </row>
    <row r="7" spans="1:27" ht="17.25" thickTop="1" thickBot="1">
      <c r="A7" s="259">
        <v>44023</v>
      </c>
      <c r="B7" s="260"/>
      <c r="C7" s="260"/>
      <c r="D7" s="260"/>
      <c r="E7" s="260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60"/>
      <c r="U7" s="260"/>
      <c r="V7" s="260"/>
      <c r="W7" s="260"/>
      <c r="X7" s="261"/>
      <c r="Y7" s="260"/>
      <c r="Z7" s="260"/>
      <c r="AA7" s="260"/>
    </row>
    <row r="8" spans="1:27" ht="17.25" thickTop="1" thickBot="1">
      <c r="A8" s="259">
        <v>44022</v>
      </c>
      <c r="B8" s="260"/>
      <c r="C8" s="260"/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0"/>
      <c r="S8" s="260"/>
      <c r="T8" s="260"/>
      <c r="U8" s="260"/>
      <c r="V8" s="260"/>
      <c r="W8" s="260"/>
      <c r="X8" s="261"/>
      <c r="Y8" s="260"/>
      <c r="Z8" s="260"/>
      <c r="AA8" s="260"/>
    </row>
    <row r="9" spans="1:27" ht="17.25" thickTop="1" thickBot="1">
      <c r="A9" s="259">
        <v>44021</v>
      </c>
      <c r="B9" s="260"/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1"/>
      <c r="Y9" s="260"/>
      <c r="Z9" s="260"/>
      <c r="AA9" s="260"/>
    </row>
    <row r="10" spans="1:27" ht="17.25" thickTop="1" thickBot="1">
      <c r="A10" s="259">
        <v>44020</v>
      </c>
      <c r="B10" s="260"/>
      <c r="C10" s="260"/>
      <c r="D10" s="260"/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1"/>
      <c r="Y10" s="260"/>
      <c r="Z10" s="260"/>
      <c r="AA10" s="260"/>
    </row>
    <row r="11" spans="1:27" ht="17.25" thickTop="1" thickBot="1">
      <c r="A11" s="259">
        <v>44019</v>
      </c>
      <c r="B11" s="260"/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0"/>
      <c r="R11" s="260"/>
      <c r="S11" s="260"/>
      <c r="T11" s="260"/>
      <c r="U11" s="260"/>
      <c r="V11" s="260"/>
      <c r="W11" s="260"/>
      <c r="X11" s="261"/>
      <c r="Y11" s="260"/>
      <c r="Z11" s="260"/>
      <c r="AA11" s="260"/>
    </row>
    <row r="12" spans="1:27" ht="17.25" thickTop="1" thickBot="1">
      <c r="A12" s="259">
        <v>44018</v>
      </c>
      <c r="B12" s="260"/>
      <c r="C12" s="260"/>
      <c r="D12" s="260"/>
      <c r="E12" s="260"/>
      <c r="F12" s="260"/>
      <c r="G12" s="260"/>
      <c r="H12" s="260"/>
      <c r="I12" s="260"/>
      <c r="J12" s="260"/>
      <c r="K12" s="260"/>
      <c r="L12" s="260"/>
      <c r="M12" s="260"/>
      <c r="N12" s="260"/>
      <c r="O12" s="260"/>
      <c r="P12" s="260"/>
      <c r="Q12" s="260"/>
      <c r="R12" s="260"/>
      <c r="S12" s="260"/>
      <c r="T12" s="260"/>
      <c r="U12" s="260"/>
      <c r="V12" s="260"/>
      <c r="W12" s="260"/>
      <c r="X12" s="261"/>
      <c r="Y12" s="260"/>
      <c r="Z12" s="260"/>
      <c r="AA12" s="260"/>
    </row>
    <row r="13" spans="1:27" ht="17.25" thickTop="1" thickBot="1">
      <c r="A13" s="259">
        <v>44017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0"/>
      <c r="P13" s="260"/>
      <c r="Q13" s="260"/>
      <c r="R13" s="260"/>
      <c r="S13" s="260"/>
      <c r="T13" s="260"/>
      <c r="U13" s="260"/>
      <c r="V13" s="260"/>
      <c r="W13" s="260"/>
      <c r="X13" s="261"/>
      <c r="Y13" s="260"/>
      <c r="Z13" s="260"/>
      <c r="AA13" s="260"/>
    </row>
    <row r="14" spans="1:27" ht="17.25" thickTop="1" thickBot="1">
      <c r="A14" s="259">
        <v>44016</v>
      </c>
      <c r="B14" s="260"/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1"/>
      <c r="Y14" s="260"/>
      <c r="Z14" s="260"/>
      <c r="AA14" s="260"/>
    </row>
    <row r="15" spans="1:27" ht="17.25" thickTop="1" thickBot="1">
      <c r="A15" s="259">
        <v>44015</v>
      </c>
      <c r="B15" s="260"/>
      <c r="C15" s="260"/>
      <c r="D15" s="260"/>
      <c r="E15" s="260"/>
      <c r="F15" s="260"/>
      <c r="G15" s="260"/>
      <c r="H15" s="260"/>
      <c r="I15" s="260"/>
      <c r="J15" s="260"/>
      <c r="K15" s="260"/>
      <c r="L15" s="260"/>
      <c r="M15" s="260"/>
      <c r="N15" s="260"/>
      <c r="O15" s="260"/>
      <c r="P15" s="260"/>
      <c r="Q15" s="260"/>
      <c r="R15" s="260"/>
      <c r="S15" s="260"/>
      <c r="T15" s="260"/>
      <c r="U15" s="260"/>
      <c r="V15" s="260"/>
      <c r="W15" s="260"/>
      <c r="X15" s="261"/>
      <c r="Y15" s="260"/>
      <c r="Z15" s="260"/>
      <c r="AA15" s="260"/>
    </row>
    <row r="16" spans="1:27" ht="17.25" thickTop="1" thickBot="1">
      <c r="A16" s="259">
        <v>44014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1"/>
      <c r="Y16" s="260"/>
      <c r="Z16" s="260"/>
      <c r="AA16" s="260"/>
    </row>
    <row r="17" spans="1:27" ht="17.25" thickTop="1" thickBot="1">
      <c r="A17" s="259">
        <v>44013</v>
      </c>
      <c r="B17" s="260"/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1"/>
      <c r="Y17" s="260"/>
      <c r="Z17" s="260"/>
      <c r="AA17" s="260"/>
    </row>
    <row r="18" spans="1:27" ht="17.25" thickTop="1" thickBot="1">
      <c r="A18" s="259">
        <v>44012</v>
      </c>
      <c r="B18" s="260"/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1"/>
      <c r="Y18" s="260"/>
      <c r="Z18" s="260"/>
      <c r="AA18" s="260"/>
    </row>
    <row r="19" spans="1:27" ht="17.25" thickTop="1" thickBot="1">
      <c r="A19" s="259">
        <v>44011</v>
      </c>
      <c r="B19" s="260"/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1"/>
      <c r="Y19" s="260"/>
      <c r="Z19" s="260"/>
      <c r="AA19" s="260"/>
    </row>
    <row r="20" spans="1:27" ht="17.25" thickTop="1" thickBot="1">
      <c r="A20" s="259">
        <v>44010</v>
      </c>
      <c r="B20" s="260"/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1"/>
      <c r="Y20" s="260"/>
      <c r="Z20" s="260"/>
      <c r="AA20" s="260"/>
    </row>
    <row r="21" spans="1:27" ht="17.25" thickTop="1" thickBot="1">
      <c r="A21" s="259">
        <v>44009</v>
      </c>
      <c r="B21" s="260"/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1"/>
      <c r="Y21" s="260"/>
      <c r="Z21" s="260"/>
      <c r="AA21" s="260"/>
    </row>
    <row r="22" spans="1:27" ht="17.25" thickTop="1" thickBot="1">
      <c r="A22" s="259">
        <v>44008</v>
      </c>
      <c r="B22" s="260"/>
      <c r="C22" s="260"/>
      <c r="D22" s="260"/>
      <c r="E22" s="260"/>
      <c r="F22" s="260"/>
      <c r="G22" s="260"/>
      <c r="H22" s="260"/>
      <c r="I22" s="260"/>
      <c r="J22" s="260"/>
      <c r="K22" s="260"/>
      <c r="L22" s="260"/>
      <c r="M22" s="260"/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1"/>
      <c r="Y22" s="260"/>
      <c r="Z22" s="260"/>
      <c r="AA22" s="260"/>
    </row>
    <row r="23" spans="1:27" ht="17.25" thickTop="1" thickBot="1">
      <c r="A23" s="259">
        <v>44007</v>
      </c>
      <c r="B23" s="260"/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60"/>
      <c r="N23" s="260"/>
      <c r="O23" s="260"/>
      <c r="P23" s="260"/>
      <c r="Q23" s="260"/>
      <c r="R23" s="260"/>
      <c r="S23" s="260"/>
      <c r="T23" s="260"/>
      <c r="U23" s="260"/>
      <c r="V23" s="260"/>
      <c r="W23" s="260"/>
      <c r="X23" s="261"/>
      <c r="Y23" s="260"/>
      <c r="Z23" s="260"/>
      <c r="AA23" s="260"/>
    </row>
    <row r="24" spans="1:27" ht="17.25" thickTop="1" thickBot="1">
      <c r="A24" s="259">
        <v>44006</v>
      </c>
      <c r="B24" s="260"/>
      <c r="C24" s="260"/>
      <c r="D24" s="260"/>
      <c r="E24" s="260"/>
      <c r="F24" s="260"/>
      <c r="G24" s="260"/>
      <c r="H24" s="260"/>
      <c r="I24" s="260"/>
      <c r="J24" s="260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1"/>
      <c r="Y24" s="260"/>
      <c r="Z24" s="260"/>
      <c r="AA24" s="260"/>
    </row>
    <row r="25" spans="1:27" ht="17.25" thickTop="1" thickBot="1">
      <c r="A25" s="259">
        <v>44005</v>
      </c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0"/>
      <c r="P25" s="260"/>
      <c r="Q25" s="260"/>
      <c r="R25" s="260"/>
      <c r="S25" s="260"/>
      <c r="T25" s="260"/>
      <c r="U25" s="260"/>
      <c r="V25" s="260"/>
      <c r="W25" s="260"/>
      <c r="X25" s="261"/>
      <c r="Y25" s="260"/>
      <c r="Z25" s="260"/>
      <c r="AA25" s="260"/>
    </row>
    <row r="26" spans="1:27" ht="17.25" thickTop="1" thickBot="1">
      <c r="A26" s="259">
        <v>44004</v>
      </c>
      <c r="B26" s="260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  <c r="N26" s="260"/>
      <c r="O26" s="260"/>
      <c r="P26" s="260"/>
      <c r="Q26" s="260"/>
      <c r="R26" s="260"/>
      <c r="S26" s="260"/>
      <c r="T26" s="260"/>
      <c r="U26" s="260"/>
      <c r="V26" s="260"/>
      <c r="W26" s="260"/>
      <c r="X26" s="261"/>
      <c r="Y26" s="260"/>
      <c r="Z26" s="260"/>
      <c r="AA26" s="260"/>
    </row>
    <row r="27" spans="1:27" ht="17.25" thickTop="1" thickBot="1">
      <c r="A27" s="259">
        <v>44003</v>
      </c>
      <c r="B27" s="260"/>
      <c r="C27" s="260"/>
      <c r="D27" s="260"/>
      <c r="E27" s="260"/>
      <c r="F27" s="260"/>
      <c r="G27" s="260"/>
      <c r="H27" s="260"/>
      <c r="I27" s="260"/>
      <c r="J27" s="260"/>
      <c r="K27" s="260"/>
      <c r="L27" s="260"/>
      <c r="M27" s="260"/>
      <c r="N27" s="260"/>
      <c r="O27" s="260"/>
      <c r="P27" s="260"/>
      <c r="Q27" s="260"/>
      <c r="R27" s="260"/>
      <c r="S27" s="260"/>
      <c r="T27" s="260"/>
      <c r="U27" s="260"/>
      <c r="V27" s="260"/>
      <c r="W27" s="260"/>
      <c r="X27" s="261"/>
      <c r="Y27" s="260"/>
      <c r="Z27" s="260"/>
      <c r="AA27" s="260"/>
    </row>
    <row r="28" spans="1:27" ht="17.25" thickTop="1" thickBot="1">
      <c r="A28" s="259">
        <v>44002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1"/>
      <c r="Y28" s="260"/>
      <c r="Z28" s="260"/>
      <c r="AA28" s="260"/>
    </row>
    <row r="29" spans="1:27" ht="17.25" thickTop="1" thickBot="1">
      <c r="A29" s="259">
        <v>44001</v>
      </c>
      <c r="B29" s="260"/>
      <c r="C29" s="260"/>
      <c r="D29" s="260"/>
      <c r="E29" s="260"/>
      <c r="F29" s="260"/>
      <c r="G29" s="260"/>
      <c r="H29" s="260"/>
      <c r="I29" s="260"/>
      <c r="J29" s="260"/>
      <c r="K29" s="260"/>
      <c r="L29" s="260"/>
      <c r="M29" s="260"/>
      <c r="N29" s="260"/>
      <c r="O29" s="260"/>
      <c r="P29" s="260"/>
      <c r="Q29" s="260"/>
      <c r="R29" s="260"/>
      <c r="S29" s="260"/>
      <c r="T29" s="260"/>
      <c r="U29" s="260"/>
      <c r="V29" s="260"/>
      <c r="W29" s="260"/>
      <c r="X29" s="261"/>
      <c r="Y29" s="260"/>
      <c r="Z29" s="260"/>
      <c r="AA29" s="260"/>
    </row>
    <row r="30" spans="1:27" ht="17.25" thickTop="1" thickBot="1">
      <c r="A30" s="259">
        <v>44000</v>
      </c>
      <c r="B30" s="260"/>
      <c r="C30" s="260"/>
      <c r="D30" s="260"/>
      <c r="E30" s="260"/>
      <c r="F30" s="260"/>
      <c r="G30" s="260"/>
      <c r="H30" s="260"/>
      <c r="I30" s="260"/>
      <c r="J30" s="260"/>
      <c r="K30" s="260"/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1"/>
      <c r="Y30" s="260"/>
      <c r="Z30" s="260"/>
      <c r="AA30" s="260"/>
    </row>
    <row r="31" spans="1:27" ht="17.25" thickTop="1" thickBot="1">
      <c r="A31" s="259">
        <v>43999</v>
      </c>
      <c r="B31" s="260"/>
      <c r="C31" s="260"/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1"/>
      <c r="Y31" s="260"/>
      <c r="Z31" s="260"/>
      <c r="AA31" s="260"/>
    </row>
    <row r="32" spans="1:27" ht="17.25" thickTop="1" thickBot="1">
      <c r="A32" s="259">
        <v>43998</v>
      </c>
      <c r="B32" s="260"/>
      <c r="C32" s="260"/>
      <c r="D32" s="260"/>
      <c r="E32" s="260"/>
      <c r="F32" s="260"/>
      <c r="G32" s="260"/>
      <c r="H32" s="260"/>
      <c r="I32" s="260"/>
      <c r="J32" s="260"/>
      <c r="K32" s="260"/>
      <c r="L32" s="260"/>
      <c r="M32" s="260"/>
      <c r="N32" s="260"/>
      <c r="O32" s="260"/>
      <c r="P32" s="260"/>
      <c r="Q32" s="260"/>
      <c r="R32" s="260"/>
      <c r="S32" s="260"/>
      <c r="T32" s="260"/>
      <c r="U32" s="260"/>
      <c r="V32" s="260"/>
      <c r="W32" s="260"/>
      <c r="X32" s="261"/>
      <c r="Y32" s="260"/>
      <c r="Z32" s="260"/>
      <c r="AA32" s="260"/>
    </row>
    <row r="33" spans="1:27" ht="17.25" thickTop="1" thickBot="1">
      <c r="A33" s="259">
        <v>43997</v>
      </c>
      <c r="B33" s="260"/>
      <c r="C33" s="260"/>
      <c r="D33" s="260"/>
      <c r="E33" s="260"/>
      <c r="F33" s="260"/>
      <c r="G33" s="260"/>
      <c r="H33" s="260"/>
      <c r="I33" s="260"/>
      <c r="J33" s="260"/>
      <c r="K33" s="260"/>
      <c r="L33" s="260"/>
      <c r="M33" s="260"/>
      <c r="N33" s="260"/>
      <c r="O33" s="260"/>
      <c r="P33" s="260"/>
      <c r="Q33" s="260"/>
      <c r="R33" s="260"/>
      <c r="S33" s="260"/>
      <c r="T33" s="260"/>
      <c r="U33" s="260"/>
      <c r="V33" s="260"/>
      <c r="W33" s="260"/>
      <c r="X33" s="261"/>
      <c r="Y33" s="260"/>
      <c r="Z33" s="260"/>
      <c r="AA33" s="260"/>
    </row>
    <row r="34" spans="1:27" ht="17.25" thickTop="1" thickBot="1">
      <c r="A34" s="259">
        <v>43996</v>
      </c>
      <c r="B34" s="260"/>
      <c r="C34" s="260"/>
      <c r="D34" s="260"/>
      <c r="E34" s="260"/>
      <c r="F34" s="260"/>
      <c r="G34" s="260"/>
      <c r="H34" s="260"/>
      <c r="I34" s="260"/>
      <c r="J34" s="260"/>
      <c r="K34" s="260"/>
      <c r="L34" s="260"/>
      <c r="M34" s="260"/>
      <c r="N34" s="260"/>
      <c r="O34" s="260"/>
      <c r="P34" s="260"/>
      <c r="Q34" s="260"/>
      <c r="R34" s="260"/>
      <c r="S34" s="260"/>
      <c r="T34" s="260"/>
      <c r="U34" s="260"/>
      <c r="V34" s="260"/>
      <c r="W34" s="260"/>
      <c r="X34" s="261"/>
      <c r="Y34" s="260"/>
      <c r="Z34" s="260"/>
      <c r="AA34" s="260"/>
    </row>
    <row r="35" spans="1:27" ht="17.25" thickTop="1" thickBot="1">
      <c r="A35" s="259">
        <v>43995</v>
      </c>
      <c r="B35" s="260"/>
      <c r="C35" s="260"/>
      <c r="D35" s="260"/>
      <c r="E35" s="260"/>
      <c r="F35" s="260"/>
      <c r="G35" s="260"/>
      <c r="H35" s="260"/>
      <c r="I35" s="260"/>
      <c r="J35" s="260"/>
      <c r="K35" s="260"/>
      <c r="L35" s="260"/>
      <c r="M35" s="260"/>
      <c r="N35" s="260"/>
      <c r="O35" s="260"/>
      <c r="P35" s="260"/>
      <c r="Q35" s="260"/>
      <c r="R35" s="260"/>
      <c r="S35" s="260"/>
      <c r="T35" s="260"/>
      <c r="U35" s="260"/>
      <c r="V35" s="260"/>
      <c r="W35" s="260"/>
      <c r="X35" s="261"/>
      <c r="Y35" s="260"/>
      <c r="Z35" s="260"/>
      <c r="AA35" s="260"/>
    </row>
    <row r="36" spans="1:27" ht="17.25" thickTop="1" thickBot="1">
      <c r="A36" s="259">
        <v>43994</v>
      </c>
      <c r="B36" s="260"/>
      <c r="C36" s="260"/>
      <c r="D36" s="260"/>
      <c r="E36" s="260"/>
      <c r="F36" s="260"/>
      <c r="G36" s="260"/>
      <c r="H36" s="260"/>
      <c r="I36" s="260"/>
      <c r="J36" s="260"/>
      <c r="K36" s="260"/>
      <c r="L36" s="260"/>
      <c r="M36" s="260"/>
      <c r="N36" s="260"/>
      <c r="O36" s="260"/>
      <c r="P36" s="260"/>
      <c r="Q36" s="260"/>
      <c r="R36" s="260"/>
      <c r="S36" s="260"/>
      <c r="T36" s="260"/>
      <c r="U36" s="260"/>
      <c r="V36" s="260"/>
      <c r="W36" s="260"/>
      <c r="X36" s="261"/>
      <c r="Y36" s="260"/>
      <c r="Z36" s="260"/>
      <c r="AA36" s="260"/>
    </row>
    <row r="37" spans="1:27" ht="17.25" thickTop="1" thickBot="1">
      <c r="A37" s="259">
        <v>43993</v>
      </c>
      <c r="B37" s="260"/>
      <c r="C37" s="260"/>
      <c r="D37" s="260"/>
      <c r="E37" s="260"/>
      <c r="F37" s="260"/>
      <c r="G37" s="260"/>
      <c r="H37" s="260"/>
      <c r="I37" s="260"/>
      <c r="J37" s="260"/>
      <c r="K37" s="260"/>
      <c r="L37" s="260"/>
      <c r="M37" s="260"/>
      <c r="N37" s="260"/>
      <c r="O37" s="260"/>
      <c r="P37" s="260"/>
      <c r="Q37" s="260"/>
      <c r="R37" s="260"/>
      <c r="S37" s="260"/>
      <c r="T37" s="260"/>
      <c r="U37" s="260"/>
      <c r="V37" s="260"/>
      <c r="W37" s="260"/>
      <c r="X37" s="261"/>
      <c r="Y37" s="260"/>
      <c r="Z37" s="260"/>
      <c r="AA37" s="260"/>
    </row>
    <row r="38" spans="1:27" ht="17.25" thickTop="1" thickBot="1">
      <c r="A38" s="259">
        <v>43992</v>
      </c>
      <c r="B38" s="260"/>
      <c r="C38" s="260"/>
      <c r="D38" s="260"/>
      <c r="E38" s="260"/>
      <c r="F38" s="260"/>
      <c r="G38" s="260"/>
      <c r="H38" s="260"/>
      <c r="I38" s="260"/>
      <c r="J38" s="260"/>
      <c r="K38" s="260"/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1"/>
      <c r="Y38" s="260"/>
      <c r="Z38" s="260"/>
      <c r="AA38" s="260"/>
    </row>
    <row r="39" spans="1:27" ht="17.25" thickTop="1" thickBot="1">
      <c r="A39" s="259">
        <v>43991</v>
      </c>
      <c r="B39" s="260"/>
      <c r="C39" s="260"/>
      <c r="D39" s="260"/>
      <c r="E39" s="260"/>
      <c r="F39" s="260"/>
      <c r="G39" s="260"/>
      <c r="H39" s="260"/>
      <c r="I39" s="260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1"/>
      <c r="Y39" s="260"/>
      <c r="Z39" s="260"/>
      <c r="AA39" s="260"/>
    </row>
    <row r="40" spans="1:27" ht="17.25" thickTop="1" thickBot="1">
      <c r="A40" s="259">
        <v>43990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1"/>
      <c r="Y40" s="260"/>
      <c r="Z40" s="260"/>
      <c r="AA40" s="260"/>
    </row>
    <row r="41" spans="1:27" ht="17.25" thickTop="1" thickBot="1">
      <c r="A41" s="259">
        <v>43989</v>
      </c>
      <c r="B41" s="260"/>
      <c r="C41" s="260"/>
      <c r="D41" s="260"/>
      <c r="E41" s="260"/>
      <c r="F41" s="260"/>
      <c r="G41" s="260"/>
      <c r="H41" s="260"/>
      <c r="I41" s="260"/>
      <c r="J41" s="260"/>
      <c r="K41" s="260"/>
      <c r="L41" s="260"/>
      <c r="M41" s="260"/>
      <c r="N41" s="260"/>
      <c r="O41" s="260"/>
      <c r="P41" s="260"/>
      <c r="Q41" s="260"/>
      <c r="R41" s="260"/>
      <c r="S41" s="260"/>
      <c r="T41" s="260"/>
      <c r="U41" s="260"/>
      <c r="V41" s="260"/>
      <c r="W41" s="260"/>
      <c r="X41" s="261"/>
      <c r="Y41" s="260"/>
      <c r="Z41" s="260"/>
      <c r="AA41" s="260"/>
    </row>
    <row r="42" spans="1:27" ht="17.25" thickTop="1" thickBot="1">
      <c r="A42" s="259">
        <v>43988</v>
      </c>
      <c r="B42" s="260"/>
      <c r="C42" s="260"/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1"/>
      <c r="Y42" s="260"/>
      <c r="Z42" s="260"/>
      <c r="AA42" s="260"/>
    </row>
    <row r="43" spans="1:27" ht="17.25" thickTop="1" thickBot="1">
      <c r="A43" s="259">
        <v>43987</v>
      </c>
      <c r="B43" s="260"/>
      <c r="C43" s="260"/>
      <c r="D43" s="260"/>
      <c r="E43" s="260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260"/>
      <c r="U43" s="260"/>
      <c r="V43" s="260"/>
      <c r="W43" s="260"/>
      <c r="X43" s="261"/>
      <c r="Y43" s="260"/>
      <c r="Z43" s="260"/>
      <c r="AA43" s="260"/>
    </row>
    <row r="44" spans="1:27" ht="17.25" thickTop="1" thickBot="1">
      <c r="A44" s="259">
        <v>43986</v>
      </c>
      <c r="B44" s="260"/>
      <c r="C44" s="260"/>
      <c r="D44" s="260"/>
      <c r="E44" s="260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1"/>
      <c r="Y44" s="260"/>
      <c r="Z44" s="260"/>
      <c r="AA44" s="260"/>
    </row>
    <row r="45" spans="1:27" ht="17.25" thickTop="1" thickBot="1">
      <c r="A45" s="259">
        <v>43985</v>
      </c>
      <c r="B45" s="260"/>
      <c r="C45" s="260"/>
      <c r="D45" s="260"/>
      <c r="E45" s="260"/>
      <c r="F45" s="260"/>
      <c r="G45" s="260"/>
      <c r="H45" s="260"/>
      <c r="I45" s="260"/>
      <c r="J45" s="260"/>
      <c r="K45" s="260"/>
      <c r="L45" s="260"/>
      <c r="M45" s="260"/>
      <c r="N45" s="260"/>
      <c r="O45" s="260"/>
      <c r="P45" s="260"/>
      <c r="Q45" s="260"/>
      <c r="R45" s="260"/>
      <c r="S45" s="260"/>
      <c r="T45" s="260"/>
      <c r="U45" s="260"/>
      <c r="V45" s="260"/>
      <c r="W45" s="260"/>
      <c r="X45" s="261"/>
      <c r="Y45" s="260"/>
      <c r="Z45" s="260"/>
      <c r="AA45" s="260"/>
    </row>
    <row r="46" spans="1:27" ht="17.25" thickTop="1" thickBot="1">
      <c r="A46" s="259">
        <v>43984</v>
      </c>
      <c r="B46" s="260"/>
      <c r="C46" s="260"/>
      <c r="D46" s="260"/>
      <c r="E46" s="260"/>
      <c r="F46" s="260"/>
      <c r="G46" s="260"/>
      <c r="H46" s="260"/>
      <c r="I46" s="260"/>
      <c r="J46" s="260"/>
      <c r="K46" s="260"/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1"/>
      <c r="Y46" s="260"/>
      <c r="Z46" s="260"/>
      <c r="AA46" s="260"/>
    </row>
    <row r="47" spans="1:27" ht="17.25" thickTop="1" thickBot="1">
      <c r="A47" s="259">
        <v>43983</v>
      </c>
      <c r="B47" s="260"/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  <c r="R47" s="260"/>
      <c r="S47" s="260"/>
      <c r="T47" s="260"/>
      <c r="U47" s="260"/>
      <c r="V47" s="260"/>
      <c r="W47" s="260"/>
      <c r="X47" s="261"/>
      <c r="Y47" s="260"/>
      <c r="Z47" s="260"/>
      <c r="AA47" s="260"/>
    </row>
    <row r="48" spans="1:27" ht="17.25" thickTop="1" thickBot="1">
      <c r="A48" s="259">
        <v>43982</v>
      </c>
      <c r="B48" s="260"/>
      <c r="C48" s="260"/>
      <c r="D48" s="260"/>
      <c r="E48" s="260"/>
      <c r="F48" s="260"/>
      <c r="G48" s="260"/>
      <c r="H48" s="260"/>
      <c r="I48" s="260"/>
      <c r="J48" s="260"/>
      <c r="K48" s="260"/>
      <c r="L48" s="260"/>
      <c r="M48" s="260"/>
      <c r="N48" s="260"/>
      <c r="O48" s="260"/>
      <c r="P48" s="260"/>
      <c r="Q48" s="260"/>
      <c r="R48" s="260"/>
      <c r="S48" s="260"/>
      <c r="T48" s="260"/>
      <c r="U48" s="260"/>
      <c r="V48" s="260"/>
      <c r="W48" s="260"/>
      <c r="X48" s="261"/>
      <c r="Y48" s="260"/>
      <c r="Z48" s="260"/>
      <c r="AA48" s="260"/>
    </row>
    <row r="49" spans="1:27" ht="17.25" thickTop="1" thickBot="1">
      <c r="A49" s="259">
        <v>43981</v>
      </c>
      <c r="B49" s="260"/>
      <c r="C49" s="260"/>
      <c r="D49" s="260"/>
      <c r="E49" s="260"/>
      <c r="F49" s="260"/>
      <c r="G49" s="260"/>
      <c r="H49" s="260"/>
      <c r="I49" s="260"/>
      <c r="J49" s="260"/>
      <c r="K49" s="260"/>
      <c r="L49" s="260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1"/>
      <c r="Y49" s="260"/>
      <c r="Z49" s="260"/>
      <c r="AA49" s="260"/>
    </row>
    <row r="50" spans="1:27" ht="17.25" thickTop="1" thickBot="1">
      <c r="A50" s="259">
        <v>43980</v>
      </c>
      <c r="B50" s="260"/>
      <c r="C50" s="260"/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1"/>
      <c r="Y50" s="260"/>
      <c r="Z50" s="260"/>
      <c r="AA50" s="260"/>
    </row>
    <row r="51" spans="1:27" ht="17.25" thickTop="1" thickBot="1">
      <c r="A51" s="259">
        <v>43979</v>
      </c>
      <c r="B51" s="260"/>
      <c r="C51" s="260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60"/>
      <c r="O51" s="260"/>
      <c r="P51" s="260"/>
      <c r="Q51" s="260"/>
      <c r="R51" s="260"/>
      <c r="S51" s="260"/>
      <c r="T51" s="260"/>
      <c r="U51" s="260"/>
      <c r="V51" s="260"/>
      <c r="W51" s="260"/>
      <c r="X51" s="261"/>
      <c r="Y51" s="260"/>
      <c r="Z51" s="260"/>
      <c r="AA51" s="260"/>
    </row>
    <row r="52" spans="1:27" ht="17.25" thickTop="1" thickBot="1">
      <c r="A52" s="259">
        <v>43978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1"/>
      <c r="Y52" s="260"/>
      <c r="Z52" s="260"/>
      <c r="AA52" s="260"/>
    </row>
    <row r="53" spans="1:27" ht="17.25" thickTop="1" thickBot="1">
      <c r="A53" s="259">
        <v>43977</v>
      </c>
      <c r="B53" s="260"/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60"/>
      <c r="U53" s="260"/>
      <c r="V53" s="260"/>
      <c r="W53" s="260"/>
      <c r="X53" s="261"/>
      <c r="Y53" s="260"/>
      <c r="Z53" s="260"/>
      <c r="AA53" s="260"/>
    </row>
    <row r="54" spans="1:27" ht="17.25" thickTop="1" thickBot="1">
      <c r="A54" s="259">
        <v>43976</v>
      </c>
      <c r="B54" s="260"/>
      <c r="C54" s="260"/>
      <c r="D54" s="260"/>
      <c r="E54" s="260"/>
      <c r="F54" s="260"/>
      <c r="G54" s="260"/>
      <c r="H54" s="260"/>
      <c r="I54" s="260"/>
      <c r="J54" s="260"/>
      <c r="K54" s="260"/>
      <c r="L54" s="260"/>
      <c r="M54" s="260"/>
      <c r="N54" s="260"/>
      <c r="O54" s="260"/>
      <c r="P54" s="260"/>
      <c r="Q54" s="260"/>
      <c r="R54" s="260"/>
      <c r="S54" s="260"/>
      <c r="T54" s="260"/>
      <c r="U54" s="260"/>
      <c r="V54" s="260"/>
      <c r="W54" s="260"/>
      <c r="X54" s="261"/>
      <c r="Y54" s="260"/>
      <c r="Z54" s="260"/>
      <c r="AA54" s="260"/>
    </row>
    <row r="55" spans="1:27" ht="17.25" thickTop="1" thickBot="1">
      <c r="A55" s="259">
        <v>43975</v>
      </c>
      <c r="B55" s="260"/>
      <c r="C55" s="260"/>
      <c r="D55" s="260"/>
      <c r="E55" s="260"/>
      <c r="F55" s="260"/>
      <c r="G55" s="260"/>
      <c r="H55" s="260"/>
      <c r="I55" s="260"/>
      <c r="J55" s="260"/>
      <c r="K55" s="260"/>
      <c r="L55" s="260"/>
      <c r="M55" s="260"/>
      <c r="N55" s="260"/>
      <c r="O55" s="260"/>
      <c r="P55" s="260"/>
      <c r="Q55" s="260"/>
      <c r="R55" s="260"/>
      <c r="S55" s="260"/>
      <c r="T55" s="260"/>
      <c r="U55" s="260"/>
      <c r="V55" s="260"/>
      <c r="W55" s="260"/>
      <c r="X55" s="261"/>
      <c r="Y55" s="260"/>
      <c r="Z55" s="260"/>
      <c r="AA55" s="260"/>
    </row>
    <row r="56" spans="1:27" ht="17.25" thickTop="1" thickBot="1">
      <c r="A56" s="259">
        <v>43974</v>
      </c>
      <c r="B56" s="260"/>
      <c r="C56" s="260"/>
      <c r="D56" s="260"/>
      <c r="E56" s="260"/>
      <c r="F56" s="260"/>
      <c r="G56" s="260"/>
      <c r="H56" s="260"/>
      <c r="I56" s="260"/>
      <c r="J56" s="260"/>
      <c r="K56" s="260"/>
      <c r="L56" s="260"/>
      <c r="M56" s="260"/>
      <c r="N56" s="260"/>
      <c r="O56" s="260"/>
      <c r="P56" s="260"/>
      <c r="Q56" s="260"/>
      <c r="R56" s="260"/>
      <c r="S56" s="260"/>
      <c r="T56" s="260"/>
      <c r="U56" s="260"/>
      <c r="V56" s="260"/>
      <c r="W56" s="260"/>
      <c r="X56" s="261"/>
      <c r="Y56" s="260"/>
      <c r="Z56" s="260"/>
      <c r="AA56" s="260"/>
    </row>
    <row r="57" spans="1:27" ht="17.25" thickTop="1" thickBot="1">
      <c r="A57" s="259">
        <v>43973</v>
      </c>
      <c r="B57" s="260"/>
      <c r="C57" s="260"/>
      <c r="D57" s="260"/>
      <c r="E57" s="260"/>
      <c r="F57" s="260"/>
      <c r="G57" s="260"/>
      <c r="H57" s="260"/>
      <c r="I57" s="260"/>
      <c r="J57" s="260"/>
      <c r="K57" s="260"/>
      <c r="L57" s="260"/>
      <c r="M57" s="260"/>
      <c r="N57" s="260"/>
      <c r="O57" s="260"/>
      <c r="P57" s="260"/>
      <c r="Q57" s="260"/>
      <c r="R57" s="260"/>
      <c r="S57" s="260"/>
      <c r="T57" s="260"/>
      <c r="U57" s="260"/>
      <c r="V57" s="260"/>
      <c r="W57" s="260"/>
      <c r="X57" s="261"/>
      <c r="Y57" s="260"/>
      <c r="Z57" s="260"/>
      <c r="AA57" s="260"/>
    </row>
    <row r="58" spans="1:27" ht="17.25" thickTop="1" thickBot="1">
      <c r="A58" s="259">
        <v>43972</v>
      </c>
      <c r="B58" s="260"/>
      <c r="C58" s="260"/>
      <c r="D58" s="260"/>
      <c r="E58" s="260"/>
      <c r="F58" s="260"/>
      <c r="G58" s="260"/>
      <c r="H58" s="260"/>
      <c r="I58" s="260"/>
      <c r="J58" s="260"/>
      <c r="K58" s="260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1"/>
      <c r="Y58" s="260"/>
      <c r="Z58" s="260"/>
      <c r="AA58" s="260"/>
    </row>
    <row r="59" spans="1:27" ht="17.25" thickTop="1" thickBot="1">
      <c r="A59" s="259">
        <v>43971</v>
      </c>
      <c r="B59" s="260"/>
      <c r="C59" s="260"/>
      <c r="D59" s="260"/>
      <c r="E59" s="260"/>
      <c r="F59" s="260"/>
      <c r="G59" s="260"/>
      <c r="H59" s="260"/>
      <c r="I59" s="260"/>
      <c r="J59" s="260"/>
      <c r="K59" s="260"/>
      <c r="L59" s="260"/>
      <c r="M59" s="260"/>
      <c r="N59" s="260"/>
      <c r="O59" s="260"/>
      <c r="P59" s="260"/>
      <c r="Q59" s="260"/>
      <c r="R59" s="260"/>
      <c r="S59" s="260"/>
      <c r="T59" s="260"/>
      <c r="U59" s="260"/>
      <c r="V59" s="260"/>
      <c r="W59" s="260"/>
      <c r="X59" s="261"/>
      <c r="Y59" s="260"/>
      <c r="Z59" s="260"/>
      <c r="AA59" s="260"/>
    </row>
    <row r="60" spans="1:27" ht="17.25" thickTop="1" thickBot="1">
      <c r="A60" s="259">
        <v>43970</v>
      </c>
      <c r="B60" s="260"/>
      <c r="C60" s="260"/>
      <c r="D60" s="260"/>
      <c r="E60" s="260"/>
      <c r="F60" s="260"/>
      <c r="G60" s="260"/>
      <c r="H60" s="260"/>
      <c r="I60" s="260"/>
      <c r="J60" s="260"/>
      <c r="K60" s="260"/>
      <c r="L60" s="260"/>
      <c r="M60" s="260"/>
      <c r="N60" s="260"/>
      <c r="O60" s="260"/>
      <c r="P60" s="260"/>
      <c r="Q60" s="260"/>
      <c r="R60" s="260"/>
      <c r="S60" s="260"/>
      <c r="T60" s="260"/>
      <c r="U60" s="260"/>
      <c r="V60" s="260"/>
      <c r="W60" s="260"/>
      <c r="X60" s="261"/>
      <c r="Y60" s="260"/>
      <c r="Z60" s="260"/>
      <c r="AA60" s="260"/>
    </row>
    <row r="61" spans="1:27" ht="17.25" thickTop="1" thickBot="1">
      <c r="A61" s="259">
        <v>43969</v>
      </c>
      <c r="B61" s="260"/>
      <c r="C61" s="260"/>
      <c r="D61" s="260"/>
      <c r="E61" s="260"/>
      <c r="F61" s="260"/>
      <c r="G61" s="260"/>
      <c r="H61" s="260"/>
      <c r="I61" s="260"/>
      <c r="J61" s="260"/>
      <c r="K61" s="260"/>
      <c r="L61" s="260"/>
      <c r="M61" s="260"/>
      <c r="N61" s="260"/>
      <c r="O61" s="260"/>
      <c r="P61" s="260"/>
      <c r="Q61" s="260"/>
      <c r="R61" s="260"/>
      <c r="S61" s="260"/>
      <c r="T61" s="260"/>
      <c r="U61" s="260"/>
      <c r="V61" s="260"/>
      <c r="W61" s="260"/>
      <c r="X61" s="261"/>
      <c r="Y61" s="260"/>
      <c r="Z61" s="260"/>
      <c r="AA61" s="260"/>
    </row>
    <row r="62" spans="1:27" ht="17.25" thickTop="1" thickBot="1">
      <c r="A62" s="259">
        <v>43968</v>
      </c>
      <c r="B62" s="260"/>
      <c r="C62" s="260">
        <v>341000</v>
      </c>
      <c r="D62" s="260"/>
      <c r="E62" s="260"/>
      <c r="F62" s="260"/>
      <c r="G62" s="260">
        <v>16930</v>
      </c>
      <c r="H62" s="260"/>
      <c r="I62" s="260" t="s">
        <v>99</v>
      </c>
      <c r="J62" s="260" t="s">
        <v>99</v>
      </c>
      <c r="K62" s="260">
        <v>44000</v>
      </c>
      <c r="L62" s="260">
        <v>26000</v>
      </c>
      <c r="M62" s="260">
        <v>1000</v>
      </c>
      <c r="N62" s="260">
        <v>1000</v>
      </c>
      <c r="O62" s="260">
        <v>0</v>
      </c>
      <c r="P62" s="260">
        <v>0</v>
      </c>
      <c r="Q62" s="260"/>
      <c r="R62" s="260">
        <v>3900</v>
      </c>
      <c r="S62" s="260">
        <v>2100</v>
      </c>
      <c r="T62" s="260">
        <v>5200</v>
      </c>
      <c r="U62" s="260">
        <v>5200</v>
      </c>
      <c r="V62" s="260"/>
      <c r="W62" s="260">
        <v>3000</v>
      </c>
      <c r="X62" s="261">
        <v>800</v>
      </c>
      <c r="Y62" s="260">
        <v>3000</v>
      </c>
      <c r="Z62" s="260">
        <v>2000</v>
      </c>
      <c r="AA62" s="260">
        <v>1000</v>
      </c>
    </row>
    <row r="63" spans="1:27" ht="17.25" thickTop="1" thickBot="1">
      <c r="A63" s="259">
        <v>43967</v>
      </c>
      <c r="B63" s="260">
        <v>8</v>
      </c>
      <c r="C63" s="260">
        <v>341000</v>
      </c>
      <c r="D63" s="260">
        <v>126000</v>
      </c>
      <c r="E63" s="260">
        <v>215000</v>
      </c>
      <c r="F63" s="260">
        <v>63800</v>
      </c>
      <c r="G63" s="260">
        <v>96400</v>
      </c>
      <c r="H63" s="260">
        <v>12</v>
      </c>
      <c r="I63" s="260">
        <v>1000</v>
      </c>
      <c r="J63" s="260">
        <v>1000</v>
      </c>
      <c r="K63" s="260">
        <v>32000</v>
      </c>
      <c r="L63" s="260">
        <v>24000</v>
      </c>
      <c r="M63" s="260">
        <v>1000</v>
      </c>
      <c r="N63" s="260">
        <v>1000</v>
      </c>
      <c r="O63" s="260">
        <v>0</v>
      </c>
      <c r="P63" s="260">
        <v>0</v>
      </c>
      <c r="Q63" s="260">
        <v>1</v>
      </c>
      <c r="R63" s="260">
        <v>5200</v>
      </c>
      <c r="S63" s="260">
        <v>5200</v>
      </c>
      <c r="T63" s="260">
        <v>5200</v>
      </c>
      <c r="U63" s="260">
        <v>5200</v>
      </c>
      <c r="V63" s="260">
        <v>1</v>
      </c>
      <c r="W63" s="260">
        <v>1000</v>
      </c>
      <c r="X63" s="261">
        <v>400</v>
      </c>
      <c r="Y63" s="260">
        <v>1000</v>
      </c>
      <c r="Z63" s="260">
        <v>500</v>
      </c>
      <c r="AA63" s="260">
        <v>1000</v>
      </c>
    </row>
    <row r="64" spans="1:27" ht="17.25" thickTop="1" thickBot="1">
      <c r="A64" s="259">
        <v>43966</v>
      </c>
      <c r="B64" s="260">
        <v>8</v>
      </c>
      <c r="C64" s="260">
        <v>344000</v>
      </c>
      <c r="D64" s="260">
        <v>126000</v>
      </c>
      <c r="E64" s="260">
        <v>218000</v>
      </c>
      <c r="F64" s="260">
        <v>65800</v>
      </c>
      <c r="G64" s="260">
        <v>100100</v>
      </c>
      <c r="H64" s="260">
        <v>12</v>
      </c>
      <c r="I64" s="260">
        <v>1000</v>
      </c>
      <c r="J64" s="260">
        <v>1000</v>
      </c>
      <c r="K64" s="260">
        <v>22000</v>
      </c>
      <c r="L64" s="260">
        <v>26000</v>
      </c>
      <c r="M64" s="260">
        <v>1000</v>
      </c>
      <c r="N64" s="260">
        <v>1000</v>
      </c>
      <c r="O64" s="260">
        <v>0</v>
      </c>
      <c r="P64" s="260">
        <v>0</v>
      </c>
      <c r="Q64" s="260">
        <v>1</v>
      </c>
      <c r="R64" s="260">
        <v>4700</v>
      </c>
      <c r="S64" s="260">
        <v>3600</v>
      </c>
      <c r="T64" s="260">
        <v>5200</v>
      </c>
      <c r="U64" s="260">
        <v>5200</v>
      </c>
      <c r="V64" s="260">
        <v>0</v>
      </c>
      <c r="W64" s="260">
        <v>2000</v>
      </c>
      <c r="X64" s="261">
        <v>700</v>
      </c>
      <c r="Y64" s="260">
        <v>2000</v>
      </c>
      <c r="Z64" s="260">
        <v>2000</v>
      </c>
      <c r="AA64" s="260">
        <v>1000</v>
      </c>
    </row>
    <row r="65" spans="1:27" ht="17.25" thickTop="1" thickBot="1">
      <c r="A65" s="259">
        <v>43965</v>
      </c>
      <c r="B65" s="260">
        <v>8</v>
      </c>
      <c r="C65" s="260">
        <v>344000</v>
      </c>
      <c r="D65" s="260">
        <v>126000</v>
      </c>
      <c r="E65" s="260">
        <v>218000</v>
      </c>
      <c r="F65" s="260">
        <v>63100</v>
      </c>
      <c r="G65" s="260">
        <v>87900</v>
      </c>
      <c r="H65" s="260">
        <v>11</v>
      </c>
      <c r="I65" s="260">
        <v>1000</v>
      </c>
      <c r="J65" s="260">
        <v>1000</v>
      </c>
      <c r="K65" s="260">
        <v>22000</v>
      </c>
      <c r="L65" s="260">
        <v>20000</v>
      </c>
      <c r="M65" s="260">
        <v>500</v>
      </c>
      <c r="N65" s="260">
        <v>500</v>
      </c>
      <c r="O65" s="260">
        <v>0</v>
      </c>
      <c r="P65" s="260">
        <v>0</v>
      </c>
      <c r="Q65" s="260">
        <v>1</v>
      </c>
      <c r="R65" s="260">
        <v>5200</v>
      </c>
      <c r="S65" s="260">
        <v>5200</v>
      </c>
      <c r="T65" s="260">
        <v>5200</v>
      </c>
      <c r="U65" s="260">
        <v>5200</v>
      </c>
      <c r="V65" s="260">
        <v>1</v>
      </c>
      <c r="W65" s="260">
        <v>1000</v>
      </c>
      <c r="X65" s="261">
        <v>250</v>
      </c>
      <c r="Y65" s="260">
        <v>1000</v>
      </c>
      <c r="Z65" s="260">
        <v>1500</v>
      </c>
      <c r="AA65" s="260">
        <v>1000</v>
      </c>
    </row>
    <row r="66" spans="1:27" ht="17.25" thickTop="1" thickBot="1">
      <c r="A66" s="259">
        <v>43964</v>
      </c>
      <c r="B66" s="260">
        <v>7</v>
      </c>
      <c r="C66" s="260">
        <v>341000</v>
      </c>
      <c r="D66" s="260">
        <v>126000</v>
      </c>
      <c r="E66" s="260">
        <v>215000</v>
      </c>
      <c r="F66" s="260">
        <v>53700</v>
      </c>
      <c r="G66" s="260">
        <v>81600</v>
      </c>
      <c r="H66" s="260">
        <v>10</v>
      </c>
      <c r="I66" s="260">
        <v>1000</v>
      </c>
      <c r="J66" s="260">
        <v>1000</v>
      </c>
      <c r="K66" s="260">
        <v>12000</v>
      </c>
      <c r="L66" s="260">
        <v>20000</v>
      </c>
      <c r="M66" s="260">
        <v>500</v>
      </c>
      <c r="N66" s="260">
        <v>500</v>
      </c>
      <c r="O66" s="260">
        <v>0</v>
      </c>
      <c r="P66" s="260">
        <v>0</v>
      </c>
      <c r="Q66" s="260">
        <v>0</v>
      </c>
      <c r="R66" s="260">
        <v>3100</v>
      </c>
      <c r="S66" s="260">
        <v>4200</v>
      </c>
      <c r="T66" s="260">
        <v>5200</v>
      </c>
      <c r="U66" s="260">
        <v>4700</v>
      </c>
      <c r="V66" s="260">
        <v>0</v>
      </c>
      <c r="W66" s="260">
        <v>2000</v>
      </c>
      <c r="X66" s="261">
        <v>1000</v>
      </c>
      <c r="Y66" s="260">
        <v>1500</v>
      </c>
      <c r="Z66" s="260">
        <v>1000</v>
      </c>
      <c r="AA66" s="260">
        <v>1000</v>
      </c>
    </row>
    <row r="67" spans="1:27" ht="17.25" thickTop="1" thickBot="1">
      <c r="A67" s="259">
        <v>43963</v>
      </c>
      <c r="B67" s="260">
        <v>16</v>
      </c>
      <c r="C67" s="260">
        <v>337000</v>
      </c>
      <c r="D67" s="260">
        <v>126000</v>
      </c>
      <c r="E67" s="260">
        <v>211000</v>
      </c>
      <c r="F67" s="260">
        <v>120000</v>
      </c>
      <c r="G67" s="260">
        <v>85000</v>
      </c>
      <c r="H67" s="260">
        <v>16</v>
      </c>
      <c r="I67" s="260">
        <v>1000</v>
      </c>
      <c r="J67" s="260">
        <v>1000</v>
      </c>
      <c r="K67" s="260">
        <v>16000</v>
      </c>
      <c r="L67" s="260">
        <v>18000</v>
      </c>
      <c r="M67" s="260">
        <v>0</v>
      </c>
      <c r="N67" s="260">
        <v>0</v>
      </c>
      <c r="O67" s="260">
        <v>0</v>
      </c>
      <c r="P67" s="260">
        <v>0</v>
      </c>
      <c r="Q67" s="260">
        <v>1</v>
      </c>
      <c r="R67" s="260">
        <v>5200</v>
      </c>
      <c r="S67" s="260">
        <v>5200</v>
      </c>
      <c r="T67" s="260">
        <v>5200</v>
      </c>
      <c r="U67" s="260">
        <v>5200</v>
      </c>
      <c r="V67" s="260">
        <v>1</v>
      </c>
      <c r="W67" s="260">
        <v>1000</v>
      </c>
      <c r="X67" s="261">
        <v>500</v>
      </c>
      <c r="Y67" s="260">
        <v>1000</v>
      </c>
      <c r="Z67" s="260">
        <v>1000</v>
      </c>
      <c r="AA67" s="260">
        <v>1000</v>
      </c>
    </row>
    <row r="68" spans="1:27" ht="17.25" thickTop="1" thickBot="1">
      <c r="A68" s="259">
        <v>43962</v>
      </c>
      <c r="B68" s="260">
        <v>13</v>
      </c>
      <c r="C68" s="260">
        <v>279000</v>
      </c>
      <c r="D68" s="260">
        <v>74000</v>
      </c>
      <c r="E68" s="260">
        <v>205000</v>
      </c>
      <c r="F68" s="260">
        <v>103700</v>
      </c>
      <c r="G68" s="260">
        <v>166500</v>
      </c>
      <c r="H68" s="260">
        <v>16</v>
      </c>
      <c r="I68" s="260">
        <v>18000</v>
      </c>
      <c r="J68" s="260">
        <v>18000</v>
      </c>
      <c r="K68" s="260">
        <v>12000</v>
      </c>
      <c r="L68" s="260">
        <v>17000</v>
      </c>
      <c r="M68" s="260">
        <v>0</v>
      </c>
      <c r="N68" s="260">
        <v>0</v>
      </c>
      <c r="O68" s="260">
        <v>0</v>
      </c>
      <c r="P68" s="260">
        <v>0</v>
      </c>
      <c r="Q68" s="260">
        <v>0</v>
      </c>
      <c r="R68" s="260">
        <v>4700</v>
      </c>
      <c r="S68" s="260">
        <v>5200</v>
      </c>
      <c r="T68" s="260">
        <v>5200</v>
      </c>
      <c r="U68" s="260">
        <v>4700</v>
      </c>
      <c r="V68" s="260">
        <v>0</v>
      </c>
      <c r="W68" s="260">
        <v>3000</v>
      </c>
      <c r="X68" s="261">
        <v>500</v>
      </c>
      <c r="Y68" s="260">
        <v>1000</v>
      </c>
      <c r="Z68" s="260">
        <v>1000</v>
      </c>
      <c r="AA68" s="260">
        <v>1000</v>
      </c>
    </row>
    <row r="69" spans="1:27" ht="17.25" thickTop="1" thickBot="1">
      <c r="A69" s="259">
        <v>43961</v>
      </c>
      <c r="B69" s="260">
        <v>6</v>
      </c>
      <c r="C69" s="260">
        <v>340000</v>
      </c>
      <c r="D69" s="260">
        <v>126000</v>
      </c>
      <c r="E69" s="260">
        <v>210000</v>
      </c>
      <c r="F69" s="260">
        <v>43900</v>
      </c>
      <c r="G69" s="260">
        <v>56000</v>
      </c>
      <c r="H69" s="260">
        <v>12</v>
      </c>
      <c r="I69" s="260">
        <v>18000</v>
      </c>
      <c r="J69" s="260">
        <v>18000</v>
      </c>
      <c r="K69" s="260">
        <v>16000</v>
      </c>
      <c r="L69" s="260">
        <v>22000</v>
      </c>
      <c r="M69" s="260">
        <v>0</v>
      </c>
      <c r="N69" s="260">
        <v>0</v>
      </c>
      <c r="O69" s="260">
        <v>0</v>
      </c>
      <c r="P69" s="260">
        <v>0</v>
      </c>
      <c r="Q69" s="260">
        <v>1</v>
      </c>
      <c r="R69" s="260">
        <v>5200</v>
      </c>
      <c r="S69" s="260">
        <v>5200</v>
      </c>
      <c r="T69" s="260">
        <v>5200</v>
      </c>
      <c r="U69" s="260">
        <v>5200</v>
      </c>
      <c r="V69" s="260">
        <v>1</v>
      </c>
      <c r="W69" s="260">
        <v>1000</v>
      </c>
      <c r="X69" s="261">
        <v>500</v>
      </c>
      <c r="Y69" s="260">
        <v>1000</v>
      </c>
      <c r="Z69" s="260">
        <v>1000</v>
      </c>
      <c r="AA69" s="260">
        <v>1000</v>
      </c>
    </row>
    <row r="70" spans="1:27" ht="17.25" thickTop="1" thickBot="1">
      <c r="A70" s="259">
        <v>43960</v>
      </c>
      <c r="B70" s="260">
        <v>10</v>
      </c>
      <c r="C70" s="260">
        <v>342000</v>
      </c>
      <c r="D70" s="260">
        <v>126000</v>
      </c>
      <c r="E70" s="260">
        <v>216000</v>
      </c>
      <c r="F70" s="260">
        <v>76500</v>
      </c>
      <c r="G70" s="260">
        <v>71200</v>
      </c>
      <c r="H70" s="260">
        <v>16</v>
      </c>
      <c r="I70" s="260">
        <v>24000</v>
      </c>
      <c r="J70" s="260">
        <v>24000</v>
      </c>
      <c r="K70" s="260">
        <v>22000</v>
      </c>
      <c r="L70" s="260">
        <v>26000</v>
      </c>
      <c r="M70" s="260">
        <v>0</v>
      </c>
      <c r="N70" s="260">
        <v>0</v>
      </c>
      <c r="O70" s="260">
        <v>0</v>
      </c>
      <c r="P70" s="260">
        <v>0</v>
      </c>
      <c r="Q70" s="260">
        <v>1</v>
      </c>
      <c r="R70" s="260">
        <v>5200</v>
      </c>
      <c r="S70" s="260">
        <v>5200</v>
      </c>
      <c r="T70" s="260">
        <v>5200</v>
      </c>
      <c r="U70" s="260">
        <v>5200</v>
      </c>
      <c r="V70" s="260">
        <v>1</v>
      </c>
      <c r="W70" s="260">
        <v>2000</v>
      </c>
      <c r="X70" s="261">
        <v>400</v>
      </c>
      <c r="Y70" s="260">
        <v>1500</v>
      </c>
      <c r="Z70" s="260">
        <v>1000</v>
      </c>
      <c r="AA70" s="260">
        <v>1000</v>
      </c>
    </row>
    <row r="71" spans="1:27" ht="17.25" thickTop="1" thickBot="1">
      <c r="A71" s="259">
        <v>43959</v>
      </c>
      <c r="B71" s="260">
        <v>7</v>
      </c>
      <c r="C71" s="260">
        <v>286000</v>
      </c>
      <c r="D71" s="260">
        <v>100000</v>
      </c>
      <c r="E71" s="260">
        <v>186000</v>
      </c>
      <c r="F71" s="260">
        <v>54100</v>
      </c>
      <c r="G71" s="260">
        <v>101800</v>
      </c>
      <c r="H71" s="260">
        <v>5</v>
      </c>
      <c r="I71" s="260">
        <v>30000</v>
      </c>
      <c r="J71" s="260">
        <v>28000</v>
      </c>
      <c r="K71" s="260">
        <v>28000</v>
      </c>
      <c r="L71" s="260">
        <v>20000</v>
      </c>
      <c r="M71" s="260">
        <v>0</v>
      </c>
      <c r="N71" s="260">
        <v>0</v>
      </c>
      <c r="O71" s="260">
        <v>0</v>
      </c>
      <c r="P71" s="260">
        <v>0</v>
      </c>
      <c r="Q71" s="260">
        <v>0</v>
      </c>
      <c r="R71" s="260">
        <v>3900</v>
      </c>
      <c r="S71" s="260">
        <v>5200</v>
      </c>
      <c r="T71" s="260">
        <v>5200</v>
      </c>
      <c r="U71" s="260">
        <v>4700</v>
      </c>
      <c r="V71" s="260">
        <v>0</v>
      </c>
      <c r="W71" s="260">
        <v>4000</v>
      </c>
      <c r="X71" s="261">
        <v>900</v>
      </c>
      <c r="Y71" s="260">
        <v>1000</v>
      </c>
      <c r="Z71" s="260">
        <v>1500</v>
      </c>
      <c r="AA71" s="260">
        <v>1000</v>
      </c>
    </row>
    <row r="72" spans="1:27" ht="17.25" thickTop="1" thickBot="1">
      <c r="A72" s="259">
        <v>43958</v>
      </c>
      <c r="B72" s="260">
        <v>7</v>
      </c>
      <c r="C72" s="260">
        <v>336000</v>
      </c>
      <c r="D72" s="260">
        <v>126000</v>
      </c>
      <c r="E72" s="260">
        <v>210000</v>
      </c>
      <c r="F72" s="260">
        <v>54100</v>
      </c>
      <c r="G72" s="260">
        <v>89000</v>
      </c>
      <c r="H72" s="260">
        <v>11</v>
      </c>
      <c r="I72" s="260">
        <v>24000</v>
      </c>
      <c r="J72" s="260">
        <v>22000</v>
      </c>
      <c r="K72" s="260">
        <v>24000</v>
      </c>
      <c r="L72" s="260">
        <v>16000</v>
      </c>
      <c r="M72" s="260">
        <v>0</v>
      </c>
      <c r="N72" s="260">
        <v>0</v>
      </c>
      <c r="O72" s="260">
        <v>0</v>
      </c>
      <c r="P72" s="260">
        <v>0</v>
      </c>
      <c r="Q72" s="260">
        <v>0</v>
      </c>
      <c r="R72" s="260">
        <v>4700</v>
      </c>
      <c r="S72" s="260">
        <v>5200</v>
      </c>
      <c r="T72" s="260">
        <v>5200</v>
      </c>
      <c r="U72" s="260">
        <v>5200</v>
      </c>
      <c r="V72" s="260">
        <v>0</v>
      </c>
      <c r="W72" s="260">
        <v>3000</v>
      </c>
      <c r="X72" s="261">
        <v>320</v>
      </c>
      <c r="Y72" s="260">
        <v>1000</v>
      </c>
      <c r="Z72" s="260">
        <v>1000</v>
      </c>
      <c r="AA72" s="260">
        <v>1000</v>
      </c>
    </row>
    <row r="73" spans="1:27" ht="17.25" thickTop="1" thickBot="1">
      <c r="A73" s="259">
        <v>43957</v>
      </c>
      <c r="B73" s="260">
        <v>7</v>
      </c>
      <c r="C73" s="260">
        <v>342000</v>
      </c>
      <c r="D73" s="260">
        <v>126000</v>
      </c>
      <c r="E73" s="260">
        <v>216000</v>
      </c>
      <c r="F73" s="260">
        <v>54300</v>
      </c>
      <c r="G73" s="260">
        <v>62400</v>
      </c>
      <c r="H73" s="260">
        <v>10</v>
      </c>
      <c r="I73" s="260">
        <v>30000</v>
      </c>
      <c r="J73" s="260">
        <v>24000</v>
      </c>
      <c r="K73" s="260">
        <v>12000</v>
      </c>
      <c r="L73" s="260">
        <v>18000</v>
      </c>
      <c r="M73" s="260">
        <v>0</v>
      </c>
      <c r="N73" s="260">
        <v>0</v>
      </c>
      <c r="O73" s="260">
        <v>0</v>
      </c>
      <c r="P73" s="260">
        <v>0</v>
      </c>
      <c r="Q73" s="260">
        <v>1</v>
      </c>
      <c r="R73" s="260">
        <v>5200</v>
      </c>
      <c r="S73" s="260">
        <v>5200</v>
      </c>
      <c r="T73" s="260">
        <v>5200</v>
      </c>
      <c r="U73" s="260">
        <v>5200</v>
      </c>
      <c r="V73" s="260">
        <v>1</v>
      </c>
      <c r="W73" s="260">
        <v>1000</v>
      </c>
      <c r="X73" s="261">
        <v>200</v>
      </c>
      <c r="Y73" s="260">
        <v>1000</v>
      </c>
      <c r="Z73" s="260">
        <v>1000</v>
      </c>
      <c r="AA73" s="260">
        <v>500</v>
      </c>
    </row>
    <row r="74" spans="1:27" ht="17.25" thickTop="1" thickBot="1">
      <c r="A74" s="259">
        <v>43956</v>
      </c>
      <c r="B74" s="260">
        <v>10</v>
      </c>
      <c r="C74" s="260">
        <v>345000</v>
      </c>
      <c r="D74" s="260">
        <v>126000</v>
      </c>
      <c r="E74" s="260">
        <v>219000</v>
      </c>
      <c r="F74" s="260">
        <v>79600</v>
      </c>
      <c r="G74" s="260">
        <v>74100</v>
      </c>
      <c r="H74" s="260">
        <v>11</v>
      </c>
      <c r="I74" s="260">
        <v>30000</v>
      </c>
      <c r="J74" s="260">
        <v>26000</v>
      </c>
      <c r="K74" s="260">
        <v>14000</v>
      </c>
      <c r="L74" s="260">
        <v>20000</v>
      </c>
      <c r="M74" s="260">
        <v>0</v>
      </c>
      <c r="N74" s="260">
        <v>0</v>
      </c>
      <c r="O74" s="260">
        <v>0</v>
      </c>
      <c r="P74" s="260">
        <v>0</v>
      </c>
      <c r="Q74" s="260">
        <v>0</v>
      </c>
      <c r="R74" s="260">
        <v>4200</v>
      </c>
      <c r="S74" s="260">
        <v>4700</v>
      </c>
      <c r="T74" s="260">
        <v>4200</v>
      </c>
      <c r="U74" s="260">
        <v>4200</v>
      </c>
      <c r="V74" s="260">
        <v>0</v>
      </c>
      <c r="W74" s="260">
        <v>2000</v>
      </c>
      <c r="X74" s="261">
        <v>500</v>
      </c>
      <c r="Y74" s="260">
        <v>1000</v>
      </c>
      <c r="Z74" s="260">
        <v>500</v>
      </c>
      <c r="AA74" s="260">
        <v>1000</v>
      </c>
    </row>
    <row r="75" spans="1:27" ht="17.25" thickTop="1" thickBot="1">
      <c r="A75" s="259">
        <v>43955</v>
      </c>
      <c r="B75" s="260">
        <v>7</v>
      </c>
      <c r="C75" s="260">
        <v>324000</v>
      </c>
      <c r="D75" s="260">
        <v>108000</v>
      </c>
      <c r="E75" s="260">
        <v>216000</v>
      </c>
      <c r="F75" s="260">
        <v>52600</v>
      </c>
      <c r="G75" s="260">
        <v>92600</v>
      </c>
      <c r="H75" s="260">
        <v>10</v>
      </c>
      <c r="I75" s="260">
        <v>24000</v>
      </c>
      <c r="J75" s="260">
        <v>20000</v>
      </c>
      <c r="K75" s="260">
        <v>14000</v>
      </c>
      <c r="L75" s="260">
        <v>14000</v>
      </c>
      <c r="M75" s="260">
        <v>0</v>
      </c>
      <c r="N75" s="260">
        <v>0</v>
      </c>
      <c r="O75" s="260">
        <v>0</v>
      </c>
      <c r="P75" s="260">
        <v>0</v>
      </c>
      <c r="Q75" s="260">
        <v>1</v>
      </c>
      <c r="R75" s="260">
        <v>5200</v>
      </c>
      <c r="S75" s="260">
        <v>5200</v>
      </c>
      <c r="T75" s="260">
        <v>5200</v>
      </c>
      <c r="U75" s="260">
        <v>5200</v>
      </c>
      <c r="V75" s="260">
        <v>1</v>
      </c>
      <c r="W75" s="260">
        <v>1000</v>
      </c>
      <c r="X75" s="261">
        <v>250</v>
      </c>
      <c r="Y75" s="260">
        <v>1000</v>
      </c>
      <c r="Z75" s="260">
        <v>500</v>
      </c>
      <c r="AA75" s="260">
        <v>1000</v>
      </c>
    </row>
    <row r="76" spans="1:27" ht="17.25" thickTop="1" thickBot="1">
      <c r="A76" s="259">
        <v>43954</v>
      </c>
      <c r="B76" s="260">
        <v>7</v>
      </c>
      <c r="C76" s="260">
        <v>330000</v>
      </c>
      <c r="D76" s="260">
        <v>110000</v>
      </c>
      <c r="E76" s="260">
        <v>220000</v>
      </c>
      <c r="F76" s="260">
        <v>43300</v>
      </c>
      <c r="G76" s="260">
        <v>82700</v>
      </c>
      <c r="H76" s="260">
        <v>11</v>
      </c>
      <c r="I76" s="260">
        <v>20000</v>
      </c>
      <c r="J76" s="260">
        <v>34000</v>
      </c>
      <c r="K76" s="260">
        <v>16000</v>
      </c>
      <c r="L76" s="260">
        <v>6000</v>
      </c>
      <c r="M76" s="260">
        <v>0</v>
      </c>
      <c r="N76" s="260">
        <v>0</v>
      </c>
      <c r="O76" s="260">
        <v>0</v>
      </c>
      <c r="P76" s="260">
        <v>0</v>
      </c>
      <c r="Q76" s="260">
        <v>0</v>
      </c>
      <c r="R76" s="260">
        <v>4700</v>
      </c>
      <c r="S76" s="260">
        <v>4700</v>
      </c>
      <c r="T76" s="260">
        <v>4200</v>
      </c>
      <c r="U76" s="260">
        <v>4700</v>
      </c>
      <c r="V76" s="260">
        <v>0</v>
      </c>
      <c r="W76" s="260">
        <v>3500</v>
      </c>
      <c r="X76" s="261">
        <v>1000</v>
      </c>
      <c r="Y76" s="260">
        <v>1000</v>
      </c>
      <c r="Z76" s="260">
        <v>1000</v>
      </c>
      <c r="AA76" s="260">
        <v>1000</v>
      </c>
    </row>
    <row r="77" spans="1:27" ht="17.25" thickTop="1" thickBot="1">
      <c r="A77" s="259">
        <v>43953</v>
      </c>
      <c r="B77" s="260">
        <v>7</v>
      </c>
      <c r="C77" s="260">
        <v>350000</v>
      </c>
      <c r="D77" s="260">
        <v>126000</v>
      </c>
      <c r="E77" s="260">
        <v>224000</v>
      </c>
      <c r="F77" s="260">
        <v>49800</v>
      </c>
      <c r="G77" s="260">
        <v>61000</v>
      </c>
      <c r="H77" s="260">
        <v>8</v>
      </c>
      <c r="I77" s="260">
        <v>22000</v>
      </c>
      <c r="J77" s="260">
        <v>36000</v>
      </c>
      <c r="K77" s="260">
        <v>12000</v>
      </c>
      <c r="L77" s="260">
        <v>10000</v>
      </c>
      <c r="M77" s="260">
        <v>0</v>
      </c>
      <c r="N77" s="260">
        <v>0</v>
      </c>
      <c r="O77" s="260">
        <v>0</v>
      </c>
      <c r="P77" s="260">
        <v>0</v>
      </c>
      <c r="Q77" s="260">
        <v>1</v>
      </c>
      <c r="R77" s="260">
        <v>5200</v>
      </c>
      <c r="S77" s="260">
        <v>5200</v>
      </c>
      <c r="T77" s="260">
        <v>5200</v>
      </c>
      <c r="U77" s="260">
        <v>5200</v>
      </c>
      <c r="V77" s="260">
        <v>1</v>
      </c>
      <c r="W77" s="260">
        <v>2500</v>
      </c>
      <c r="X77" s="261">
        <v>500</v>
      </c>
      <c r="Y77" s="260">
        <v>1000</v>
      </c>
      <c r="Z77" s="260">
        <v>1000</v>
      </c>
      <c r="AA77" s="260">
        <v>1000</v>
      </c>
    </row>
    <row r="78" spans="1:27" ht="17.25" thickTop="1" thickBot="1">
      <c r="A78" s="259">
        <v>43952</v>
      </c>
      <c r="B78" s="260">
        <v>7</v>
      </c>
      <c r="C78" s="260">
        <v>350000</v>
      </c>
      <c r="D78" s="260">
        <v>126000</v>
      </c>
      <c r="E78" s="260">
        <v>224000</v>
      </c>
      <c r="F78" s="260">
        <v>55100</v>
      </c>
      <c r="G78" s="260">
        <v>70400</v>
      </c>
      <c r="H78" s="260">
        <v>4</v>
      </c>
      <c r="I78" s="260">
        <v>24000</v>
      </c>
      <c r="J78" s="260">
        <v>20000</v>
      </c>
      <c r="K78" s="260">
        <v>8000</v>
      </c>
      <c r="L78" s="260">
        <v>8000</v>
      </c>
      <c r="M78" s="260">
        <v>0</v>
      </c>
      <c r="N78" s="260">
        <v>0</v>
      </c>
      <c r="O78" s="260">
        <v>0</v>
      </c>
      <c r="P78" s="260">
        <v>0</v>
      </c>
      <c r="Q78" s="260">
        <v>0</v>
      </c>
      <c r="R78" s="260">
        <v>4200</v>
      </c>
      <c r="S78" s="260">
        <v>4700</v>
      </c>
      <c r="T78" s="260">
        <v>4200</v>
      </c>
      <c r="U78" s="260">
        <v>4700</v>
      </c>
      <c r="V78" s="260">
        <v>0</v>
      </c>
      <c r="W78" s="260">
        <v>3000</v>
      </c>
      <c r="X78" s="261">
        <v>1000</v>
      </c>
      <c r="Y78" s="260">
        <v>2000</v>
      </c>
      <c r="Z78" s="260">
        <v>2000</v>
      </c>
      <c r="AA78" s="260">
        <v>1000</v>
      </c>
    </row>
    <row r="79" spans="1:27" ht="17.25" thickTop="1" thickBot="1">
      <c r="A79" s="259">
        <v>43951</v>
      </c>
      <c r="B79" s="260">
        <v>8</v>
      </c>
      <c r="C79" s="260">
        <v>350000</v>
      </c>
      <c r="D79" s="260">
        <v>126000</v>
      </c>
      <c r="E79" s="260">
        <v>224000</v>
      </c>
      <c r="F79" s="260">
        <v>61900</v>
      </c>
      <c r="G79" s="260">
        <v>86200</v>
      </c>
      <c r="H79" s="260">
        <v>10</v>
      </c>
      <c r="I79" s="260">
        <v>14000</v>
      </c>
      <c r="J79" s="260">
        <v>12000</v>
      </c>
      <c r="K79" s="260">
        <v>4000</v>
      </c>
      <c r="L79" s="260">
        <v>8000</v>
      </c>
      <c r="M79" s="260">
        <v>0</v>
      </c>
      <c r="N79" s="260">
        <v>0</v>
      </c>
      <c r="O79" s="260">
        <v>0</v>
      </c>
      <c r="P79" s="260">
        <v>0</v>
      </c>
      <c r="Q79" s="260">
        <v>1</v>
      </c>
      <c r="R79" s="260">
        <v>5200</v>
      </c>
      <c r="S79" s="260">
        <v>5200</v>
      </c>
      <c r="T79" s="260">
        <v>5200</v>
      </c>
      <c r="U79" s="260">
        <v>5200</v>
      </c>
      <c r="V79" s="260">
        <v>0</v>
      </c>
      <c r="W79" s="260">
        <v>2000</v>
      </c>
      <c r="X79" s="261">
        <v>2000</v>
      </c>
      <c r="Y79" s="260">
        <v>1500</v>
      </c>
      <c r="Z79" s="260">
        <v>1000</v>
      </c>
      <c r="AA79" s="260">
        <v>1000</v>
      </c>
    </row>
    <row r="80" spans="1:27" ht="17.25" thickTop="1" thickBot="1">
      <c r="A80" s="259">
        <v>43950</v>
      </c>
      <c r="B80" s="260">
        <v>7</v>
      </c>
      <c r="C80" s="260">
        <v>333000</v>
      </c>
      <c r="D80" s="260">
        <v>121000</v>
      </c>
      <c r="E80" s="260">
        <v>212000</v>
      </c>
      <c r="F80" s="260">
        <v>56500</v>
      </c>
      <c r="G80" s="260">
        <v>82100</v>
      </c>
      <c r="H80" s="260">
        <v>10</v>
      </c>
      <c r="I80" s="260">
        <v>16000</v>
      </c>
      <c r="J80" s="260">
        <v>18000</v>
      </c>
      <c r="K80" s="260">
        <v>16000</v>
      </c>
      <c r="L80" s="260">
        <v>16000</v>
      </c>
      <c r="M80" s="260">
        <v>0</v>
      </c>
      <c r="N80" s="260">
        <v>0</v>
      </c>
      <c r="O80" s="260">
        <v>0</v>
      </c>
      <c r="P80" s="260">
        <v>0</v>
      </c>
      <c r="Q80" s="260">
        <v>0</v>
      </c>
      <c r="R80" s="260">
        <v>4700</v>
      </c>
      <c r="S80" s="260">
        <v>5200</v>
      </c>
      <c r="T80" s="260">
        <v>5200</v>
      </c>
      <c r="U80" s="260">
        <v>4700</v>
      </c>
      <c r="V80" s="260">
        <v>1</v>
      </c>
      <c r="W80" s="260">
        <v>1000</v>
      </c>
      <c r="X80" s="261">
        <v>250</v>
      </c>
      <c r="Y80" s="260">
        <v>1000</v>
      </c>
      <c r="Z80" s="260">
        <v>1000</v>
      </c>
      <c r="AA80" s="260">
        <v>1000</v>
      </c>
    </row>
    <row r="81" spans="1:27" ht="17.25" thickTop="1" thickBot="1">
      <c r="A81" s="259">
        <v>43949</v>
      </c>
      <c r="B81" s="260">
        <v>7</v>
      </c>
      <c r="C81" s="260">
        <v>335000</v>
      </c>
      <c r="D81" s="260">
        <v>121000</v>
      </c>
      <c r="E81" s="260">
        <v>214000</v>
      </c>
      <c r="F81" s="260">
        <v>50900</v>
      </c>
      <c r="G81" s="260">
        <v>60700</v>
      </c>
      <c r="H81" s="260">
        <v>10</v>
      </c>
      <c r="I81" s="260">
        <v>22000</v>
      </c>
      <c r="J81" s="260">
        <v>12000</v>
      </c>
      <c r="K81" s="260">
        <v>14000</v>
      </c>
      <c r="L81" s="260">
        <v>8000</v>
      </c>
      <c r="M81" s="260">
        <v>0</v>
      </c>
      <c r="N81" s="260">
        <v>0</v>
      </c>
      <c r="O81" s="260">
        <v>0</v>
      </c>
      <c r="P81" s="260">
        <v>0</v>
      </c>
      <c r="Q81" s="260">
        <v>1</v>
      </c>
      <c r="R81" s="260">
        <v>5200</v>
      </c>
      <c r="S81" s="260">
        <v>5200</v>
      </c>
      <c r="T81" s="260">
        <v>5200</v>
      </c>
      <c r="U81" s="260">
        <v>5200</v>
      </c>
      <c r="V81" s="260">
        <v>0</v>
      </c>
      <c r="W81" s="260">
        <v>2500</v>
      </c>
      <c r="X81" s="261">
        <v>300</v>
      </c>
      <c r="Y81" s="260">
        <v>1000</v>
      </c>
      <c r="Z81" s="260">
        <v>1400</v>
      </c>
      <c r="AA81" s="260">
        <v>1000</v>
      </c>
    </row>
    <row r="82" spans="1:27" ht="17.25" thickTop="1" thickBot="1">
      <c r="A82" s="259">
        <v>43948</v>
      </c>
      <c r="B82" s="260">
        <v>8</v>
      </c>
      <c r="C82" s="260">
        <v>226420</v>
      </c>
      <c r="D82" s="260">
        <v>126000</v>
      </c>
      <c r="E82" s="260">
        <v>216000</v>
      </c>
      <c r="F82" s="260">
        <v>64000</v>
      </c>
      <c r="G82" s="260">
        <v>78800</v>
      </c>
      <c r="H82" s="260">
        <v>10</v>
      </c>
      <c r="I82" s="260">
        <v>26000</v>
      </c>
      <c r="J82" s="260">
        <v>18000</v>
      </c>
      <c r="K82" s="260">
        <v>14000</v>
      </c>
      <c r="L82" s="260">
        <v>10000</v>
      </c>
      <c r="M82" s="260">
        <v>0</v>
      </c>
      <c r="N82" s="260">
        <v>0</v>
      </c>
      <c r="O82" s="260">
        <v>0</v>
      </c>
      <c r="P82" s="260">
        <v>0</v>
      </c>
      <c r="Q82" s="260">
        <v>0</v>
      </c>
      <c r="R82" s="260">
        <v>4700</v>
      </c>
      <c r="S82" s="260">
        <v>3100</v>
      </c>
      <c r="T82" s="260">
        <v>4700</v>
      </c>
      <c r="U82" s="260">
        <v>4700</v>
      </c>
      <c r="V82" s="260">
        <v>1</v>
      </c>
      <c r="W82" s="260">
        <v>2500</v>
      </c>
      <c r="X82" s="261">
        <v>300</v>
      </c>
      <c r="Y82" s="260">
        <v>1500</v>
      </c>
      <c r="Z82" s="260">
        <v>1400</v>
      </c>
      <c r="AA82" s="260">
        <v>1000</v>
      </c>
    </row>
    <row r="83" spans="1:27" ht="17.25" thickTop="1" thickBot="1">
      <c r="A83" s="259">
        <v>43947</v>
      </c>
      <c r="B83" s="260">
        <v>7</v>
      </c>
      <c r="C83" s="260">
        <v>339000</v>
      </c>
      <c r="D83" s="260">
        <v>126000</v>
      </c>
      <c r="E83" s="260">
        <v>219000</v>
      </c>
      <c r="F83" s="260">
        <v>56000</v>
      </c>
      <c r="G83" s="260">
        <v>89200</v>
      </c>
      <c r="H83" s="260">
        <v>10</v>
      </c>
      <c r="I83" s="260">
        <v>18000</v>
      </c>
      <c r="J83" s="260">
        <v>16000</v>
      </c>
      <c r="K83" s="260">
        <v>10000</v>
      </c>
      <c r="L83" s="260">
        <v>4000</v>
      </c>
      <c r="M83" s="260">
        <v>0</v>
      </c>
      <c r="N83" s="260">
        <v>0</v>
      </c>
      <c r="O83" s="260">
        <v>0</v>
      </c>
      <c r="P83" s="260">
        <v>0</v>
      </c>
      <c r="Q83" s="260">
        <v>1</v>
      </c>
      <c r="R83" s="260">
        <v>5200</v>
      </c>
      <c r="S83" s="260">
        <v>5200</v>
      </c>
      <c r="T83" s="260">
        <v>5200</v>
      </c>
      <c r="U83" s="260">
        <v>5200</v>
      </c>
      <c r="V83" s="260">
        <v>0</v>
      </c>
      <c r="W83" s="260">
        <v>3000</v>
      </c>
      <c r="X83" s="261">
        <v>1000</v>
      </c>
      <c r="Y83" s="260">
        <v>1000</v>
      </c>
      <c r="Z83" s="260">
        <v>1000</v>
      </c>
      <c r="AA83" s="260">
        <v>1000</v>
      </c>
    </row>
    <row r="84" spans="1:27" ht="17.25" thickTop="1" thickBot="1">
      <c r="A84" s="259">
        <v>43946</v>
      </c>
      <c r="B84" s="260">
        <v>8</v>
      </c>
      <c r="C84" s="260">
        <v>339000</v>
      </c>
      <c r="D84" s="260">
        <v>126000</v>
      </c>
      <c r="E84" s="260">
        <v>213000</v>
      </c>
      <c r="F84" s="260">
        <v>63500</v>
      </c>
      <c r="G84" s="260">
        <v>89200</v>
      </c>
      <c r="H84" s="260">
        <v>7</v>
      </c>
      <c r="I84" s="260">
        <v>16000</v>
      </c>
      <c r="J84" s="260">
        <v>34000</v>
      </c>
      <c r="K84" s="260">
        <v>12000</v>
      </c>
      <c r="L84" s="260">
        <v>6000</v>
      </c>
      <c r="M84" s="260">
        <v>0</v>
      </c>
      <c r="N84" s="260">
        <v>0</v>
      </c>
      <c r="O84" s="260">
        <v>0</v>
      </c>
      <c r="P84" s="260">
        <v>0</v>
      </c>
      <c r="Q84" s="260">
        <v>0</v>
      </c>
      <c r="R84" s="260">
        <v>4700</v>
      </c>
      <c r="S84" s="260">
        <v>4700</v>
      </c>
      <c r="T84" s="260">
        <v>5200</v>
      </c>
      <c r="U84" s="260">
        <v>4700</v>
      </c>
      <c r="V84" s="260">
        <v>1</v>
      </c>
      <c r="W84" s="260">
        <v>1000</v>
      </c>
      <c r="X84" s="261">
        <v>250</v>
      </c>
      <c r="Y84" s="260">
        <v>1000</v>
      </c>
      <c r="Z84" s="260">
        <v>500</v>
      </c>
      <c r="AA84" s="260">
        <v>1000</v>
      </c>
    </row>
    <row r="85" spans="1:27" ht="17.25" thickTop="1" thickBot="1">
      <c r="A85" s="259">
        <v>43945</v>
      </c>
      <c r="B85" s="260">
        <v>9</v>
      </c>
      <c r="C85" s="260">
        <v>336000</v>
      </c>
      <c r="D85" s="260">
        <v>126000</v>
      </c>
      <c r="E85" s="260">
        <v>210000</v>
      </c>
      <c r="F85" s="260">
        <v>66500</v>
      </c>
      <c r="G85" s="260">
        <v>74500</v>
      </c>
      <c r="H85" s="260">
        <v>6</v>
      </c>
      <c r="I85" s="260">
        <v>20000</v>
      </c>
      <c r="J85" s="260">
        <v>20000</v>
      </c>
      <c r="K85" s="260">
        <v>14000</v>
      </c>
      <c r="L85" s="260">
        <v>2000</v>
      </c>
      <c r="M85" s="260">
        <v>0</v>
      </c>
      <c r="N85" s="260">
        <v>0</v>
      </c>
      <c r="O85" s="260">
        <v>0</v>
      </c>
      <c r="P85" s="260">
        <v>0</v>
      </c>
      <c r="Q85" s="260">
        <v>1</v>
      </c>
      <c r="R85" s="260">
        <v>5200</v>
      </c>
      <c r="S85" s="260">
        <v>5200</v>
      </c>
      <c r="T85" s="260">
        <v>5200</v>
      </c>
      <c r="U85" s="260">
        <v>4700</v>
      </c>
      <c r="V85" s="260">
        <v>0</v>
      </c>
      <c r="W85" s="260">
        <v>1500</v>
      </c>
      <c r="X85" s="261">
        <v>1000</v>
      </c>
      <c r="Y85" s="260">
        <v>1000</v>
      </c>
      <c r="Z85" s="260">
        <v>1500</v>
      </c>
      <c r="AA85" s="260">
        <v>1500</v>
      </c>
    </row>
    <row r="86" spans="1:27" ht="17.25" thickTop="1" thickBot="1">
      <c r="A86" s="259">
        <v>43944</v>
      </c>
      <c r="B86" s="260">
        <v>6</v>
      </c>
      <c r="C86" s="260">
        <v>336000</v>
      </c>
      <c r="D86" s="260">
        <v>126000</v>
      </c>
      <c r="E86" s="260">
        <v>210000</v>
      </c>
      <c r="F86" s="260">
        <v>48900</v>
      </c>
      <c r="G86" s="260">
        <v>69200</v>
      </c>
      <c r="H86" s="260">
        <v>12</v>
      </c>
      <c r="I86" s="260">
        <v>16000</v>
      </c>
      <c r="J86" s="260">
        <v>14000</v>
      </c>
      <c r="K86" s="260">
        <v>8000</v>
      </c>
      <c r="L86" s="260">
        <v>16000</v>
      </c>
      <c r="M86" s="260">
        <v>0</v>
      </c>
      <c r="N86" s="260">
        <v>0</v>
      </c>
      <c r="O86" s="260">
        <v>0</v>
      </c>
      <c r="P86" s="260">
        <v>0</v>
      </c>
      <c r="Q86" s="260">
        <v>0</v>
      </c>
      <c r="R86" s="260">
        <v>4700</v>
      </c>
      <c r="S86" s="260">
        <v>4700</v>
      </c>
      <c r="T86" s="260">
        <v>5200</v>
      </c>
      <c r="U86" s="260">
        <v>5200</v>
      </c>
      <c r="V86" s="260">
        <v>1</v>
      </c>
      <c r="W86" s="260">
        <v>1000</v>
      </c>
      <c r="X86" s="261">
        <v>500</v>
      </c>
      <c r="Y86" s="260">
        <v>1000</v>
      </c>
      <c r="Z86" s="260">
        <v>500</v>
      </c>
      <c r="AA86" s="260">
        <v>1000</v>
      </c>
    </row>
    <row r="87" spans="1:27" ht="17.25" thickTop="1" thickBot="1">
      <c r="A87" s="259">
        <v>43943</v>
      </c>
      <c r="B87" s="260">
        <v>7</v>
      </c>
      <c r="C87" s="260">
        <v>342000</v>
      </c>
      <c r="D87" s="260">
        <v>126000</v>
      </c>
      <c r="E87" s="260">
        <v>216000</v>
      </c>
      <c r="F87" s="260">
        <v>48000</v>
      </c>
      <c r="G87" s="260">
        <v>70400</v>
      </c>
      <c r="H87" s="260">
        <v>11</v>
      </c>
      <c r="I87" s="260">
        <v>16000</v>
      </c>
      <c r="J87" s="260">
        <v>14000</v>
      </c>
      <c r="K87" s="260">
        <v>14000</v>
      </c>
      <c r="L87" s="260">
        <v>14000</v>
      </c>
      <c r="M87" s="260">
        <v>0</v>
      </c>
      <c r="N87" s="260">
        <v>0</v>
      </c>
      <c r="O87" s="260">
        <v>0</v>
      </c>
      <c r="P87" s="260">
        <v>0</v>
      </c>
      <c r="Q87" s="260">
        <v>1</v>
      </c>
      <c r="R87" s="260">
        <v>5200</v>
      </c>
      <c r="S87" s="260">
        <v>5200</v>
      </c>
      <c r="T87" s="260">
        <v>5200</v>
      </c>
      <c r="U87" s="260">
        <v>5200</v>
      </c>
      <c r="V87" s="260">
        <v>1</v>
      </c>
      <c r="W87" s="260">
        <v>1000</v>
      </c>
      <c r="X87" s="261">
        <v>500</v>
      </c>
      <c r="Y87" s="260">
        <v>1000</v>
      </c>
      <c r="Z87" s="260">
        <v>500</v>
      </c>
      <c r="AA87" s="260">
        <v>500</v>
      </c>
    </row>
    <row r="88" spans="1:27" ht="17.25" thickTop="1" thickBot="1">
      <c r="A88" s="259">
        <v>43942</v>
      </c>
      <c r="B88" s="260">
        <v>8</v>
      </c>
      <c r="C88" s="260">
        <v>341000</v>
      </c>
      <c r="D88" s="260">
        <v>126000</v>
      </c>
      <c r="E88" s="260">
        <v>215000</v>
      </c>
      <c r="F88" s="260">
        <v>62400</v>
      </c>
      <c r="G88" s="260">
        <v>71000</v>
      </c>
      <c r="H88" s="260">
        <v>13</v>
      </c>
      <c r="I88" s="260">
        <v>12000</v>
      </c>
      <c r="J88" s="260">
        <v>14000</v>
      </c>
      <c r="K88" s="260">
        <v>10000</v>
      </c>
      <c r="L88" s="260">
        <v>10000</v>
      </c>
      <c r="M88" s="260">
        <v>0</v>
      </c>
      <c r="N88" s="260">
        <v>0</v>
      </c>
      <c r="O88" s="260">
        <v>0</v>
      </c>
      <c r="P88" s="260">
        <v>0</v>
      </c>
      <c r="Q88" s="260">
        <v>0</v>
      </c>
      <c r="R88" s="260">
        <v>3900</v>
      </c>
      <c r="S88" s="260">
        <v>3900</v>
      </c>
      <c r="T88" s="260">
        <v>3900</v>
      </c>
      <c r="U88" s="260">
        <v>3900</v>
      </c>
      <c r="V88" s="260">
        <v>1</v>
      </c>
      <c r="W88" s="260">
        <v>1000</v>
      </c>
      <c r="X88" s="261">
        <v>500</v>
      </c>
      <c r="Y88" s="260">
        <v>1000</v>
      </c>
      <c r="Z88" s="260">
        <v>500</v>
      </c>
      <c r="AA88" s="260">
        <v>1000</v>
      </c>
    </row>
    <row r="89" spans="1:27" ht="17.25" thickTop="1" thickBot="1">
      <c r="A89" s="259">
        <v>43941</v>
      </c>
      <c r="B89" s="260">
        <v>5</v>
      </c>
      <c r="C89" s="260">
        <v>342000</v>
      </c>
      <c r="D89" s="260">
        <v>126000</v>
      </c>
      <c r="E89" s="260">
        <v>216000</v>
      </c>
      <c r="F89" s="260">
        <v>38800</v>
      </c>
      <c r="G89" s="260">
        <v>59500</v>
      </c>
      <c r="H89" s="260">
        <v>14</v>
      </c>
      <c r="I89" s="260">
        <v>18000</v>
      </c>
      <c r="J89" s="260">
        <v>18000</v>
      </c>
      <c r="K89" s="260">
        <v>14000</v>
      </c>
      <c r="L89" s="260">
        <v>14000</v>
      </c>
      <c r="M89" s="260">
        <v>0</v>
      </c>
      <c r="N89" s="260">
        <v>0</v>
      </c>
      <c r="O89" s="260">
        <v>0</v>
      </c>
      <c r="P89" s="260">
        <v>0</v>
      </c>
      <c r="Q89" s="260">
        <v>1</v>
      </c>
      <c r="R89" s="260">
        <v>5200</v>
      </c>
      <c r="S89" s="260">
        <v>5200</v>
      </c>
      <c r="T89" s="260">
        <v>5200</v>
      </c>
      <c r="U89" s="260">
        <v>5200</v>
      </c>
      <c r="V89" s="260">
        <v>1</v>
      </c>
      <c r="W89" s="260">
        <v>1000</v>
      </c>
      <c r="X89" s="261">
        <v>500</v>
      </c>
      <c r="Y89" s="260">
        <v>1000</v>
      </c>
      <c r="Z89" s="260">
        <v>500</v>
      </c>
      <c r="AA89" s="260">
        <v>1000</v>
      </c>
    </row>
    <row r="90" spans="1:27" ht="17.25" thickTop="1" thickBot="1">
      <c r="A90" s="259">
        <v>43940</v>
      </c>
      <c r="B90" s="260">
        <v>7</v>
      </c>
      <c r="C90" s="260">
        <v>338000</v>
      </c>
      <c r="D90" s="260">
        <v>126000</v>
      </c>
      <c r="E90" s="260">
        <v>212000</v>
      </c>
      <c r="F90" s="260">
        <v>56900</v>
      </c>
      <c r="G90" s="260">
        <v>65500</v>
      </c>
      <c r="H90" s="260">
        <v>13</v>
      </c>
      <c r="I90" s="260">
        <v>20000</v>
      </c>
      <c r="J90" s="260">
        <v>18000</v>
      </c>
      <c r="K90" s="260">
        <v>24000</v>
      </c>
      <c r="L90" s="260">
        <v>24000</v>
      </c>
      <c r="M90" s="260">
        <v>0</v>
      </c>
      <c r="N90" s="260">
        <v>0</v>
      </c>
      <c r="O90" s="260">
        <v>0</v>
      </c>
      <c r="P90" s="260">
        <v>0</v>
      </c>
      <c r="Q90" s="260">
        <v>0</v>
      </c>
      <c r="R90" s="260">
        <v>4700</v>
      </c>
      <c r="S90" s="260">
        <v>4700</v>
      </c>
      <c r="T90" s="260">
        <v>5200</v>
      </c>
      <c r="U90" s="260">
        <v>2100</v>
      </c>
      <c r="V90" s="260">
        <v>0</v>
      </c>
      <c r="W90" s="260">
        <v>1500</v>
      </c>
      <c r="X90" s="261">
        <v>700</v>
      </c>
      <c r="Y90" s="260">
        <v>2000</v>
      </c>
      <c r="Z90" s="260">
        <v>2000</v>
      </c>
      <c r="AA90" s="260">
        <v>1000</v>
      </c>
    </row>
    <row r="91" spans="1:27" ht="17.25" thickTop="1" thickBot="1">
      <c r="A91" s="259">
        <v>43939</v>
      </c>
      <c r="B91" s="260">
        <v>8</v>
      </c>
      <c r="C91" s="260">
        <v>338000</v>
      </c>
      <c r="D91" s="260">
        <v>126000</v>
      </c>
      <c r="E91" s="260">
        <v>212000</v>
      </c>
      <c r="F91" s="260">
        <v>55600</v>
      </c>
      <c r="G91" s="260">
        <v>79500</v>
      </c>
      <c r="H91" s="260">
        <v>12</v>
      </c>
      <c r="I91" s="260">
        <v>22000</v>
      </c>
      <c r="J91" s="260">
        <v>16000</v>
      </c>
      <c r="K91" s="260">
        <v>34000</v>
      </c>
      <c r="L91" s="260">
        <v>28000</v>
      </c>
      <c r="M91" s="260">
        <v>0</v>
      </c>
      <c r="N91" s="260">
        <v>0</v>
      </c>
      <c r="O91" s="260">
        <v>0</v>
      </c>
      <c r="P91" s="260">
        <v>0</v>
      </c>
      <c r="Q91" s="260">
        <v>1</v>
      </c>
      <c r="R91" s="260">
        <v>5200</v>
      </c>
      <c r="S91" s="260">
        <v>5200</v>
      </c>
      <c r="T91" s="260">
        <v>5200</v>
      </c>
      <c r="U91" s="260">
        <v>5200</v>
      </c>
      <c r="V91" s="260">
        <v>1</v>
      </c>
      <c r="W91" s="260">
        <v>1000</v>
      </c>
      <c r="X91" s="261">
        <v>200</v>
      </c>
      <c r="Y91" s="260">
        <v>1000</v>
      </c>
      <c r="Z91" s="260">
        <v>5000</v>
      </c>
      <c r="AA91" s="260">
        <v>1000</v>
      </c>
    </row>
    <row r="92" spans="1:27" ht="17.25" thickTop="1" thickBot="1">
      <c r="A92" s="259">
        <v>43938</v>
      </c>
      <c r="B92" s="260">
        <v>8</v>
      </c>
      <c r="C92" s="260">
        <v>338000</v>
      </c>
      <c r="D92" s="260">
        <v>126000</v>
      </c>
      <c r="E92" s="260">
        <v>212000</v>
      </c>
      <c r="F92" s="260">
        <v>62200</v>
      </c>
      <c r="G92" s="260">
        <v>74700</v>
      </c>
      <c r="H92" s="260">
        <v>9</v>
      </c>
      <c r="I92" s="260">
        <v>26000</v>
      </c>
      <c r="J92" s="260">
        <v>26000</v>
      </c>
      <c r="K92" s="260">
        <v>30000</v>
      </c>
      <c r="L92" s="260">
        <v>26000</v>
      </c>
      <c r="M92" s="260">
        <v>0</v>
      </c>
      <c r="N92" s="260">
        <v>0</v>
      </c>
      <c r="O92" s="260">
        <v>0</v>
      </c>
      <c r="P92" s="260">
        <v>0</v>
      </c>
      <c r="Q92" s="260">
        <v>0</v>
      </c>
      <c r="R92" s="260">
        <v>4700</v>
      </c>
      <c r="S92" s="260">
        <v>4700</v>
      </c>
      <c r="T92" s="260">
        <v>3900</v>
      </c>
      <c r="U92" s="260">
        <v>4200</v>
      </c>
      <c r="V92" s="260">
        <v>1</v>
      </c>
      <c r="W92" s="260">
        <v>0</v>
      </c>
      <c r="X92" s="261">
        <v>0</v>
      </c>
      <c r="Y92" s="260">
        <v>1000</v>
      </c>
      <c r="Z92" s="260">
        <v>500</v>
      </c>
      <c r="AA92" s="260">
        <v>500</v>
      </c>
    </row>
    <row r="93" spans="1:27" ht="17.25" thickTop="1" thickBot="1">
      <c r="A93" s="259">
        <v>43937</v>
      </c>
      <c r="B93" s="260">
        <v>8</v>
      </c>
      <c r="C93" s="260">
        <v>338000</v>
      </c>
      <c r="D93" s="260">
        <v>126000</v>
      </c>
      <c r="E93" s="260">
        <v>212000</v>
      </c>
      <c r="F93" s="260">
        <v>62200</v>
      </c>
      <c r="G93" s="260">
        <v>82800</v>
      </c>
      <c r="H93" s="260">
        <v>8</v>
      </c>
      <c r="I93" s="260">
        <v>32000</v>
      </c>
      <c r="J93" s="260">
        <v>24000</v>
      </c>
      <c r="K93" s="260">
        <v>24000</v>
      </c>
      <c r="L93" s="260">
        <v>18000</v>
      </c>
      <c r="M93" s="260">
        <v>0</v>
      </c>
      <c r="N93" s="260">
        <v>0</v>
      </c>
      <c r="O93" s="260">
        <v>0</v>
      </c>
      <c r="P93" s="260">
        <v>0</v>
      </c>
      <c r="Q93" s="260">
        <v>1</v>
      </c>
      <c r="R93" s="260">
        <v>5200</v>
      </c>
      <c r="S93" s="260">
        <v>5200</v>
      </c>
      <c r="T93" s="260">
        <v>5200</v>
      </c>
      <c r="U93" s="260">
        <v>5200</v>
      </c>
      <c r="V93" s="260">
        <v>1</v>
      </c>
      <c r="W93" s="260">
        <v>1000</v>
      </c>
      <c r="X93" s="261">
        <v>500</v>
      </c>
      <c r="Y93" s="260">
        <v>1000</v>
      </c>
      <c r="Z93" s="260">
        <v>500</v>
      </c>
      <c r="AA93" s="260">
        <v>500</v>
      </c>
    </row>
    <row r="94" spans="1:27" ht="17.25" thickTop="1" thickBot="1">
      <c r="A94" s="259">
        <v>43936</v>
      </c>
      <c r="B94" s="260">
        <v>8</v>
      </c>
      <c r="C94" s="260">
        <v>344000</v>
      </c>
      <c r="D94" s="260">
        <v>126000</v>
      </c>
      <c r="E94" s="260">
        <v>218000</v>
      </c>
      <c r="F94" s="260">
        <v>62800</v>
      </c>
      <c r="G94" s="260">
        <v>85900</v>
      </c>
      <c r="H94" s="260">
        <v>9</v>
      </c>
      <c r="I94" s="260">
        <v>24000</v>
      </c>
      <c r="J94" s="260">
        <v>14000</v>
      </c>
      <c r="K94" s="260">
        <v>24000</v>
      </c>
      <c r="L94" s="260">
        <v>18000</v>
      </c>
      <c r="M94" s="260">
        <v>0</v>
      </c>
      <c r="N94" s="260">
        <v>0</v>
      </c>
      <c r="O94" s="260">
        <v>0</v>
      </c>
      <c r="P94" s="260">
        <v>0</v>
      </c>
      <c r="Q94" s="260">
        <v>0</v>
      </c>
      <c r="R94" s="260">
        <v>3100</v>
      </c>
      <c r="S94" s="260">
        <v>5200</v>
      </c>
      <c r="T94" s="260">
        <v>4700</v>
      </c>
      <c r="U94" s="260">
        <v>3900</v>
      </c>
      <c r="V94" s="260">
        <v>1</v>
      </c>
      <c r="W94" s="260">
        <v>2500</v>
      </c>
      <c r="X94" s="261">
        <v>500</v>
      </c>
      <c r="Y94" s="260">
        <v>1000</v>
      </c>
      <c r="Z94" s="260">
        <v>500</v>
      </c>
      <c r="AA94" s="260">
        <v>250</v>
      </c>
    </row>
    <row r="95" spans="1:27" ht="17.25" thickTop="1" thickBot="1">
      <c r="A95" s="259">
        <v>43935</v>
      </c>
      <c r="B95" s="260">
        <v>8</v>
      </c>
      <c r="C95" s="260">
        <v>302000</v>
      </c>
      <c r="D95" s="260">
        <v>113000</v>
      </c>
      <c r="E95" s="260">
        <v>218000</v>
      </c>
      <c r="F95" s="260">
        <v>58400</v>
      </c>
      <c r="G95" s="260">
        <v>74400</v>
      </c>
      <c r="H95" s="260">
        <v>11</v>
      </c>
      <c r="I95" s="260">
        <v>22000</v>
      </c>
      <c r="J95" s="260">
        <v>24000</v>
      </c>
      <c r="K95" s="260">
        <v>14000</v>
      </c>
      <c r="L95" s="260">
        <v>14000</v>
      </c>
      <c r="M95" s="260">
        <v>0</v>
      </c>
      <c r="N95" s="260">
        <v>0</v>
      </c>
      <c r="O95" s="260">
        <v>0</v>
      </c>
      <c r="P95" s="260">
        <v>0</v>
      </c>
      <c r="Q95" s="260">
        <v>1</v>
      </c>
      <c r="R95" s="260">
        <v>5200</v>
      </c>
      <c r="S95" s="260">
        <v>5200</v>
      </c>
      <c r="T95" s="260">
        <v>5200</v>
      </c>
      <c r="U95" s="260">
        <v>5200</v>
      </c>
      <c r="V95" s="260">
        <v>1</v>
      </c>
      <c r="W95" s="260">
        <v>1000</v>
      </c>
      <c r="X95" s="261">
        <v>500</v>
      </c>
      <c r="Y95" s="260">
        <v>1000</v>
      </c>
      <c r="Z95" s="260">
        <v>500</v>
      </c>
      <c r="AA95" s="260">
        <v>1000</v>
      </c>
    </row>
    <row r="96" spans="1:27" ht="17.25" thickTop="1" thickBot="1">
      <c r="A96" s="259">
        <v>43934</v>
      </c>
      <c r="B96" s="260">
        <v>7</v>
      </c>
      <c r="C96" s="260">
        <v>320300</v>
      </c>
      <c r="D96" s="260">
        <v>120000</v>
      </c>
      <c r="E96" s="260">
        <v>224000</v>
      </c>
      <c r="F96" s="260">
        <v>56000</v>
      </c>
      <c r="G96" s="260">
        <v>79900</v>
      </c>
      <c r="H96" s="260">
        <v>13</v>
      </c>
      <c r="I96" s="260">
        <v>20000</v>
      </c>
      <c r="J96" s="260">
        <v>20000</v>
      </c>
      <c r="K96" s="260">
        <v>12000</v>
      </c>
      <c r="L96" s="260">
        <v>16000</v>
      </c>
      <c r="M96" s="260">
        <v>0</v>
      </c>
      <c r="N96" s="260">
        <v>0</v>
      </c>
      <c r="O96" s="260">
        <v>0</v>
      </c>
      <c r="P96" s="260">
        <v>0</v>
      </c>
      <c r="Q96" s="260">
        <v>1</v>
      </c>
      <c r="R96" s="260">
        <v>5200</v>
      </c>
      <c r="S96" s="260">
        <v>2600</v>
      </c>
      <c r="T96" s="260">
        <v>5200</v>
      </c>
      <c r="U96" s="260">
        <v>5200</v>
      </c>
      <c r="V96" s="260">
        <v>1</v>
      </c>
      <c r="W96" s="260">
        <v>1000</v>
      </c>
      <c r="X96" s="261">
        <v>500</v>
      </c>
      <c r="Y96" s="260">
        <v>1000</v>
      </c>
      <c r="Z96" s="260">
        <v>500</v>
      </c>
      <c r="AA96" s="260">
        <v>1000</v>
      </c>
    </row>
    <row r="97" spans="1:27" ht="17.25" thickTop="1" thickBot="1">
      <c r="A97" s="259">
        <v>43933</v>
      </c>
      <c r="B97" s="260">
        <v>8</v>
      </c>
      <c r="C97" s="260">
        <v>338000</v>
      </c>
      <c r="D97" s="260">
        <v>126000</v>
      </c>
      <c r="E97" s="260">
        <v>212000</v>
      </c>
      <c r="F97" s="260">
        <v>56100</v>
      </c>
      <c r="G97" s="260">
        <v>86400</v>
      </c>
      <c r="H97" s="260">
        <v>13</v>
      </c>
      <c r="I97" s="260">
        <v>18000</v>
      </c>
      <c r="J97" s="260">
        <v>14000</v>
      </c>
      <c r="K97" s="260">
        <v>16000</v>
      </c>
      <c r="L97" s="260">
        <v>16000</v>
      </c>
      <c r="M97" s="260">
        <v>0</v>
      </c>
      <c r="N97" s="260">
        <v>0</v>
      </c>
      <c r="O97" s="260">
        <v>0</v>
      </c>
      <c r="P97" s="260">
        <v>0</v>
      </c>
      <c r="Q97" s="260">
        <v>0</v>
      </c>
      <c r="R97" s="260">
        <v>5200</v>
      </c>
      <c r="S97" s="260">
        <v>2600</v>
      </c>
      <c r="T97" s="260">
        <v>5200</v>
      </c>
      <c r="U97" s="260">
        <v>5200</v>
      </c>
      <c r="V97" s="260">
        <v>1</v>
      </c>
      <c r="W97" s="260">
        <v>1000</v>
      </c>
      <c r="X97" s="261">
        <v>500</v>
      </c>
      <c r="Y97" s="260">
        <v>1000</v>
      </c>
      <c r="Z97" s="260">
        <v>500</v>
      </c>
      <c r="AA97" s="260">
        <v>1000</v>
      </c>
    </row>
    <row r="98" spans="1:27" ht="17.25" thickTop="1" thickBot="1">
      <c r="A98" s="259">
        <v>43932</v>
      </c>
      <c r="B98" s="260">
        <v>8</v>
      </c>
      <c r="C98" s="260">
        <v>304100</v>
      </c>
      <c r="D98" s="260">
        <v>126000</v>
      </c>
      <c r="E98" s="260">
        <v>215000</v>
      </c>
      <c r="F98" s="260">
        <v>61600</v>
      </c>
      <c r="G98" s="260">
        <v>55000</v>
      </c>
      <c r="H98" s="260">
        <v>12</v>
      </c>
      <c r="I98" s="260">
        <v>22000</v>
      </c>
      <c r="J98" s="260">
        <v>12000</v>
      </c>
      <c r="K98" s="260">
        <v>14000</v>
      </c>
      <c r="L98" s="260">
        <v>22000</v>
      </c>
      <c r="M98" s="260">
        <v>0</v>
      </c>
      <c r="N98" s="260">
        <v>0</v>
      </c>
      <c r="O98" s="260">
        <v>0</v>
      </c>
      <c r="P98" s="260">
        <v>0</v>
      </c>
      <c r="Q98" s="260">
        <v>0</v>
      </c>
      <c r="R98" s="260">
        <v>2600</v>
      </c>
      <c r="S98" s="260">
        <v>2600</v>
      </c>
      <c r="T98" s="260">
        <v>2600</v>
      </c>
      <c r="U98" s="260">
        <v>2600</v>
      </c>
      <c r="V98" s="260">
        <v>1</v>
      </c>
      <c r="W98" s="260">
        <v>1000</v>
      </c>
      <c r="X98" s="261">
        <v>500</v>
      </c>
      <c r="Y98" s="260">
        <v>1000</v>
      </c>
      <c r="Z98" s="260">
        <v>500</v>
      </c>
      <c r="AA98" s="260">
        <v>1000</v>
      </c>
    </row>
    <row r="99" spans="1:27" ht="17.25" thickTop="1" thickBot="1">
      <c r="A99" s="259">
        <v>43931</v>
      </c>
      <c r="B99" s="260">
        <v>12</v>
      </c>
      <c r="C99" s="260">
        <v>246698</v>
      </c>
      <c r="D99" s="260">
        <v>126000</v>
      </c>
      <c r="E99" s="260">
        <v>224000</v>
      </c>
      <c r="F99" s="260">
        <v>82100</v>
      </c>
      <c r="G99" s="260">
        <v>74000</v>
      </c>
      <c r="H99" s="260">
        <v>3</v>
      </c>
      <c r="I99" s="260">
        <v>21000</v>
      </c>
      <c r="J99" s="260">
        <v>21000</v>
      </c>
      <c r="K99" s="260">
        <v>26000</v>
      </c>
      <c r="L99" s="260">
        <v>14000</v>
      </c>
      <c r="M99" s="260">
        <v>0</v>
      </c>
      <c r="N99" s="260">
        <v>0</v>
      </c>
      <c r="O99" s="260">
        <v>0</v>
      </c>
      <c r="P99" s="260">
        <v>0</v>
      </c>
      <c r="Q99" s="260">
        <v>1</v>
      </c>
      <c r="R99" s="260">
        <v>2600</v>
      </c>
      <c r="S99" s="260">
        <v>2600</v>
      </c>
      <c r="T99" s="260">
        <v>2100</v>
      </c>
      <c r="U99" s="260">
        <v>1600</v>
      </c>
      <c r="V99" s="260">
        <v>0</v>
      </c>
      <c r="W99" s="260">
        <v>2000</v>
      </c>
      <c r="X99" s="261">
        <v>1300</v>
      </c>
      <c r="Y99" s="260">
        <v>1000</v>
      </c>
      <c r="Z99" s="260">
        <v>1000</v>
      </c>
      <c r="AA99" s="260">
        <v>1000</v>
      </c>
    </row>
    <row r="100" spans="1:27" ht="17.25" thickTop="1" thickBot="1">
      <c r="A100" s="259">
        <v>43930</v>
      </c>
      <c r="B100" s="260">
        <v>10</v>
      </c>
      <c r="C100" s="260">
        <v>246698</v>
      </c>
      <c r="D100" s="260">
        <v>103000</v>
      </c>
      <c r="E100" s="260">
        <v>200000</v>
      </c>
      <c r="F100" s="260">
        <v>79800</v>
      </c>
      <c r="G100" s="260">
        <v>81700</v>
      </c>
      <c r="H100" s="260">
        <v>9</v>
      </c>
      <c r="I100" s="260">
        <v>22000</v>
      </c>
      <c r="J100" s="260">
        <v>14000</v>
      </c>
      <c r="K100" s="260">
        <v>24000</v>
      </c>
      <c r="L100" s="260">
        <v>18000</v>
      </c>
      <c r="M100" s="260">
        <v>0</v>
      </c>
      <c r="N100" s="260">
        <v>0</v>
      </c>
      <c r="O100" s="260">
        <v>0</v>
      </c>
      <c r="P100" s="260">
        <v>0</v>
      </c>
      <c r="Q100" s="260">
        <v>0</v>
      </c>
      <c r="R100" s="260">
        <v>2600</v>
      </c>
      <c r="S100" s="260">
        <v>4200</v>
      </c>
      <c r="T100" s="260">
        <v>4700</v>
      </c>
      <c r="U100" s="260">
        <v>2600</v>
      </c>
      <c r="V100" s="260">
        <v>1</v>
      </c>
      <c r="W100" s="260">
        <v>500</v>
      </c>
      <c r="X100" s="261">
        <v>500</v>
      </c>
      <c r="Y100" s="260">
        <v>500</v>
      </c>
      <c r="Z100" s="260">
        <v>500</v>
      </c>
      <c r="AA100" s="260">
        <v>1000</v>
      </c>
    </row>
    <row r="101" spans="1:27" ht="17.25" thickTop="1" thickBot="1">
      <c r="A101" s="259">
        <v>43929</v>
      </c>
      <c r="B101" s="260">
        <v>9</v>
      </c>
      <c r="C101" s="260">
        <v>215000</v>
      </c>
      <c r="D101" s="260">
        <v>105000</v>
      </c>
      <c r="E101" s="260">
        <v>215000</v>
      </c>
      <c r="F101" s="260">
        <v>73500</v>
      </c>
      <c r="G101" s="260">
        <v>65000</v>
      </c>
      <c r="H101" s="260">
        <v>10</v>
      </c>
      <c r="I101" s="260">
        <v>12000</v>
      </c>
      <c r="J101" s="260">
        <v>12000</v>
      </c>
      <c r="K101" s="260">
        <v>12000</v>
      </c>
      <c r="L101" s="260">
        <v>8000</v>
      </c>
      <c r="M101" s="260">
        <v>0</v>
      </c>
      <c r="N101" s="260">
        <v>0</v>
      </c>
      <c r="O101" s="260">
        <v>0</v>
      </c>
      <c r="P101" s="260">
        <v>0</v>
      </c>
      <c r="Q101" s="260">
        <v>0</v>
      </c>
      <c r="R101" s="260">
        <v>2600</v>
      </c>
      <c r="S101" s="260">
        <v>5200</v>
      </c>
      <c r="T101" s="260">
        <v>4700</v>
      </c>
      <c r="U101" s="260">
        <v>2600</v>
      </c>
      <c r="V101" s="260">
        <v>1</v>
      </c>
      <c r="W101" s="260">
        <v>1000</v>
      </c>
      <c r="X101" s="261" t="s">
        <v>1018</v>
      </c>
      <c r="Y101" s="260">
        <v>1000</v>
      </c>
      <c r="Z101" s="260">
        <v>1000</v>
      </c>
      <c r="AA101" s="260">
        <v>1000</v>
      </c>
    </row>
    <row r="102" spans="1:27" ht="17.25" thickTop="1" thickBot="1">
      <c r="A102" s="259">
        <v>43928</v>
      </c>
      <c r="B102" s="260">
        <v>0</v>
      </c>
      <c r="C102" s="260">
        <v>265000</v>
      </c>
      <c r="D102" s="260">
        <v>55000</v>
      </c>
      <c r="E102" s="260">
        <v>210000</v>
      </c>
      <c r="F102" s="260">
        <v>0</v>
      </c>
      <c r="G102" s="260">
        <v>60900</v>
      </c>
      <c r="H102" s="260">
        <v>12</v>
      </c>
      <c r="I102" s="260">
        <v>8000</v>
      </c>
      <c r="J102" s="260">
        <v>8000</v>
      </c>
      <c r="K102" s="260">
        <v>8000</v>
      </c>
      <c r="L102" s="260">
        <v>8000</v>
      </c>
      <c r="M102" s="260">
        <v>0</v>
      </c>
      <c r="N102" s="260">
        <v>0</v>
      </c>
      <c r="O102" s="260">
        <v>0</v>
      </c>
      <c r="P102" s="260">
        <v>0</v>
      </c>
      <c r="Q102" s="260">
        <v>0</v>
      </c>
      <c r="R102" s="260">
        <v>5200</v>
      </c>
      <c r="S102" s="260">
        <v>5200</v>
      </c>
      <c r="T102" s="260">
        <v>5200</v>
      </c>
      <c r="U102" s="260">
        <v>5200</v>
      </c>
      <c r="V102" s="260">
        <v>1</v>
      </c>
      <c r="W102" s="260">
        <v>1000</v>
      </c>
      <c r="X102" s="261">
        <v>500</v>
      </c>
      <c r="Y102" s="260">
        <v>1000</v>
      </c>
      <c r="Z102" s="260">
        <v>500</v>
      </c>
      <c r="AA102" s="260">
        <v>500</v>
      </c>
    </row>
    <row r="103" spans="1:27" ht="17.25" thickTop="1" thickBot="1">
      <c r="A103" s="259">
        <v>43927</v>
      </c>
      <c r="B103" s="260">
        <v>9</v>
      </c>
      <c r="C103" s="260">
        <v>338000</v>
      </c>
      <c r="D103" s="260">
        <v>126000</v>
      </c>
      <c r="E103" s="260">
        <v>212000</v>
      </c>
      <c r="F103" s="260">
        <v>76000</v>
      </c>
      <c r="G103" s="260">
        <v>60000</v>
      </c>
      <c r="H103" s="260">
        <v>11</v>
      </c>
      <c r="I103" s="260">
        <v>8000</v>
      </c>
      <c r="J103" s="260">
        <v>6000</v>
      </c>
      <c r="K103" s="260">
        <v>12000</v>
      </c>
      <c r="L103" s="260">
        <v>4000</v>
      </c>
      <c r="M103" s="260">
        <v>0</v>
      </c>
      <c r="N103" s="260">
        <v>0</v>
      </c>
      <c r="O103" s="260">
        <v>0</v>
      </c>
      <c r="P103" s="260">
        <v>0</v>
      </c>
      <c r="Q103" s="260">
        <v>0</v>
      </c>
      <c r="R103" s="260">
        <v>4200</v>
      </c>
      <c r="S103" s="260">
        <v>4200</v>
      </c>
      <c r="T103" s="260">
        <v>3900</v>
      </c>
      <c r="U103" s="260">
        <v>3100</v>
      </c>
      <c r="V103" s="260">
        <v>1</v>
      </c>
      <c r="W103" s="260">
        <v>1000</v>
      </c>
      <c r="X103" s="261">
        <v>500</v>
      </c>
      <c r="Y103" s="260">
        <v>1000</v>
      </c>
      <c r="Z103" s="260">
        <v>2000</v>
      </c>
      <c r="AA103" s="260">
        <v>500</v>
      </c>
    </row>
    <row r="104" spans="1:27" ht="17.25" thickTop="1" thickBot="1">
      <c r="A104" s="259">
        <v>43926</v>
      </c>
      <c r="B104" s="260">
        <v>9</v>
      </c>
      <c r="C104" s="260">
        <v>327000</v>
      </c>
      <c r="D104" s="260">
        <v>117000</v>
      </c>
      <c r="E104" s="260">
        <v>210000</v>
      </c>
      <c r="F104" s="260">
        <v>76500</v>
      </c>
      <c r="G104" s="260">
        <v>71400</v>
      </c>
      <c r="H104" s="260">
        <v>14</v>
      </c>
      <c r="I104" s="260">
        <v>10000</v>
      </c>
      <c r="J104" s="260">
        <v>4000</v>
      </c>
      <c r="K104" s="260">
        <v>6000</v>
      </c>
      <c r="L104" s="260">
        <v>8000</v>
      </c>
      <c r="M104" s="260">
        <v>0</v>
      </c>
      <c r="N104" s="260">
        <v>0</v>
      </c>
      <c r="O104" s="260">
        <v>0</v>
      </c>
      <c r="P104" s="260">
        <v>0</v>
      </c>
      <c r="Q104" s="260">
        <v>1</v>
      </c>
      <c r="R104" s="260">
        <v>5200</v>
      </c>
      <c r="S104" s="260">
        <v>5200</v>
      </c>
      <c r="T104" s="260">
        <v>5200</v>
      </c>
      <c r="U104" s="260">
        <v>5200</v>
      </c>
      <c r="V104" s="260">
        <v>0</v>
      </c>
      <c r="W104" s="260">
        <v>2500</v>
      </c>
      <c r="X104" s="261">
        <v>1500</v>
      </c>
      <c r="Y104" s="260">
        <v>2000</v>
      </c>
      <c r="Z104" s="260">
        <v>2000</v>
      </c>
      <c r="AA104" s="260">
        <v>1000</v>
      </c>
    </row>
    <row r="105" spans="1:27" ht="17.25" thickTop="1" thickBot="1">
      <c r="A105" s="259">
        <v>43925</v>
      </c>
      <c r="B105" s="260">
        <v>8</v>
      </c>
      <c r="C105" s="260">
        <v>331000</v>
      </c>
      <c r="D105" s="260">
        <v>126000</v>
      </c>
      <c r="E105" s="260">
        <v>205000</v>
      </c>
      <c r="F105" s="260">
        <v>67700</v>
      </c>
      <c r="G105" s="260">
        <v>63100</v>
      </c>
      <c r="H105" s="260">
        <v>11</v>
      </c>
      <c r="I105" s="260">
        <v>15000</v>
      </c>
      <c r="J105" s="260">
        <v>8000</v>
      </c>
      <c r="K105" s="260">
        <v>8000</v>
      </c>
      <c r="L105" s="260">
        <v>8000</v>
      </c>
      <c r="M105" s="260">
        <v>0</v>
      </c>
      <c r="N105" s="260">
        <v>0</v>
      </c>
      <c r="O105" s="260">
        <v>0</v>
      </c>
      <c r="P105" s="260">
        <v>0</v>
      </c>
      <c r="Q105" s="260">
        <v>0</v>
      </c>
      <c r="R105" s="260">
        <v>3900</v>
      </c>
      <c r="S105" s="260">
        <v>3900</v>
      </c>
      <c r="T105" s="260">
        <v>3900</v>
      </c>
      <c r="U105" s="260">
        <v>3900</v>
      </c>
      <c r="V105" s="260">
        <v>2</v>
      </c>
      <c r="W105" s="260">
        <v>1000</v>
      </c>
      <c r="X105" s="261">
        <v>500</v>
      </c>
      <c r="Y105" s="260">
        <v>1000</v>
      </c>
      <c r="Z105" s="260">
        <v>500</v>
      </c>
      <c r="AA105" s="260">
        <v>500</v>
      </c>
    </row>
    <row r="106" spans="1:27" ht="17.25" thickTop="1" thickBot="1">
      <c r="A106" s="259">
        <v>43924</v>
      </c>
      <c r="B106" s="260">
        <v>6</v>
      </c>
      <c r="C106" s="260">
        <v>331000</v>
      </c>
      <c r="D106" s="260">
        <v>126000</v>
      </c>
      <c r="E106" s="260">
        <v>205000</v>
      </c>
      <c r="F106" s="260">
        <v>49600</v>
      </c>
      <c r="G106" s="260">
        <v>65400</v>
      </c>
      <c r="H106" s="260">
        <v>9</v>
      </c>
      <c r="I106" s="260">
        <v>12000</v>
      </c>
      <c r="J106" s="260">
        <v>13000</v>
      </c>
      <c r="K106" s="260">
        <v>10000</v>
      </c>
      <c r="L106" s="260">
        <v>6000</v>
      </c>
      <c r="M106" s="260">
        <v>0</v>
      </c>
      <c r="N106" s="260">
        <v>0</v>
      </c>
      <c r="O106" s="260">
        <v>0</v>
      </c>
      <c r="P106" s="260">
        <v>0</v>
      </c>
      <c r="Q106" s="260">
        <v>1</v>
      </c>
      <c r="R106" s="260">
        <v>5200</v>
      </c>
      <c r="S106" s="260">
        <v>5200</v>
      </c>
      <c r="T106" s="260">
        <v>5200</v>
      </c>
      <c r="U106" s="260">
        <v>5200</v>
      </c>
      <c r="V106" s="260">
        <v>0</v>
      </c>
      <c r="W106" s="260">
        <v>5000</v>
      </c>
      <c r="X106" s="261">
        <v>2500</v>
      </c>
      <c r="Y106" s="260">
        <v>2000</v>
      </c>
      <c r="Z106" s="260">
        <v>1500</v>
      </c>
      <c r="AA106" s="260">
        <v>2500</v>
      </c>
    </row>
    <row r="107" spans="1:27" ht="17.25" thickTop="1" thickBot="1">
      <c r="A107" s="259">
        <v>43923</v>
      </c>
      <c r="B107" s="260">
        <v>7</v>
      </c>
      <c r="C107" s="260">
        <v>331000</v>
      </c>
      <c r="D107" s="260">
        <v>126000</v>
      </c>
      <c r="E107" s="260">
        <v>205000</v>
      </c>
      <c r="F107" s="260">
        <v>59300</v>
      </c>
      <c r="G107" s="260">
        <v>49600</v>
      </c>
      <c r="H107" s="260">
        <v>11</v>
      </c>
      <c r="I107" s="260">
        <v>8000</v>
      </c>
      <c r="J107" s="260">
        <v>5000</v>
      </c>
      <c r="K107" s="260">
        <v>1000</v>
      </c>
      <c r="L107" s="260">
        <v>11000</v>
      </c>
      <c r="M107" s="260">
        <v>0</v>
      </c>
      <c r="N107" s="260">
        <v>0</v>
      </c>
      <c r="O107" s="260">
        <v>0</v>
      </c>
      <c r="P107" s="260">
        <v>0</v>
      </c>
      <c r="Q107" s="260">
        <v>0</v>
      </c>
      <c r="R107" s="260">
        <v>3900</v>
      </c>
      <c r="S107" s="260">
        <v>5200</v>
      </c>
      <c r="T107" s="260">
        <v>4400</v>
      </c>
      <c r="U107" s="260">
        <v>5200</v>
      </c>
      <c r="V107" s="260">
        <v>1</v>
      </c>
      <c r="W107" s="260">
        <v>2000</v>
      </c>
      <c r="X107" s="261">
        <v>4400</v>
      </c>
      <c r="Y107" s="260">
        <v>1000</v>
      </c>
      <c r="Z107" s="260">
        <v>1500</v>
      </c>
      <c r="AA107" s="260">
        <v>2600</v>
      </c>
    </row>
    <row r="108" spans="1:27" s="124" customFormat="1" ht="17.25" thickTop="1" thickBot="1">
      <c r="A108" s="259">
        <v>43922</v>
      </c>
      <c r="B108" s="260">
        <v>7</v>
      </c>
      <c r="C108" s="260"/>
      <c r="D108" s="260"/>
      <c r="E108" s="260"/>
      <c r="F108" s="260"/>
      <c r="G108" s="260"/>
      <c r="H108" s="260">
        <v>8</v>
      </c>
      <c r="I108" s="260"/>
      <c r="J108" s="260"/>
      <c r="K108" s="260"/>
      <c r="L108" s="260"/>
      <c r="M108" s="260"/>
      <c r="N108" s="260"/>
      <c r="O108" s="260"/>
      <c r="P108" s="260"/>
      <c r="Q108" s="260">
        <v>1</v>
      </c>
      <c r="R108" s="260"/>
      <c r="S108" s="260"/>
      <c r="T108" s="260"/>
      <c r="U108" s="260"/>
      <c r="V108" s="260">
        <v>1</v>
      </c>
      <c r="W108" s="260"/>
      <c r="X108" s="261"/>
      <c r="Y108" s="260"/>
      <c r="Z108" s="260"/>
      <c r="AA108" s="260"/>
    </row>
    <row r="109" spans="1:27" ht="17.25" thickTop="1" thickBot="1">
      <c r="A109" s="259">
        <v>43921</v>
      </c>
      <c r="B109" s="260">
        <v>8</v>
      </c>
      <c r="C109" s="260"/>
      <c r="D109" s="260"/>
      <c r="E109" s="260"/>
      <c r="F109" s="260"/>
      <c r="G109" s="260"/>
      <c r="H109" s="260">
        <v>12</v>
      </c>
      <c r="I109" s="260"/>
      <c r="J109" s="260"/>
      <c r="K109" s="260"/>
      <c r="L109" s="260"/>
      <c r="M109" s="260"/>
      <c r="N109" s="260"/>
      <c r="O109" s="260"/>
      <c r="P109" s="260"/>
      <c r="Q109" s="260">
        <v>1</v>
      </c>
      <c r="R109" s="260"/>
      <c r="S109" s="260"/>
      <c r="T109" s="260"/>
      <c r="U109" s="260"/>
      <c r="V109" s="260">
        <v>0</v>
      </c>
      <c r="W109" s="260"/>
      <c r="X109" s="261"/>
      <c r="Y109" s="260"/>
      <c r="Z109" s="260"/>
      <c r="AA109" s="260"/>
    </row>
    <row r="110" spans="1:27" ht="17.25" thickTop="1" thickBot="1">
      <c r="A110" s="259">
        <v>43920</v>
      </c>
      <c r="B110" s="260">
        <v>8</v>
      </c>
      <c r="C110" s="260"/>
      <c r="D110" s="260"/>
      <c r="E110" s="260"/>
      <c r="F110" s="260"/>
      <c r="G110" s="260"/>
      <c r="H110" s="260">
        <v>11</v>
      </c>
      <c r="I110" s="260"/>
      <c r="J110" s="260"/>
      <c r="K110" s="260"/>
      <c r="L110" s="260"/>
      <c r="M110" s="260"/>
      <c r="N110" s="260"/>
      <c r="O110" s="260"/>
      <c r="P110" s="260"/>
      <c r="Q110" s="260">
        <v>0</v>
      </c>
      <c r="R110" s="260"/>
      <c r="S110" s="260"/>
      <c r="T110" s="260"/>
      <c r="U110" s="260"/>
      <c r="V110" s="260">
        <v>1</v>
      </c>
      <c r="W110" s="260"/>
      <c r="X110" s="261"/>
      <c r="Y110" s="260"/>
      <c r="Z110" s="260"/>
      <c r="AA110" s="260"/>
    </row>
    <row r="111" spans="1:27" ht="17.25" thickTop="1" thickBot="1">
      <c r="A111" s="259">
        <v>43919</v>
      </c>
      <c r="B111" s="260">
        <v>7</v>
      </c>
      <c r="C111" s="260"/>
      <c r="D111" s="260"/>
      <c r="E111" s="260"/>
      <c r="F111" s="260"/>
      <c r="G111" s="260"/>
      <c r="H111" s="260">
        <v>13</v>
      </c>
      <c r="I111" s="260"/>
      <c r="J111" s="260"/>
      <c r="K111" s="260"/>
      <c r="L111" s="260"/>
      <c r="M111" s="260"/>
      <c r="N111" s="260"/>
      <c r="O111" s="260"/>
      <c r="P111" s="260"/>
      <c r="Q111" s="260">
        <v>1</v>
      </c>
      <c r="R111" s="260"/>
      <c r="S111" s="260"/>
      <c r="T111" s="260"/>
      <c r="U111" s="260"/>
      <c r="V111" s="260">
        <v>0</v>
      </c>
      <c r="W111" s="260"/>
      <c r="X111" s="261"/>
      <c r="Y111" s="260"/>
      <c r="Z111" s="260"/>
      <c r="AA111" s="260"/>
    </row>
    <row r="112" spans="1:27" ht="17.25" thickTop="1" thickBot="1">
      <c r="A112" s="259">
        <v>43918</v>
      </c>
      <c r="B112" s="260">
        <v>8</v>
      </c>
      <c r="C112" s="260"/>
      <c r="D112" s="260"/>
      <c r="E112" s="260"/>
      <c r="F112" s="260"/>
      <c r="G112" s="260"/>
      <c r="H112" s="260">
        <v>13</v>
      </c>
      <c r="I112" s="260"/>
      <c r="J112" s="260"/>
      <c r="K112" s="260"/>
      <c r="L112" s="260"/>
      <c r="M112" s="260"/>
      <c r="N112" s="260"/>
      <c r="O112" s="260"/>
      <c r="P112" s="260"/>
      <c r="Q112" s="260">
        <v>1</v>
      </c>
      <c r="R112" s="260"/>
      <c r="S112" s="260"/>
      <c r="T112" s="260"/>
      <c r="U112" s="260"/>
      <c r="V112" s="260">
        <v>0</v>
      </c>
      <c r="W112" s="260"/>
      <c r="X112" s="261"/>
      <c r="Y112" s="260"/>
      <c r="Z112" s="260"/>
      <c r="AA112" s="260"/>
    </row>
    <row r="113" spans="1:27" ht="17.25" thickTop="1" thickBot="1">
      <c r="A113" s="259">
        <v>43917</v>
      </c>
      <c r="B113" s="260">
        <v>6</v>
      </c>
      <c r="C113" s="260"/>
      <c r="D113" s="260"/>
      <c r="E113" s="260"/>
      <c r="F113" s="260"/>
      <c r="G113" s="260"/>
      <c r="H113" s="260">
        <v>7</v>
      </c>
      <c r="I113" s="260"/>
      <c r="J113" s="260"/>
      <c r="K113" s="260"/>
      <c r="L113" s="260"/>
      <c r="M113" s="260"/>
      <c r="N113" s="260"/>
      <c r="O113" s="260"/>
      <c r="P113" s="260"/>
      <c r="Q113" s="260">
        <v>1</v>
      </c>
      <c r="R113" s="260"/>
      <c r="S113" s="260"/>
      <c r="T113" s="260"/>
      <c r="U113" s="260"/>
      <c r="V113" s="260">
        <v>1</v>
      </c>
      <c r="W113" s="260"/>
      <c r="X113" s="261"/>
      <c r="Y113" s="260"/>
      <c r="Z113" s="260"/>
      <c r="AA113" s="260"/>
    </row>
    <row r="114" spans="1:27" ht="17.25" thickTop="1" thickBot="1">
      <c r="A114" s="259">
        <v>43916</v>
      </c>
      <c r="B114" s="260">
        <v>8</v>
      </c>
      <c r="C114" s="260"/>
      <c r="D114" s="260"/>
      <c r="E114" s="260"/>
      <c r="F114" s="260"/>
      <c r="G114" s="260"/>
      <c r="H114" s="260">
        <v>18</v>
      </c>
      <c r="I114" s="260"/>
      <c r="J114" s="260"/>
      <c r="K114" s="260"/>
      <c r="L114" s="260"/>
      <c r="M114" s="260"/>
      <c r="N114" s="260"/>
      <c r="O114" s="260"/>
      <c r="P114" s="260"/>
      <c r="Q114" s="260">
        <v>0</v>
      </c>
      <c r="R114" s="260"/>
      <c r="S114" s="260"/>
      <c r="T114" s="260"/>
      <c r="U114" s="260"/>
      <c r="V114" s="260">
        <v>0</v>
      </c>
      <c r="W114" s="260"/>
      <c r="X114" s="261"/>
      <c r="Y114" s="260"/>
      <c r="Z114" s="260"/>
      <c r="AA114" s="260"/>
    </row>
    <row r="115" spans="1:27" ht="17.25" thickTop="1" thickBot="1">
      <c r="A115" s="259">
        <v>43915</v>
      </c>
      <c r="B115" s="260">
        <v>7</v>
      </c>
      <c r="C115" s="260"/>
      <c r="D115" s="260"/>
      <c r="E115" s="260"/>
      <c r="F115" s="260"/>
      <c r="G115" s="260"/>
      <c r="H115" s="260">
        <v>13</v>
      </c>
      <c r="I115" s="260"/>
      <c r="J115" s="260"/>
      <c r="K115" s="260"/>
      <c r="L115" s="260"/>
      <c r="M115" s="260"/>
      <c r="N115" s="260"/>
      <c r="O115" s="260"/>
      <c r="P115" s="260"/>
      <c r="Q115" s="260">
        <v>1</v>
      </c>
      <c r="R115" s="260"/>
      <c r="S115" s="260"/>
      <c r="T115" s="260"/>
      <c r="U115" s="260"/>
      <c r="V115" s="260">
        <v>1</v>
      </c>
      <c r="W115" s="260"/>
      <c r="X115" s="261"/>
      <c r="Y115" s="260"/>
      <c r="Z115" s="260"/>
      <c r="AA115" s="260"/>
    </row>
    <row r="116" spans="1:27" ht="17.25" thickTop="1" thickBot="1">
      <c r="A116" s="259">
        <v>43914</v>
      </c>
      <c r="B116" s="260">
        <v>8</v>
      </c>
      <c r="C116" s="260"/>
      <c r="D116" s="260"/>
      <c r="E116" s="260"/>
      <c r="F116" s="260"/>
      <c r="G116" s="260"/>
      <c r="H116" s="260">
        <v>8</v>
      </c>
      <c r="I116" s="260"/>
      <c r="J116" s="260"/>
      <c r="K116" s="260"/>
      <c r="L116" s="260"/>
      <c r="M116" s="260"/>
      <c r="N116" s="260"/>
      <c r="O116" s="260"/>
      <c r="P116" s="260"/>
      <c r="Q116" s="260">
        <v>0</v>
      </c>
      <c r="R116" s="260"/>
      <c r="S116" s="260"/>
      <c r="T116" s="260"/>
      <c r="U116" s="260"/>
      <c r="V116" s="260">
        <v>0</v>
      </c>
      <c r="W116" s="260"/>
      <c r="X116" s="261"/>
      <c r="Y116" s="260"/>
      <c r="Z116" s="260"/>
      <c r="AA116" s="260"/>
    </row>
    <row r="117" spans="1:27" ht="17.25" thickTop="1" thickBot="1">
      <c r="A117" s="259">
        <v>43913</v>
      </c>
      <c r="B117" s="260">
        <v>8</v>
      </c>
      <c r="C117" s="260"/>
      <c r="D117" s="260"/>
      <c r="E117" s="260"/>
      <c r="F117" s="260"/>
      <c r="G117" s="260"/>
      <c r="H117" s="260">
        <v>10</v>
      </c>
      <c r="I117" s="260"/>
      <c r="J117" s="260"/>
      <c r="K117" s="260"/>
      <c r="L117" s="260"/>
      <c r="M117" s="260"/>
      <c r="N117" s="260"/>
      <c r="O117" s="260"/>
      <c r="P117" s="260"/>
      <c r="Q117" s="260">
        <v>1</v>
      </c>
      <c r="R117" s="260"/>
      <c r="S117" s="260"/>
      <c r="T117" s="260"/>
      <c r="U117" s="260"/>
      <c r="V117" s="260">
        <v>1</v>
      </c>
      <c r="W117" s="260"/>
      <c r="X117" s="261"/>
      <c r="Y117" s="260"/>
      <c r="Z117" s="260"/>
      <c r="AA117" s="260"/>
    </row>
    <row r="118" spans="1:27" ht="17.25" thickTop="1" thickBot="1">
      <c r="A118" s="259">
        <v>43912</v>
      </c>
      <c r="B118" s="260">
        <v>8</v>
      </c>
      <c r="C118" s="260"/>
      <c r="D118" s="260"/>
      <c r="E118" s="260"/>
      <c r="F118" s="260"/>
      <c r="G118" s="260"/>
      <c r="H118" s="260">
        <v>10</v>
      </c>
      <c r="I118" s="260"/>
      <c r="J118" s="260"/>
      <c r="K118" s="260"/>
      <c r="L118" s="260"/>
      <c r="M118" s="260"/>
      <c r="N118" s="260"/>
      <c r="O118" s="260"/>
      <c r="P118" s="260"/>
      <c r="Q118" s="260">
        <v>0</v>
      </c>
      <c r="R118" s="260"/>
      <c r="S118" s="260"/>
      <c r="T118" s="260"/>
      <c r="U118" s="260"/>
      <c r="V118" s="260">
        <v>1</v>
      </c>
      <c r="W118" s="260"/>
      <c r="X118" s="261"/>
      <c r="Y118" s="260"/>
      <c r="Z118" s="260"/>
      <c r="AA118" s="260"/>
    </row>
    <row r="119" spans="1:27" ht="17.25" thickTop="1" thickBot="1">
      <c r="A119" s="259">
        <v>43911</v>
      </c>
      <c r="B119" s="260">
        <v>9</v>
      </c>
      <c r="C119" s="260"/>
      <c r="D119" s="260"/>
      <c r="E119" s="260"/>
      <c r="F119" s="260"/>
      <c r="G119" s="260"/>
      <c r="H119" s="260">
        <v>13</v>
      </c>
      <c r="I119" s="260"/>
      <c r="J119" s="260"/>
      <c r="K119" s="260"/>
      <c r="L119" s="260"/>
      <c r="M119" s="260"/>
      <c r="N119" s="260"/>
      <c r="O119" s="260"/>
      <c r="P119" s="260"/>
      <c r="Q119" s="260">
        <v>1</v>
      </c>
      <c r="R119" s="260"/>
      <c r="S119" s="260"/>
      <c r="T119" s="260"/>
      <c r="U119" s="260"/>
      <c r="V119" s="260">
        <v>1</v>
      </c>
      <c r="W119" s="260"/>
      <c r="X119" s="261"/>
      <c r="Y119" s="260"/>
      <c r="Z119" s="260"/>
      <c r="AA119" s="260"/>
    </row>
    <row r="120" spans="1:27" ht="17.25" thickTop="1" thickBot="1">
      <c r="A120" s="259">
        <v>43910</v>
      </c>
      <c r="B120" s="260">
        <v>9</v>
      </c>
      <c r="C120" s="260"/>
      <c r="D120" s="260"/>
      <c r="E120" s="260"/>
      <c r="F120" s="260"/>
      <c r="G120" s="260"/>
      <c r="H120" s="260">
        <v>8</v>
      </c>
      <c r="I120" s="260"/>
      <c r="J120" s="260"/>
      <c r="K120" s="260"/>
      <c r="L120" s="260"/>
      <c r="M120" s="260"/>
      <c r="N120" s="260"/>
      <c r="O120" s="260"/>
      <c r="P120" s="260"/>
      <c r="Q120" s="260">
        <v>0</v>
      </c>
      <c r="R120" s="260"/>
      <c r="S120" s="260"/>
      <c r="T120" s="260"/>
      <c r="U120" s="260"/>
      <c r="V120" s="260">
        <v>1</v>
      </c>
      <c r="W120" s="260"/>
      <c r="X120" s="261"/>
      <c r="Y120" s="260"/>
      <c r="Z120" s="260"/>
      <c r="AA120" s="260"/>
    </row>
    <row r="121" spans="1:27" ht="17.25" thickTop="1" thickBot="1">
      <c r="A121" s="259">
        <v>43909</v>
      </c>
      <c r="B121" s="260">
        <v>9</v>
      </c>
      <c r="C121" s="260"/>
      <c r="D121" s="260"/>
      <c r="E121" s="260"/>
      <c r="F121" s="260"/>
      <c r="G121" s="260"/>
      <c r="H121" s="260">
        <v>11</v>
      </c>
      <c r="I121" s="260"/>
      <c r="J121" s="260"/>
      <c r="K121" s="260"/>
      <c r="L121" s="260"/>
      <c r="M121" s="260"/>
      <c r="N121" s="260"/>
      <c r="O121" s="260"/>
      <c r="P121" s="260"/>
      <c r="Q121" s="260">
        <v>1</v>
      </c>
      <c r="R121" s="260"/>
      <c r="S121" s="260"/>
      <c r="T121" s="260"/>
      <c r="U121" s="260"/>
      <c r="V121" s="260">
        <v>1</v>
      </c>
      <c r="W121" s="260"/>
      <c r="X121" s="261"/>
      <c r="Y121" s="260"/>
      <c r="Z121" s="260"/>
      <c r="AA121" s="260"/>
    </row>
    <row r="122" spans="1:27" ht="17.25" thickTop="1" thickBot="1">
      <c r="A122" s="259">
        <v>43908</v>
      </c>
      <c r="B122" s="260">
        <v>5</v>
      </c>
      <c r="C122" s="260"/>
      <c r="D122" s="260"/>
      <c r="E122" s="260"/>
      <c r="F122" s="260"/>
      <c r="G122" s="260"/>
      <c r="H122" s="260">
        <v>13</v>
      </c>
      <c r="I122" s="260"/>
      <c r="J122" s="260"/>
      <c r="K122" s="260"/>
      <c r="L122" s="260"/>
      <c r="M122" s="260"/>
      <c r="N122" s="260"/>
      <c r="O122" s="260"/>
      <c r="P122" s="260"/>
      <c r="Q122" s="260">
        <v>0</v>
      </c>
      <c r="R122" s="260"/>
      <c r="S122" s="260"/>
      <c r="T122" s="260"/>
      <c r="U122" s="260"/>
      <c r="V122" s="260">
        <v>0</v>
      </c>
      <c r="W122" s="260"/>
      <c r="X122" s="261"/>
      <c r="Y122" s="260"/>
      <c r="Z122" s="260"/>
      <c r="AA122" s="260"/>
    </row>
    <row r="123" spans="1:27" ht="17.25" thickTop="1" thickBot="1">
      <c r="A123" s="259">
        <v>43907</v>
      </c>
      <c r="B123" s="260">
        <v>8</v>
      </c>
      <c r="C123" s="260"/>
      <c r="D123" s="260"/>
      <c r="E123" s="260"/>
      <c r="F123" s="260"/>
      <c r="G123" s="260"/>
      <c r="H123" s="260">
        <v>10</v>
      </c>
      <c r="I123" s="260"/>
      <c r="J123" s="260"/>
      <c r="K123" s="260"/>
      <c r="L123" s="260"/>
      <c r="M123" s="260"/>
      <c r="N123" s="260"/>
      <c r="O123" s="260"/>
      <c r="P123" s="260"/>
      <c r="Q123" s="260">
        <v>1</v>
      </c>
      <c r="R123" s="260"/>
      <c r="S123" s="260"/>
      <c r="T123" s="260"/>
      <c r="U123" s="260"/>
      <c r="V123" s="260">
        <v>1</v>
      </c>
      <c r="W123" s="260"/>
      <c r="X123" s="261"/>
      <c r="Y123" s="260"/>
      <c r="Z123" s="260"/>
      <c r="AA123" s="260"/>
    </row>
    <row r="124" spans="1:27" ht="17.25" thickTop="1" thickBot="1">
      <c r="A124" s="259">
        <v>43906</v>
      </c>
      <c r="B124" s="260">
        <v>11</v>
      </c>
      <c r="C124" s="260"/>
      <c r="D124" s="260"/>
      <c r="E124" s="260"/>
      <c r="F124" s="260"/>
      <c r="G124" s="260"/>
      <c r="H124" s="260">
        <v>9</v>
      </c>
      <c r="I124" s="260"/>
      <c r="J124" s="260"/>
      <c r="K124" s="260"/>
      <c r="L124" s="260"/>
      <c r="M124" s="260"/>
      <c r="N124" s="260"/>
      <c r="O124" s="260"/>
      <c r="P124" s="260"/>
      <c r="Q124" s="260">
        <v>1</v>
      </c>
      <c r="R124" s="260"/>
      <c r="S124" s="260"/>
      <c r="T124" s="260"/>
      <c r="U124" s="260"/>
      <c r="V124" s="260">
        <v>0</v>
      </c>
      <c r="W124" s="260"/>
      <c r="X124" s="261"/>
      <c r="Y124" s="260"/>
      <c r="Z124" s="260"/>
      <c r="AA124" s="260"/>
    </row>
    <row r="125" spans="1:27" ht="17.25" thickTop="1" thickBot="1">
      <c r="A125" s="259">
        <v>43905</v>
      </c>
      <c r="B125" s="260">
        <v>16</v>
      </c>
      <c r="C125" s="260"/>
      <c r="D125" s="260"/>
      <c r="E125" s="260"/>
      <c r="F125" s="260"/>
      <c r="G125" s="260"/>
      <c r="H125" s="260">
        <v>10</v>
      </c>
      <c r="I125" s="260"/>
      <c r="J125" s="260"/>
      <c r="K125" s="260"/>
      <c r="L125" s="260"/>
      <c r="M125" s="260"/>
      <c r="N125" s="260"/>
      <c r="O125" s="260"/>
      <c r="P125" s="260"/>
      <c r="Q125" s="260">
        <v>1</v>
      </c>
      <c r="R125" s="260"/>
      <c r="S125" s="260"/>
      <c r="T125" s="260"/>
      <c r="U125" s="260"/>
      <c r="V125" s="260">
        <v>1</v>
      </c>
      <c r="W125" s="260"/>
      <c r="X125" s="261"/>
      <c r="Y125" s="260"/>
      <c r="Z125" s="260"/>
      <c r="AA125" s="260"/>
    </row>
    <row r="126" spans="1:27" ht="17.25" thickTop="1" thickBot="1">
      <c r="A126" s="259">
        <v>43904</v>
      </c>
      <c r="B126" s="260">
        <v>9</v>
      </c>
      <c r="C126" s="260"/>
      <c r="D126" s="260"/>
      <c r="E126" s="260"/>
      <c r="F126" s="260"/>
      <c r="G126" s="260"/>
      <c r="H126" s="260">
        <v>10</v>
      </c>
      <c r="I126" s="260"/>
      <c r="J126" s="260"/>
      <c r="K126" s="260"/>
      <c r="L126" s="260"/>
      <c r="M126" s="260"/>
      <c r="N126" s="260"/>
      <c r="O126" s="260"/>
      <c r="P126" s="260"/>
      <c r="Q126" s="260">
        <v>0</v>
      </c>
      <c r="R126" s="260"/>
      <c r="S126" s="260"/>
      <c r="T126" s="260"/>
      <c r="U126" s="260"/>
      <c r="V126" s="260">
        <v>1</v>
      </c>
      <c r="W126" s="260"/>
      <c r="X126" s="261"/>
      <c r="Y126" s="260"/>
      <c r="Z126" s="260"/>
      <c r="AA126" s="260"/>
    </row>
    <row r="127" spans="1:27" ht="17.25" thickTop="1" thickBot="1">
      <c r="A127" s="259">
        <v>43903</v>
      </c>
      <c r="B127" s="260">
        <v>6</v>
      </c>
      <c r="C127" s="260"/>
      <c r="D127" s="260"/>
      <c r="E127" s="260"/>
      <c r="F127" s="260"/>
      <c r="G127" s="260"/>
      <c r="H127" s="260">
        <v>10</v>
      </c>
      <c r="I127" s="260"/>
      <c r="J127" s="260"/>
      <c r="K127" s="260"/>
      <c r="L127" s="260"/>
      <c r="M127" s="260"/>
      <c r="N127" s="260"/>
      <c r="O127" s="260"/>
      <c r="P127" s="260"/>
      <c r="Q127" s="260">
        <v>1</v>
      </c>
      <c r="R127" s="260"/>
      <c r="S127" s="260"/>
      <c r="T127" s="260"/>
      <c r="U127" s="260"/>
      <c r="V127" s="260">
        <v>1</v>
      </c>
      <c r="W127" s="260"/>
      <c r="X127" s="261"/>
      <c r="Y127" s="260"/>
      <c r="Z127" s="260"/>
      <c r="AA127" s="260"/>
    </row>
    <row r="128" spans="1:27" ht="17.25" thickTop="1" thickBot="1">
      <c r="A128" s="259">
        <v>43902</v>
      </c>
      <c r="B128" s="260">
        <v>8</v>
      </c>
      <c r="C128" s="260"/>
      <c r="D128" s="260"/>
      <c r="E128" s="260"/>
      <c r="F128" s="260"/>
      <c r="G128" s="260"/>
      <c r="H128" s="260">
        <v>12</v>
      </c>
      <c r="I128" s="260"/>
      <c r="J128" s="260"/>
      <c r="K128" s="260"/>
      <c r="L128" s="260"/>
      <c r="M128" s="260"/>
      <c r="N128" s="260"/>
      <c r="O128" s="260"/>
      <c r="P128" s="260"/>
      <c r="Q128" s="260">
        <v>0</v>
      </c>
      <c r="R128" s="260"/>
      <c r="S128" s="260"/>
      <c r="T128" s="260"/>
      <c r="U128" s="260"/>
      <c r="V128" s="260">
        <v>1</v>
      </c>
      <c r="W128" s="260"/>
      <c r="X128" s="261"/>
      <c r="Y128" s="260"/>
      <c r="Z128" s="260"/>
      <c r="AA128" s="260"/>
    </row>
    <row r="129" spans="1:27" ht="17.25" thickTop="1" thickBot="1">
      <c r="A129" s="259">
        <v>43901</v>
      </c>
      <c r="B129" s="260">
        <v>6</v>
      </c>
      <c r="C129" s="260"/>
      <c r="D129" s="260"/>
      <c r="E129" s="260"/>
      <c r="F129" s="260"/>
      <c r="G129" s="260"/>
      <c r="H129" s="260">
        <v>14</v>
      </c>
      <c r="I129" s="260"/>
      <c r="J129" s="260"/>
      <c r="K129" s="260"/>
      <c r="L129" s="260"/>
      <c r="M129" s="260"/>
      <c r="N129" s="260"/>
      <c r="O129" s="260"/>
      <c r="P129" s="260"/>
      <c r="Q129" s="260">
        <v>1</v>
      </c>
      <c r="R129" s="260"/>
      <c r="S129" s="260"/>
      <c r="T129" s="260"/>
      <c r="U129" s="260"/>
      <c r="V129" s="260">
        <v>1</v>
      </c>
      <c r="W129" s="260"/>
      <c r="X129" s="261"/>
      <c r="Y129" s="260"/>
      <c r="Z129" s="260"/>
      <c r="AA129" s="260"/>
    </row>
    <row r="130" spans="1:27" ht="17.25" thickTop="1" thickBot="1">
      <c r="A130" s="259">
        <v>43900</v>
      </c>
      <c r="B130" s="260">
        <v>10</v>
      </c>
      <c r="C130" s="260"/>
      <c r="D130" s="260"/>
      <c r="E130" s="260"/>
      <c r="F130" s="260"/>
      <c r="G130" s="260"/>
      <c r="H130" s="260">
        <v>9</v>
      </c>
      <c r="I130" s="260"/>
      <c r="J130" s="260"/>
      <c r="K130" s="260"/>
      <c r="L130" s="260"/>
      <c r="M130" s="260"/>
      <c r="N130" s="260"/>
      <c r="O130" s="260"/>
      <c r="P130" s="260"/>
      <c r="Q130" s="260">
        <v>0</v>
      </c>
      <c r="R130" s="260"/>
      <c r="S130" s="260"/>
      <c r="T130" s="260"/>
      <c r="U130" s="260"/>
      <c r="V130" s="260">
        <v>1</v>
      </c>
      <c r="W130" s="260"/>
      <c r="X130" s="261"/>
      <c r="Y130" s="260"/>
      <c r="Z130" s="260"/>
      <c r="AA130" s="260"/>
    </row>
    <row r="131" spans="1:27" ht="17.25" thickTop="1" thickBot="1">
      <c r="A131" s="259">
        <v>43899</v>
      </c>
      <c r="B131" s="260">
        <v>6</v>
      </c>
      <c r="C131" s="260"/>
      <c r="D131" s="260"/>
      <c r="E131" s="260"/>
      <c r="F131" s="260"/>
      <c r="G131" s="260"/>
      <c r="H131" s="260">
        <v>11</v>
      </c>
      <c r="I131" s="260"/>
      <c r="J131" s="260"/>
      <c r="K131" s="260"/>
      <c r="L131" s="260"/>
      <c r="M131" s="260"/>
      <c r="N131" s="260"/>
      <c r="O131" s="260"/>
      <c r="P131" s="260"/>
      <c r="Q131" s="260">
        <v>1</v>
      </c>
      <c r="R131" s="260"/>
      <c r="S131" s="260"/>
      <c r="T131" s="260"/>
      <c r="U131" s="260"/>
      <c r="V131" s="260">
        <v>1</v>
      </c>
      <c r="W131" s="260"/>
      <c r="X131" s="261"/>
      <c r="Y131" s="260"/>
      <c r="Z131" s="260"/>
      <c r="AA131" s="260"/>
    </row>
    <row r="132" spans="1:27" ht="17.25" thickTop="1" thickBot="1">
      <c r="A132" s="259">
        <v>43898</v>
      </c>
      <c r="B132" s="260">
        <v>12</v>
      </c>
      <c r="C132" s="260"/>
      <c r="D132" s="260"/>
      <c r="E132" s="260"/>
      <c r="F132" s="260"/>
      <c r="G132" s="260"/>
      <c r="H132" s="260">
        <v>11</v>
      </c>
      <c r="I132" s="260"/>
      <c r="J132" s="260"/>
      <c r="K132" s="260"/>
      <c r="L132" s="260"/>
      <c r="M132" s="260"/>
      <c r="N132" s="260"/>
      <c r="O132" s="260"/>
      <c r="P132" s="260"/>
      <c r="Q132" s="260">
        <v>1</v>
      </c>
      <c r="R132" s="260"/>
      <c r="S132" s="260"/>
      <c r="T132" s="260"/>
      <c r="U132" s="260"/>
      <c r="V132" s="260">
        <v>0</v>
      </c>
      <c r="W132" s="260"/>
      <c r="X132" s="261"/>
      <c r="Y132" s="260"/>
      <c r="Z132" s="260"/>
      <c r="AA132" s="260"/>
    </row>
    <row r="133" spans="1:27" ht="17.25" thickTop="1" thickBot="1">
      <c r="A133" s="259">
        <v>43897</v>
      </c>
      <c r="B133" s="260">
        <v>12</v>
      </c>
      <c r="C133" s="260"/>
      <c r="D133" s="260"/>
      <c r="E133" s="260"/>
      <c r="F133" s="260"/>
      <c r="G133" s="260"/>
      <c r="H133" s="260">
        <v>9</v>
      </c>
      <c r="I133" s="260"/>
      <c r="J133" s="260"/>
      <c r="K133" s="260"/>
      <c r="L133" s="260"/>
      <c r="M133" s="260"/>
      <c r="N133" s="260"/>
      <c r="O133" s="260"/>
      <c r="P133" s="260"/>
      <c r="Q133" s="260">
        <v>0</v>
      </c>
      <c r="R133" s="260"/>
      <c r="S133" s="260"/>
      <c r="T133" s="260"/>
      <c r="U133" s="260"/>
      <c r="V133" s="260">
        <v>1</v>
      </c>
      <c r="W133" s="260"/>
      <c r="X133" s="261"/>
      <c r="Y133" s="260"/>
      <c r="Z133" s="260"/>
      <c r="AA133" s="260"/>
    </row>
    <row r="134" spans="1:27" ht="17.25" thickTop="1" thickBot="1">
      <c r="A134" s="259">
        <v>43896</v>
      </c>
      <c r="B134" s="260">
        <v>12</v>
      </c>
      <c r="C134" s="260"/>
      <c r="D134" s="260"/>
      <c r="E134" s="260"/>
      <c r="F134" s="260"/>
      <c r="G134" s="260"/>
      <c r="H134" s="260">
        <v>11</v>
      </c>
      <c r="I134" s="260"/>
      <c r="J134" s="260"/>
      <c r="K134" s="260"/>
      <c r="L134" s="260"/>
      <c r="M134" s="260"/>
      <c r="N134" s="260"/>
      <c r="O134" s="260"/>
      <c r="P134" s="260"/>
      <c r="Q134" s="260">
        <v>0</v>
      </c>
      <c r="R134" s="260"/>
      <c r="S134" s="260"/>
      <c r="T134" s="260"/>
      <c r="U134" s="260"/>
      <c r="V134" s="260">
        <v>1</v>
      </c>
      <c r="W134" s="260"/>
      <c r="X134" s="261"/>
      <c r="Y134" s="260"/>
      <c r="Z134" s="260"/>
      <c r="AA134" s="260"/>
    </row>
    <row r="135" spans="1:27" ht="17.25" thickTop="1" thickBot="1">
      <c r="A135" s="259">
        <v>43895</v>
      </c>
      <c r="B135" s="260">
        <v>10</v>
      </c>
      <c r="C135" s="260"/>
      <c r="D135" s="260"/>
      <c r="E135" s="260"/>
      <c r="F135" s="260"/>
      <c r="G135" s="260"/>
      <c r="H135" s="260">
        <v>12</v>
      </c>
      <c r="I135" s="260"/>
      <c r="J135" s="260"/>
      <c r="K135" s="260"/>
      <c r="L135" s="260"/>
      <c r="M135" s="260"/>
      <c r="N135" s="260"/>
      <c r="O135" s="260"/>
      <c r="P135" s="260"/>
      <c r="Q135" s="260">
        <v>1</v>
      </c>
      <c r="R135" s="260"/>
      <c r="S135" s="260"/>
      <c r="T135" s="260"/>
      <c r="U135" s="260"/>
      <c r="V135" s="260">
        <v>1</v>
      </c>
      <c r="W135" s="260"/>
      <c r="X135" s="261"/>
      <c r="Y135" s="260"/>
      <c r="Z135" s="260"/>
      <c r="AA135" s="260"/>
    </row>
    <row r="136" spans="1:27" ht="17.25" thickTop="1" thickBot="1">
      <c r="A136" s="259">
        <v>43894</v>
      </c>
      <c r="B136" s="260">
        <v>6</v>
      </c>
      <c r="C136" s="260"/>
      <c r="D136" s="260"/>
      <c r="E136" s="260"/>
      <c r="F136" s="260"/>
      <c r="G136" s="260"/>
      <c r="H136" s="260">
        <v>11</v>
      </c>
      <c r="I136" s="260"/>
      <c r="J136" s="260"/>
      <c r="K136" s="260"/>
      <c r="L136" s="260"/>
      <c r="M136" s="260"/>
      <c r="N136" s="260"/>
      <c r="O136" s="260"/>
      <c r="P136" s="260"/>
      <c r="Q136" s="260">
        <v>1</v>
      </c>
      <c r="R136" s="260"/>
      <c r="S136" s="260"/>
      <c r="T136" s="260"/>
      <c r="U136" s="260"/>
      <c r="V136" s="260">
        <v>1</v>
      </c>
      <c r="W136" s="260"/>
      <c r="X136" s="261"/>
      <c r="Y136" s="260"/>
      <c r="Z136" s="260"/>
      <c r="AA136" s="260"/>
    </row>
    <row r="137" spans="1:27" ht="17.25" thickTop="1" thickBot="1">
      <c r="A137" s="259">
        <v>43893</v>
      </c>
      <c r="B137" s="260">
        <v>5</v>
      </c>
      <c r="C137" s="260"/>
      <c r="D137" s="260"/>
      <c r="E137" s="260"/>
      <c r="F137" s="260"/>
      <c r="G137" s="260"/>
      <c r="H137" s="260">
        <v>10</v>
      </c>
      <c r="I137" s="260"/>
      <c r="J137" s="260"/>
      <c r="K137" s="260"/>
      <c r="L137" s="260"/>
      <c r="M137" s="260"/>
      <c r="N137" s="260"/>
      <c r="O137" s="260"/>
      <c r="P137" s="260"/>
      <c r="Q137" s="260">
        <v>1</v>
      </c>
      <c r="R137" s="260"/>
      <c r="S137" s="260"/>
      <c r="T137" s="260"/>
      <c r="U137" s="260"/>
      <c r="V137" s="260">
        <v>1</v>
      </c>
      <c r="W137" s="260"/>
      <c r="X137" s="261"/>
      <c r="Y137" s="260"/>
      <c r="Z137" s="260"/>
      <c r="AA137" s="260"/>
    </row>
    <row r="138" spans="1:27" ht="17.25" thickTop="1" thickBot="1">
      <c r="A138" s="259">
        <v>43892</v>
      </c>
      <c r="B138" s="260">
        <v>9</v>
      </c>
      <c r="C138" s="260"/>
      <c r="D138" s="260"/>
      <c r="E138" s="260"/>
      <c r="F138" s="260"/>
      <c r="G138" s="260"/>
      <c r="H138" s="260">
        <v>11</v>
      </c>
      <c r="I138" s="260"/>
      <c r="J138" s="260"/>
      <c r="K138" s="260"/>
      <c r="L138" s="260"/>
      <c r="M138" s="260"/>
      <c r="N138" s="260"/>
      <c r="O138" s="260"/>
      <c r="P138" s="260"/>
      <c r="Q138" s="260">
        <v>0</v>
      </c>
      <c r="R138" s="260"/>
      <c r="S138" s="260"/>
      <c r="T138" s="260"/>
      <c r="U138" s="260"/>
      <c r="V138" s="260">
        <v>1</v>
      </c>
      <c r="W138" s="260"/>
      <c r="X138" s="261"/>
      <c r="Y138" s="260"/>
      <c r="Z138" s="260"/>
      <c r="AA138" s="260"/>
    </row>
    <row r="139" spans="1:27" ht="17.25" thickTop="1" thickBot="1">
      <c r="A139" s="259">
        <v>43891</v>
      </c>
      <c r="B139" s="260">
        <v>9</v>
      </c>
      <c r="C139" s="260"/>
      <c r="D139" s="260"/>
      <c r="E139" s="260"/>
      <c r="F139" s="260"/>
      <c r="G139" s="260"/>
      <c r="H139" s="260">
        <v>10</v>
      </c>
      <c r="I139" s="260"/>
      <c r="J139" s="260"/>
      <c r="K139" s="260"/>
      <c r="L139" s="260"/>
      <c r="M139" s="260"/>
      <c r="N139" s="260"/>
      <c r="O139" s="260"/>
      <c r="P139" s="260"/>
      <c r="Q139" s="260">
        <v>0</v>
      </c>
      <c r="R139" s="260"/>
      <c r="S139" s="260"/>
      <c r="T139" s="260"/>
      <c r="U139" s="260"/>
      <c r="V139" s="260">
        <v>1</v>
      </c>
      <c r="W139" s="260"/>
      <c r="X139" s="261"/>
      <c r="Y139" s="260"/>
      <c r="Z139" s="260"/>
      <c r="AA139" s="260"/>
    </row>
    <row r="140" spans="1:27" ht="17.25" thickTop="1" thickBot="1">
      <c r="A140" s="259">
        <v>43890</v>
      </c>
      <c r="B140" s="260">
        <v>9</v>
      </c>
      <c r="C140" s="260"/>
      <c r="D140" s="260"/>
      <c r="E140" s="260"/>
      <c r="F140" s="260"/>
      <c r="G140" s="260"/>
      <c r="H140" s="260">
        <v>13</v>
      </c>
      <c r="I140" s="260"/>
      <c r="J140" s="260"/>
      <c r="K140" s="260"/>
      <c r="L140" s="260"/>
      <c r="M140" s="260"/>
      <c r="N140" s="260"/>
      <c r="O140" s="260"/>
      <c r="P140" s="260"/>
      <c r="Q140" s="260">
        <v>0</v>
      </c>
      <c r="R140" s="260"/>
      <c r="S140" s="260"/>
      <c r="T140" s="260"/>
      <c r="U140" s="260"/>
      <c r="V140" s="260">
        <v>1</v>
      </c>
      <c r="W140" s="260"/>
      <c r="X140" s="261"/>
      <c r="Y140" s="260"/>
      <c r="Z140" s="260"/>
      <c r="AA140" s="260"/>
    </row>
    <row r="141" spans="1:27" ht="17.25" thickTop="1" thickBot="1">
      <c r="A141" s="259">
        <v>43889</v>
      </c>
      <c r="B141" s="260">
        <v>7</v>
      </c>
      <c r="C141" s="260"/>
      <c r="D141" s="260"/>
      <c r="E141" s="260"/>
      <c r="F141" s="260"/>
      <c r="G141" s="260"/>
      <c r="H141" s="260">
        <v>11</v>
      </c>
      <c r="I141" s="260"/>
      <c r="J141" s="260"/>
      <c r="K141" s="260"/>
      <c r="L141" s="260"/>
      <c r="M141" s="260"/>
      <c r="N141" s="260"/>
      <c r="O141" s="260"/>
      <c r="P141" s="260"/>
      <c r="Q141" s="260">
        <v>0</v>
      </c>
      <c r="R141" s="260"/>
      <c r="S141" s="260"/>
      <c r="T141" s="260"/>
      <c r="U141" s="260"/>
      <c r="V141" s="260">
        <v>0</v>
      </c>
      <c r="W141" s="260"/>
      <c r="X141" s="261"/>
      <c r="Y141" s="260"/>
      <c r="Z141" s="260"/>
      <c r="AA141" s="260"/>
    </row>
    <row r="142" spans="1:27" ht="17.25" thickTop="1" thickBot="1">
      <c r="A142" s="259">
        <v>43888</v>
      </c>
      <c r="B142" s="260">
        <v>6</v>
      </c>
      <c r="C142" s="260"/>
      <c r="D142" s="260"/>
      <c r="E142" s="260"/>
      <c r="F142" s="260"/>
      <c r="G142" s="260"/>
      <c r="H142" s="260">
        <v>10</v>
      </c>
      <c r="I142" s="260"/>
      <c r="J142" s="260"/>
      <c r="K142" s="260"/>
      <c r="L142" s="260"/>
      <c r="M142" s="260"/>
      <c r="N142" s="260"/>
      <c r="O142" s="260"/>
      <c r="P142" s="260"/>
      <c r="Q142" s="260">
        <v>1</v>
      </c>
      <c r="R142" s="260"/>
      <c r="S142" s="260"/>
      <c r="T142" s="260"/>
      <c r="U142" s="260"/>
      <c r="V142" s="260">
        <v>1</v>
      </c>
      <c r="W142" s="260"/>
      <c r="X142" s="261"/>
      <c r="Y142" s="260"/>
      <c r="Z142" s="260"/>
      <c r="AA142" s="260"/>
    </row>
    <row r="143" spans="1:27" ht="17.25" thickTop="1" thickBot="1">
      <c r="A143" s="259">
        <v>43887</v>
      </c>
      <c r="B143" s="260">
        <v>7</v>
      </c>
      <c r="C143" s="260"/>
      <c r="D143" s="260"/>
      <c r="E143" s="260"/>
      <c r="F143" s="260"/>
      <c r="G143" s="260"/>
      <c r="H143" s="260">
        <v>11</v>
      </c>
      <c r="I143" s="260"/>
      <c r="J143" s="260"/>
      <c r="K143" s="260"/>
      <c r="L143" s="260"/>
      <c r="M143" s="260"/>
      <c r="N143" s="260"/>
      <c r="O143" s="260"/>
      <c r="P143" s="260"/>
      <c r="Q143" s="260">
        <v>2</v>
      </c>
      <c r="R143" s="260"/>
      <c r="S143" s="260"/>
      <c r="T143" s="260"/>
      <c r="U143" s="260"/>
      <c r="V143" s="260">
        <v>1</v>
      </c>
      <c r="W143" s="260"/>
      <c r="X143" s="261"/>
      <c r="Y143" s="260"/>
      <c r="Z143" s="260"/>
      <c r="AA143" s="260"/>
    </row>
    <row r="144" spans="1:27" ht="17.25" thickTop="1" thickBot="1">
      <c r="A144" s="259">
        <v>43886</v>
      </c>
      <c r="B144" s="260">
        <v>10</v>
      </c>
      <c r="C144" s="260"/>
      <c r="D144" s="260"/>
      <c r="E144" s="260"/>
      <c r="F144" s="260"/>
      <c r="G144" s="260"/>
      <c r="H144" s="260">
        <v>8</v>
      </c>
      <c r="I144" s="260"/>
      <c r="J144" s="260"/>
      <c r="K144" s="260"/>
      <c r="L144" s="260"/>
      <c r="M144" s="260"/>
      <c r="N144" s="260"/>
      <c r="O144" s="260"/>
      <c r="P144" s="260"/>
      <c r="Q144" s="260">
        <v>1</v>
      </c>
      <c r="R144" s="260"/>
      <c r="S144" s="260"/>
      <c r="T144" s="260"/>
      <c r="U144" s="260"/>
      <c r="V144" s="260">
        <v>0</v>
      </c>
      <c r="W144" s="260"/>
      <c r="X144" s="261"/>
      <c r="Y144" s="260"/>
      <c r="Z144" s="260"/>
      <c r="AA144" s="260"/>
    </row>
    <row r="145" spans="1:27" ht="17.25" thickTop="1" thickBot="1">
      <c r="A145" s="259">
        <v>43885</v>
      </c>
      <c r="B145" s="260">
        <v>7</v>
      </c>
      <c r="C145" s="260"/>
      <c r="D145" s="260"/>
      <c r="E145" s="260"/>
      <c r="F145" s="260"/>
      <c r="G145" s="260"/>
      <c r="H145" s="260">
        <v>11</v>
      </c>
      <c r="I145" s="260"/>
      <c r="J145" s="260"/>
      <c r="K145" s="260"/>
      <c r="L145" s="260"/>
      <c r="M145" s="260"/>
      <c r="N145" s="260"/>
      <c r="O145" s="260"/>
      <c r="P145" s="260"/>
      <c r="Q145" s="260">
        <v>1</v>
      </c>
      <c r="R145" s="260"/>
      <c r="S145" s="260"/>
      <c r="T145" s="260"/>
      <c r="U145" s="260"/>
      <c r="V145" s="260">
        <v>0</v>
      </c>
      <c r="W145" s="260"/>
      <c r="X145" s="261"/>
      <c r="Y145" s="260"/>
      <c r="Z145" s="260"/>
      <c r="AA145" s="260"/>
    </row>
    <row r="146" spans="1:27" ht="17.25" thickTop="1" thickBot="1">
      <c r="A146" s="259">
        <v>43884</v>
      </c>
      <c r="B146" s="260">
        <v>11</v>
      </c>
      <c r="C146" s="260"/>
      <c r="D146" s="260"/>
      <c r="E146" s="260"/>
      <c r="F146" s="260"/>
      <c r="G146" s="260"/>
      <c r="H146" s="260">
        <v>13</v>
      </c>
      <c r="I146" s="260"/>
      <c r="J146" s="260"/>
      <c r="K146" s="260"/>
      <c r="L146" s="260"/>
      <c r="M146" s="260"/>
      <c r="N146" s="260"/>
      <c r="O146" s="260"/>
      <c r="P146" s="260"/>
      <c r="Q146" s="260">
        <v>2</v>
      </c>
      <c r="R146" s="260"/>
      <c r="S146" s="260"/>
      <c r="T146" s="260"/>
      <c r="U146" s="260"/>
      <c r="V146" s="260">
        <v>1</v>
      </c>
      <c r="W146" s="260"/>
      <c r="X146" s="261"/>
      <c r="Y146" s="260"/>
      <c r="Z146" s="260"/>
      <c r="AA146" s="260"/>
    </row>
    <row r="147" spans="1:27" ht="17.25" thickTop="1" thickBot="1">
      <c r="A147" s="259">
        <v>43883</v>
      </c>
      <c r="B147" s="260">
        <v>6</v>
      </c>
      <c r="C147" s="260"/>
      <c r="D147" s="260"/>
      <c r="E147" s="260"/>
      <c r="F147" s="260"/>
      <c r="G147" s="260"/>
      <c r="H147" s="260">
        <v>9</v>
      </c>
      <c r="I147" s="260"/>
      <c r="J147" s="260"/>
      <c r="K147" s="260"/>
      <c r="L147" s="260"/>
      <c r="M147" s="260"/>
      <c r="N147" s="260"/>
      <c r="O147" s="260"/>
      <c r="P147" s="260"/>
      <c r="Q147" s="260">
        <v>1</v>
      </c>
      <c r="R147" s="260"/>
      <c r="S147" s="260"/>
      <c r="T147" s="260"/>
      <c r="U147" s="260"/>
      <c r="V147" s="260">
        <v>0</v>
      </c>
      <c r="W147" s="260"/>
      <c r="X147" s="261"/>
      <c r="Y147" s="260"/>
      <c r="Z147" s="260"/>
      <c r="AA147" s="260"/>
    </row>
    <row r="148" spans="1:27" ht="17.25" thickTop="1" thickBot="1">
      <c r="A148" s="259">
        <v>43882</v>
      </c>
      <c r="B148" s="260">
        <v>2</v>
      </c>
      <c r="C148" s="260"/>
      <c r="D148" s="260"/>
      <c r="E148" s="260"/>
      <c r="F148" s="260"/>
      <c r="G148" s="260"/>
      <c r="H148" s="260">
        <v>13</v>
      </c>
      <c r="I148" s="260"/>
      <c r="J148" s="260"/>
      <c r="K148" s="260"/>
      <c r="L148" s="260"/>
      <c r="M148" s="260"/>
      <c r="N148" s="260"/>
      <c r="O148" s="260"/>
      <c r="P148" s="260"/>
      <c r="Q148" s="260">
        <v>1</v>
      </c>
      <c r="R148" s="260"/>
      <c r="S148" s="260"/>
      <c r="T148" s="260"/>
      <c r="U148" s="260"/>
      <c r="V148" s="260">
        <v>1</v>
      </c>
      <c r="W148" s="260"/>
      <c r="X148" s="261"/>
      <c r="Y148" s="260"/>
      <c r="Z148" s="260"/>
      <c r="AA148" s="260"/>
    </row>
    <row r="149" spans="1:27" ht="17.25" thickTop="1" thickBot="1">
      <c r="A149" s="259">
        <v>43881</v>
      </c>
      <c r="B149" s="260">
        <v>8</v>
      </c>
      <c r="C149" s="260"/>
      <c r="D149" s="260"/>
      <c r="E149" s="260"/>
      <c r="F149" s="260"/>
      <c r="G149" s="260"/>
      <c r="H149" s="260">
        <v>9</v>
      </c>
      <c r="I149" s="260"/>
      <c r="J149" s="260"/>
      <c r="K149" s="260"/>
      <c r="L149" s="260"/>
      <c r="M149" s="260"/>
      <c r="N149" s="260"/>
      <c r="O149" s="260"/>
      <c r="P149" s="260"/>
      <c r="Q149" s="260">
        <v>0</v>
      </c>
      <c r="R149" s="260"/>
      <c r="S149" s="260"/>
      <c r="T149" s="260"/>
      <c r="U149" s="260"/>
      <c r="V149" s="260">
        <v>1</v>
      </c>
      <c r="W149" s="260"/>
      <c r="X149" s="261"/>
      <c r="Y149" s="260"/>
      <c r="Z149" s="260"/>
      <c r="AA149" s="260"/>
    </row>
    <row r="150" spans="1:27" ht="17.25" thickTop="1" thickBot="1">
      <c r="A150" s="259">
        <v>43880</v>
      </c>
      <c r="B150" s="260">
        <v>7</v>
      </c>
      <c r="C150" s="260"/>
      <c r="D150" s="260"/>
      <c r="E150" s="260"/>
      <c r="F150" s="260"/>
      <c r="G150" s="260"/>
      <c r="H150" s="260">
        <v>9</v>
      </c>
      <c r="I150" s="260"/>
      <c r="J150" s="260"/>
      <c r="K150" s="260"/>
      <c r="L150" s="260"/>
      <c r="M150" s="260"/>
      <c r="N150" s="260"/>
      <c r="O150" s="260"/>
      <c r="P150" s="260"/>
      <c r="Q150" s="260">
        <v>0</v>
      </c>
      <c r="R150" s="260"/>
      <c r="S150" s="260"/>
      <c r="T150" s="260"/>
      <c r="U150" s="260"/>
      <c r="V150" s="260">
        <v>1</v>
      </c>
      <c r="W150" s="260"/>
      <c r="X150" s="261"/>
      <c r="Y150" s="260"/>
      <c r="Z150" s="260"/>
      <c r="AA150" s="260"/>
    </row>
    <row r="151" spans="1:27" ht="17.25" thickTop="1" thickBot="1">
      <c r="A151" s="259">
        <v>43879</v>
      </c>
      <c r="B151" s="260">
        <v>4</v>
      </c>
      <c r="C151" s="260"/>
      <c r="D151" s="260"/>
      <c r="E151" s="260"/>
      <c r="F151" s="260"/>
      <c r="G151" s="260"/>
      <c r="H151" s="260">
        <v>8</v>
      </c>
      <c r="I151" s="260"/>
      <c r="J151" s="260"/>
      <c r="K151" s="260"/>
      <c r="L151" s="260"/>
      <c r="M151" s="260"/>
      <c r="N151" s="260"/>
      <c r="O151" s="260"/>
      <c r="P151" s="260"/>
      <c r="Q151" s="260">
        <v>1</v>
      </c>
      <c r="R151" s="260"/>
      <c r="S151" s="260"/>
      <c r="T151" s="260"/>
      <c r="U151" s="260"/>
      <c r="V151" s="260">
        <v>1</v>
      </c>
      <c r="W151" s="260"/>
      <c r="X151" s="261"/>
      <c r="Y151" s="260"/>
      <c r="Z151" s="260"/>
      <c r="AA151" s="260"/>
    </row>
    <row r="152" spans="1:27" ht="17.25" thickTop="1" thickBot="1">
      <c r="A152" s="259">
        <v>43878</v>
      </c>
      <c r="B152" s="260">
        <v>8</v>
      </c>
      <c r="C152" s="260"/>
      <c r="D152" s="260"/>
      <c r="E152" s="260"/>
      <c r="F152" s="260"/>
      <c r="G152" s="260"/>
      <c r="H152" s="260">
        <v>10</v>
      </c>
      <c r="I152" s="260"/>
      <c r="J152" s="260"/>
      <c r="K152" s="260"/>
      <c r="L152" s="260"/>
      <c r="M152" s="260"/>
      <c r="N152" s="260"/>
      <c r="O152" s="260"/>
      <c r="P152" s="260"/>
      <c r="Q152" s="260">
        <v>1</v>
      </c>
      <c r="R152" s="260"/>
      <c r="S152" s="260"/>
      <c r="T152" s="260"/>
      <c r="U152" s="260"/>
      <c r="V152" s="260">
        <v>0</v>
      </c>
      <c r="W152" s="260"/>
      <c r="X152" s="261"/>
      <c r="Y152" s="260"/>
      <c r="Z152" s="260"/>
      <c r="AA152" s="260"/>
    </row>
    <row r="153" spans="1:27" ht="17.25" thickTop="1" thickBot="1">
      <c r="A153" s="259">
        <v>43877</v>
      </c>
      <c r="B153" s="260">
        <v>11</v>
      </c>
      <c r="C153" s="260"/>
      <c r="D153" s="260"/>
      <c r="E153" s="260"/>
      <c r="F153" s="260"/>
      <c r="G153" s="260"/>
      <c r="H153" s="260">
        <v>13</v>
      </c>
      <c r="I153" s="260"/>
      <c r="J153" s="260"/>
      <c r="K153" s="260"/>
      <c r="L153" s="260"/>
      <c r="M153" s="260"/>
      <c r="N153" s="260"/>
      <c r="O153" s="260"/>
      <c r="P153" s="260"/>
      <c r="Q153" s="260">
        <v>1</v>
      </c>
      <c r="R153" s="260"/>
      <c r="S153" s="260"/>
      <c r="T153" s="260"/>
      <c r="U153" s="260"/>
      <c r="V153" s="260">
        <v>2</v>
      </c>
      <c r="W153" s="260"/>
      <c r="X153" s="261"/>
      <c r="Y153" s="260"/>
      <c r="Z153" s="260"/>
      <c r="AA153" s="260"/>
    </row>
    <row r="154" spans="1:27" ht="17.25" thickTop="1" thickBot="1">
      <c r="A154" s="259">
        <v>43876</v>
      </c>
      <c r="B154" s="260">
        <v>9</v>
      </c>
      <c r="C154" s="260"/>
      <c r="D154" s="260"/>
      <c r="E154" s="260"/>
      <c r="F154" s="260"/>
      <c r="G154" s="260"/>
      <c r="H154" s="260">
        <v>10</v>
      </c>
      <c r="I154" s="260"/>
      <c r="J154" s="260"/>
      <c r="K154" s="260"/>
      <c r="L154" s="260"/>
      <c r="M154" s="260"/>
      <c r="N154" s="260"/>
      <c r="O154" s="260"/>
      <c r="P154" s="260"/>
      <c r="Q154" s="260">
        <v>1</v>
      </c>
      <c r="R154" s="260"/>
      <c r="S154" s="260"/>
      <c r="T154" s="260"/>
      <c r="U154" s="260"/>
      <c r="V154" s="260">
        <v>1</v>
      </c>
      <c r="W154" s="260"/>
      <c r="X154" s="261"/>
      <c r="Y154" s="260"/>
      <c r="Z154" s="260"/>
      <c r="AA154" s="260"/>
    </row>
    <row r="155" spans="1:27" ht="17.25" thickTop="1" thickBot="1">
      <c r="A155" s="259">
        <v>43875</v>
      </c>
      <c r="B155" s="260">
        <v>7</v>
      </c>
      <c r="C155" s="260"/>
      <c r="D155" s="260"/>
      <c r="E155" s="260"/>
      <c r="F155" s="260"/>
      <c r="G155" s="260"/>
      <c r="H155" s="260">
        <v>9</v>
      </c>
      <c r="I155" s="260"/>
      <c r="J155" s="260"/>
      <c r="K155" s="260"/>
      <c r="L155" s="260"/>
      <c r="M155" s="260"/>
      <c r="N155" s="260"/>
      <c r="O155" s="260"/>
      <c r="P155" s="260"/>
      <c r="Q155" s="260">
        <v>0</v>
      </c>
      <c r="R155" s="260"/>
      <c r="S155" s="260"/>
      <c r="T155" s="260"/>
      <c r="U155" s="260"/>
      <c r="V155" s="260">
        <v>1</v>
      </c>
      <c r="W155" s="260"/>
      <c r="X155" s="261"/>
      <c r="Y155" s="260"/>
      <c r="Z155" s="260"/>
      <c r="AA155" s="260"/>
    </row>
    <row r="156" spans="1:27" ht="17.25" thickTop="1" thickBot="1">
      <c r="A156" s="259">
        <v>43874</v>
      </c>
      <c r="B156" s="260">
        <v>6</v>
      </c>
      <c r="C156" s="260"/>
      <c r="D156" s="260"/>
      <c r="E156" s="260"/>
      <c r="F156" s="260"/>
      <c r="G156" s="260"/>
      <c r="H156" s="260">
        <v>7</v>
      </c>
      <c r="I156" s="260"/>
      <c r="J156" s="260"/>
      <c r="K156" s="260"/>
      <c r="L156" s="260"/>
      <c r="M156" s="260"/>
      <c r="N156" s="260"/>
      <c r="O156" s="260"/>
      <c r="P156" s="260"/>
      <c r="Q156" s="260">
        <v>0</v>
      </c>
      <c r="R156" s="260"/>
      <c r="S156" s="260"/>
      <c r="T156" s="260"/>
      <c r="U156" s="260"/>
      <c r="V156" s="260">
        <v>1</v>
      </c>
      <c r="W156" s="260"/>
      <c r="X156" s="261"/>
      <c r="Y156" s="260"/>
      <c r="Z156" s="260"/>
      <c r="AA156" s="260"/>
    </row>
    <row r="157" spans="1:27" ht="17.25" thickTop="1" thickBot="1">
      <c r="A157" s="259">
        <v>43873</v>
      </c>
      <c r="B157" s="260">
        <v>10</v>
      </c>
      <c r="C157" s="260"/>
      <c r="D157" s="260"/>
      <c r="E157" s="260"/>
      <c r="F157" s="260"/>
      <c r="G157" s="260"/>
      <c r="H157" s="260">
        <v>9</v>
      </c>
      <c r="I157" s="260"/>
      <c r="J157" s="260"/>
      <c r="K157" s="260"/>
      <c r="L157" s="260"/>
      <c r="M157" s="260"/>
      <c r="N157" s="260"/>
      <c r="O157" s="260"/>
      <c r="P157" s="260"/>
      <c r="Q157" s="260">
        <v>0</v>
      </c>
      <c r="R157" s="260"/>
      <c r="S157" s="260"/>
      <c r="T157" s="260"/>
      <c r="U157" s="260"/>
      <c r="V157" s="260">
        <v>1</v>
      </c>
      <c r="W157" s="260"/>
      <c r="X157" s="261"/>
      <c r="Y157" s="260"/>
      <c r="Z157" s="260"/>
      <c r="AA157" s="260"/>
    </row>
    <row r="158" spans="1:27" ht="17.25" thickTop="1" thickBot="1">
      <c r="A158" s="259">
        <v>43872</v>
      </c>
      <c r="B158" s="260">
        <v>7</v>
      </c>
      <c r="C158" s="260"/>
      <c r="D158" s="260"/>
      <c r="E158" s="260"/>
      <c r="F158" s="260"/>
      <c r="G158" s="260"/>
      <c r="H158" s="260">
        <v>14</v>
      </c>
      <c r="I158" s="260"/>
      <c r="J158" s="260"/>
      <c r="K158" s="260"/>
      <c r="L158" s="260"/>
      <c r="M158" s="260"/>
      <c r="N158" s="260"/>
      <c r="O158" s="260"/>
      <c r="P158" s="260"/>
      <c r="Q158" s="260">
        <v>0</v>
      </c>
      <c r="R158" s="260"/>
      <c r="S158" s="260"/>
      <c r="T158" s="260"/>
      <c r="U158" s="260"/>
      <c r="V158" s="260">
        <v>0</v>
      </c>
      <c r="W158" s="260"/>
      <c r="X158" s="261"/>
      <c r="Y158" s="260"/>
      <c r="Z158" s="260"/>
      <c r="AA158" s="260"/>
    </row>
    <row r="159" spans="1:27" ht="17.25" thickTop="1" thickBot="1">
      <c r="A159" s="259">
        <v>43871</v>
      </c>
      <c r="B159" s="260">
        <v>8</v>
      </c>
      <c r="C159" s="260"/>
      <c r="D159" s="260"/>
      <c r="E159" s="260"/>
      <c r="F159" s="260"/>
      <c r="G159" s="260"/>
      <c r="H159" s="260">
        <v>6</v>
      </c>
      <c r="I159" s="260"/>
      <c r="J159" s="260"/>
      <c r="K159" s="260"/>
      <c r="L159" s="260"/>
      <c r="M159" s="260"/>
      <c r="N159" s="260"/>
      <c r="O159" s="260"/>
      <c r="P159" s="260"/>
      <c r="Q159" s="260">
        <v>1</v>
      </c>
      <c r="R159" s="260"/>
      <c r="S159" s="260"/>
      <c r="T159" s="260"/>
      <c r="U159" s="260"/>
      <c r="V159" s="260">
        <v>1</v>
      </c>
      <c r="W159" s="260"/>
      <c r="X159" s="261"/>
      <c r="Y159" s="260"/>
      <c r="Z159" s="260"/>
      <c r="AA159" s="260"/>
    </row>
    <row r="160" spans="1:27" ht="17.25" thickTop="1" thickBot="1">
      <c r="A160" s="259">
        <v>43870</v>
      </c>
      <c r="B160" s="260">
        <v>8</v>
      </c>
      <c r="C160" s="260"/>
      <c r="D160" s="260"/>
      <c r="E160" s="260"/>
      <c r="F160" s="260"/>
      <c r="G160" s="260"/>
      <c r="H160" s="260">
        <v>7</v>
      </c>
      <c r="I160" s="260"/>
      <c r="J160" s="260"/>
      <c r="K160" s="260"/>
      <c r="L160" s="260"/>
      <c r="M160" s="260"/>
      <c r="N160" s="260"/>
      <c r="O160" s="260"/>
      <c r="P160" s="260"/>
      <c r="Q160" s="260">
        <v>0</v>
      </c>
      <c r="R160" s="260"/>
      <c r="S160" s="260"/>
      <c r="T160" s="260"/>
      <c r="U160" s="260"/>
      <c r="V160" s="260">
        <v>1</v>
      </c>
      <c r="W160" s="260"/>
      <c r="X160" s="261"/>
      <c r="Y160" s="260"/>
      <c r="Z160" s="260"/>
      <c r="AA160" s="260"/>
    </row>
    <row r="161" spans="1:27" ht="17.25" thickTop="1" thickBot="1">
      <c r="A161" s="259">
        <v>43869</v>
      </c>
      <c r="B161" s="260">
        <v>8</v>
      </c>
      <c r="C161" s="260"/>
      <c r="D161" s="260"/>
      <c r="E161" s="260"/>
      <c r="F161" s="260"/>
      <c r="G161" s="260"/>
      <c r="H161" s="260">
        <v>10</v>
      </c>
      <c r="I161" s="260"/>
      <c r="J161" s="260"/>
      <c r="K161" s="260"/>
      <c r="L161" s="260"/>
      <c r="M161" s="260"/>
      <c r="N161" s="260"/>
      <c r="O161" s="260"/>
      <c r="P161" s="260"/>
      <c r="Q161" s="260">
        <v>1</v>
      </c>
      <c r="R161" s="260"/>
      <c r="S161" s="260"/>
      <c r="T161" s="260"/>
      <c r="U161" s="260"/>
      <c r="V161" s="260">
        <v>1</v>
      </c>
      <c r="W161" s="260"/>
      <c r="X161" s="261"/>
      <c r="Y161" s="260"/>
      <c r="Z161" s="260"/>
      <c r="AA161" s="260"/>
    </row>
    <row r="162" spans="1:27" ht="17.25" thickTop="1" thickBot="1">
      <c r="A162" s="259">
        <v>43868</v>
      </c>
      <c r="B162" s="260">
        <v>7</v>
      </c>
      <c r="C162" s="260"/>
      <c r="D162" s="260"/>
      <c r="E162" s="260"/>
      <c r="F162" s="260"/>
      <c r="G162" s="260"/>
      <c r="H162" s="260">
        <v>11</v>
      </c>
      <c r="I162" s="260"/>
      <c r="J162" s="260"/>
      <c r="K162" s="260"/>
      <c r="L162" s="260"/>
      <c r="M162" s="260"/>
      <c r="N162" s="260"/>
      <c r="O162" s="260"/>
      <c r="P162" s="260"/>
      <c r="Q162" s="260">
        <v>1</v>
      </c>
      <c r="R162" s="260"/>
      <c r="S162" s="260"/>
      <c r="T162" s="260"/>
      <c r="U162" s="260"/>
      <c r="V162" s="260">
        <v>1</v>
      </c>
      <c r="W162" s="260"/>
      <c r="X162" s="261"/>
      <c r="Y162" s="260"/>
      <c r="Z162" s="260"/>
      <c r="AA162" s="260"/>
    </row>
    <row r="163" spans="1:27" ht="17.25" thickTop="1" thickBot="1">
      <c r="A163" s="259">
        <v>43867</v>
      </c>
      <c r="B163" s="260">
        <v>9</v>
      </c>
      <c r="C163" s="260"/>
      <c r="D163" s="260"/>
      <c r="E163" s="260"/>
      <c r="F163" s="260"/>
      <c r="G163" s="260"/>
      <c r="H163" s="260">
        <v>14</v>
      </c>
      <c r="I163" s="260"/>
      <c r="J163" s="260"/>
      <c r="K163" s="260"/>
      <c r="L163" s="260"/>
      <c r="M163" s="260"/>
      <c r="N163" s="260"/>
      <c r="O163" s="260"/>
      <c r="P163" s="260"/>
      <c r="Q163" s="260">
        <v>1</v>
      </c>
      <c r="R163" s="260"/>
      <c r="S163" s="260"/>
      <c r="T163" s="260"/>
      <c r="U163" s="260"/>
      <c r="V163" s="260">
        <v>0</v>
      </c>
      <c r="W163" s="260"/>
      <c r="X163" s="261"/>
      <c r="Y163" s="260"/>
      <c r="Z163" s="260"/>
      <c r="AA163" s="260"/>
    </row>
    <row r="164" spans="1:27" ht="17.25" thickTop="1" thickBot="1">
      <c r="A164" s="259">
        <v>43866</v>
      </c>
      <c r="B164" s="260">
        <v>9</v>
      </c>
      <c r="C164" s="260"/>
      <c r="D164" s="260"/>
      <c r="E164" s="260"/>
      <c r="F164" s="260"/>
      <c r="G164" s="260"/>
      <c r="H164" s="260">
        <v>11</v>
      </c>
      <c r="I164" s="260"/>
      <c r="J164" s="260"/>
      <c r="K164" s="260"/>
      <c r="L164" s="260"/>
      <c r="M164" s="260"/>
      <c r="N164" s="260"/>
      <c r="O164" s="260"/>
      <c r="P164" s="260"/>
      <c r="Q164" s="260">
        <v>1</v>
      </c>
      <c r="R164" s="260"/>
      <c r="S164" s="260"/>
      <c r="T164" s="260"/>
      <c r="U164" s="260"/>
      <c r="V164" s="260">
        <v>0</v>
      </c>
      <c r="W164" s="260"/>
      <c r="X164" s="261"/>
      <c r="Y164" s="260"/>
      <c r="Z164" s="260"/>
      <c r="AA164" s="260"/>
    </row>
    <row r="165" spans="1:27" ht="17.25" thickTop="1" thickBot="1">
      <c r="A165" s="259">
        <v>43865</v>
      </c>
      <c r="B165" s="260">
        <v>6</v>
      </c>
      <c r="C165" s="260"/>
      <c r="D165" s="260"/>
      <c r="E165" s="260"/>
      <c r="F165" s="260"/>
      <c r="G165" s="260"/>
      <c r="H165" s="260">
        <v>5</v>
      </c>
      <c r="I165" s="260"/>
      <c r="J165" s="260"/>
      <c r="K165" s="260"/>
      <c r="L165" s="260"/>
      <c r="M165" s="260"/>
      <c r="N165" s="260"/>
      <c r="O165" s="260"/>
      <c r="P165" s="260"/>
      <c r="Q165" s="260">
        <v>0</v>
      </c>
      <c r="R165" s="260"/>
      <c r="S165" s="260"/>
      <c r="T165" s="260"/>
      <c r="U165" s="260"/>
      <c r="V165" s="260">
        <v>1</v>
      </c>
      <c r="W165" s="260"/>
      <c r="X165" s="261"/>
      <c r="Y165" s="260"/>
      <c r="Z165" s="260"/>
      <c r="AA165" s="260"/>
    </row>
    <row r="166" spans="1:27" ht="17.25" thickTop="1" thickBot="1">
      <c r="A166" s="259">
        <v>43864</v>
      </c>
      <c r="B166" s="260">
        <v>8</v>
      </c>
      <c r="C166" s="260"/>
      <c r="D166" s="260"/>
      <c r="E166" s="260"/>
      <c r="F166" s="260"/>
      <c r="G166" s="260"/>
      <c r="H166" s="260">
        <v>6</v>
      </c>
      <c r="I166" s="260"/>
      <c r="J166" s="260"/>
      <c r="K166" s="260"/>
      <c r="L166" s="260"/>
      <c r="M166" s="260"/>
      <c r="N166" s="260"/>
      <c r="O166" s="260"/>
      <c r="P166" s="260"/>
      <c r="Q166" s="260">
        <v>0</v>
      </c>
      <c r="R166" s="260"/>
      <c r="S166" s="260"/>
      <c r="T166" s="260"/>
      <c r="U166" s="260"/>
      <c r="V166" s="260">
        <v>0</v>
      </c>
      <c r="W166" s="260"/>
      <c r="X166" s="261"/>
      <c r="Y166" s="260"/>
      <c r="Z166" s="260"/>
      <c r="AA166" s="260"/>
    </row>
    <row r="167" spans="1:27" ht="17.25" thickTop="1" thickBot="1">
      <c r="A167" s="259">
        <v>43863</v>
      </c>
      <c r="B167" s="260">
        <v>6</v>
      </c>
      <c r="C167" s="260"/>
      <c r="D167" s="260"/>
      <c r="E167" s="260"/>
      <c r="F167" s="260"/>
      <c r="G167" s="260"/>
      <c r="H167" s="260">
        <v>9</v>
      </c>
      <c r="I167" s="260"/>
      <c r="J167" s="260"/>
      <c r="K167" s="260"/>
      <c r="L167" s="260"/>
      <c r="M167" s="260"/>
      <c r="N167" s="260"/>
      <c r="O167" s="260"/>
      <c r="P167" s="260"/>
      <c r="Q167" s="260">
        <v>1</v>
      </c>
      <c r="R167" s="260"/>
      <c r="S167" s="260"/>
      <c r="T167" s="260"/>
      <c r="U167" s="260"/>
      <c r="V167" s="260">
        <v>0</v>
      </c>
      <c r="W167" s="260"/>
      <c r="X167" s="261"/>
      <c r="Y167" s="260"/>
      <c r="Z167" s="260"/>
      <c r="AA167" s="260"/>
    </row>
    <row r="168" spans="1:27" ht="17.25" thickTop="1" thickBot="1">
      <c r="A168" s="259">
        <v>43862</v>
      </c>
      <c r="B168" s="260">
        <v>8</v>
      </c>
      <c r="C168" s="260"/>
      <c r="D168" s="260"/>
      <c r="E168" s="260"/>
      <c r="F168" s="260"/>
      <c r="G168" s="260"/>
      <c r="H168" s="260">
        <v>6</v>
      </c>
      <c r="I168" s="260"/>
      <c r="J168" s="260"/>
      <c r="K168" s="260"/>
      <c r="L168" s="260"/>
      <c r="M168" s="260"/>
      <c r="N168" s="260"/>
      <c r="O168" s="260"/>
      <c r="P168" s="260"/>
      <c r="Q168" s="260">
        <v>0</v>
      </c>
      <c r="R168" s="260"/>
      <c r="S168" s="260"/>
      <c r="T168" s="260"/>
      <c r="U168" s="260"/>
      <c r="V168" s="260">
        <v>0</v>
      </c>
      <c r="W168" s="260"/>
      <c r="X168" s="261"/>
      <c r="Y168" s="260"/>
      <c r="Z168" s="260"/>
      <c r="AA168" s="260"/>
    </row>
    <row r="169" spans="1:27" ht="17.25" thickTop="1" thickBot="1">
      <c r="A169" s="259">
        <v>43861</v>
      </c>
      <c r="B169" s="260">
        <v>10</v>
      </c>
      <c r="C169" s="260"/>
      <c r="D169" s="260"/>
      <c r="E169" s="260"/>
      <c r="F169" s="260"/>
      <c r="G169" s="260"/>
      <c r="H169" s="260">
        <v>7</v>
      </c>
      <c r="I169" s="260"/>
      <c r="J169" s="260"/>
      <c r="K169" s="260"/>
      <c r="L169" s="260"/>
      <c r="M169" s="260"/>
      <c r="N169" s="260"/>
      <c r="O169" s="260"/>
      <c r="P169" s="260"/>
      <c r="Q169" s="260">
        <v>0</v>
      </c>
      <c r="R169" s="260"/>
      <c r="S169" s="260"/>
      <c r="T169" s="260"/>
      <c r="U169" s="260"/>
      <c r="V169" s="260">
        <v>1</v>
      </c>
      <c r="W169" s="260"/>
      <c r="X169" s="261"/>
      <c r="Y169" s="260"/>
      <c r="Z169" s="260"/>
      <c r="AA169" s="260"/>
    </row>
    <row r="170" spans="1:27" ht="17.25" thickTop="1" thickBot="1">
      <c r="A170" s="259">
        <v>43860</v>
      </c>
      <c r="B170" s="260">
        <v>4</v>
      </c>
      <c r="C170" s="260"/>
      <c r="D170" s="260"/>
      <c r="E170" s="260"/>
      <c r="F170" s="260"/>
      <c r="G170" s="260"/>
      <c r="H170" s="260">
        <v>5</v>
      </c>
      <c r="I170" s="260"/>
      <c r="J170" s="260"/>
      <c r="K170" s="260"/>
      <c r="L170" s="260"/>
      <c r="M170" s="260"/>
      <c r="N170" s="260"/>
      <c r="O170" s="260"/>
      <c r="P170" s="260"/>
      <c r="Q170" s="260">
        <v>1</v>
      </c>
      <c r="R170" s="260"/>
      <c r="S170" s="260"/>
      <c r="T170" s="260"/>
      <c r="U170" s="260"/>
      <c r="V170" s="260">
        <v>0</v>
      </c>
      <c r="W170" s="260"/>
      <c r="X170" s="261"/>
      <c r="Y170" s="260"/>
      <c r="Z170" s="260"/>
      <c r="AA170" s="260"/>
    </row>
    <row r="171" spans="1:27" ht="17.25" thickTop="1" thickBot="1">
      <c r="A171" s="259">
        <v>43859</v>
      </c>
      <c r="B171" s="260">
        <v>4</v>
      </c>
      <c r="C171" s="260"/>
      <c r="D171" s="260"/>
      <c r="E171" s="260"/>
      <c r="F171" s="260"/>
      <c r="G171" s="260"/>
      <c r="H171" s="260">
        <v>10</v>
      </c>
      <c r="I171" s="260"/>
      <c r="J171" s="260"/>
      <c r="K171" s="260"/>
      <c r="L171" s="260"/>
      <c r="M171" s="260"/>
      <c r="N171" s="260"/>
      <c r="O171" s="260"/>
      <c r="P171" s="260"/>
      <c r="Q171" s="260">
        <v>1</v>
      </c>
      <c r="R171" s="260"/>
      <c r="S171" s="260"/>
      <c r="T171" s="260"/>
      <c r="U171" s="260"/>
      <c r="V171" s="260">
        <v>0</v>
      </c>
      <c r="W171" s="260"/>
      <c r="X171" s="261"/>
      <c r="Y171" s="260"/>
      <c r="Z171" s="260"/>
      <c r="AA171" s="260"/>
    </row>
    <row r="172" spans="1:27" ht="17.25" thickTop="1" thickBot="1">
      <c r="A172" s="259">
        <v>43858</v>
      </c>
      <c r="B172" s="260">
        <v>4</v>
      </c>
      <c r="C172" s="260"/>
      <c r="D172" s="260"/>
      <c r="E172" s="260"/>
      <c r="F172" s="260"/>
      <c r="G172" s="260"/>
      <c r="H172" s="260">
        <v>5</v>
      </c>
      <c r="I172" s="260"/>
      <c r="J172" s="260"/>
      <c r="K172" s="260"/>
      <c r="L172" s="260"/>
      <c r="M172" s="260"/>
      <c r="N172" s="260"/>
      <c r="O172" s="260"/>
      <c r="P172" s="260"/>
      <c r="Q172" s="260">
        <v>0</v>
      </c>
      <c r="R172" s="260"/>
      <c r="S172" s="260"/>
      <c r="T172" s="260"/>
      <c r="U172" s="260"/>
      <c r="V172" s="260">
        <v>1</v>
      </c>
      <c r="W172" s="260"/>
      <c r="X172" s="261"/>
      <c r="Y172" s="260"/>
      <c r="Z172" s="260"/>
      <c r="AA172" s="260"/>
    </row>
    <row r="173" spans="1:27" ht="15.75" thickTop="1"/>
  </sheetData>
  <mergeCells count="9">
    <mergeCell ref="A1:F1"/>
    <mergeCell ref="G1:AA1"/>
    <mergeCell ref="A2:A3"/>
    <mergeCell ref="B2:P2"/>
    <mergeCell ref="B3:G3"/>
    <mergeCell ref="H3:P3"/>
    <mergeCell ref="V3:AA3"/>
    <mergeCell ref="Q3:U3"/>
    <mergeCell ref="Q2:AA2"/>
  </mergeCells>
  <conditionalFormatting sqref="A5:AA172">
    <cfRule type="expression" dxfId="33" priority="1">
      <formula>MOD(ROW(),2)=1</formula>
    </cfRule>
  </conditionalFormatting>
  <hyperlinks>
    <hyperlink ref="A1" location="DASHBOARD!A1" display="Back to Dashboard" xr:uid="{00000000-0004-0000-0F00-000000000000}"/>
  </hyperlinks>
  <printOptions horizontalCentered="1"/>
  <pageMargins left="0.7" right="0.7" top="0.75" bottom="0.75" header="0.3" footer="0.3"/>
  <pageSetup scale="5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C487"/>
  <sheetViews>
    <sheetView zoomScale="178" zoomScaleNormal="178" zoomScaleSheetLayoutView="100" workbookViewId="0">
      <pane ySplit="6" topLeftCell="A7" activePane="bottomLeft" state="frozen"/>
      <selection pane="bottomLeft" sqref="A1:D1"/>
    </sheetView>
  </sheetViews>
  <sheetFormatPr defaultRowHeight="15"/>
  <cols>
    <col min="1" max="1" width="1.28515625" customWidth="1"/>
    <col min="3" max="3" width="10" customWidth="1"/>
    <col min="4" max="4" width="10.140625" customWidth="1"/>
    <col min="5" max="5" width="10.42578125" customWidth="1"/>
    <col min="6" max="6" width="10.5703125" customWidth="1"/>
    <col min="7" max="7" width="1" customWidth="1"/>
    <col min="8" max="8" width="8.85546875" customWidth="1"/>
    <col min="9" max="9" width="11.42578125" customWidth="1"/>
    <col min="10" max="10" width="8.85546875" customWidth="1"/>
    <col min="12" max="12" width="0.85546875" customWidth="1"/>
    <col min="18" max="18" width="1.140625" customWidth="1"/>
  </cols>
  <sheetData>
    <row r="1" spans="1:29" s="233" customFormat="1" ht="26.45" customHeight="1">
      <c r="A1" s="771" t="s">
        <v>313</v>
      </c>
      <c r="B1" s="772"/>
      <c r="C1" s="772"/>
      <c r="D1" s="773"/>
      <c r="E1" s="774" t="s">
        <v>309</v>
      </c>
      <c r="F1" s="775"/>
      <c r="G1" s="775"/>
      <c r="H1" s="775"/>
      <c r="I1" s="775"/>
      <c r="J1" s="775"/>
      <c r="K1" s="775"/>
      <c r="L1" s="775"/>
      <c r="M1" s="775"/>
      <c r="N1" s="775"/>
      <c r="O1" s="775"/>
      <c r="P1" s="775"/>
      <c r="Q1" s="775"/>
      <c r="R1" s="77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</row>
    <row r="2" spans="1:29" ht="5.0999999999999996" customHeight="1" thickBo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</row>
    <row r="3" spans="1:29" ht="51" customHeight="1" thickBot="1">
      <c r="A3" s="6"/>
      <c r="B3" s="778" t="s">
        <v>312</v>
      </c>
      <c r="C3" s="779"/>
      <c r="D3" s="776">
        <f>TOTALS!$H$111</f>
        <v>96742.857142857145</v>
      </c>
      <c r="E3" s="777"/>
      <c r="F3" s="777"/>
      <c r="G3" s="6"/>
      <c r="H3" s="778" t="s">
        <v>101</v>
      </c>
      <c r="I3" s="779"/>
      <c r="J3" s="776">
        <f>C165+D165+H165+I165</f>
        <v>2138</v>
      </c>
      <c r="K3" s="777"/>
      <c r="L3" s="6"/>
      <c r="M3" s="778" t="s">
        <v>311</v>
      </c>
      <c r="N3" s="779"/>
      <c r="O3" s="776">
        <f>TOTALS!$N$111</f>
        <v>112928.57142857143</v>
      </c>
      <c r="P3" s="777"/>
      <c r="Q3" s="777"/>
      <c r="R3" s="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</row>
    <row r="4" spans="1:29" ht="5.4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</row>
    <row r="5" spans="1:29" ht="15" customHeight="1">
      <c r="A5" s="6"/>
      <c r="B5" s="780" t="s">
        <v>77</v>
      </c>
      <c r="C5" s="780"/>
      <c r="D5" s="780"/>
      <c r="E5" s="780"/>
      <c r="F5" s="780"/>
      <c r="G5" s="6"/>
      <c r="H5" s="781" t="s">
        <v>78</v>
      </c>
      <c r="I5" s="782"/>
      <c r="J5" s="782"/>
      <c r="K5" s="782"/>
      <c r="L5" s="6"/>
      <c r="M5" s="783" t="s">
        <v>303</v>
      </c>
      <c r="N5" s="783"/>
      <c r="O5" s="783"/>
      <c r="P5" s="783"/>
      <c r="Q5" s="783"/>
      <c r="R5" s="783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</row>
    <row r="6" spans="1:29" ht="33.950000000000003" customHeight="1">
      <c r="A6" s="6"/>
      <c r="B6" s="92" t="s">
        <v>0</v>
      </c>
      <c r="C6" s="92" t="s">
        <v>79</v>
      </c>
      <c r="D6" s="92" t="s">
        <v>80</v>
      </c>
      <c r="E6" s="222" t="s">
        <v>1025</v>
      </c>
      <c r="F6" s="222" t="s">
        <v>1024</v>
      </c>
      <c r="G6" s="93"/>
      <c r="H6" s="94" t="s">
        <v>79</v>
      </c>
      <c r="I6" s="94" t="s">
        <v>80</v>
      </c>
      <c r="J6" s="94" t="s">
        <v>1023</v>
      </c>
      <c r="K6" s="516" t="s">
        <v>1629</v>
      </c>
      <c r="L6" s="6"/>
      <c r="M6" s="783"/>
      <c r="N6" s="783"/>
      <c r="O6" s="783"/>
      <c r="P6" s="783"/>
      <c r="Q6" s="783"/>
      <c r="R6" s="783"/>
      <c r="S6" s="205"/>
      <c r="T6" s="196"/>
      <c r="U6" s="196"/>
      <c r="V6" s="196"/>
      <c r="W6" s="196"/>
      <c r="X6" s="196"/>
      <c r="Y6" s="196"/>
      <c r="Z6" s="196"/>
      <c r="AA6" s="196"/>
      <c r="AB6" s="196"/>
      <c r="AC6" s="196"/>
    </row>
    <row r="7" spans="1:29">
      <c r="A7" s="6"/>
      <c r="B7" s="65">
        <v>44014</v>
      </c>
      <c r="C7" s="375">
        <f>'Water Tm_Log'!B16</f>
        <v>0</v>
      </c>
      <c r="D7" s="375">
        <f>'Water Tm_Log'!Q16</f>
        <v>0</v>
      </c>
      <c r="E7" s="375">
        <f>'Water Tm_Log'!F16</f>
        <v>0</v>
      </c>
      <c r="F7" s="375">
        <f>'Water Tm_Log'!G16</f>
        <v>0</v>
      </c>
      <c r="G7" s="91"/>
      <c r="H7" s="380">
        <f>'Water Tm_Log'!H16</f>
        <v>0</v>
      </c>
      <c r="I7" s="380">
        <f>'Water Tm_Log'!V16</f>
        <v>0</v>
      </c>
      <c r="J7" s="380">
        <f t="shared" ref="J7:J39" si="0">(H7+I7)*8500</f>
        <v>0</v>
      </c>
      <c r="K7" s="142">
        <f t="shared" ref="K7:K70" si="1">H7*8500</f>
        <v>0</v>
      </c>
      <c r="L7" s="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</row>
    <row r="8" spans="1:29">
      <c r="A8" s="6"/>
      <c r="B8" s="66">
        <v>44013</v>
      </c>
      <c r="C8" s="141">
        <f>'Water Tm_Log'!B17</f>
        <v>0</v>
      </c>
      <c r="D8" s="141">
        <f>'Water Tm_Log'!Q17</f>
        <v>0</v>
      </c>
      <c r="E8" s="141">
        <f>'Water Tm_Log'!F17</f>
        <v>0</v>
      </c>
      <c r="F8" s="141">
        <f>'Water Tm_Log'!G17</f>
        <v>0</v>
      </c>
      <c r="G8" s="91"/>
      <c r="H8" s="142">
        <f>'Water Tm_Log'!H17</f>
        <v>0</v>
      </c>
      <c r="I8" s="142">
        <f>'Water Tm_Log'!V17</f>
        <v>0</v>
      </c>
      <c r="J8" s="142">
        <f t="shared" si="0"/>
        <v>0</v>
      </c>
      <c r="K8" s="142">
        <f t="shared" si="1"/>
        <v>0</v>
      </c>
      <c r="L8" s="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</row>
    <row r="9" spans="1:29">
      <c r="A9" s="6"/>
      <c r="B9" s="65">
        <v>44012</v>
      </c>
      <c r="C9" s="375">
        <f>'Water Tm_Log'!B18</f>
        <v>0</v>
      </c>
      <c r="D9" s="375">
        <f>'Water Tm_Log'!Q18</f>
        <v>0</v>
      </c>
      <c r="E9" s="375">
        <f>'Water Tm_Log'!F18</f>
        <v>0</v>
      </c>
      <c r="F9" s="375">
        <f>'Water Tm_Log'!G18</f>
        <v>0</v>
      </c>
      <c r="G9" s="91"/>
      <c r="H9" s="380">
        <f>'Water Tm_Log'!H18</f>
        <v>0</v>
      </c>
      <c r="I9" s="380">
        <f>'Water Tm_Log'!V18</f>
        <v>0</v>
      </c>
      <c r="J9" s="380">
        <f t="shared" si="0"/>
        <v>0</v>
      </c>
      <c r="K9" s="142">
        <f t="shared" si="1"/>
        <v>0</v>
      </c>
      <c r="L9" s="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</row>
    <row r="10" spans="1:29">
      <c r="A10" s="6"/>
      <c r="B10" s="66">
        <v>44011</v>
      </c>
      <c r="C10" s="141">
        <f>'Water Tm_Log'!B19</f>
        <v>0</v>
      </c>
      <c r="D10" s="141">
        <f>'Water Tm_Log'!Q19</f>
        <v>0</v>
      </c>
      <c r="E10" s="141">
        <f>'Water Tm_Log'!F19</f>
        <v>0</v>
      </c>
      <c r="F10" s="141">
        <f>'Water Tm_Log'!G19</f>
        <v>0</v>
      </c>
      <c r="G10" s="91"/>
      <c r="H10" s="142">
        <f>'Water Tm_Log'!H19</f>
        <v>0</v>
      </c>
      <c r="I10" s="142">
        <f>'Water Tm_Log'!V19</f>
        <v>0</v>
      </c>
      <c r="J10" s="142">
        <f t="shared" si="0"/>
        <v>0</v>
      </c>
      <c r="K10" s="142">
        <f t="shared" si="1"/>
        <v>0</v>
      </c>
      <c r="L10" s="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</row>
    <row r="11" spans="1:29">
      <c r="A11" s="6"/>
      <c r="B11" s="65">
        <v>44010</v>
      </c>
      <c r="C11" s="375">
        <f>'Water Tm_Log'!B20</f>
        <v>0</v>
      </c>
      <c r="D11" s="375">
        <f>'Water Tm_Log'!Q20</f>
        <v>0</v>
      </c>
      <c r="E11" s="375">
        <f>'Water Tm_Log'!F20</f>
        <v>0</v>
      </c>
      <c r="F11" s="375">
        <f>'Water Tm_Log'!G20</f>
        <v>0</v>
      </c>
      <c r="G11" s="91"/>
      <c r="H11" s="380">
        <f>'Water Tm_Log'!H20</f>
        <v>0</v>
      </c>
      <c r="I11" s="380">
        <f>'Water Tm_Log'!V20</f>
        <v>0</v>
      </c>
      <c r="J11" s="380">
        <f t="shared" si="0"/>
        <v>0</v>
      </c>
      <c r="K11" s="142">
        <f t="shared" si="1"/>
        <v>0</v>
      </c>
      <c r="L11" s="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</row>
    <row r="12" spans="1:29">
      <c r="A12" s="6"/>
      <c r="B12" s="66">
        <v>44009</v>
      </c>
      <c r="C12" s="141">
        <f>'Water Tm_Log'!B21</f>
        <v>0</v>
      </c>
      <c r="D12" s="141">
        <f>'Water Tm_Log'!Q21</f>
        <v>0</v>
      </c>
      <c r="E12" s="141">
        <f>'Water Tm_Log'!F21</f>
        <v>0</v>
      </c>
      <c r="F12" s="141">
        <f>'Water Tm_Log'!G21</f>
        <v>0</v>
      </c>
      <c r="G12" s="91"/>
      <c r="H12" s="142">
        <f>'Water Tm_Log'!H21</f>
        <v>0</v>
      </c>
      <c r="I12" s="142">
        <f>'Water Tm_Log'!V21</f>
        <v>0</v>
      </c>
      <c r="J12" s="142">
        <f t="shared" si="0"/>
        <v>0</v>
      </c>
      <c r="K12" s="142">
        <f t="shared" si="1"/>
        <v>0</v>
      </c>
      <c r="L12" s="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</row>
    <row r="13" spans="1:29">
      <c r="A13" s="6"/>
      <c r="B13" s="65">
        <v>44008</v>
      </c>
      <c r="C13" s="375">
        <f>'Water Tm_Log'!B22</f>
        <v>0</v>
      </c>
      <c r="D13" s="375">
        <f>'Water Tm_Log'!Q22</f>
        <v>0</v>
      </c>
      <c r="E13" s="375">
        <f>'Water Tm_Log'!F22</f>
        <v>0</v>
      </c>
      <c r="F13" s="375">
        <f>'Water Tm_Log'!G22</f>
        <v>0</v>
      </c>
      <c r="G13" s="91"/>
      <c r="H13" s="380">
        <f>'Water Tm_Log'!H22</f>
        <v>0</v>
      </c>
      <c r="I13" s="380">
        <f>'Water Tm_Log'!V22</f>
        <v>0</v>
      </c>
      <c r="J13" s="380">
        <f t="shared" si="0"/>
        <v>0</v>
      </c>
      <c r="K13" s="142">
        <f t="shared" si="1"/>
        <v>0</v>
      </c>
      <c r="L13" s="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</row>
    <row r="14" spans="1:29">
      <c r="A14" s="6"/>
      <c r="B14" s="66">
        <v>44007</v>
      </c>
      <c r="C14" s="141">
        <f>'Water Tm_Log'!B23</f>
        <v>0</v>
      </c>
      <c r="D14" s="141">
        <f>'Water Tm_Log'!Q23</f>
        <v>0</v>
      </c>
      <c r="E14" s="141">
        <f>'Water Tm_Log'!F23</f>
        <v>0</v>
      </c>
      <c r="F14" s="141">
        <f>'Water Tm_Log'!G23</f>
        <v>0</v>
      </c>
      <c r="G14" s="91"/>
      <c r="H14" s="142">
        <f>'Water Tm_Log'!H23</f>
        <v>0</v>
      </c>
      <c r="I14" s="142">
        <f>'Water Tm_Log'!V23</f>
        <v>0</v>
      </c>
      <c r="J14" s="142">
        <f t="shared" si="0"/>
        <v>0</v>
      </c>
      <c r="K14" s="142">
        <f t="shared" si="1"/>
        <v>0</v>
      </c>
      <c r="L14" s="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</row>
    <row r="15" spans="1:29">
      <c r="A15" s="6"/>
      <c r="B15" s="65">
        <v>44006</v>
      </c>
      <c r="C15" s="375">
        <f>'Water Tm_Log'!B24</f>
        <v>0</v>
      </c>
      <c r="D15" s="375">
        <f>'Water Tm_Log'!Q24</f>
        <v>0</v>
      </c>
      <c r="E15" s="375">
        <f>'Water Tm_Log'!F24</f>
        <v>0</v>
      </c>
      <c r="F15" s="375">
        <f>'Water Tm_Log'!G24</f>
        <v>0</v>
      </c>
      <c r="G15" s="91"/>
      <c r="H15" s="380">
        <f>'Water Tm_Log'!H24</f>
        <v>0</v>
      </c>
      <c r="I15" s="380">
        <f>'Water Tm_Log'!V24</f>
        <v>0</v>
      </c>
      <c r="J15" s="380">
        <f t="shared" si="0"/>
        <v>0</v>
      </c>
      <c r="K15" s="142">
        <f t="shared" si="1"/>
        <v>0</v>
      </c>
      <c r="L15" s="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</row>
    <row r="16" spans="1:29">
      <c r="A16" s="6"/>
      <c r="B16" s="66">
        <v>44005</v>
      </c>
      <c r="C16" s="141">
        <f>'Water Tm_Log'!B25</f>
        <v>0</v>
      </c>
      <c r="D16" s="141">
        <f>'Water Tm_Log'!Q25</f>
        <v>0</v>
      </c>
      <c r="E16" s="141">
        <f>'Water Tm_Log'!F25</f>
        <v>0</v>
      </c>
      <c r="F16" s="141">
        <f>'Water Tm_Log'!G25</f>
        <v>0</v>
      </c>
      <c r="G16" s="91"/>
      <c r="H16" s="142">
        <f>'Water Tm_Log'!H25</f>
        <v>0</v>
      </c>
      <c r="I16" s="142">
        <f>'Water Tm_Log'!V25</f>
        <v>0</v>
      </c>
      <c r="J16" s="142">
        <f t="shared" si="0"/>
        <v>0</v>
      </c>
      <c r="K16" s="142">
        <f t="shared" si="1"/>
        <v>0</v>
      </c>
      <c r="L16" s="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</row>
    <row r="17" spans="1:29">
      <c r="A17" s="6"/>
      <c r="B17" s="65">
        <v>44004</v>
      </c>
      <c r="C17" s="375">
        <f>'Water Tm_Log'!B26</f>
        <v>0</v>
      </c>
      <c r="D17" s="375">
        <f>'Water Tm_Log'!Q26</f>
        <v>0</v>
      </c>
      <c r="E17" s="375">
        <f>'Water Tm_Log'!F26</f>
        <v>0</v>
      </c>
      <c r="F17" s="375">
        <f>'Water Tm_Log'!G26</f>
        <v>0</v>
      </c>
      <c r="G17" s="91"/>
      <c r="H17" s="380">
        <f>'Water Tm_Log'!H26</f>
        <v>0</v>
      </c>
      <c r="I17" s="380">
        <f>'Water Tm_Log'!V26</f>
        <v>0</v>
      </c>
      <c r="J17" s="380">
        <f t="shared" si="0"/>
        <v>0</v>
      </c>
      <c r="K17" s="142">
        <f t="shared" si="1"/>
        <v>0</v>
      </c>
      <c r="L17" s="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</row>
    <row r="18" spans="1:29">
      <c r="A18" s="6"/>
      <c r="B18" s="66">
        <v>44003</v>
      </c>
      <c r="C18" s="141">
        <f>'Water Tm_Log'!B27</f>
        <v>0</v>
      </c>
      <c r="D18" s="141">
        <f>'Water Tm_Log'!Q27</f>
        <v>0</v>
      </c>
      <c r="E18" s="141">
        <f>'Water Tm_Log'!F27</f>
        <v>0</v>
      </c>
      <c r="F18" s="141">
        <f>'Water Tm_Log'!G27</f>
        <v>0</v>
      </c>
      <c r="G18" s="91"/>
      <c r="H18" s="142">
        <f>'Water Tm_Log'!H27</f>
        <v>0</v>
      </c>
      <c r="I18" s="142">
        <f>'Water Tm_Log'!V27</f>
        <v>0</v>
      </c>
      <c r="J18" s="142">
        <f t="shared" si="0"/>
        <v>0</v>
      </c>
      <c r="K18" s="142">
        <f t="shared" si="1"/>
        <v>0</v>
      </c>
      <c r="L18" s="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</row>
    <row r="19" spans="1:29">
      <c r="A19" s="6"/>
      <c r="B19" s="65">
        <v>44002</v>
      </c>
      <c r="C19" s="375">
        <f>'Water Tm_Log'!B28</f>
        <v>0</v>
      </c>
      <c r="D19" s="375">
        <f>'Water Tm_Log'!Q28</f>
        <v>0</v>
      </c>
      <c r="E19" s="375">
        <f>'Water Tm_Log'!F28</f>
        <v>0</v>
      </c>
      <c r="F19" s="375">
        <f>'Water Tm_Log'!G28</f>
        <v>0</v>
      </c>
      <c r="G19" s="91"/>
      <c r="H19" s="380">
        <f>'Water Tm_Log'!H28</f>
        <v>0</v>
      </c>
      <c r="I19" s="380">
        <f>'Water Tm_Log'!V28</f>
        <v>0</v>
      </c>
      <c r="J19" s="380">
        <f t="shared" si="0"/>
        <v>0</v>
      </c>
      <c r="K19" s="142">
        <f t="shared" si="1"/>
        <v>0</v>
      </c>
      <c r="L19" s="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</row>
    <row r="20" spans="1:29">
      <c r="A20" s="6"/>
      <c r="B20" s="66">
        <v>44001</v>
      </c>
      <c r="C20" s="141">
        <f>'Water Tm_Log'!B29</f>
        <v>0</v>
      </c>
      <c r="D20" s="141">
        <f>'Water Tm_Log'!Q29</f>
        <v>0</v>
      </c>
      <c r="E20" s="141">
        <f>'Water Tm_Log'!F29</f>
        <v>0</v>
      </c>
      <c r="F20" s="141">
        <f>'Water Tm_Log'!G29</f>
        <v>0</v>
      </c>
      <c r="G20" s="91"/>
      <c r="H20" s="142">
        <f>'Water Tm_Log'!H29</f>
        <v>0</v>
      </c>
      <c r="I20" s="142">
        <f>'Water Tm_Log'!V29</f>
        <v>0</v>
      </c>
      <c r="J20" s="142">
        <f t="shared" si="0"/>
        <v>0</v>
      </c>
      <c r="K20" s="142">
        <f t="shared" si="1"/>
        <v>0</v>
      </c>
      <c r="L20" s="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</row>
    <row r="21" spans="1:29">
      <c r="A21" s="6"/>
      <c r="B21" s="65">
        <v>44000</v>
      </c>
      <c r="C21" s="375">
        <f>'Water Tm_Log'!B30</f>
        <v>0</v>
      </c>
      <c r="D21" s="375">
        <f>'Water Tm_Log'!Q30</f>
        <v>0</v>
      </c>
      <c r="E21" s="375">
        <f>'Water Tm_Log'!F30</f>
        <v>0</v>
      </c>
      <c r="F21" s="375">
        <f>'Water Tm_Log'!G30</f>
        <v>0</v>
      </c>
      <c r="G21" s="91"/>
      <c r="H21" s="380">
        <f>'Water Tm_Log'!H30</f>
        <v>0</v>
      </c>
      <c r="I21" s="380">
        <f>'Water Tm_Log'!V30</f>
        <v>0</v>
      </c>
      <c r="J21" s="380">
        <f t="shared" si="0"/>
        <v>0</v>
      </c>
      <c r="K21" s="142">
        <f t="shared" si="1"/>
        <v>0</v>
      </c>
      <c r="L21" s="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</row>
    <row r="22" spans="1:29">
      <c r="A22" s="6"/>
      <c r="B22" s="66">
        <v>43999</v>
      </c>
      <c r="C22" s="141">
        <f>'Water Tm_Log'!B31</f>
        <v>0</v>
      </c>
      <c r="D22" s="141">
        <f>'Water Tm_Log'!Q31</f>
        <v>0</v>
      </c>
      <c r="E22" s="141">
        <f>'Water Tm_Log'!F31</f>
        <v>0</v>
      </c>
      <c r="F22" s="141">
        <f>'Water Tm_Log'!G31</f>
        <v>0</v>
      </c>
      <c r="G22" s="91"/>
      <c r="H22" s="142">
        <f>'Water Tm_Log'!H31</f>
        <v>0</v>
      </c>
      <c r="I22" s="142">
        <f>'Water Tm_Log'!V31</f>
        <v>0</v>
      </c>
      <c r="J22" s="142">
        <f t="shared" si="0"/>
        <v>0</v>
      </c>
      <c r="K22" s="142">
        <f t="shared" si="1"/>
        <v>0</v>
      </c>
      <c r="L22" s="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</row>
    <row r="23" spans="1:29">
      <c r="A23" s="6"/>
      <c r="B23" s="65">
        <v>43998</v>
      </c>
      <c r="C23" s="375">
        <f>'Water Tm_Log'!B32</f>
        <v>0</v>
      </c>
      <c r="D23" s="375">
        <f>'Water Tm_Log'!Q32</f>
        <v>0</v>
      </c>
      <c r="E23" s="375">
        <f>'Water Tm_Log'!F32</f>
        <v>0</v>
      </c>
      <c r="F23" s="375">
        <f>'Water Tm_Log'!G32</f>
        <v>0</v>
      </c>
      <c r="G23" s="91"/>
      <c r="H23" s="380">
        <f>'Water Tm_Log'!H32</f>
        <v>0</v>
      </c>
      <c r="I23" s="380">
        <f>'Water Tm_Log'!V32</f>
        <v>0</v>
      </c>
      <c r="J23" s="380">
        <f t="shared" si="0"/>
        <v>0</v>
      </c>
      <c r="K23" s="142">
        <f t="shared" si="1"/>
        <v>0</v>
      </c>
      <c r="L23" s="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</row>
    <row r="24" spans="1:29">
      <c r="A24" s="6"/>
      <c r="B24" s="66">
        <v>43997</v>
      </c>
      <c r="C24" s="141">
        <f>'Water Tm_Log'!B33</f>
        <v>0</v>
      </c>
      <c r="D24" s="141">
        <f>'Water Tm_Log'!Q33</f>
        <v>0</v>
      </c>
      <c r="E24" s="141">
        <f>'Water Tm_Log'!F33</f>
        <v>0</v>
      </c>
      <c r="F24" s="141">
        <f>'Water Tm_Log'!G33</f>
        <v>0</v>
      </c>
      <c r="G24" s="91"/>
      <c r="H24" s="142">
        <f>'Water Tm_Log'!H33</f>
        <v>0</v>
      </c>
      <c r="I24" s="142">
        <f>'Water Tm_Log'!V33</f>
        <v>0</v>
      </c>
      <c r="J24" s="142">
        <f t="shared" si="0"/>
        <v>0</v>
      </c>
      <c r="K24" s="142">
        <f t="shared" si="1"/>
        <v>0</v>
      </c>
      <c r="L24" s="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</row>
    <row r="25" spans="1:29">
      <c r="A25" s="6"/>
      <c r="B25" s="65">
        <v>43996</v>
      </c>
      <c r="C25" s="375">
        <f>'Water Tm_Log'!B34</f>
        <v>0</v>
      </c>
      <c r="D25" s="375">
        <f>'Water Tm_Log'!Q34</f>
        <v>0</v>
      </c>
      <c r="E25" s="375">
        <f>'Water Tm_Log'!F34</f>
        <v>0</v>
      </c>
      <c r="F25" s="375">
        <f>'Water Tm_Log'!G34</f>
        <v>0</v>
      </c>
      <c r="G25" s="91"/>
      <c r="H25" s="380">
        <f>'Water Tm_Log'!H34</f>
        <v>0</v>
      </c>
      <c r="I25" s="380">
        <f>'Water Tm_Log'!V34</f>
        <v>0</v>
      </c>
      <c r="J25" s="380">
        <f t="shared" si="0"/>
        <v>0</v>
      </c>
      <c r="K25" s="142">
        <f t="shared" si="1"/>
        <v>0</v>
      </c>
      <c r="L25" s="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</row>
    <row r="26" spans="1:29">
      <c r="A26" s="6"/>
      <c r="B26" s="66">
        <v>43995</v>
      </c>
      <c r="C26" s="141">
        <f>'Water Tm_Log'!B35</f>
        <v>0</v>
      </c>
      <c r="D26" s="141">
        <f>'Water Tm_Log'!Q35</f>
        <v>0</v>
      </c>
      <c r="E26" s="141">
        <f>'Water Tm_Log'!F35</f>
        <v>0</v>
      </c>
      <c r="F26" s="141">
        <f>'Water Tm_Log'!G35</f>
        <v>0</v>
      </c>
      <c r="G26" s="91"/>
      <c r="H26" s="142">
        <f>'Water Tm_Log'!H35</f>
        <v>0</v>
      </c>
      <c r="I26" s="142">
        <f>'Water Tm_Log'!V35</f>
        <v>0</v>
      </c>
      <c r="J26" s="142">
        <f t="shared" si="0"/>
        <v>0</v>
      </c>
      <c r="K26" s="142">
        <f t="shared" si="1"/>
        <v>0</v>
      </c>
      <c r="L26" s="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</row>
    <row r="27" spans="1:29">
      <c r="A27" s="6"/>
      <c r="B27" s="65">
        <v>43994</v>
      </c>
      <c r="C27" s="375">
        <f>'Water Tm_Log'!B36</f>
        <v>0</v>
      </c>
      <c r="D27" s="375">
        <f>'Water Tm_Log'!Q36</f>
        <v>0</v>
      </c>
      <c r="E27" s="375">
        <f>'Water Tm_Log'!F36</f>
        <v>0</v>
      </c>
      <c r="F27" s="375">
        <f>'Water Tm_Log'!G36</f>
        <v>0</v>
      </c>
      <c r="G27" s="91"/>
      <c r="H27" s="380">
        <f>'Water Tm_Log'!H36</f>
        <v>0</v>
      </c>
      <c r="I27" s="380">
        <f>'Water Tm_Log'!V36</f>
        <v>0</v>
      </c>
      <c r="J27" s="380">
        <f t="shared" si="0"/>
        <v>0</v>
      </c>
      <c r="K27" s="142">
        <f t="shared" si="1"/>
        <v>0</v>
      </c>
      <c r="L27" s="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</row>
    <row r="28" spans="1:29">
      <c r="A28" s="6"/>
      <c r="B28" s="66">
        <v>43993</v>
      </c>
      <c r="C28" s="141">
        <f>'Water Tm_Log'!B37</f>
        <v>0</v>
      </c>
      <c r="D28" s="141">
        <f>'Water Tm_Log'!Q37</f>
        <v>0</v>
      </c>
      <c r="E28" s="141">
        <f>'Water Tm_Log'!F37</f>
        <v>0</v>
      </c>
      <c r="F28" s="141">
        <f>'Water Tm_Log'!G37</f>
        <v>0</v>
      </c>
      <c r="G28" s="91"/>
      <c r="H28" s="142">
        <f>'Water Tm_Log'!H37</f>
        <v>0</v>
      </c>
      <c r="I28" s="142">
        <f>'Water Tm_Log'!V37</f>
        <v>0</v>
      </c>
      <c r="J28" s="142">
        <f t="shared" si="0"/>
        <v>0</v>
      </c>
      <c r="K28" s="142">
        <f t="shared" si="1"/>
        <v>0</v>
      </c>
      <c r="L28" s="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</row>
    <row r="29" spans="1:29">
      <c r="A29" s="6"/>
      <c r="B29" s="65">
        <v>43992</v>
      </c>
      <c r="C29" s="375">
        <f>'Water Tm_Log'!B38</f>
        <v>0</v>
      </c>
      <c r="D29" s="375">
        <f>'Water Tm_Log'!Q38</f>
        <v>0</v>
      </c>
      <c r="E29" s="375">
        <f>'Water Tm_Log'!F38</f>
        <v>0</v>
      </c>
      <c r="F29" s="375">
        <f>'Water Tm_Log'!G38</f>
        <v>0</v>
      </c>
      <c r="G29" s="91"/>
      <c r="H29" s="380">
        <f>'Water Tm_Log'!H38</f>
        <v>0</v>
      </c>
      <c r="I29" s="380">
        <f>'Water Tm_Log'!V38</f>
        <v>0</v>
      </c>
      <c r="J29" s="380">
        <f t="shared" si="0"/>
        <v>0</v>
      </c>
      <c r="K29" s="142">
        <f t="shared" si="1"/>
        <v>0</v>
      </c>
      <c r="L29" s="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</row>
    <row r="30" spans="1:29">
      <c r="A30" s="6"/>
      <c r="B30" s="66">
        <v>43991</v>
      </c>
      <c r="C30" s="141">
        <f>'Water Tm_Log'!B39</f>
        <v>0</v>
      </c>
      <c r="D30" s="141">
        <f>'Water Tm_Log'!Q39</f>
        <v>0</v>
      </c>
      <c r="E30" s="141">
        <f>'Water Tm_Log'!F39</f>
        <v>0</v>
      </c>
      <c r="F30" s="141">
        <f>'Water Tm_Log'!G39</f>
        <v>0</v>
      </c>
      <c r="G30" s="91"/>
      <c r="H30" s="142">
        <f>'Water Tm_Log'!H39</f>
        <v>0</v>
      </c>
      <c r="I30" s="142">
        <f>'Water Tm_Log'!V39</f>
        <v>0</v>
      </c>
      <c r="J30" s="142">
        <f t="shared" si="0"/>
        <v>0</v>
      </c>
      <c r="K30" s="142">
        <f t="shared" si="1"/>
        <v>0</v>
      </c>
      <c r="L30" s="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</row>
    <row r="31" spans="1:29">
      <c r="A31" s="6"/>
      <c r="B31" s="65">
        <v>43990</v>
      </c>
      <c r="C31" s="375">
        <f>'Water Tm_Log'!B40</f>
        <v>0</v>
      </c>
      <c r="D31" s="375">
        <f>'Water Tm_Log'!Q40</f>
        <v>0</v>
      </c>
      <c r="E31" s="375">
        <f>'Water Tm_Log'!F40</f>
        <v>0</v>
      </c>
      <c r="F31" s="375">
        <f>'Water Tm_Log'!G40</f>
        <v>0</v>
      </c>
      <c r="G31" s="91"/>
      <c r="H31" s="380">
        <f>'Water Tm_Log'!H40</f>
        <v>0</v>
      </c>
      <c r="I31" s="380">
        <f>'Water Tm_Log'!V40</f>
        <v>0</v>
      </c>
      <c r="J31" s="380">
        <f t="shared" si="0"/>
        <v>0</v>
      </c>
      <c r="K31" s="142">
        <f t="shared" si="1"/>
        <v>0</v>
      </c>
      <c r="L31" s="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</row>
    <row r="32" spans="1:29">
      <c r="A32" s="6"/>
      <c r="B32" s="66">
        <v>43989</v>
      </c>
      <c r="C32" s="141">
        <f>'Water Tm_Log'!B41</f>
        <v>0</v>
      </c>
      <c r="D32" s="141">
        <f>'Water Tm_Log'!Q41</f>
        <v>0</v>
      </c>
      <c r="E32" s="141">
        <f>'Water Tm_Log'!F41</f>
        <v>0</v>
      </c>
      <c r="F32" s="141">
        <f>'Water Tm_Log'!G41</f>
        <v>0</v>
      </c>
      <c r="G32" s="91"/>
      <c r="H32" s="142">
        <f>'Water Tm_Log'!H41</f>
        <v>0</v>
      </c>
      <c r="I32" s="142">
        <f>'Water Tm_Log'!V41</f>
        <v>0</v>
      </c>
      <c r="J32" s="142">
        <f t="shared" si="0"/>
        <v>0</v>
      </c>
      <c r="K32" s="142">
        <f t="shared" si="1"/>
        <v>0</v>
      </c>
      <c r="L32" s="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</row>
    <row r="33" spans="1:29">
      <c r="A33" s="6"/>
      <c r="B33" s="65">
        <v>43988</v>
      </c>
      <c r="C33" s="375">
        <f>'Water Tm_Log'!B42</f>
        <v>0</v>
      </c>
      <c r="D33" s="375">
        <f>'Water Tm_Log'!Q42</f>
        <v>0</v>
      </c>
      <c r="E33" s="375">
        <f>'Water Tm_Log'!F42</f>
        <v>0</v>
      </c>
      <c r="F33" s="375">
        <f>'Water Tm_Log'!G42</f>
        <v>0</v>
      </c>
      <c r="G33" s="91"/>
      <c r="H33" s="380">
        <f>'Water Tm_Log'!H42</f>
        <v>0</v>
      </c>
      <c r="I33" s="380">
        <f>'Water Tm_Log'!V42</f>
        <v>0</v>
      </c>
      <c r="J33" s="380">
        <f t="shared" si="0"/>
        <v>0</v>
      </c>
      <c r="K33" s="142">
        <f t="shared" si="1"/>
        <v>0</v>
      </c>
      <c r="L33" s="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</row>
    <row r="34" spans="1:29">
      <c r="A34" s="6"/>
      <c r="B34" s="66">
        <v>43987</v>
      </c>
      <c r="C34" s="141">
        <f>'Water Tm_Log'!B43</f>
        <v>0</v>
      </c>
      <c r="D34" s="141">
        <f>'Water Tm_Log'!Q43</f>
        <v>0</v>
      </c>
      <c r="E34" s="141">
        <f>'Water Tm_Log'!F43</f>
        <v>0</v>
      </c>
      <c r="F34" s="141">
        <f>'Water Tm_Log'!G43</f>
        <v>0</v>
      </c>
      <c r="G34" s="91"/>
      <c r="H34" s="142">
        <f>'Water Tm_Log'!H43</f>
        <v>0</v>
      </c>
      <c r="I34" s="142">
        <f>'Water Tm_Log'!V43</f>
        <v>0</v>
      </c>
      <c r="J34" s="142">
        <f t="shared" si="0"/>
        <v>0</v>
      </c>
      <c r="K34" s="142">
        <f t="shared" si="1"/>
        <v>0</v>
      </c>
      <c r="L34" s="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196"/>
      <c r="AC34" s="196"/>
    </row>
    <row r="35" spans="1:29">
      <c r="A35" s="6"/>
      <c r="B35" s="65">
        <v>43986</v>
      </c>
      <c r="C35" s="375">
        <f>'Water Tm_Log'!B44</f>
        <v>0</v>
      </c>
      <c r="D35" s="375">
        <f>'Water Tm_Log'!Q44</f>
        <v>0</v>
      </c>
      <c r="E35" s="375">
        <f>'Water Tm_Log'!F44</f>
        <v>0</v>
      </c>
      <c r="F35" s="375">
        <f>'Water Tm_Log'!G44</f>
        <v>0</v>
      </c>
      <c r="G35" s="91"/>
      <c r="H35" s="380">
        <f>'Water Tm_Log'!H44</f>
        <v>0</v>
      </c>
      <c r="I35" s="380">
        <f>'Water Tm_Log'!V44</f>
        <v>0</v>
      </c>
      <c r="J35" s="380">
        <f t="shared" si="0"/>
        <v>0</v>
      </c>
      <c r="K35" s="142">
        <f t="shared" si="1"/>
        <v>0</v>
      </c>
      <c r="L35" s="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</row>
    <row r="36" spans="1:29">
      <c r="A36" s="6"/>
      <c r="B36" s="66">
        <v>43985</v>
      </c>
      <c r="C36" s="141">
        <f>'Water Tm_Log'!B45</f>
        <v>0</v>
      </c>
      <c r="D36" s="141">
        <f>'Water Tm_Log'!Q45</f>
        <v>0</v>
      </c>
      <c r="E36" s="141">
        <f>'Water Tm_Log'!F45</f>
        <v>0</v>
      </c>
      <c r="F36" s="141">
        <f>'Water Tm_Log'!G45</f>
        <v>0</v>
      </c>
      <c r="G36" s="91"/>
      <c r="H36" s="142">
        <f>'Water Tm_Log'!H45</f>
        <v>0</v>
      </c>
      <c r="I36" s="142">
        <f>'Water Tm_Log'!V45</f>
        <v>0</v>
      </c>
      <c r="J36" s="142">
        <f t="shared" si="0"/>
        <v>0</v>
      </c>
      <c r="K36" s="142">
        <f t="shared" si="1"/>
        <v>0</v>
      </c>
      <c r="L36" s="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</row>
    <row r="37" spans="1:29">
      <c r="A37" s="6"/>
      <c r="B37" s="65">
        <v>43984</v>
      </c>
      <c r="C37" s="375">
        <f>'Water Tm_Log'!B46</f>
        <v>0</v>
      </c>
      <c r="D37" s="375">
        <f>'Water Tm_Log'!Q46</f>
        <v>0</v>
      </c>
      <c r="E37" s="375">
        <f>'Water Tm_Log'!F46</f>
        <v>0</v>
      </c>
      <c r="F37" s="375">
        <f>'Water Tm_Log'!G46</f>
        <v>0</v>
      </c>
      <c r="G37" s="91"/>
      <c r="H37" s="380">
        <f>'Water Tm_Log'!H46</f>
        <v>0</v>
      </c>
      <c r="I37" s="380">
        <f>'Water Tm_Log'!V46</f>
        <v>0</v>
      </c>
      <c r="J37" s="380">
        <f t="shared" si="0"/>
        <v>0</v>
      </c>
      <c r="K37" s="142">
        <f t="shared" si="1"/>
        <v>0</v>
      </c>
      <c r="L37" s="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</row>
    <row r="38" spans="1:29">
      <c r="A38" s="6"/>
      <c r="B38" s="66">
        <v>43983</v>
      </c>
      <c r="C38" s="141">
        <f>'Water Tm_Log'!B47</f>
        <v>0</v>
      </c>
      <c r="D38" s="141">
        <f>'Water Tm_Log'!Q47</f>
        <v>0</v>
      </c>
      <c r="E38" s="141">
        <f>'Water Tm_Log'!F47</f>
        <v>0</v>
      </c>
      <c r="F38" s="141">
        <f>'Water Tm_Log'!G47</f>
        <v>0</v>
      </c>
      <c r="G38" s="91"/>
      <c r="H38" s="142">
        <f>'Water Tm_Log'!H47</f>
        <v>0</v>
      </c>
      <c r="I38" s="142">
        <f>'Water Tm_Log'!V47</f>
        <v>0</v>
      </c>
      <c r="J38" s="142">
        <f t="shared" si="0"/>
        <v>0</v>
      </c>
      <c r="K38" s="142">
        <f t="shared" si="1"/>
        <v>0</v>
      </c>
      <c r="L38" s="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</row>
    <row r="39" spans="1:29">
      <c r="A39" s="6"/>
      <c r="B39" s="65">
        <v>43982</v>
      </c>
      <c r="C39" s="375">
        <f>'Water Tm_Log'!B48</f>
        <v>0</v>
      </c>
      <c r="D39" s="375">
        <f>'Water Tm_Log'!Q48</f>
        <v>0</v>
      </c>
      <c r="E39" s="375">
        <f>'Water Tm_Log'!F48</f>
        <v>0</v>
      </c>
      <c r="F39" s="375">
        <f>'Water Tm_Log'!G48</f>
        <v>0</v>
      </c>
      <c r="G39" s="91"/>
      <c r="H39" s="380">
        <f>'Water Tm_Log'!H48</f>
        <v>0</v>
      </c>
      <c r="I39" s="380">
        <f>'Water Tm_Log'!V48</f>
        <v>0</v>
      </c>
      <c r="J39" s="380">
        <f t="shared" si="0"/>
        <v>0</v>
      </c>
      <c r="K39" s="142">
        <f t="shared" si="1"/>
        <v>0</v>
      </c>
      <c r="L39" s="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</row>
    <row r="40" spans="1:29">
      <c r="A40" s="6"/>
      <c r="B40" s="66">
        <v>43981</v>
      </c>
      <c r="C40" s="141">
        <f>'Water Tm_Log'!B49</f>
        <v>0</v>
      </c>
      <c r="D40" s="141">
        <f>'Water Tm_Log'!Q49</f>
        <v>0</v>
      </c>
      <c r="E40" s="141">
        <f>'Water Tm_Log'!F49</f>
        <v>0</v>
      </c>
      <c r="F40" s="141">
        <f>'Water Tm_Log'!G49</f>
        <v>0</v>
      </c>
      <c r="G40" s="91"/>
      <c r="H40" s="142">
        <f>'Water Tm_Log'!H49</f>
        <v>0</v>
      </c>
      <c r="I40" s="142">
        <f>'Water Tm_Log'!V49</f>
        <v>0</v>
      </c>
      <c r="J40" s="142">
        <f t="shared" ref="J40:J70" si="2">(H40+I40)*8500</f>
        <v>0</v>
      </c>
      <c r="K40" s="142">
        <f t="shared" si="1"/>
        <v>0</v>
      </c>
      <c r="L40" s="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</row>
    <row r="41" spans="1:29">
      <c r="A41" s="6"/>
      <c r="B41" s="65">
        <v>43980</v>
      </c>
      <c r="C41" s="375">
        <f>'Water Tm_Log'!B50</f>
        <v>0</v>
      </c>
      <c r="D41" s="375">
        <f>'Water Tm_Log'!Q50</f>
        <v>0</v>
      </c>
      <c r="E41" s="375">
        <f>'Water Tm_Log'!F50</f>
        <v>0</v>
      </c>
      <c r="F41" s="375">
        <f>'Water Tm_Log'!G50</f>
        <v>0</v>
      </c>
      <c r="G41" s="91"/>
      <c r="H41" s="380">
        <f>'Water Tm_Log'!H50</f>
        <v>0</v>
      </c>
      <c r="I41" s="380">
        <f>'Water Tm_Log'!V50</f>
        <v>0</v>
      </c>
      <c r="J41" s="380">
        <f t="shared" si="2"/>
        <v>0</v>
      </c>
      <c r="K41" s="142">
        <f t="shared" si="1"/>
        <v>0</v>
      </c>
      <c r="L41" s="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</row>
    <row r="42" spans="1:29">
      <c r="A42" s="6"/>
      <c r="B42" s="66">
        <v>43979</v>
      </c>
      <c r="C42" s="141">
        <f>'Water Tm_Log'!B51</f>
        <v>0</v>
      </c>
      <c r="D42" s="141">
        <f>'Water Tm_Log'!Q51</f>
        <v>0</v>
      </c>
      <c r="E42" s="141">
        <f>'Water Tm_Log'!F51</f>
        <v>0</v>
      </c>
      <c r="F42" s="141">
        <f>'Water Tm_Log'!G51</f>
        <v>0</v>
      </c>
      <c r="G42" s="91"/>
      <c r="H42" s="142">
        <f>'Water Tm_Log'!H51</f>
        <v>0</v>
      </c>
      <c r="I42" s="142">
        <f>'Water Tm_Log'!V51</f>
        <v>0</v>
      </c>
      <c r="J42" s="142">
        <f t="shared" si="2"/>
        <v>0</v>
      </c>
      <c r="K42" s="142">
        <f t="shared" si="1"/>
        <v>0</v>
      </c>
      <c r="L42" s="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</row>
    <row r="43" spans="1:29">
      <c r="A43" s="6"/>
      <c r="B43" s="65">
        <v>43978</v>
      </c>
      <c r="C43" s="375">
        <f>'Water Tm_Log'!B52</f>
        <v>0</v>
      </c>
      <c r="D43" s="375">
        <f>'Water Tm_Log'!Q52</f>
        <v>0</v>
      </c>
      <c r="E43" s="375">
        <f>'Water Tm_Log'!F52</f>
        <v>0</v>
      </c>
      <c r="F43" s="375">
        <f>'Water Tm_Log'!G52</f>
        <v>0</v>
      </c>
      <c r="G43" s="91"/>
      <c r="H43" s="380">
        <f>'Water Tm_Log'!H52</f>
        <v>0</v>
      </c>
      <c r="I43" s="380">
        <f>'Water Tm_Log'!V52</f>
        <v>0</v>
      </c>
      <c r="J43" s="380">
        <f t="shared" si="2"/>
        <v>0</v>
      </c>
      <c r="K43" s="142">
        <f t="shared" si="1"/>
        <v>0</v>
      </c>
      <c r="L43" s="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</row>
    <row r="44" spans="1:29">
      <c r="A44" s="6"/>
      <c r="B44" s="66">
        <v>43977</v>
      </c>
      <c r="C44" s="141">
        <f>'Water Tm_Log'!B53</f>
        <v>0</v>
      </c>
      <c r="D44" s="141">
        <f>'Water Tm_Log'!Q53</f>
        <v>0</v>
      </c>
      <c r="E44" s="141">
        <f>'Water Tm_Log'!F53</f>
        <v>0</v>
      </c>
      <c r="F44" s="141">
        <f>'Water Tm_Log'!G53</f>
        <v>0</v>
      </c>
      <c r="G44" s="91"/>
      <c r="H44" s="142">
        <f>'Water Tm_Log'!H53</f>
        <v>0</v>
      </c>
      <c r="I44" s="142">
        <f>'Water Tm_Log'!V53</f>
        <v>0</v>
      </c>
      <c r="J44" s="142">
        <f t="shared" si="2"/>
        <v>0</v>
      </c>
      <c r="K44" s="142">
        <f t="shared" si="1"/>
        <v>0</v>
      </c>
      <c r="L44" s="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</row>
    <row r="45" spans="1:29">
      <c r="A45" s="6"/>
      <c r="B45" s="65">
        <v>43976</v>
      </c>
      <c r="C45" s="375">
        <f>'Water Tm_Log'!B54</f>
        <v>0</v>
      </c>
      <c r="D45" s="375">
        <f>'Water Tm_Log'!Q54</f>
        <v>0</v>
      </c>
      <c r="E45" s="375">
        <f>'Water Tm_Log'!F54</f>
        <v>0</v>
      </c>
      <c r="F45" s="375">
        <f>'Water Tm_Log'!G54</f>
        <v>0</v>
      </c>
      <c r="G45" s="91"/>
      <c r="H45" s="380">
        <f>'Water Tm_Log'!H54</f>
        <v>0</v>
      </c>
      <c r="I45" s="380">
        <f>'Water Tm_Log'!V54</f>
        <v>0</v>
      </c>
      <c r="J45" s="380">
        <f t="shared" si="2"/>
        <v>0</v>
      </c>
      <c r="K45" s="142">
        <f t="shared" si="1"/>
        <v>0</v>
      </c>
      <c r="L45" s="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6"/>
      <c r="AB45" s="196"/>
      <c r="AC45" s="196"/>
    </row>
    <row r="46" spans="1:29">
      <c r="A46" s="6"/>
      <c r="B46" s="66">
        <v>43975</v>
      </c>
      <c r="C46" s="141">
        <f>'Water Tm_Log'!B55</f>
        <v>0</v>
      </c>
      <c r="D46" s="141">
        <f>'Water Tm_Log'!Q55</f>
        <v>0</v>
      </c>
      <c r="E46" s="141">
        <f>'Water Tm_Log'!F55</f>
        <v>0</v>
      </c>
      <c r="F46" s="141">
        <f>'Water Tm_Log'!G55</f>
        <v>0</v>
      </c>
      <c r="G46" s="91"/>
      <c r="H46" s="142">
        <f>'Water Tm_Log'!H55</f>
        <v>0</v>
      </c>
      <c r="I46" s="142">
        <f>'Water Tm_Log'!V55</f>
        <v>0</v>
      </c>
      <c r="J46" s="142">
        <f t="shared" si="2"/>
        <v>0</v>
      </c>
      <c r="K46" s="142">
        <f t="shared" si="1"/>
        <v>0</v>
      </c>
      <c r="L46" s="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96"/>
      <c r="AC46" s="196"/>
    </row>
    <row r="47" spans="1:29">
      <c r="A47" s="6"/>
      <c r="B47" s="65">
        <v>43974</v>
      </c>
      <c r="C47" s="375">
        <f>'Water Tm_Log'!B56</f>
        <v>0</v>
      </c>
      <c r="D47" s="375">
        <f>'Water Tm_Log'!Q56</f>
        <v>0</v>
      </c>
      <c r="E47" s="375">
        <f>'Water Tm_Log'!F56</f>
        <v>0</v>
      </c>
      <c r="F47" s="375">
        <f>'Water Tm_Log'!G56</f>
        <v>0</v>
      </c>
      <c r="G47" s="91"/>
      <c r="H47" s="380">
        <f>'Water Tm_Log'!H56</f>
        <v>0</v>
      </c>
      <c r="I47" s="380">
        <f>'Water Tm_Log'!V56</f>
        <v>0</v>
      </c>
      <c r="J47" s="380">
        <f t="shared" si="2"/>
        <v>0</v>
      </c>
      <c r="K47" s="142">
        <f t="shared" si="1"/>
        <v>0</v>
      </c>
      <c r="L47" s="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</row>
    <row r="48" spans="1:29">
      <c r="A48" s="6"/>
      <c r="B48" s="66">
        <v>43973</v>
      </c>
      <c r="C48" s="141">
        <f>'Water Tm_Log'!B57</f>
        <v>0</v>
      </c>
      <c r="D48" s="141">
        <f>'Water Tm_Log'!Q57</f>
        <v>0</v>
      </c>
      <c r="E48" s="141">
        <f>'Water Tm_Log'!F57</f>
        <v>0</v>
      </c>
      <c r="F48" s="141">
        <f>'Water Tm_Log'!G57</f>
        <v>0</v>
      </c>
      <c r="G48" s="91"/>
      <c r="H48" s="142">
        <f>'Water Tm_Log'!H57</f>
        <v>0</v>
      </c>
      <c r="I48" s="142">
        <f>'Water Tm_Log'!V57</f>
        <v>0</v>
      </c>
      <c r="J48" s="142">
        <f t="shared" si="2"/>
        <v>0</v>
      </c>
      <c r="K48" s="142">
        <f t="shared" si="1"/>
        <v>0</v>
      </c>
      <c r="L48" s="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</row>
    <row r="49" spans="1:29">
      <c r="A49" s="6"/>
      <c r="B49" s="65">
        <v>43972</v>
      </c>
      <c r="C49" s="375">
        <f>'Water Tm_Log'!B58</f>
        <v>0</v>
      </c>
      <c r="D49" s="375">
        <f>'Water Tm_Log'!Q58</f>
        <v>0</v>
      </c>
      <c r="E49" s="375">
        <f>'Water Tm_Log'!F58</f>
        <v>0</v>
      </c>
      <c r="F49" s="375">
        <f>'Water Tm_Log'!G58</f>
        <v>0</v>
      </c>
      <c r="G49" s="91"/>
      <c r="H49" s="380">
        <f>'Water Tm_Log'!H58</f>
        <v>0</v>
      </c>
      <c r="I49" s="380">
        <f>'Water Tm_Log'!V58</f>
        <v>0</v>
      </c>
      <c r="J49" s="380">
        <f t="shared" si="2"/>
        <v>0</v>
      </c>
      <c r="K49" s="142">
        <f t="shared" si="1"/>
        <v>0</v>
      </c>
      <c r="L49" s="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</row>
    <row r="50" spans="1:29">
      <c r="A50" s="6"/>
      <c r="B50" s="66">
        <v>43971</v>
      </c>
      <c r="C50" s="141">
        <f>'Water Tm_Log'!B59</f>
        <v>0</v>
      </c>
      <c r="D50" s="141">
        <f>'Water Tm_Log'!Q59</f>
        <v>0</v>
      </c>
      <c r="E50" s="141">
        <f>'Water Tm_Log'!F59</f>
        <v>0</v>
      </c>
      <c r="F50" s="141">
        <f>'Water Tm_Log'!G59</f>
        <v>0</v>
      </c>
      <c r="G50" s="91"/>
      <c r="H50" s="142">
        <f>'Water Tm_Log'!H59</f>
        <v>0</v>
      </c>
      <c r="I50" s="142">
        <f>'Water Tm_Log'!V59</f>
        <v>0</v>
      </c>
      <c r="J50" s="142">
        <f t="shared" si="2"/>
        <v>0</v>
      </c>
      <c r="K50" s="142">
        <f t="shared" si="1"/>
        <v>0</v>
      </c>
      <c r="L50" s="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  <c r="AA50" s="196"/>
      <c r="AB50" s="196"/>
      <c r="AC50" s="196"/>
    </row>
    <row r="51" spans="1:29">
      <c r="A51" s="6"/>
      <c r="B51" s="65">
        <v>43970</v>
      </c>
      <c r="C51" s="375">
        <f>'Water Tm_Log'!B60</f>
        <v>0</v>
      </c>
      <c r="D51" s="375">
        <f>'Water Tm_Log'!Q60</f>
        <v>0</v>
      </c>
      <c r="E51" s="375">
        <f>'Water Tm_Log'!F60</f>
        <v>0</v>
      </c>
      <c r="F51" s="375">
        <f>'Water Tm_Log'!G60</f>
        <v>0</v>
      </c>
      <c r="G51" s="91"/>
      <c r="H51" s="380">
        <f>'Water Tm_Log'!H60</f>
        <v>0</v>
      </c>
      <c r="I51" s="380">
        <f>'Water Tm_Log'!V60</f>
        <v>0</v>
      </c>
      <c r="J51" s="380">
        <f t="shared" si="2"/>
        <v>0</v>
      </c>
      <c r="K51" s="142">
        <f t="shared" si="1"/>
        <v>0</v>
      </c>
      <c r="L51" s="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</row>
    <row r="52" spans="1:29">
      <c r="A52" s="6"/>
      <c r="B52" s="66">
        <v>43969</v>
      </c>
      <c r="C52" s="141">
        <f>'Water Tm_Log'!B61</f>
        <v>0</v>
      </c>
      <c r="D52" s="141">
        <f>'Water Tm_Log'!Q61</f>
        <v>0</v>
      </c>
      <c r="E52" s="141">
        <f>'Water Tm_Log'!F61</f>
        <v>0</v>
      </c>
      <c r="F52" s="141">
        <f>'Water Tm_Log'!G61</f>
        <v>0</v>
      </c>
      <c r="G52" s="91"/>
      <c r="H52" s="142">
        <f>'Water Tm_Log'!H61</f>
        <v>0</v>
      </c>
      <c r="I52" s="142">
        <f>'Water Tm_Log'!V61</f>
        <v>0</v>
      </c>
      <c r="J52" s="142">
        <f t="shared" si="2"/>
        <v>0</v>
      </c>
      <c r="K52" s="142">
        <f t="shared" si="1"/>
        <v>0</v>
      </c>
      <c r="L52" s="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</row>
    <row r="53" spans="1:29">
      <c r="A53" s="6"/>
      <c r="B53" s="65">
        <v>43968</v>
      </c>
      <c r="C53" s="375">
        <f>'Water Tm_Log'!B62</f>
        <v>0</v>
      </c>
      <c r="D53" s="375">
        <f>'Water Tm_Log'!Q62</f>
        <v>0</v>
      </c>
      <c r="E53" s="375">
        <f>'Water Tm_Log'!F62</f>
        <v>0</v>
      </c>
      <c r="F53" s="375">
        <f>'Water Tm_Log'!G62</f>
        <v>16930</v>
      </c>
      <c r="G53" s="91"/>
      <c r="H53" s="380">
        <f>'Water Tm_Log'!H62</f>
        <v>0</v>
      </c>
      <c r="I53" s="380">
        <f>'Water Tm_Log'!V62</f>
        <v>0</v>
      </c>
      <c r="J53" s="380">
        <f t="shared" si="2"/>
        <v>0</v>
      </c>
      <c r="K53" s="142">
        <f t="shared" si="1"/>
        <v>0</v>
      </c>
      <c r="L53" s="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  <c r="AA53" s="196"/>
      <c r="AB53" s="196"/>
      <c r="AC53" s="196"/>
    </row>
    <row r="54" spans="1:29">
      <c r="A54" s="6"/>
      <c r="B54" s="66">
        <v>43967</v>
      </c>
      <c r="C54" s="141">
        <f>'Water Tm_Log'!B63</f>
        <v>8</v>
      </c>
      <c r="D54" s="141">
        <f>'Water Tm_Log'!Q63</f>
        <v>1</v>
      </c>
      <c r="E54" s="141">
        <f>'Water Tm_Log'!F63</f>
        <v>63800</v>
      </c>
      <c r="F54" s="141">
        <f>'Water Tm_Log'!G63</f>
        <v>96400</v>
      </c>
      <c r="G54" s="91"/>
      <c r="H54" s="142">
        <f>'Water Tm_Log'!H63</f>
        <v>12</v>
      </c>
      <c r="I54" s="142">
        <f>'Water Tm_Log'!V63</f>
        <v>1</v>
      </c>
      <c r="J54" s="142">
        <f t="shared" si="2"/>
        <v>110500</v>
      </c>
      <c r="K54" s="142">
        <f t="shared" si="1"/>
        <v>102000</v>
      </c>
      <c r="L54" s="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6"/>
      <c r="AC54" s="196"/>
    </row>
    <row r="55" spans="1:29">
      <c r="A55" s="6"/>
      <c r="B55" s="65">
        <v>43966</v>
      </c>
      <c r="C55" s="375">
        <f>'Water Tm_Log'!B64</f>
        <v>8</v>
      </c>
      <c r="D55" s="375">
        <f>'Water Tm_Log'!Q64</f>
        <v>1</v>
      </c>
      <c r="E55" s="375">
        <f>'Water Tm_Log'!F64</f>
        <v>65800</v>
      </c>
      <c r="F55" s="375">
        <f>'Water Tm_Log'!G64</f>
        <v>100100</v>
      </c>
      <c r="G55" s="91"/>
      <c r="H55" s="380">
        <f>'Water Tm_Log'!H64</f>
        <v>12</v>
      </c>
      <c r="I55" s="380">
        <f>'Water Tm_Log'!V64</f>
        <v>0</v>
      </c>
      <c r="J55" s="380">
        <f t="shared" si="2"/>
        <v>102000</v>
      </c>
      <c r="K55" s="142">
        <f t="shared" si="1"/>
        <v>102000</v>
      </c>
      <c r="L55" s="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</row>
    <row r="56" spans="1:29">
      <c r="A56" s="6"/>
      <c r="B56" s="66">
        <v>43965</v>
      </c>
      <c r="C56" s="141">
        <f>'Water Tm_Log'!B65</f>
        <v>8</v>
      </c>
      <c r="D56" s="141">
        <f>'Water Tm_Log'!Q65</f>
        <v>1</v>
      </c>
      <c r="E56" s="141">
        <f>'Water Tm_Log'!F65</f>
        <v>63100</v>
      </c>
      <c r="F56" s="141">
        <f>'Water Tm_Log'!G65</f>
        <v>87900</v>
      </c>
      <c r="G56" s="91"/>
      <c r="H56" s="142">
        <f>'Water Tm_Log'!H65</f>
        <v>11</v>
      </c>
      <c r="I56" s="142">
        <f>'Water Tm_Log'!V65</f>
        <v>1</v>
      </c>
      <c r="J56" s="142">
        <f t="shared" si="2"/>
        <v>102000</v>
      </c>
      <c r="K56" s="142">
        <f t="shared" si="1"/>
        <v>93500</v>
      </c>
      <c r="L56" s="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</row>
    <row r="57" spans="1:29">
      <c r="A57" s="6"/>
      <c r="B57" s="65">
        <v>43964</v>
      </c>
      <c r="C57" s="375">
        <f>'Water Tm_Log'!B66</f>
        <v>7</v>
      </c>
      <c r="D57" s="375">
        <f>'Water Tm_Log'!Q66</f>
        <v>0</v>
      </c>
      <c r="E57" s="375">
        <f>'Water Tm_Log'!F66</f>
        <v>53700</v>
      </c>
      <c r="F57" s="375">
        <f>'Water Tm_Log'!G66</f>
        <v>81600</v>
      </c>
      <c r="G57" s="91"/>
      <c r="H57" s="380">
        <f>'Water Tm_Log'!H66</f>
        <v>10</v>
      </c>
      <c r="I57" s="380">
        <f>'Water Tm_Log'!V66</f>
        <v>0</v>
      </c>
      <c r="J57" s="380">
        <f t="shared" si="2"/>
        <v>85000</v>
      </c>
      <c r="K57" s="142">
        <f t="shared" si="1"/>
        <v>85000</v>
      </c>
      <c r="L57" s="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</row>
    <row r="58" spans="1:29">
      <c r="A58" s="6"/>
      <c r="B58" s="66">
        <v>43963</v>
      </c>
      <c r="C58" s="141">
        <f>'Water Tm_Log'!B67</f>
        <v>16</v>
      </c>
      <c r="D58" s="141">
        <f>'Water Tm_Log'!Q67</f>
        <v>1</v>
      </c>
      <c r="E58" s="141">
        <f>'Water Tm_Log'!F67</f>
        <v>120000</v>
      </c>
      <c r="F58" s="141">
        <f>'Water Tm_Log'!G67</f>
        <v>85000</v>
      </c>
      <c r="G58" s="91"/>
      <c r="H58" s="142">
        <f>'Water Tm_Log'!H67</f>
        <v>16</v>
      </c>
      <c r="I58" s="142">
        <f>'Water Tm_Log'!V67</f>
        <v>1</v>
      </c>
      <c r="J58" s="142">
        <f t="shared" si="2"/>
        <v>144500</v>
      </c>
      <c r="K58" s="142">
        <f t="shared" si="1"/>
        <v>136000</v>
      </c>
      <c r="L58" s="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</row>
    <row r="59" spans="1:29">
      <c r="A59" s="6"/>
      <c r="B59" s="65">
        <v>43962</v>
      </c>
      <c r="C59" s="375">
        <f>'Water Tm_Log'!B68</f>
        <v>13</v>
      </c>
      <c r="D59" s="375">
        <f>'Water Tm_Log'!Q68</f>
        <v>0</v>
      </c>
      <c r="E59" s="375">
        <f>'Water Tm_Log'!F68</f>
        <v>103700</v>
      </c>
      <c r="F59" s="375">
        <f>'Water Tm_Log'!G68</f>
        <v>166500</v>
      </c>
      <c r="G59" s="91"/>
      <c r="H59" s="380">
        <f>'Water Tm_Log'!H68</f>
        <v>16</v>
      </c>
      <c r="I59" s="380">
        <f>'Water Tm_Log'!V68</f>
        <v>0</v>
      </c>
      <c r="J59" s="380">
        <f t="shared" si="2"/>
        <v>136000</v>
      </c>
      <c r="K59" s="142">
        <f t="shared" si="1"/>
        <v>136000</v>
      </c>
      <c r="L59" s="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</row>
    <row r="60" spans="1:29">
      <c r="A60" s="6"/>
      <c r="B60" s="66">
        <v>43961</v>
      </c>
      <c r="C60" s="141">
        <f>'Water Tm_Log'!B69</f>
        <v>6</v>
      </c>
      <c r="D60" s="141">
        <f>'Water Tm_Log'!Q69</f>
        <v>1</v>
      </c>
      <c r="E60" s="141">
        <f>'Water Tm_Log'!F69</f>
        <v>43900</v>
      </c>
      <c r="F60" s="141">
        <f>'Water Tm_Log'!G69</f>
        <v>56000</v>
      </c>
      <c r="G60" s="91"/>
      <c r="H60" s="142">
        <f>'Water Tm_Log'!H69</f>
        <v>12</v>
      </c>
      <c r="I60" s="142">
        <f>'Water Tm_Log'!V69</f>
        <v>1</v>
      </c>
      <c r="J60" s="142">
        <f t="shared" si="2"/>
        <v>110500</v>
      </c>
      <c r="K60" s="142">
        <f t="shared" si="1"/>
        <v>102000</v>
      </c>
      <c r="L60" s="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</row>
    <row r="61" spans="1:29">
      <c r="A61" s="6"/>
      <c r="B61" s="65">
        <v>43960</v>
      </c>
      <c r="C61" s="375">
        <f>'Water Tm_Log'!B70</f>
        <v>10</v>
      </c>
      <c r="D61" s="375">
        <f>'Water Tm_Log'!Q70</f>
        <v>1</v>
      </c>
      <c r="E61" s="375">
        <f>'Water Tm_Log'!F70</f>
        <v>76500</v>
      </c>
      <c r="F61" s="375">
        <f>'Water Tm_Log'!G70</f>
        <v>71200</v>
      </c>
      <c r="G61" s="91"/>
      <c r="H61" s="380">
        <f>'Water Tm_Log'!H70</f>
        <v>16</v>
      </c>
      <c r="I61" s="380">
        <f>'Water Tm_Log'!V70</f>
        <v>1</v>
      </c>
      <c r="J61" s="380">
        <f t="shared" si="2"/>
        <v>144500</v>
      </c>
      <c r="K61" s="142">
        <f t="shared" si="1"/>
        <v>136000</v>
      </c>
      <c r="L61" s="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6"/>
      <c r="AC61" s="196"/>
    </row>
    <row r="62" spans="1:29">
      <c r="A62" s="6"/>
      <c r="B62" s="66">
        <v>43959</v>
      </c>
      <c r="C62" s="141">
        <f>'Water Tm_Log'!B71</f>
        <v>7</v>
      </c>
      <c r="D62" s="141">
        <f>'Water Tm_Log'!Q71</f>
        <v>0</v>
      </c>
      <c r="E62" s="141">
        <f>'Water Tm_Log'!F71</f>
        <v>54100</v>
      </c>
      <c r="F62" s="141">
        <f>'Water Tm_Log'!G71</f>
        <v>101800</v>
      </c>
      <c r="G62" s="91"/>
      <c r="H62" s="142">
        <f>'Water Tm_Log'!H71</f>
        <v>5</v>
      </c>
      <c r="I62" s="142">
        <f>'Water Tm_Log'!V71</f>
        <v>0</v>
      </c>
      <c r="J62" s="142">
        <f t="shared" si="2"/>
        <v>42500</v>
      </c>
      <c r="K62" s="142">
        <f t="shared" si="1"/>
        <v>42500</v>
      </c>
      <c r="L62" s="6"/>
      <c r="M62" s="196"/>
      <c r="N62" s="196"/>
      <c r="O62" s="196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6"/>
      <c r="AC62" s="196"/>
    </row>
    <row r="63" spans="1:29">
      <c r="A63" s="6"/>
      <c r="B63" s="65">
        <v>43958</v>
      </c>
      <c r="C63" s="375">
        <f>'Water Tm_Log'!B72</f>
        <v>7</v>
      </c>
      <c r="D63" s="375">
        <f>'Water Tm_Log'!Q72</f>
        <v>0</v>
      </c>
      <c r="E63" s="375">
        <f>'Water Tm_Log'!F72</f>
        <v>54100</v>
      </c>
      <c r="F63" s="375">
        <f>'Water Tm_Log'!G72</f>
        <v>89000</v>
      </c>
      <c r="G63" s="91"/>
      <c r="H63" s="380">
        <f>'Water Tm_Log'!H72</f>
        <v>11</v>
      </c>
      <c r="I63" s="380">
        <f>'Water Tm_Log'!V72</f>
        <v>0</v>
      </c>
      <c r="J63" s="380">
        <f t="shared" si="2"/>
        <v>93500</v>
      </c>
      <c r="K63" s="142">
        <f t="shared" si="1"/>
        <v>93500</v>
      </c>
      <c r="L63" s="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</row>
    <row r="64" spans="1:29">
      <c r="A64" s="6"/>
      <c r="B64" s="66">
        <v>43957</v>
      </c>
      <c r="C64" s="141">
        <f>'Water Tm_Log'!B73</f>
        <v>7</v>
      </c>
      <c r="D64" s="141">
        <f>'Water Tm_Log'!Q73</f>
        <v>1</v>
      </c>
      <c r="E64" s="141">
        <f>'Water Tm_Log'!F73</f>
        <v>54300</v>
      </c>
      <c r="F64" s="141">
        <f>'Water Tm_Log'!G73</f>
        <v>62400</v>
      </c>
      <c r="G64" s="91"/>
      <c r="H64" s="142">
        <f>'Water Tm_Log'!H73</f>
        <v>10</v>
      </c>
      <c r="I64" s="142">
        <f>'Water Tm_Log'!V73</f>
        <v>1</v>
      </c>
      <c r="J64" s="142">
        <f t="shared" si="2"/>
        <v>93500</v>
      </c>
      <c r="K64" s="142">
        <f t="shared" si="1"/>
        <v>85000</v>
      </c>
      <c r="L64" s="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  <c r="AA64" s="196"/>
      <c r="AB64" s="196"/>
      <c r="AC64" s="196"/>
    </row>
    <row r="65" spans="1:29">
      <c r="A65" s="6"/>
      <c r="B65" s="65">
        <v>43956</v>
      </c>
      <c r="C65" s="375">
        <f>'Water Tm_Log'!B74</f>
        <v>10</v>
      </c>
      <c r="D65" s="375">
        <f>'Water Tm_Log'!Q74</f>
        <v>0</v>
      </c>
      <c r="E65" s="375">
        <f>'Water Tm_Log'!F74</f>
        <v>79600</v>
      </c>
      <c r="F65" s="375">
        <f>'Water Tm_Log'!G74</f>
        <v>74100</v>
      </c>
      <c r="G65" s="91"/>
      <c r="H65" s="380">
        <f>'Water Tm_Log'!H74</f>
        <v>11</v>
      </c>
      <c r="I65" s="380">
        <f>'Water Tm_Log'!V74</f>
        <v>0</v>
      </c>
      <c r="J65" s="380">
        <f t="shared" si="2"/>
        <v>93500</v>
      </c>
      <c r="K65" s="142">
        <f t="shared" si="1"/>
        <v>93500</v>
      </c>
      <c r="L65" s="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  <c r="AA65" s="196"/>
      <c r="AB65" s="196"/>
      <c r="AC65" s="196"/>
    </row>
    <row r="66" spans="1:29">
      <c r="A66" s="6"/>
      <c r="B66" s="66">
        <v>43955</v>
      </c>
      <c r="C66" s="141">
        <f>'Water Tm_Log'!B75</f>
        <v>7</v>
      </c>
      <c r="D66" s="141">
        <f>'Water Tm_Log'!Q75</f>
        <v>1</v>
      </c>
      <c r="E66" s="141">
        <f>'Water Tm_Log'!F75</f>
        <v>52600</v>
      </c>
      <c r="F66" s="141">
        <f>'Water Tm_Log'!G75</f>
        <v>92600</v>
      </c>
      <c r="G66" s="91"/>
      <c r="H66" s="142">
        <f>'Water Tm_Log'!H75</f>
        <v>10</v>
      </c>
      <c r="I66" s="142">
        <f>'Water Tm_Log'!V75</f>
        <v>1</v>
      </c>
      <c r="J66" s="142">
        <f t="shared" si="2"/>
        <v>93500</v>
      </c>
      <c r="K66" s="142">
        <f t="shared" si="1"/>
        <v>85000</v>
      </c>
      <c r="L66" s="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</row>
    <row r="67" spans="1:29">
      <c r="A67" s="6"/>
      <c r="B67" s="65">
        <v>43954</v>
      </c>
      <c r="C67" s="375">
        <f>'Water Tm_Log'!B76</f>
        <v>7</v>
      </c>
      <c r="D67" s="375">
        <f>'Water Tm_Log'!Q76</f>
        <v>0</v>
      </c>
      <c r="E67" s="375">
        <f>'Water Tm_Log'!F76</f>
        <v>43300</v>
      </c>
      <c r="F67" s="375">
        <f>'Water Tm_Log'!G76</f>
        <v>82700</v>
      </c>
      <c r="G67" s="91"/>
      <c r="H67" s="380">
        <f>'Water Tm_Log'!H76</f>
        <v>11</v>
      </c>
      <c r="I67" s="380">
        <f>'Water Tm_Log'!V76</f>
        <v>0</v>
      </c>
      <c r="J67" s="380">
        <f t="shared" si="2"/>
        <v>93500</v>
      </c>
      <c r="K67" s="142">
        <f t="shared" si="1"/>
        <v>93500</v>
      </c>
      <c r="L67" s="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</row>
    <row r="68" spans="1:29">
      <c r="A68" s="6"/>
      <c r="B68" s="66">
        <v>43953</v>
      </c>
      <c r="C68" s="141">
        <f>'Water Tm_Log'!B77</f>
        <v>7</v>
      </c>
      <c r="D68" s="141">
        <f>'Water Tm_Log'!Q77</f>
        <v>1</v>
      </c>
      <c r="E68" s="141">
        <f>'Water Tm_Log'!F77</f>
        <v>49800</v>
      </c>
      <c r="F68" s="141">
        <f>'Water Tm_Log'!G77</f>
        <v>61000</v>
      </c>
      <c r="G68" s="91"/>
      <c r="H68" s="142">
        <f>'Water Tm_Log'!H77</f>
        <v>8</v>
      </c>
      <c r="I68" s="142">
        <f>'Water Tm_Log'!V77</f>
        <v>1</v>
      </c>
      <c r="J68" s="142">
        <f t="shared" si="2"/>
        <v>76500</v>
      </c>
      <c r="K68" s="142">
        <f t="shared" si="1"/>
        <v>68000</v>
      </c>
      <c r="L68" s="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</row>
    <row r="69" spans="1:29">
      <c r="A69" s="6"/>
      <c r="B69" s="65">
        <v>43952</v>
      </c>
      <c r="C69" s="375">
        <f>'Water Tm_Log'!B78</f>
        <v>7</v>
      </c>
      <c r="D69" s="375">
        <f>'Water Tm_Log'!Q78</f>
        <v>0</v>
      </c>
      <c r="E69" s="375">
        <f>'Water Tm_Log'!F78</f>
        <v>55100</v>
      </c>
      <c r="F69" s="375">
        <f>'Water Tm_Log'!G78</f>
        <v>70400</v>
      </c>
      <c r="G69" s="91"/>
      <c r="H69" s="380">
        <f>'Water Tm_Log'!H78</f>
        <v>4</v>
      </c>
      <c r="I69" s="380">
        <f>'Water Tm_Log'!V78</f>
        <v>0</v>
      </c>
      <c r="J69" s="380">
        <f t="shared" si="2"/>
        <v>34000</v>
      </c>
      <c r="K69" s="142">
        <f t="shared" si="1"/>
        <v>34000</v>
      </c>
      <c r="L69" s="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</row>
    <row r="70" spans="1:29">
      <c r="A70" s="6"/>
      <c r="B70" s="66">
        <v>43951</v>
      </c>
      <c r="C70" s="141">
        <f>'Water Tm_Log'!B79</f>
        <v>8</v>
      </c>
      <c r="D70" s="141">
        <f>'Water Tm_Log'!Q79</f>
        <v>1</v>
      </c>
      <c r="E70" s="141">
        <f>'Water Tm_Log'!F79</f>
        <v>61900</v>
      </c>
      <c r="F70" s="141">
        <f>'Water Tm_Log'!G79</f>
        <v>86200</v>
      </c>
      <c r="G70" s="91"/>
      <c r="H70" s="142">
        <f>'Water Tm_Log'!H79</f>
        <v>10</v>
      </c>
      <c r="I70" s="142">
        <f>'Water Tm_Log'!V79</f>
        <v>0</v>
      </c>
      <c r="J70" s="142">
        <f t="shared" si="2"/>
        <v>85000</v>
      </c>
      <c r="K70" s="142">
        <f t="shared" si="1"/>
        <v>85000</v>
      </c>
      <c r="L70" s="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</row>
    <row r="71" spans="1:29">
      <c r="A71" s="6"/>
      <c r="B71" s="65">
        <v>43950</v>
      </c>
      <c r="C71" s="375">
        <f>'Water Tm_Log'!B80</f>
        <v>7</v>
      </c>
      <c r="D71" s="375">
        <f>'Water Tm_Log'!Q80</f>
        <v>0</v>
      </c>
      <c r="E71" s="375">
        <f>'Water Tm_Log'!F80</f>
        <v>56500</v>
      </c>
      <c r="F71" s="375">
        <f>'Water Tm_Log'!G80</f>
        <v>82100</v>
      </c>
      <c r="G71" s="91"/>
      <c r="H71" s="380">
        <f>'Water Tm_Log'!H80</f>
        <v>10</v>
      </c>
      <c r="I71" s="380">
        <f>'Water Tm_Log'!V80</f>
        <v>1</v>
      </c>
      <c r="J71" s="380">
        <f t="shared" ref="J71:J98" si="3">(H71+I71)*8500</f>
        <v>93500</v>
      </c>
      <c r="K71" s="142">
        <f t="shared" ref="K71:K97" si="4">H71*8500</f>
        <v>85000</v>
      </c>
      <c r="L71" s="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</row>
    <row r="72" spans="1:29">
      <c r="A72" s="6"/>
      <c r="B72" s="66">
        <v>43949</v>
      </c>
      <c r="C72" s="141">
        <f>'Water Tm_Log'!B81</f>
        <v>7</v>
      </c>
      <c r="D72" s="141">
        <f>'Water Tm_Log'!Q81</f>
        <v>1</v>
      </c>
      <c r="E72" s="141">
        <f>'Water Tm_Log'!F81</f>
        <v>50900</v>
      </c>
      <c r="F72" s="141">
        <f>'Water Tm_Log'!G81</f>
        <v>60700</v>
      </c>
      <c r="G72" s="91"/>
      <c r="H72" s="142">
        <f>'Water Tm_Log'!H81</f>
        <v>10</v>
      </c>
      <c r="I72" s="142">
        <f>'Water Tm_Log'!V81</f>
        <v>0</v>
      </c>
      <c r="J72" s="142">
        <f t="shared" si="3"/>
        <v>85000</v>
      </c>
      <c r="K72" s="142">
        <f t="shared" si="4"/>
        <v>85000</v>
      </c>
      <c r="L72" s="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</row>
    <row r="73" spans="1:29">
      <c r="A73" s="6"/>
      <c r="B73" s="65">
        <v>43948</v>
      </c>
      <c r="C73" s="375">
        <f>'Water Tm_Log'!B82</f>
        <v>8</v>
      </c>
      <c r="D73" s="375">
        <f>'Water Tm_Log'!Q82</f>
        <v>0</v>
      </c>
      <c r="E73" s="375">
        <f>'Water Tm_Log'!F82</f>
        <v>64000</v>
      </c>
      <c r="F73" s="375">
        <f>'Water Tm_Log'!G82</f>
        <v>78800</v>
      </c>
      <c r="G73" s="91"/>
      <c r="H73" s="380">
        <f>'Water Tm_Log'!H82</f>
        <v>10</v>
      </c>
      <c r="I73" s="380">
        <f>'Water Tm_Log'!V82</f>
        <v>1</v>
      </c>
      <c r="J73" s="380">
        <f t="shared" si="3"/>
        <v>93500</v>
      </c>
      <c r="K73" s="142">
        <f t="shared" si="4"/>
        <v>85000</v>
      </c>
      <c r="L73" s="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6"/>
      <c r="AA73" s="196"/>
      <c r="AB73" s="196"/>
      <c r="AC73" s="196"/>
    </row>
    <row r="74" spans="1:29">
      <c r="A74" s="6"/>
      <c r="B74" s="66">
        <v>43947</v>
      </c>
      <c r="C74" s="141">
        <f>'Water Tm_Log'!B83</f>
        <v>7</v>
      </c>
      <c r="D74" s="141">
        <f>'Water Tm_Log'!Q83</f>
        <v>1</v>
      </c>
      <c r="E74" s="141">
        <f>'Water Tm_Log'!F83</f>
        <v>56000</v>
      </c>
      <c r="F74" s="141">
        <f>'Water Tm_Log'!G83</f>
        <v>89200</v>
      </c>
      <c r="G74" s="91"/>
      <c r="H74" s="142">
        <f>'Water Tm_Log'!H83</f>
        <v>10</v>
      </c>
      <c r="I74" s="142">
        <f>'Water Tm_Log'!V83</f>
        <v>0</v>
      </c>
      <c r="J74" s="142">
        <f t="shared" si="3"/>
        <v>85000</v>
      </c>
      <c r="K74" s="142">
        <f t="shared" si="4"/>
        <v>85000</v>
      </c>
      <c r="L74" s="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6"/>
    </row>
    <row r="75" spans="1:29">
      <c r="A75" s="6"/>
      <c r="B75" s="65">
        <v>43946</v>
      </c>
      <c r="C75" s="375">
        <f>'Water Tm_Log'!B84</f>
        <v>8</v>
      </c>
      <c r="D75" s="375">
        <f>'Water Tm_Log'!Q84</f>
        <v>0</v>
      </c>
      <c r="E75" s="375">
        <f>'Water Tm_Log'!F84</f>
        <v>63500</v>
      </c>
      <c r="F75" s="375">
        <f>'Water Tm_Log'!G84</f>
        <v>89200</v>
      </c>
      <c r="G75" s="91"/>
      <c r="H75" s="380">
        <f>'Water Tm_Log'!H84</f>
        <v>7</v>
      </c>
      <c r="I75" s="380">
        <f>'Water Tm_Log'!V84</f>
        <v>1</v>
      </c>
      <c r="J75" s="380">
        <f t="shared" si="3"/>
        <v>68000</v>
      </c>
      <c r="K75" s="142">
        <f t="shared" si="4"/>
        <v>59500</v>
      </c>
      <c r="L75" s="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  <c r="AA75" s="196"/>
      <c r="AB75" s="196"/>
      <c r="AC75" s="196"/>
    </row>
    <row r="76" spans="1:29">
      <c r="A76" s="6"/>
      <c r="B76" s="66">
        <v>43945</v>
      </c>
      <c r="C76" s="141">
        <f>'Water Tm_Log'!B85</f>
        <v>9</v>
      </c>
      <c r="D76" s="141">
        <f>'Water Tm_Log'!Q85</f>
        <v>1</v>
      </c>
      <c r="E76" s="141">
        <f>'Water Tm_Log'!F85</f>
        <v>66500</v>
      </c>
      <c r="F76" s="141">
        <f>'Water Tm_Log'!G85</f>
        <v>74500</v>
      </c>
      <c r="G76" s="91"/>
      <c r="H76" s="142">
        <f>'Water Tm_Log'!H85</f>
        <v>6</v>
      </c>
      <c r="I76" s="142">
        <f>'Water Tm_Log'!V85</f>
        <v>0</v>
      </c>
      <c r="J76" s="142">
        <f t="shared" si="3"/>
        <v>51000</v>
      </c>
      <c r="K76" s="142">
        <f t="shared" si="4"/>
        <v>51000</v>
      </c>
      <c r="L76" s="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6"/>
      <c r="AA76" s="196"/>
      <c r="AB76" s="196"/>
      <c r="AC76" s="196"/>
    </row>
    <row r="77" spans="1:29">
      <c r="A77" s="6"/>
      <c r="B77" s="65">
        <v>43944</v>
      </c>
      <c r="C77" s="375">
        <f>'Water Tm_Log'!B86</f>
        <v>6</v>
      </c>
      <c r="D77" s="375">
        <f>'Water Tm_Log'!Q86</f>
        <v>0</v>
      </c>
      <c r="E77" s="375">
        <f>'Water Tm_Log'!F86</f>
        <v>48900</v>
      </c>
      <c r="F77" s="375">
        <f>'Water Tm_Log'!G86</f>
        <v>69200</v>
      </c>
      <c r="G77" s="91"/>
      <c r="H77" s="380">
        <f>'Water Tm_Log'!H86</f>
        <v>12</v>
      </c>
      <c r="I77" s="380">
        <f>'Water Tm_Log'!V86</f>
        <v>1</v>
      </c>
      <c r="J77" s="380">
        <f t="shared" si="3"/>
        <v>110500</v>
      </c>
      <c r="K77" s="142">
        <f t="shared" si="4"/>
        <v>102000</v>
      </c>
      <c r="L77" s="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6"/>
      <c r="AA77" s="196"/>
      <c r="AB77" s="196"/>
      <c r="AC77" s="196"/>
    </row>
    <row r="78" spans="1:29">
      <c r="A78" s="6"/>
      <c r="B78" s="66">
        <v>43943</v>
      </c>
      <c r="C78" s="141">
        <f>'Water Tm_Log'!B87</f>
        <v>7</v>
      </c>
      <c r="D78" s="141">
        <f>'Water Tm_Log'!Q87</f>
        <v>1</v>
      </c>
      <c r="E78" s="141">
        <f>'Water Tm_Log'!F87</f>
        <v>48000</v>
      </c>
      <c r="F78" s="141">
        <f>'Water Tm_Log'!G87</f>
        <v>70400</v>
      </c>
      <c r="G78" s="91"/>
      <c r="H78" s="142">
        <f>'Water Tm_Log'!H87</f>
        <v>11</v>
      </c>
      <c r="I78" s="142">
        <f>'Water Tm_Log'!V87</f>
        <v>1</v>
      </c>
      <c r="J78" s="142">
        <f t="shared" si="3"/>
        <v>102000</v>
      </c>
      <c r="K78" s="142">
        <f t="shared" si="4"/>
        <v>93500</v>
      </c>
      <c r="L78" s="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6"/>
      <c r="AA78" s="196"/>
      <c r="AB78" s="196"/>
      <c r="AC78" s="196"/>
    </row>
    <row r="79" spans="1:29">
      <c r="A79" s="6"/>
      <c r="B79" s="65">
        <v>43942</v>
      </c>
      <c r="C79" s="375">
        <f>'Water Tm_Log'!B88</f>
        <v>8</v>
      </c>
      <c r="D79" s="375">
        <f>'Water Tm_Log'!Q88</f>
        <v>0</v>
      </c>
      <c r="E79" s="375">
        <f>'Water Tm_Log'!F88</f>
        <v>62400</v>
      </c>
      <c r="F79" s="375">
        <f>'Water Tm_Log'!G88</f>
        <v>71000</v>
      </c>
      <c r="G79" s="91"/>
      <c r="H79" s="380">
        <f>'Water Tm_Log'!H88</f>
        <v>13</v>
      </c>
      <c r="I79" s="380">
        <f>'Water Tm_Log'!V88</f>
        <v>1</v>
      </c>
      <c r="J79" s="380">
        <f t="shared" si="3"/>
        <v>119000</v>
      </c>
      <c r="K79" s="142">
        <f t="shared" si="4"/>
        <v>110500</v>
      </c>
      <c r="L79" s="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6"/>
      <c r="AA79" s="196"/>
      <c r="AB79" s="196"/>
      <c r="AC79" s="196"/>
    </row>
    <row r="80" spans="1:29">
      <c r="A80" s="6"/>
      <c r="B80" s="66">
        <v>43941</v>
      </c>
      <c r="C80" s="141">
        <f>'Water Tm_Log'!B89</f>
        <v>5</v>
      </c>
      <c r="D80" s="141">
        <f>'Water Tm_Log'!Q89</f>
        <v>1</v>
      </c>
      <c r="E80" s="141">
        <f>'Water Tm_Log'!F89</f>
        <v>38800</v>
      </c>
      <c r="F80" s="141">
        <f>'Water Tm_Log'!G89</f>
        <v>59500</v>
      </c>
      <c r="G80" s="91"/>
      <c r="H80" s="142">
        <f>'Water Tm_Log'!H89</f>
        <v>14</v>
      </c>
      <c r="I80" s="142">
        <f>'Water Tm_Log'!V89</f>
        <v>1</v>
      </c>
      <c r="J80" s="142">
        <f t="shared" si="3"/>
        <v>127500</v>
      </c>
      <c r="K80" s="142">
        <f t="shared" si="4"/>
        <v>119000</v>
      </c>
      <c r="L80" s="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6"/>
      <c r="AA80" s="196"/>
      <c r="AB80" s="196"/>
      <c r="AC80" s="196"/>
    </row>
    <row r="81" spans="1:29">
      <c r="A81" s="6"/>
      <c r="B81" s="65">
        <v>43940</v>
      </c>
      <c r="C81" s="375">
        <f>'Water Tm_Log'!B90</f>
        <v>7</v>
      </c>
      <c r="D81" s="375">
        <f>'Water Tm_Log'!Q90</f>
        <v>0</v>
      </c>
      <c r="E81" s="375">
        <f>'Water Tm_Log'!F90</f>
        <v>56900</v>
      </c>
      <c r="F81" s="375">
        <f>'Water Tm_Log'!G90</f>
        <v>65500</v>
      </c>
      <c r="G81" s="91"/>
      <c r="H81" s="380">
        <f>'Water Tm_Log'!H90</f>
        <v>13</v>
      </c>
      <c r="I81" s="380">
        <f>'Water Tm_Log'!V90</f>
        <v>0</v>
      </c>
      <c r="J81" s="380">
        <f t="shared" si="3"/>
        <v>110500</v>
      </c>
      <c r="K81" s="142">
        <f t="shared" si="4"/>
        <v>110500</v>
      </c>
      <c r="L81" s="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6"/>
      <c r="AA81" s="196"/>
      <c r="AB81" s="196"/>
      <c r="AC81" s="196"/>
    </row>
    <row r="82" spans="1:29">
      <c r="A82" s="6"/>
      <c r="B82" s="66">
        <v>43939</v>
      </c>
      <c r="C82" s="141">
        <f>'Water Tm_Log'!B91</f>
        <v>8</v>
      </c>
      <c r="D82" s="141">
        <f>'Water Tm_Log'!Q91</f>
        <v>1</v>
      </c>
      <c r="E82" s="141">
        <f>'Water Tm_Log'!F91</f>
        <v>55600</v>
      </c>
      <c r="F82" s="141">
        <f>'Water Tm_Log'!G91</f>
        <v>79500</v>
      </c>
      <c r="G82" s="91"/>
      <c r="H82" s="142">
        <f>'Water Tm_Log'!H91</f>
        <v>12</v>
      </c>
      <c r="I82" s="142">
        <f>'Water Tm_Log'!V91</f>
        <v>1</v>
      </c>
      <c r="J82" s="142">
        <f t="shared" si="3"/>
        <v>110500</v>
      </c>
      <c r="K82" s="142">
        <f t="shared" si="4"/>
        <v>102000</v>
      </c>
      <c r="L82" s="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6"/>
      <c r="AA82" s="196"/>
      <c r="AB82" s="196"/>
      <c r="AC82" s="196"/>
    </row>
    <row r="83" spans="1:29">
      <c r="A83" s="6"/>
      <c r="B83" s="65">
        <v>43938</v>
      </c>
      <c r="C83" s="375">
        <f>'Water Tm_Log'!B92</f>
        <v>8</v>
      </c>
      <c r="D83" s="375">
        <f>'Water Tm_Log'!Q92</f>
        <v>0</v>
      </c>
      <c r="E83" s="375">
        <f>'Water Tm_Log'!F92</f>
        <v>62200</v>
      </c>
      <c r="F83" s="375">
        <f>'Water Tm_Log'!G92</f>
        <v>74700</v>
      </c>
      <c r="G83" s="91"/>
      <c r="H83" s="380">
        <f>'Water Tm_Log'!H92</f>
        <v>9</v>
      </c>
      <c r="I83" s="380">
        <f>'Water Tm_Log'!V92</f>
        <v>1</v>
      </c>
      <c r="J83" s="380">
        <f t="shared" si="3"/>
        <v>85000</v>
      </c>
      <c r="K83" s="142">
        <f t="shared" si="4"/>
        <v>76500</v>
      </c>
      <c r="L83" s="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6"/>
      <c r="AA83" s="196"/>
      <c r="AB83" s="196"/>
      <c r="AC83" s="196"/>
    </row>
    <row r="84" spans="1:29">
      <c r="A84" s="6"/>
      <c r="B84" s="66">
        <v>43937</v>
      </c>
      <c r="C84" s="141">
        <f>'Water Tm_Log'!B93</f>
        <v>8</v>
      </c>
      <c r="D84" s="141">
        <f>'Water Tm_Log'!Q93</f>
        <v>1</v>
      </c>
      <c r="E84" s="141">
        <f>'Water Tm_Log'!F93</f>
        <v>62200</v>
      </c>
      <c r="F84" s="141">
        <f>'Water Tm_Log'!G93</f>
        <v>82800</v>
      </c>
      <c r="G84" s="91"/>
      <c r="H84" s="142">
        <f>'Water Tm_Log'!H93</f>
        <v>8</v>
      </c>
      <c r="I84" s="142">
        <f>'Water Tm_Log'!V93</f>
        <v>1</v>
      </c>
      <c r="J84" s="142">
        <f t="shared" si="3"/>
        <v>76500</v>
      </c>
      <c r="K84" s="142">
        <f t="shared" si="4"/>
        <v>68000</v>
      </c>
      <c r="L84" s="6"/>
      <c r="M84" s="196"/>
      <c r="N84" s="196"/>
      <c r="O84" s="196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6"/>
      <c r="AA84" s="196"/>
      <c r="AB84" s="196"/>
      <c r="AC84" s="196"/>
    </row>
    <row r="85" spans="1:29">
      <c r="A85" s="6"/>
      <c r="B85" s="65">
        <v>43936</v>
      </c>
      <c r="C85" s="375">
        <f>'Water Tm_Log'!B94</f>
        <v>8</v>
      </c>
      <c r="D85" s="375">
        <f>'Water Tm_Log'!Q94</f>
        <v>0</v>
      </c>
      <c r="E85" s="375">
        <f>'Water Tm_Log'!F94</f>
        <v>62800</v>
      </c>
      <c r="F85" s="375">
        <f>'Water Tm_Log'!G94</f>
        <v>85900</v>
      </c>
      <c r="G85" s="91"/>
      <c r="H85" s="380">
        <f>'Water Tm_Log'!H94</f>
        <v>9</v>
      </c>
      <c r="I85" s="380">
        <f>'Water Tm_Log'!V94</f>
        <v>1</v>
      </c>
      <c r="J85" s="380">
        <f t="shared" si="3"/>
        <v>85000</v>
      </c>
      <c r="K85" s="142">
        <f t="shared" si="4"/>
        <v>76500</v>
      </c>
      <c r="L85" s="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6"/>
      <c r="AA85" s="196"/>
      <c r="AB85" s="196"/>
      <c r="AC85" s="196"/>
    </row>
    <row r="86" spans="1:29">
      <c r="A86" s="6"/>
      <c r="B86" s="66">
        <v>43935</v>
      </c>
      <c r="C86" s="141">
        <f>'Water Tm_Log'!B95</f>
        <v>8</v>
      </c>
      <c r="D86" s="141">
        <f>'Water Tm_Log'!Q95</f>
        <v>1</v>
      </c>
      <c r="E86" s="141">
        <f>'Water Tm_Log'!F95</f>
        <v>58400</v>
      </c>
      <c r="F86" s="141">
        <f>'Water Tm_Log'!G95</f>
        <v>74400</v>
      </c>
      <c r="G86" s="91"/>
      <c r="H86" s="142">
        <f>'Water Tm_Log'!H95</f>
        <v>11</v>
      </c>
      <c r="I86" s="142">
        <f>'Water Tm_Log'!V95</f>
        <v>1</v>
      </c>
      <c r="J86" s="142">
        <f t="shared" si="3"/>
        <v>102000</v>
      </c>
      <c r="K86" s="142">
        <f t="shared" si="4"/>
        <v>93500</v>
      </c>
      <c r="L86" s="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6"/>
      <c r="AA86" s="196"/>
      <c r="AB86" s="196"/>
      <c r="AC86" s="196"/>
    </row>
    <row r="87" spans="1:29">
      <c r="A87" s="6"/>
      <c r="B87" s="65">
        <v>43934</v>
      </c>
      <c r="C87" s="375">
        <f>'Water Tm_Log'!B96</f>
        <v>7</v>
      </c>
      <c r="D87" s="375">
        <f>'Water Tm_Log'!Q96</f>
        <v>1</v>
      </c>
      <c r="E87" s="375">
        <f>'Water Tm_Log'!F96</f>
        <v>56000</v>
      </c>
      <c r="F87" s="375">
        <f>'Water Tm_Log'!G96</f>
        <v>79900</v>
      </c>
      <c r="G87" s="91"/>
      <c r="H87" s="380">
        <f>'Water Tm_Log'!H96</f>
        <v>13</v>
      </c>
      <c r="I87" s="380">
        <f>'Water Tm_Log'!V96</f>
        <v>1</v>
      </c>
      <c r="J87" s="380">
        <f t="shared" si="3"/>
        <v>119000</v>
      </c>
      <c r="K87" s="142">
        <f t="shared" si="4"/>
        <v>110500</v>
      </c>
      <c r="L87" s="6"/>
      <c r="M87" s="196"/>
      <c r="N87" s="196"/>
      <c r="O87" s="196"/>
      <c r="P87" s="196"/>
      <c r="Q87" s="196"/>
      <c r="R87" s="196"/>
      <c r="S87" s="196"/>
      <c r="T87" s="196"/>
      <c r="U87" s="196"/>
      <c r="V87" s="196"/>
      <c r="W87" s="196"/>
      <c r="X87" s="196"/>
      <c r="Y87" s="196"/>
      <c r="Z87" s="196"/>
      <c r="AA87" s="196"/>
      <c r="AB87" s="196"/>
      <c r="AC87" s="196"/>
    </row>
    <row r="88" spans="1:29">
      <c r="A88" s="6"/>
      <c r="B88" s="66">
        <v>43933</v>
      </c>
      <c r="C88" s="141">
        <f>'Water Tm_Log'!B97</f>
        <v>8</v>
      </c>
      <c r="D88" s="141">
        <f>'Water Tm_Log'!Q97</f>
        <v>0</v>
      </c>
      <c r="E88" s="141">
        <f>'Water Tm_Log'!F97</f>
        <v>56100</v>
      </c>
      <c r="F88" s="141">
        <f>'Water Tm_Log'!G97</f>
        <v>86400</v>
      </c>
      <c r="G88" s="91"/>
      <c r="H88" s="142">
        <f>'Water Tm_Log'!H97</f>
        <v>13</v>
      </c>
      <c r="I88" s="142">
        <f>'Water Tm_Log'!V97</f>
        <v>1</v>
      </c>
      <c r="J88" s="142">
        <f t="shared" si="3"/>
        <v>119000</v>
      </c>
      <c r="K88" s="142">
        <f t="shared" si="4"/>
        <v>110500</v>
      </c>
      <c r="L88" s="6"/>
      <c r="M88" s="196"/>
      <c r="N88" s="196"/>
      <c r="O88" s="196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  <c r="AA88" s="196"/>
      <c r="AB88" s="196"/>
      <c r="AC88" s="196"/>
    </row>
    <row r="89" spans="1:29">
      <c r="A89" s="6"/>
      <c r="B89" s="65">
        <v>43932</v>
      </c>
      <c r="C89" s="375">
        <f>'Water Tm_Log'!B98</f>
        <v>8</v>
      </c>
      <c r="D89" s="375">
        <f>'Water Tm_Log'!Q98</f>
        <v>0</v>
      </c>
      <c r="E89" s="375">
        <f>'Water Tm_Log'!F98</f>
        <v>61600</v>
      </c>
      <c r="F89" s="375">
        <f>'Water Tm_Log'!G98</f>
        <v>55000</v>
      </c>
      <c r="G89" s="91"/>
      <c r="H89" s="380">
        <f>'Water Tm_Log'!H98</f>
        <v>12</v>
      </c>
      <c r="I89" s="380">
        <f>'Water Tm_Log'!V98</f>
        <v>1</v>
      </c>
      <c r="J89" s="380">
        <f t="shared" si="3"/>
        <v>110500</v>
      </c>
      <c r="K89" s="142">
        <f t="shared" si="4"/>
        <v>102000</v>
      </c>
      <c r="L89" s="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  <c r="AA89" s="196"/>
      <c r="AB89" s="196"/>
      <c r="AC89" s="196"/>
    </row>
    <row r="90" spans="1:29">
      <c r="A90" s="6"/>
      <c r="B90" s="66">
        <v>43931</v>
      </c>
      <c r="C90" s="141">
        <f>'Water Tm_Log'!B99</f>
        <v>12</v>
      </c>
      <c r="D90" s="141">
        <f>'Water Tm_Log'!Q99</f>
        <v>1</v>
      </c>
      <c r="E90" s="141">
        <f>'Water Tm_Log'!F99</f>
        <v>82100</v>
      </c>
      <c r="F90" s="141">
        <f>'Water Tm_Log'!G99</f>
        <v>74000</v>
      </c>
      <c r="G90" s="91"/>
      <c r="H90" s="142">
        <f>'Water Tm_Log'!H99</f>
        <v>3</v>
      </c>
      <c r="I90" s="142">
        <f>'Water Tm_Log'!V99</f>
        <v>0</v>
      </c>
      <c r="J90" s="142">
        <f t="shared" si="3"/>
        <v>25500</v>
      </c>
      <c r="K90" s="142">
        <f t="shared" si="4"/>
        <v>25500</v>
      </c>
      <c r="L90" s="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6"/>
      <c r="AA90" s="196"/>
      <c r="AB90" s="196"/>
      <c r="AC90" s="196"/>
    </row>
    <row r="91" spans="1:29">
      <c r="A91" s="6"/>
      <c r="B91" s="65">
        <v>43930</v>
      </c>
      <c r="C91" s="375">
        <f>'Water Tm_Log'!B100</f>
        <v>10</v>
      </c>
      <c r="D91" s="375">
        <f>'Water Tm_Log'!Q100</f>
        <v>0</v>
      </c>
      <c r="E91" s="375">
        <f>'Water Tm_Log'!F100</f>
        <v>79800</v>
      </c>
      <c r="F91" s="375">
        <f>'Water Tm_Log'!G100</f>
        <v>81700</v>
      </c>
      <c r="G91" s="91"/>
      <c r="H91" s="380">
        <f>'Water Tm_Log'!H100</f>
        <v>9</v>
      </c>
      <c r="I91" s="380">
        <f>'Water Tm_Log'!V100</f>
        <v>1</v>
      </c>
      <c r="J91" s="380">
        <f t="shared" si="3"/>
        <v>85000</v>
      </c>
      <c r="K91" s="142">
        <f t="shared" si="4"/>
        <v>76500</v>
      </c>
      <c r="L91" s="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6"/>
      <c r="AA91" s="196"/>
      <c r="AB91" s="196"/>
      <c r="AC91" s="196"/>
    </row>
    <row r="92" spans="1:29">
      <c r="A92" s="6"/>
      <c r="B92" s="66">
        <v>43929</v>
      </c>
      <c r="C92" s="141">
        <f>'Water Tm_Log'!B101</f>
        <v>9</v>
      </c>
      <c r="D92" s="141">
        <f>'Water Tm_Log'!Q101</f>
        <v>0</v>
      </c>
      <c r="E92" s="141">
        <f>'Water Tm_Log'!F101</f>
        <v>73500</v>
      </c>
      <c r="F92" s="141">
        <f>'Water Tm_Log'!G101</f>
        <v>65000</v>
      </c>
      <c r="G92" s="91"/>
      <c r="H92" s="142">
        <f>'Water Tm_Log'!H101</f>
        <v>10</v>
      </c>
      <c r="I92" s="142">
        <f>'Water Tm_Log'!V101</f>
        <v>1</v>
      </c>
      <c r="J92" s="142">
        <f t="shared" si="3"/>
        <v>93500</v>
      </c>
      <c r="K92" s="142">
        <f t="shared" si="4"/>
        <v>85000</v>
      </c>
      <c r="L92" s="6"/>
      <c r="M92" s="196"/>
      <c r="N92" s="196"/>
      <c r="O92" s="196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6"/>
      <c r="AA92" s="196"/>
      <c r="AB92" s="196"/>
      <c r="AC92" s="196"/>
    </row>
    <row r="93" spans="1:29">
      <c r="A93" s="6"/>
      <c r="B93" s="65">
        <v>43928</v>
      </c>
      <c r="C93" s="375">
        <f>'Water Tm_Log'!B102</f>
        <v>0</v>
      </c>
      <c r="D93" s="375">
        <f>'Water Tm_Log'!Q102</f>
        <v>0</v>
      </c>
      <c r="E93" s="375">
        <f>'Water Tm_Log'!$F$102</f>
        <v>0</v>
      </c>
      <c r="F93" s="375">
        <f>'Water Tm_Log'!$G$102</f>
        <v>60900</v>
      </c>
      <c r="G93" s="91"/>
      <c r="H93" s="380">
        <f>'Water Tm_Log'!H102</f>
        <v>12</v>
      </c>
      <c r="I93" s="380">
        <f>'Water Tm_Log'!V102</f>
        <v>1</v>
      </c>
      <c r="J93" s="380">
        <f t="shared" si="3"/>
        <v>110500</v>
      </c>
      <c r="K93" s="142">
        <f t="shared" si="4"/>
        <v>102000</v>
      </c>
      <c r="L93" s="6"/>
      <c r="M93" s="196"/>
      <c r="N93" s="196"/>
      <c r="O93" s="196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6"/>
      <c r="AA93" s="196"/>
      <c r="AB93" s="196"/>
      <c r="AC93" s="196"/>
    </row>
    <row r="94" spans="1:29">
      <c r="A94" s="6"/>
      <c r="B94" s="66">
        <v>43927</v>
      </c>
      <c r="C94" s="141">
        <f>'Water Tm_Log'!B103</f>
        <v>9</v>
      </c>
      <c r="D94" s="141">
        <f>'Water Tm_Log'!Q103</f>
        <v>0</v>
      </c>
      <c r="E94" s="141">
        <f>'Water Tm_Log'!$F$103</f>
        <v>76000</v>
      </c>
      <c r="F94" s="141">
        <f>'Water Tm_Log'!$G$103</f>
        <v>60000</v>
      </c>
      <c r="G94" s="91"/>
      <c r="H94" s="142">
        <f>'Water Tm_Log'!H103</f>
        <v>11</v>
      </c>
      <c r="I94" s="142">
        <f>'Water Tm_Log'!V103</f>
        <v>1</v>
      </c>
      <c r="J94" s="142">
        <f t="shared" si="3"/>
        <v>102000</v>
      </c>
      <c r="K94" s="142">
        <f t="shared" si="4"/>
        <v>93500</v>
      </c>
      <c r="L94" s="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</row>
    <row r="95" spans="1:29">
      <c r="A95" s="6"/>
      <c r="B95" s="65">
        <v>43926</v>
      </c>
      <c r="C95" s="375">
        <f>'Water Tm_Log'!B104</f>
        <v>9</v>
      </c>
      <c r="D95" s="375">
        <f>'Water Tm_Log'!Q104</f>
        <v>1</v>
      </c>
      <c r="E95" s="375">
        <f>'Water Tm_Log'!$F$104</f>
        <v>76500</v>
      </c>
      <c r="F95" s="375">
        <f>'Water Tm_Log'!$G$104</f>
        <v>71400</v>
      </c>
      <c r="G95" s="91"/>
      <c r="H95" s="380">
        <f>'Water Tm_Log'!H104</f>
        <v>14</v>
      </c>
      <c r="I95" s="380">
        <f>'Water Tm_Log'!V104</f>
        <v>0</v>
      </c>
      <c r="J95" s="380">
        <f t="shared" si="3"/>
        <v>119000</v>
      </c>
      <c r="K95" s="142">
        <f t="shared" si="4"/>
        <v>119000</v>
      </c>
      <c r="L95" s="6"/>
      <c r="M95" s="196"/>
      <c r="N95" s="196"/>
      <c r="O95" s="196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6"/>
      <c r="AA95" s="196"/>
      <c r="AB95" s="196"/>
      <c r="AC95" s="196"/>
    </row>
    <row r="96" spans="1:29">
      <c r="A96" s="6"/>
      <c r="B96" s="66">
        <v>43925</v>
      </c>
      <c r="C96" s="141">
        <f>'Water Tm_Log'!B105</f>
        <v>8</v>
      </c>
      <c r="D96" s="141">
        <f>'Water Tm_Log'!Q105</f>
        <v>0</v>
      </c>
      <c r="E96" s="141">
        <f>'Water Tm_Log'!$F$105</f>
        <v>67700</v>
      </c>
      <c r="F96" s="141">
        <f>'Water Tm_Log'!$G$105</f>
        <v>63100</v>
      </c>
      <c r="G96" s="91"/>
      <c r="H96" s="142">
        <f>'Water Tm_Log'!H105</f>
        <v>11</v>
      </c>
      <c r="I96" s="142">
        <f>'Water Tm_Log'!V105</f>
        <v>2</v>
      </c>
      <c r="J96" s="142">
        <f t="shared" si="3"/>
        <v>110500</v>
      </c>
      <c r="K96" s="142">
        <f t="shared" si="4"/>
        <v>93500</v>
      </c>
      <c r="L96" s="6"/>
      <c r="M96" s="196"/>
      <c r="N96" s="196"/>
      <c r="O96" s="196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6"/>
      <c r="AA96" s="196"/>
      <c r="AB96" s="196"/>
      <c r="AC96" s="196"/>
    </row>
    <row r="97" spans="1:29">
      <c r="A97" s="6"/>
      <c r="B97" s="65">
        <v>43924</v>
      </c>
      <c r="C97" s="375">
        <f>'Water Tm_Log'!B106</f>
        <v>6</v>
      </c>
      <c r="D97" s="375">
        <f>'Water Tm_Log'!Q106</f>
        <v>1</v>
      </c>
      <c r="E97" s="375">
        <f>'Water Tm_Log'!$F$106</f>
        <v>49600</v>
      </c>
      <c r="F97" s="375">
        <f>'Water Tm_Log'!$G$106</f>
        <v>65400</v>
      </c>
      <c r="G97" s="80"/>
      <c r="H97" s="380">
        <f>'Water Tm_Log'!H106</f>
        <v>9</v>
      </c>
      <c r="I97" s="380">
        <f>'Water Tm_Log'!V106</f>
        <v>0</v>
      </c>
      <c r="J97" s="380">
        <f t="shared" si="3"/>
        <v>76500</v>
      </c>
      <c r="K97" s="142">
        <f t="shared" si="4"/>
        <v>76500</v>
      </c>
      <c r="L97" s="6"/>
      <c r="M97" s="196"/>
      <c r="N97" s="196"/>
      <c r="O97" s="196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6"/>
      <c r="AA97" s="196"/>
      <c r="AB97" s="196"/>
      <c r="AC97" s="196"/>
    </row>
    <row r="98" spans="1:29">
      <c r="A98" s="6"/>
      <c r="B98" s="66">
        <v>43923</v>
      </c>
      <c r="C98" s="141">
        <f>'Water Tm_Log'!B107</f>
        <v>7</v>
      </c>
      <c r="D98" s="141">
        <f>'Water Tm_Log'!Q107</f>
        <v>0</v>
      </c>
      <c r="E98" s="141">
        <f>'Water Tm_Log'!$F$107</f>
        <v>59300</v>
      </c>
      <c r="F98" s="141">
        <f>'Water Tm_Log'!$G$107</f>
        <v>49600</v>
      </c>
      <c r="G98" s="80"/>
      <c r="H98" s="85">
        <f>'Water Tm_Log'!H107</f>
        <v>11</v>
      </c>
      <c r="I98" s="85">
        <f>'Water Tm_Log'!V107</f>
        <v>1</v>
      </c>
      <c r="J98" s="142">
        <f t="shared" si="3"/>
        <v>102000</v>
      </c>
      <c r="K98" s="142">
        <f>H98*8500</f>
        <v>93500</v>
      </c>
      <c r="L98" s="6"/>
      <c r="M98" s="196"/>
      <c r="N98" s="196"/>
      <c r="O98" s="196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6"/>
      <c r="AA98" s="196"/>
      <c r="AB98" s="196"/>
      <c r="AC98" s="196"/>
    </row>
    <row r="99" spans="1:29">
      <c r="A99" s="6"/>
      <c r="B99" s="65">
        <v>43922</v>
      </c>
      <c r="C99" s="375">
        <f>'Water Tm_Log'!B108</f>
        <v>7</v>
      </c>
      <c r="D99" s="375">
        <f>'Water Tm_Log'!Q108</f>
        <v>1</v>
      </c>
      <c r="E99" s="376">
        <v>67.2</v>
      </c>
      <c r="F99" s="376">
        <v>72.7</v>
      </c>
      <c r="G99" s="80"/>
      <c r="H99" s="81">
        <f>'Water Tm_Log'!H108</f>
        <v>8</v>
      </c>
      <c r="I99" s="81">
        <f>'Water Tm_Log'!V108</f>
        <v>1</v>
      </c>
      <c r="J99" s="378">
        <v>76.5</v>
      </c>
      <c r="K99" s="378"/>
      <c r="L99" s="6"/>
      <c r="M99" s="196" t="s">
        <v>1762</v>
      </c>
      <c r="N99" s="196"/>
      <c r="O99" s="196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6"/>
      <c r="AA99" s="196"/>
      <c r="AB99" s="196"/>
      <c r="AC99" s="196"/>
    </row>
    <row r="100" spans="1:29">
      <c r="A100" s="6"/>
      <c r="B100" s="66">
        <v>43921</v>
      </c>
      <c r="C100" s="141">
        <f>'Water Tm_Log'!B109</f>
        <v>8</v>
      </c>
      <c r="D100" s="141">
        <f>'Water Tm_Log'!Q109</f>
        <v>1</v>
      </c>
      <c r="E100" s="377">
        <v>66.900000000000006</v>
      </c>
      <c r="F100" s="377">
        <v>58.9</v>
      </c>
      <c r="G100" s="80"/>
      <c r="H100" s="85">
        <f>'Water Tm_Log'!H109</f>
        <v>12</v>
      </c>
      <c r="I100" s="85">
        <f>'Water Tm_Log'!V109</f>
        <v>0</v>
      </c>
      <c r="J100" s="379">
        <v>102</v>
      </c>
      <c r="K100" s="379"/>
      <c r="L100" s="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6"/>
      <c r="AA100" s="196"/>
      <c r="AB100" s="196"/>
      <c r="AC100" s="196"/>
    </row>
    <row r="101" spans="1:29">
      <c r="A101" s="6"/>
      <c r="B101" s="65">
        <v>43920</v>
      </c>
      <c r="C101" s="375">
        <f>'Water Tm_Log'!B110</f>
        <v>8</v>
      </c>
      <c r="D101" s="375">
        <f>'Water Tm_Log'!Q110</f>
        <v>0</v>
      </c>
      <c r="E101" s="376">
        <v>67.599999999999994</v>
      </c>
      <c r="F101" s="376">
        <v>49.1</v>
      </c>
      <c r="G101" s="80"/>
      <c r="H101" s="81">
        <f>'Water Tm_Log'!H110</f>
        <v>11</v>
      </c>
      <c r="I101" s="81">
        <f>'Water Tm_Log'!V110</f>
        <v>1</v>
      </c>
      <c r="J101" s="378">
        <v>93.5</v>
      </c>
      <c r="K101" s="378"/>
      <c r="L101" s="6"/>
      <c r="M101" s="196"/>
      <c r="N101" s="197" t="s">
        <v>2</v>
      </c>
      <c r="O101" s="196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  <c r="AA101" s="196"/>
      <c r="AB101" s="196"/>
      <c r="AC101" s="196"/>
    </row>
    <row r="102" spans="1:29">
      <c r="A102" s="6"/>
      <c r="B102" s="66">
        <v>43919</v>
      </c>
      <c r="C102" s="141">
        <f>'Water Tm_Log'!B111</f>
        <v>7</v>
      </c>
      <c r="D102" s="141">
        <f>'Water Tm_Log'!Q111</f>
        <v>1</v>
      </c>
      <c r="E102" s="377">
        <v>57.4</v>
      </c>
      <c r="F102" s="377">
        <v>69.7</v>
      </c>
      <c r="G102" s="80"/>
      <c r="H102" s="85">
        <f>'Water Tm_Log'!H111</f>
        <v>13</v>
      </c>
      <c r="I102" s="85">
        <f>'Water Tm_Log'!V111</f>
        <v>0</v>
      </c>
      <c r="J102" s="379">
        <v>110.5</v>
      </c>
      <c r="K102" s="379"/>
      <c r="L102" s="6"/>
      <c r="M102" s="196"/>
      <c r="N102" s="196" t="s">
        <v>2</v>
      </c>
      <c r="O102" s="196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6"/>
      <c r="AA102" s="196"/>
      <c r="AB102" s="196"/>
      <c r="AC102" s="196"/>
    </row>
    <row r="103" spans="1:29">
      <c r="A103" s="6"/>
      <c r="B103" s="65">
        <v>43918</v>
      </c>
      <c r="C103" s="375">
        <f>'Water Tm_Log'!B112</f>
        <v>8</v>
      </c>
      <c r="D103" s="375">
        <f>'Water Tm_Log'!Q112</f>
        <v>1</v>
      </c>
      <c r="E103" s="376">
        <v>58.3</v>
      </c>
      <c r="F103" s="376">
        <v>67.900000000000006</v>
      </c>
      <c r="G103" s="80"/>
      <c r="H103" s="81">
        <f>'Water Tm_Log'!H112</f>
        <v>13</v>
      </c>
      <c r="I103" s="81">
        <f>'Water Tm_Log'!V112</f>
        <v>0</v>
      </c>
      <c r="J103" s="378">
        <v>110.5</v>
      </c>
      <c r="K103" s="378"/>
      <c r="L103" s="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6"/>
      <c r="AC103" s="196"/>
    </row>
    <row r="104" spans="1:29">
      <c r="A104" s="6"/>
      <c r="B104" s="66">
        <v>43917</v>
      </c>
      <c r="C104" s="141">
        <f>'Water Tm_Log'!B113</f>
        <v>6</v>
      </c>
      <c r="D104" s="141">
        <f>'Water Tm_Log'!Q113</f>
        <v>1</v>
      </c>
      <c r="E104" s="377">
        <v>50.7</v>
      </c>
      <c r="F104" s="377">
        <v>56.9</v>
      </c>
      <c r="G104" s="80"/>
      <c r="H104" s="85">
        <f>'Water Tm_Log'!H113</f>
        <v>7</v>
      </c>
      <c r="I104" s="85">
        <f>'Water Tm_Log'!V113</f>
        <v>1</v>
      </c>
      <c r="J104" s="379">
        <v>59.5</v>
      </c>
      <c r="K104" s="379"/>
      <c r="L104" s="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6"/>
    </row>
    <row r="105" spans="1:29">
      <c r="A105" s="6"/>
      <c r="B105" s="65">
        <v>43916</v>
      </c>
      <c r="C105" s="375">
        <f>'Water Tm_Log'!B114</f>
        <v>8</v>
      </c>
      <c r="D105" s="375">
        <f>'Water Tm_Log'!Q114</f>
        <v>0</v>
      </c>
      <c r="E105" s="376">
        <v>60</v>
      </c>
      <c r="F105" s="376">
        <v>62.5</v>
      </c>
      <c r="G105" s="80"/>
      <c r="H105" s="81">
        <f>'Water Tm_Log'!H114</f>
        <v>18</v>
      </c>
      <c r="I105" s="81">
        <f>'Water Tm_Log'!V114</f>
        <v>0</v>
      </c>
      <c r="J105" s="378">
        <v>153</v>
      </c>
      <c r="K105" s="378"/>
      <c r="L105" s="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6"/>
      <c r="AC105" s="196"/>
    </row>
    <row r="106" spans="1:29">
      <c r="A106" s="6"/>
      <c r="B106" s="66">
        <v>43915</v>
      </c>
      <c r="C106" s="141">
        <f>'Water Tm_Log'!B115</f>
        <v>7</v>
      </c>
      <c r="D106" s="141">
        <f>'Water Tm_Log'!Q115</f>
        <v>1</v>
      </c>
      <c r="E106" s="377">
        <v>59</v>
      </c>
      <c r="F106" s="377">
        <v>56.1</v>
      </c>
      <c r="G106" s="80"/>
      <c r="H106" s="85">
        <f>'Water Tm_Log'!H115</f>
        <v>13</v>
      </c>
      <c r="I106" s="85">
        <f>'Water Tm_Log'!V115</f>
        <v>1</v>
      </c>
      <c r="J106" s="379">
        <v>110.5</v>
      </c>
      <c r="K106" s="379"/>
      <c r="L106" s="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6"/>
      <c r="AA106" s="196"/>
      <c r="AB106" s="196"/>
      <c r="AC106" s="196"/>
    </row>
    <row r="107" spans="1:29">
      <c r="A107" s="6"/>
      <c r="B107" s="65">
        <v>43914</v>
      </c>
      <c r="C107" s="375">
        <f>'Water Tm_Log'!B116</f>
        <v>8</v>
      </c>
      <c r="D107" s="375">
        <f>'Water Tm_Log'!Q116</f>
        <v>0</v>
      </c>
      <c r="E107" s="376">
        <v>66.7</v>
      </c>
      <c r="F107" s="376">
        <v>57</v>
      </c>
      <c r="G107" s="80"/>
      <c r="H107" s="81">
        <f>'Water Tm_Log'!H116</f>
        <v>8</v>
      </c>
      <c r="I107" s="81">
        <f>'Water Tm_Log'!V116</f>
        <v>0</v>
      </c>
      <c r="J107" s="378">
        <v>68</v>
      </c>
      <c r="K107" s="378"/>
      <c r="L107" s="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6"/>
      <c r="AA107" s="196"/>
      <c r="AB107" s="196"/>
      <c r="AC107" s="196"/>
    </row>
    <row r="108" spans="1:29">
      <c r="A108" s="6"/>
      <c r="B108" s="66">
        <v>43913</v>
      </c>
      <c r="C108" s="141">
        <f>'Water Tm_Log'!B117</f>
        <v>8</v>
      </c>
      <c r="D108" s="141">
        <f>'Water Tm_Log'!Q117</f>
        <v>1</v>
      </c>
      <c r="E108" s="377">
        <v>67.5</v>
      </c>
      <c r="F108" s="377">
        <v>51.8</v>
      </c>
      <c r="G108" s="80"/>
      <c r="H108" s="85">
        <f>'Water Tm_Log'!H117</f>
        <v>10</v>
      </c>
      <c r="I108" s="85">
        <f>'Water Tm_Log'!V117</f>
        <v>1</v>
      </c>
      <c r="J108" s="379">
        <v>85</v>
      </c>
      <c r="K108" s="379"/>
      <c r="L108" s="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6"/>
      <c r="AA108" s="196"/>
      <c r="AB108" s="196"/>
      <c r="AC108" s="196"/>
    </row>
    <row r="109" spans="1:29">
      <c r="A109" s="6"/>
      <c r="B109" s="65">
        <v>43912</v>
      </c>
      <c r="C109" s="375">
        <f>'Water Tm_Log'!B118</f>
        <v>8</v>
      </c>
      <c r="D109" s="375">
        <f>'Water Tm_Log'!Q118</f>
        <v>0</v>
      </c>
      <c r="E109" s="376">
        <v>67.2</v>
      </c>
      <c r="F109" s="376">
        <v>64.8</v>
      </c>
      <c r="G109" s="80"/>
      <c r="H109" s="81">
        <f>'Water Tm_Log'!H118</f>
        <v>10</v>
      </c>
      <c r="I109" s="81">
        <f>'Water Tm_Log'!V118</f>
        <v>1</v>
      </c>
      <c r="J109" s="378">
        <v>85</v>
      </c>
      <c r="K109" s="378"/>
      <c r="L109" s="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196"/>
      <c r="AA109" s="196"/>
      <c r="AB109" s="196"/>
      <c r="AC109" s="196"/>
    </row>
    <row r="110" spans="1:29">
      <c r="A110" s="6"/>
      <c r="B110" s="66">
        <v>43911</v>
      </c>
      <c r="C110" s="141">
        <f>'Water Tm_Log'!B119</f>
        <v>9</v>
      </c>
      <c r="D110" s="141">
        <f>'Water Tm_Log'!Q119</f>
        <v>1</v>
      </c>
      <c r="E110" s="377">
        <v>75.8</v>
      </c>
      <c r="F110" s="377">
        <v>71.5</v>
      </c>
      <c r="G110" s="80"/>
      <c r="H110" s="85">
        <f>'Water Tm_Log'!H119</f>
        <v>13</v>
      </c>
      <c r="I110" s="85">
        <f>'Water Tm_Log'!V119</f>
        <v>1</v>
      </c>
      <c r="J110" s="379">
        <v>110.5</v>
      </c>
      <c r="K110" s="379"/>
      <c r="L110" s="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196"/>
      <c r="AA110" s="196"/>
      <c r="AB110" s="196"/>
      <c r="AC110" s="196"/>
    </row>
    <row r="111" spans="1:29">
      <c r="A111" s="6"/>
      <c r="B111" s="65">
        <v>43910</v>
      </c>
      <c r="C111" s="375">
        <f>'Water Tm_Log'!B120</f>
        <v>9</v>
      </c>
      <c r="D111" s="375">
        <f>'Water Tm_Log'!Q120</f>
        <v>0</v>
      </c>
      <c r="E111" s="376">
        <v>76.7</v>
      </c>
      <c r="F111" s="376">
        <v>49.7</v>
      </c>
      <c r="G111" s="80"/>
      <c r="H111" s="81">
        <f>'Water Tm_Log'!H120</f>
        <v>8</v>
      </c>
      <c r="I111" s="81">
        <f>'Water Tm_Log'!V120</f>
        <v>1</v>
      </c>
      <c r="J111" s="378">
        <v>68</v>
      </c>
      <c r="K111" s="378"/>
      <c r="L111" s="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  <c r="W111" s="196"/>
      <c r="X111" s="196"/>
      <c r="Y111" s="196"/>
      <c r="Z111" s="196"/>
      <c r="AA111" s="196"/>
      <c r="AB111" s="196"/>
      <c r="AC111" s="196"/>
    </row>
    <row r="112" spans="1:29">
      <c r="A112" s="6"/>
      <c r="B112" s="66">
        <v>43909</v>
      </c>
      <c r="C112" s="141">
        <f>'Water Tm_Log'!B121</f>
        <v>9</v>
      </c>
      <c r="D112" s="141">
        <f>'Water Tm_Log'!Q121</f>
        <v>1</v>
      </c>
      <c r="E112" s="377">
        <v>73.900000000000006</v>
      </c>
      <c r="F112" s="377">
        <v>54</v>
      </c>
      <c r="G112" s="80"/>
      <c r="H112" s="85">
        <f>'Water Tm_Log'!H121</f>
        <v>11</v>
      </c>
      <c r="I112" s="85">
        <f>'Water Tm_Log'!V121</f>
        <v>1</v>
      </c>
      <c r="J112" s="379">
        <v>93.5</v>
      </c>
      <c r="K112" s="379"/>
      <c r="L112" s="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196"/>
      <c r="AA112" s="196"/>
      <c r="AB112" s="196"/>
      <c r="AC112" s="196"/>
    </row>
    <row r="113" spans="1:29">
      <c r="A113" s="6"/>
      <c r="B113" s="65">
        <v>43908</v>
      </c>
      <c r="C113" s="375">
        <f>'Water Tm_Log'!B122</f>
        <v>5</v>
      </c>
      <c r="D113" s="375">
        <f>'Water Tm_Log'!Q122</f>
        <v>0</v>
      </c>
      <c r="E113" s="376">
        <v>41.5</v>
      </c>
      <c r="F113" s="376">
        <v>81.400000000000006</v>
      </c>
      <c r="G113" s="80"/>
      <c r="H113" s="81">
        <f>'Water Tm_Log'!H122</f>
        <v>13</v>
      </c>
      <c r="I113" s="81">
        <f>'Water Tm_Log'!V122</f>
        <v>0</v>
      </c>
      <c r="J113" s="378">
        <v>110.5</v>
      </c>
      <c r="K113" s="378"/>
      <c r="L113" s="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196"/>
      <c r="AA113" s="196"/>
      <c r="AB113" s="196"/>
      <c r="AC113" s="196"/>
    </row>
    <row r="114" spans="1:29">
      <c r="A114" s="6"/>
      <c r="B114" s="66">
        <v>43907</v>
      </c>
      <c r="C114" s="141">
        <f>'Water Tm_Log'!B123</f>
        <v>8</v>
      </c>
      <c r="D114" s="141">
        <f>'Water Tm_Log'!Q123</f>
        <v>1</v>
      </c>
      <c r="E114" s="377">
        <v>66.3</v>
      </c>
      <c r="F114" s="377">
        <v>66.5</v>
      </c>
      <c r="G114" s="80"/>
      <c r="H114" s="85">
        <f>'Water Tm_Log'!H123</f>
        <v>10</v>
      </c>
      <c r="I114" s="85">
        <f>'Water Tm_Log'!V123</f>
        <v>1</v>
      </c>
      <c r="J114" s="379">
        <v>85</v>
      </c>
      <c r="K114" s="379"/>
      <c r="L114" s="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196"/>
      <c r="AA114" s="196"/>
      <c r="AB114" s="196"/>
      <c r="AC114" s="196"/>
    </row>
    <row r="115" spans="1:29">
      <c r="A115" s="6"/>
      <c r="B115" s="65">
        <v>43906</v>
      </c>
      <c r="C115" s="375">
        <f>'Water Tm_Log'!B124</f>
        <v>11</v>
      </c>
      <c r="D115" s="375">
        <f>'Water Tm_Log'!Q124</f>
        <v>1</v>
      </c>
      <c r="E115" s="376">
        <v>94.9</v>
      </c>
      <c r="F115" s="376">
        <v>99.6</v>
      </c>
      <c r="G115" s="80"/>
      <c r="H115" s="81">
        <f>'Water Tm_Log'!H124</f>
        <v>9</v>
      </c>
      <c r="I115" s="81">
        <f>'Water Tm_Log'!V124</f>
        <v>0</v>
      </c>
      <c r="J115" s="378">
        <v>76.5</v>
      </c>
      <c r="K115" s="378"/>
      <c r="L115" s="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196"/>
      <c r="AA115" s="196"/>
      <c r="AB115" s="196"/>
      <c r="AC115" s="196"/>
    </row>
    <row r="116" spans="1:29">
      <c r="A116" s="6"/>
      <c r="B116" s="66">
        <v>43905</v>
      </c>
      <c r="C116" s="141">
        <f>'Water Tm_Log'!B125</f>
        <v>16</v>
      </c>
      <c r="D116" s="141">
        <f>'Water Tm_Log'!Q125</f>
        <v>1</v>
      </c>
      <c r="E116" s="377">
        <v>107.1</v>
      </c>
      <c r="F116" s="377">
        <v>78.7</v>
      </c>
      <c r="G116" s="80"/>
      <c r="H116" s="85">
        <f>'Water Tm_Log'!H125</f>
        <v>10</v>
      </c>
      <c r="I116" s="85">
        <f>'Water Tm_Log'!V125</f>
        <v>1</v>
      </c>
      <c r="J116" s="379">
        <v>85</v>
      </c>
      <c r="K116" s="379"/>
      <c r="L116" s="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196"/>
      <c r="AA116" s="196"/>
      <c r="AB116" s="196"/>
      <c r="AC116" s="196"/>
    </row>
    <row r="117" spans="1:29">
      <c r="A117" s="6"/>
      <c r="B117" s="65">
        <v>43904</v>
      </c>
      <c r="C117" s="375">
        <f>'Water Tm_Log'!B126</f>
        <v>9</v>
      </c>
      <c r="D117" s="375">
        <f>'Water Tm_Log'!Q126</f>
        <v>0</v>
      </c>
      <c r="E117" s="376">
        <v>75.900000000000006</v>
      </c>
      <c r="F117" s="376">
        <v>47.8</v>
      </c>
      <c r="G117" s="80"/>
      <c r="H117" s="81">
        <f>'Water Tm_Log'!H126</f>
        <v>10</v>
      </c>
      <c r="I117" s="81">
        <f>'Water Tm_Log'!V126</f>
        <v>1</v>
      </c>
      <c r="J117" s="378">
        <v>85</v>
      </c>
      <c r="K117" s="378"/>
      <c r="L117" s="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196"/>
      <c r="AA117" s="196"/>
      <c r="AB117" s="196"/>
      <c r="AC117" s="196"/>
    </row>
    <row r="118" spans="1:29">
      <c r="A118" s="6"/>
      <c r="B118" s="66">
        <v>43903</v>
      </c>
      <c r="C118" s="141">
        <f>'Water Tm_Log'!B127</f>
        <v>6</v>
      </c>
      <c r="D118" s="141">
        <f>'Water Tm_Log'!Q127</f>
        <v>1</v>
      </c>
      <c r="E118" s="377">
        <v>49.9</v>
      </c>
      <c r="F118" s="377">
        <v>89.8</v>
      </c>
      <c r="G118" s="80"/>
      <c r="H118" s="85">
        <f>'Water Tm_Log'!H127</f>
        <v>10</v>
      </c>
      <c r="I118" s="85">
        <f>'Water Tm_Log'!V127</f>
        <v>1</v>
      </c>
      <c r="J118" s="379">
        <v>85</v>
      </c>
      <c r="K118" s="379"/>
      <c r="L118" s="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  <c r="AA118" s="196"/>
      <c r="AB118" s="196"/>
      <c r="AC118" s="196"/>
    </row>
    <row r="119" spans="1:29">
      <c r="A119" s="6"/>
      <c r="B119" s="65">
        <v>43902</v>
      </c>
      <c r="C119" s="375">
        <f>'Water Tm_Log'!B128</f>
        <v>8</v>
      </c>
      <c r="D119" s="375">
        <f>'Water Tm_Log'!Q128</f>
        <v>0</v>
      </c>
      <c r="E119" s="376">
        <v>67.3</v>
      </c>
      <c r="F119" s="376">
        <v>61.8</v>
      </c>
      <c r="G119" s="80"/>
      <c r="H119" s="81">
        <f>'Water Tm_Log'!H128</f>
        <v>12</v>
      </c>
      <c r="I119" s="81">
        <f>'Water Tm_Log'!V128</f>
        <v>1</v>
      </c>
      <c r="J119" s="378">
        <v>102</v>
      </c>
      <c r="K119" s="378"/>
      <c r="L119" s="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196"/>
      <c r="AA119" s="196"/>
      <c r="AB119" s="196"/>
      <c r="AC119" s="196"/>
    </row>
    <row r="120" spans="1:29">
      <c r="A120" s="6"/>
      <c r="B120" s="66">
        <v>43901</v>
      </c>
      <c r="C120" s="141">
        <f>'Water Tm_Log'!B129</f>
        <v>6</v>
      </c>
      <c r="D120" s="141">
        <f>'Water Tm_Log'!Q129</f>
        <v>1</v>
      </c>
      <c r="E120" s="377">
        <v>49.3</v>
      </c>
      <c r="F120" s="377">
        <v>50.6</v>
      </c>
      <c r="G120" s="80"/>
      <c r="H120" s="85">
        <f>'Water Tm_Log'!H129</f>
        <v>14</v>
      </c>
      <c r="I120" s="85">
        <f>'Water Tm_Log'!V129</f>
        <v>1</v>
      </c>
      <c r="J120" s="379">
        <v>119</v>
      </c>
      <c r="K120" s="379"/>
      <c r="L120" s="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  <c r="AA120" s="196"/>
      <c r="AB120" s="196"/>
      <c r="AC120" s="196"/>
    </row>
    <row r="121" spans="1:29">
      <c r="A121" s="6"/>
      <c r="B121" s="65">
        <v>43900</v>
      </c>
      <c r="C121" s="375">
        <f>'Water Tm_Log'!B130</f>
        <v>10</v>
      </c>
      <c r="D121" s="375">
        <f>'Water Tm_Log'!Q130</f>
        <v>0</v>
      </c>
      <c r="E121" s="376">
        <v>84.3</v>
      </c>
      <c r="F121" s="376">
        <v>75.7</v>
      </c>
      <c r="G121" s="80"/>
      <c r="H121" s="81">
        <f>'Water Tm_Log'!H130</f>
        <v>9</v>
      </c>
      <c r="I121" s="81">
        <f>'Water Tm_Log'!V130</f>
        <v>1</v>
      </c>
      <c r="J121" s="378">
        <v>76.5</v>
      </c>
      <c r="K121" s="378"/>
      <c r="L121" s="6"/>
      <c r="M121" s="196"/>
      <c r="N121" s="196"/>
      <c r="O121" s="196"/>
      <c r="P121" s="196"/>
      <c r="Q121" s="196"/>
      <c r="R121" s="196"/>
      <c r="S121" s="196"/>
      <c r="T121" s="196"/>
      <c r="U121" s="196"/>
      <c r="V121" s="196"/>
      <c r="W121" s="196"/>
      <c r="X121" s="196"/>
      <c r="Y121" s="196"/>
      <c r="Z121" s="196"/>
      <c r="AA121" s="196"/>
      <c r="AB121" s="196"/>
      <c r="AC121" s="196"/>
    </row>
    <row r="122" spans="1:29">
      <c r="A122" s="6"/>
      <c r="B122" s="66">
        <v>43899</v>
      </c>
      <c r="C122" s="141">
        <f>'Water Tm_Log'!B131</f>
        <v>6</v>
      </c>
      <c r="D122" s="141">
        <f>'Water Tm_Log'!Q131</f>
        <v>1</v>
      </c>
      <c r="E122" s="377">
        <v>49.8</v>
      </c>
      <c r="F122" s="377">
        <v>71.5</v>
      </c>
      <c r="G122" s="80"/>
      <c r="H122" s="85">
        <f>'Water Tm_Log'!H131</f>
        <v>11</v>
      </c>
      <c r="I122" s="85">
        <f>'Water Tm_Log'!V131</f>
        <v>1</v>
      </c>
      <c r="J122" s="379">
        <v>93.5</v>
      </c>
      <c r="K122" s="379"/>
      <c r="L122" s="6"/>
      <c r="M122" s="196"/>
      <c r="N122" s="196"/>
      <c r="O122" s="196"/>
      <c r="P122" s="196"/>
      <c r="Q122" s="196"/>
      <c r="R122" s="196"/>
      <c r="S122" s="196"/>
      <c r="T122" s="196"/>
      <c r="U122" s="196"/>
      <c r="V122" s="196"/>
      <c r="W122" s="196"/>
      <c r="X122" s="196"/>
      <c r="Y122" s="196"/>
      <c r="Z122" s="196"/>
      <c r="AA122" s="196"/>
      <c r="AB122" s="196"/>
      <c r="AC122" s="196"/>
    </row>
    <row r="123" spans="1:29">
      <c r="A123" s="6"/>
      <c r="B123" s="65">
        <v>43898</v>
      </c>
      <c r="C123" s="375">
        <f>'Water Tm_Log'!B132</f>
        <v>12</v>
      </c>
      <c r="D123" s="375">
        <f>'Water Tm_Log'!Q132</f>
        <v>1</v>
      </c>
      <c r="E123" s="376">
        <v>96.1</v>
      </c>
      <c r="F123" s="376">
        <v>75.8</v>
      </c>
      <c r="G123" s="80"/>
      <c r="H123" s="81">
        <f>'Water Tm_Log'!H132</f>
        <v>11</v>
      </c>
      <c r="I123" s="81">
        <f>'Water Tm_Log'!V132</f>
        <v>0</v>
      </c>
      <c r="J123" s="378">
        <v>93.5</v>
      </c>
      <c r="K123" s="378"/>
      <c r="L123" s="6"/>
      <c r="M123" s="196"/>
      <c r="N123" s="196"/>
      <c r="O123" s="196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6"/>
    </row>
    <row r="124" spans="1:29">
      <c r="A124" s="6"/>
      <c r="B124" s="66">
        <v>43897</v>
      </c>
      <c r="C124" s="141">
        <f>'Water Tm_Log'!B133</f>
        <v>12</v>
      </c>
      <c r="D124" s="141">
        <f>'Water Tm_Log'!Q133</f>
        <v>0</v>
      </c>
      <c r="E124" s="377">
        <v>95.6</v>
      </c>
      <c r="F124" s="377">
        <v>60.3</v>
      </c>
      <c r="G124" s="80"/>
      <c r="H124" s="85">
        <f>'Water Tm_Log'!H133</f>
        <v>9</v>
      </c>
      <c r="I124" s="85">
        <f>'Water Tm_Log'!V133</f>
        <v>1</v>
      </c>
      <c r="J124" s="379">
        <v>76.5</v>
      </c>
      <c r="K124" s="379"/>
      <c r="L124" s="6"/>
      <c r="M124" s="196"/>
      <c r="N124" s="196"/>
      <c r="O124" s="196"/>
      <c r="P124" s="196"/>
      <c r="Q124" s="196"/>
      <c r="R124" s="196"/>
      <c r="S124" s="196"/>
      <c r="T124" s="196"/>
      <c r="U124" s="196"/>
      <c r="V124" s="196"/>
      <c r="W124" s="196"/>
      <c r="X124" s="196"/>
      <c r="Y124" s="196"/>
      <c r="Z124" s="196"/>
      <c r="AA124" s="196"/>
      <c r="AB124" s="196"/>
      <c r="AC124" s="196"/>
    </row>
    <row r="125" spans="1:29">
      <c r="A125" s="6"/>
      <c r="B125" s="65">
        <v>43896</v>
      </c>
      <c r="C125" s="375">
        <f>'Water Tm_Log'!B134</f>
        <v>12</v>
      </c>
      <c r="D125" s="375">
        <f>'Water Tm_Log'!Q134</f>
        <v>0</v>
      </c>
      <c r="E125" s="376">
        <v>92.6</v>
      </c>
      <c r="F125" s="376">
        <v>81.900000000000006</v>
      </c>
      <c r="G125" s="80"/>
      <c r="H125" s="81">
        <f>'Water Tm_Log'!H134</f>
        <v>11</v>
      </c>
      <c r="I125" s="81">
        <f>'Water Tm_Log'!V134</f>
        <v>1</v>
      </c>
      <c r="J125" s="378">
        <v>93.5</v>
      </c>
      <c r="K125" s="378"/>
      <c r="L125" s="6"/>
      <c r="M125" s="196"/>
      <c r="N125" s="196"/>
      <c r="O125" s="196"/>
      <c r="P125" s="196"/>
      <c r="Q125" s="196"/>
      <c r="R125" s="196"/>
      <c r="S125" s="196"/>
      <c r="T125" s="196"/>
      <c r="U125" s="196"/>
      <c r="V125" s="196"/>
      <c r="W125" s="196"/>
      <c r="X125" s="196"/>
      <c r="Y125" s="196"/>
      <c r="Z125" s="196"/>
      <c r="AA125" s="196"/>
      <c r="AB125" s="196"/>
      <c r="AC125" s="196"/>
    </row>
    <row r="126" spans="1:29">
      <c r="A126" s="6"/>
      <c r="B126" s="66">
        <v>43895</v>
      </c>
      <c r="C126" s="141">
        <f>'Water Tm_Log'!B135</f>
        <v>10</v>
      </c>
      <c r="D126" s="141">
        <f>'Water Tm_Log'!Q135</f>
        <v>1</v>
      </c>
      <c r="E126" s="377">
        <v>59.8</v>
      </c>
      <c r="F126" s="377">
        <v>81.599999999999994</v>
      </c>
      <c r="G126" s="80"/>
      <c r="H126" s="85">
        <f>'Water Tm_Log'!H135</f>
        <v>12</v>
      </c>
      <c r="I126" s="85">
        <f>'Water Tm_Log'!V135</f>
        <v>1</v>
      </c>
      <c r="J126" s="379">
        <v>102</v>
      </c>
      <c r="K126" s="379"/>
      <c r="L126" s="6"/>
      <c r="M126" s="196"/>
      <c r="N126" s="196"/>
      <c r="O126" s="196"/>
      <c r="P126" s="196"/>
      <c r="Q126" s="196"/>
      <c r="R126" s="196"/>
      <c r="S126" s="196"/>
      <c r="T126" s="196"/>
      <c r="U126" s="196"/>
      <c r="V126" s="196"/>
      <c r="W126" s="196"/>
      <c r="X126" s="196"/>
      <c r="Y126" s="196"/>
      <c r="Z126" s="196"/>
      <c r="AA126" s="196"/>
      <c r="AB126" s="196"/>
      <c r="AC126" s="196"/>
    </row>
    <row r="127" spans="1:29">
      <c r="A127" s="6"/>
      <c r="B127" s="65">
        <v>43894</v>
      </c>
      <c r="C127" s="375">
        <f>'Water Tm_Log'!B136</f>
        <v>6</v>
      </c>
      <c r="D127" s="375">
        <f>'Water Tm_Log'!Q136</f>
        <v>1</v>
      </c>
      <c r="E127" s="376">
        <v>46.8</v>
      </c>
      <c r="F127" s="376">
        <v>94.9</v>
      </c>
      <c r="G127" s="80"/>
      <c r="H127" s="81">
        <f>'Water Tm_Log'!H136</f>
        <v>11</v>
      </c>
      <c r="I127" s="81">
        <f>'Water Tm_Log'!V136</f>
        <v>1</v>
      </c>
      <c r="J127" s="378">
        <v>92.5</v>
      </c>
      <c r="K127" s="378"/>
      <c r="L127" s="6"/>
      <c r="M127" s="196"/>
      <c r="N127" s="196"/>
      <c r="O127" s="196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  <c r="AA127" s="196"/>
      <c r="AB127" s="196"/>
      <c r="AC127" s="196"/>
    </row>
    <row r="128" spans="1:29">
      <c r="A128" s="6"/>
      <c r="B128" s="66">
        <v>43893</v>
      </c>
      <c r="C128" s="141">
        <f>'Water Tm_Log'!B137</f>
        <v>5</v>
      </c>
      <c r="D128" s="141">
        <f>'Water Tm_Log'!Q137</f>
        <v>1</v>
      </c>
      <c r="E128" s="377">
        <v>41.5</v>
      </c>
      <c r="F128" s="377">
        <v>56</v>
      </c>
      <c r="G128" s="80"/>
      <c r="H128" s="85">
        <f>'Water Tm_Log'!H137</f>
        <v>10</v>
      </c>
      <c r="I128" s="85">
        <f>'Water Tm_Log'!V137</f>
        <v>1</v>
      </c>
      <c r="J128" s="379">
        <v>85</v>
      </c>
      <c r="K128" s="379"/>
      <c r="L128" s="6"/>
      <c r="M128" s="196"/>
      <c r="N128" s="196"/>
      <c r="O128" s="196"/>
      <c r="P128" s="196"/>
      <c r="Q128" s="196"/>
      <c r="R128" s="196"/>
      <c r="S128" s="196"/>
      <c r="T128" s="196"/>
      <c r="U128" s="196"/>
      <c r="V128" s="196"/>
      <c r="W128" s="196"/>
      <c r="X128" s="196"/>
      <c r="Y128" s="196"/>
      <c r="Z128" s="196"/>
      <c r="AA128" s="196"/>
      <c r="AB128" s="196"/>
      <c r="AC128" s="196"/>
    </row>
    <row r="129" spans="1:29">
      <c r="A129" s="6"/>
      <c r="B129" s="65">
        <v>43892</v>
      </c>
      <c r="C129" s="375">
        <f>'Water Tm_Log'!B138</f>
        <v>9</v>
      </c>
      <c r="D129" s="375">
        <f>'Water Tm_Log'!Q138</f>
        <v>0</v>
      </c>
      <c r="E129" s="376">
        <v>63.6</v>
      </c>
      <c r="F129" s="376">
        <v>64.8</v>
      </c>
      <c r="G129" s="80"/>
      <c r="H129" s="81">
        <f>'Water Tm_Log'!H138</f>
        <v>11</v>
      </c>
      <c r="I129" s="81">
        <f>'Water Tm_Log'!V138</f>
        <v>1</v>
      </c>
      <c r="J129" s="378">
        <v>93.5</v>
      </c>
      <c r="K129" s="378"/>
      <c r="L129" s="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</row>
    <row r="130" spans="1:29">
      <c r="A130" s="6"/>
      <c r="B130" s="66">
        <v>43891</v>
      </c>
      <c r="C130" s="141">
        <f>'Water Tm_Log'!B139</f>
        <v>9</v>
      </c>
      <c r="D130" s="141">
        <f>'Water Tm_Log'!Q139</f>
        <v>0</v>
      </c>
      <c r="E130" s="377">
        <v>63.4</v>
      </c>
      <c r="F130" s="377">
        <v>75</v>
      </c>
      <c r="G130" s="80"/>
      <c r="H130" s="85">
        <f>'Water Tm_Log'!H139</f>
        <v>10</v>
      </c>
      <c r="I130" s="85">
        <f>'Water Tm_Log'!V139</f>
        <v>1</v>
      </c>
      <c r="J130" s="379">
        <v>85</v>
      </c>
      <c r="K130" s="379"/>
      <c r="L130" s="6"/>
      <c r="M130" s="196"/>
      <c r="N130" s="196"/>
      <c r="O130" s="196"/>
      <c r="P130" s="196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6"/>
      <c r="AC130" s="196"/>
    </row>
    <row r="131" spans="1:29">
      <c r="A131" s="6"/>
      <c r="B131" s="65">
        <v>43890</v>
      </c>
      <c r="C131" s="375">
        <f>'Water Tm_Log'!B140</f>
        <v>9</v>
      </c>
      <c r="D131" s="375">
        <f>'Water Tm_Log'!Q140</f>
        <v>0</v>
      </c>
      <c r="E131" s="376">
        <v>73.3</v>
      </c>
      <c r="F131" s="376">
        <v>56.2</v>
      </c>
      <c r="G131" s="80"/>
      <c r="H131" s="81">
        <f>'Water Tm_Log'!H140</f>
        <v>13</v>
      </c>
      <c r="I131" s="81">
        <f>'Water Tm_Log'!V140</f>
        <v>1</v>
      </c>
      <c r="J131" s="378">
        <v>110.5</v>
      </c>
      <c r="K131" s="378"/>
      <c r="L131" s="6"/>
      <c r="M131" s="196"/>
      <c r="N131" s="196"/>
      <c r="O131" s="196"/>
      <c r="P131" s="196"/>
      <c r="Q131" s="196"/>
      <c r="R131" s="196"/>
      <c r="S131" s="196"/>
      <c r="T131" s="196"/>
      <c r="U131" s="196"/>
      <c r="V131" s="196"/>
      <c r="W131" s="196"/>
      <c r="X131" s="196"/>
      <c r="Y131" s="196"/>
      <c r="Z131" s="196"/>
      <c r="AA131" s="196"/>
      <c r="AB131" s="196"/>
      <c r="AC131" s="196"/>
    </row>
    <row r="132" spans="1:29">
      <c r="A132" s="6"/>
      <c r="B132" s="66">
        <v>43889</v>
      </c>
      <c r="C132" s="141">
        <f>'Water Tm_Log'!B141</f>
        <v>7</v>
      </c>
      <c r="D132" s="141">
        <f>'Water Tm_Log'!Q141</f>
        <v>0</v>
      </c>
      <c r="E132" s="377">
        <v>52.7</v>
      </c>
      <c r="F132" s="377">
        <v>50</v>
      </c>
      <c r="G132" s="80"/>
      <c r="H132" s="85">
        <f>'Water Tm_Log'!H141</f>
        <v>11</v>
      </c>
      <c r="I132" s="85">
        <f>'Water Tm_Log'!V141</f>
        <v>0</v>
      </c>
      <c r="J132" s="379">
        <v>93.5</v>
      </c>
      <c r="K132" s="379"/>
      <c r="L132" s="6"/>
      <c r="M132" s="196"/>
      <c r="N132" s="196"/>
      <c r="O132" s="196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  <c r="AA132" s="196"/>
      <c r="AB132" s="196"/>
      <c r="AC132" s="196"/>
    </row>
    <row r="133" spans="1:29">
      <c r="A133" s="6"/>
      <c r="B133" s="65">
        <v>43888</v>
      </c>
      <c r="C133" s="375">
        <f>'Water Tm_Log'!B142</f>
        <v>6</v>
      </c>
      <c r="D133" s="375">
        <f>'Water Tm_Log'!Q142</f>
        <v>1</v>
      </c>
      <c r="E133" s="376">
        <v>44</v>
      </c>
      <c r="F133" s="376">
        <v>57.3</v>
      </c>
      <c r="G133" s="80"/>
      <c r="H133" s="81">
        <f>'Water Tm_Log'!H142</f>
        <v>10</v>
      </c>
      <c r="I133" s="81">
        <f>'Water Tm_Log'!V142</f>
        <v>1</v>
      </c>
      <c r="J133" s="378">
        <v>85</v>
      </c>
      <c r="K133" s="378"/>
      <c r="L133" s="6"/>
      <c r="M133" s="196"/>
      <c r="N133" s="196"/>
      <c r="O133" s="196"/>
      <c r="P133" s="196"/>
      <c r="Q133" s="196"/>
      <c r="R133" s="196"/>
      <c r="S133" s="196"/>
      <c r="T133" s="196"/>
      <c r="U133" s="196"/>
      <c r="V133" s="196"/>
      <c r="W133" s="196"/>
      <c r="X133" s="196"/>
      <c r="Y133" s="196"/>
      <c r="Z133" s="196"/>
      <c r="AA133" s="196"/>
      <c r="AB133" s="196"/>
      <c r="AC133" s="196"/>
    </row>
    <row r="134" spans="1:29">
      <c r="A134" s="6"/>
      <c r="B134" s="66">
        <v>43887</v>
      </c>
      <c r="C134" s="141">
        <f>'Water Tm_Log'!B143</f>
        <v>7</v>
      </c>
      <c r="D134" s="141">
        <f>'Water Tm_Log'!Q143</f>
        <v>2</v>
      </c>
      <c r="E134" s="377">
        <v>53.8</v>
      </c>
      <c r="F134" s="377">
        <v>51</v>
      </c>
      <c r="G134" s="80"/>
      <c r="H134" s="85">
        <f>'Water Tm_Log'!H143</f>
        <v>11</v>
      </c>
      <c r="I134" s="85">
        <f>'Water Tm_Log'!V143</f>
        <v>1</v>
      </c>
      <c r="J134" s="379">
        <v>93.5</v>
      </c>
      <c r="K134" s="379"/>
      <c r="L134" s="6"/>
      <c r="M134" s="196"/>
      <c r="N134" s="196"/>
      <c r="O134" s="196"/>
      <c r="P134" s="196"/>
      <c r="Q134" s="196"/>
      <c r="R134" s="196"/>
      <c r="S134" s="196"/>
      <c r="T134" s="196"/>
      <c r="U134" s="196"/>
      <c r="V134" s="196"/>
      <c r="W134" s="196"/>
      <c r="X134" s="196"/>
      <c r="Y134" s="196"/>
      <c r="Z134" s="196"/>
      <c r="AA134" s="196"/>
      <c r="AB134" s="196"/>
      <c r="AC134" s="196"/>
    </row>
    <row r="135" spans="1:29">
      <c r="A135" s="6"/>
      <c r="B135" s="65">
        <v>43886</v>
      </c>
      <c r="C135" s="375">
        <f>'Water Tm_Log'!B144</f>
        <v>10</v>
      </c>
      <c r="D135" s="375">
        <f>'Water Tm_Log'!Q144</f>
        <v>1</v>
      </c>
      <c r="E135" s="376">
        <v>76.5</v>
      </c>
      <c r="F135" s="376">
        <v>57</v>
      </c>
      <c r="G135" s="80"/>
      <c r="H135" s="81">
        <f>'Water Tm_Log'!H144</f>
        <v>8</v>
      </c>
      <c r="I135" s="81">
        <f>'Water Tm_Log'!V144</f>
        <v>0</v>
      </c>
      <c r="J135" s="378">
        <v>68</v>
      </c>
      <c r="K135" s="378"/>
      <c r="L135" s="6"/>
      <c r="M135" s="196"/>
      <c r="N135" s="196"/>
      <c r="O135" s="196"/>
      <c r="P135" s="196"/>
      <c r="Q135" s="196"/>
      <c r="R135" s="196"/>
      <c r="S135" s="196"/>
      <c r="T135" s="196"/>
      <c r="U135" s="196"/>
      <c r="V135" s="196"/>
      <c r="W135" s="196"/>
      <c r="X135" s="196"/>
      <c r="Y135" s="196"/>
      <c r="Z135" s="196"/>
      <c r="AA135" s="196"/>
      <c r="AB135" s="196"/>
      <c r="AC135" s="196"/>
    </row>
    <row r="136" spans="1:29">
      <c r="A136" s="6"/>
      <c r="B136" s="66">
        <v>43885</v>
      </c>
      <c r="C136" s="141">
        <f>'Water Tm_Log'!B145</f>
        <v>7</v>
      </c>
      <c r="D136" s="141">
        <f>'Water Tm_Log'!Q145</f>
        <v>1</v>
      </c>
      <c r="E136" s="377">
        <v>58.7</v>
      </c>
      <c r="F136" s="377">
        <v>55.6</v>
      </c>
      <c r="G136" s="80"/>
      <c r="H136" s="85">
        <f>'Water Tm_Log'!H145</f>
        <v>11</v>
      </c>
      <c r="I136" s="85">
        <f>'Water Tm_Log'!V145</f>
        <v>0</v>
      </c>
      <c r="J136" s="379">
        <v>93.5</v>
      </c>
      <c r="K136" s="379"/>
      <c r="L136" s="6"/>
      <c r="M136" s="196"/>
      <c r="N136" s="196"/>
      <c r="O136" s="196"/>
      <c r="P136" s="196"/>
      <c r="Q136" s="196"/>
      <c r="R136" s="196"/>
      <c r="S136" s="196"/>
      <c r="T136" s="196"/>
      <c r="U136" s="196"/>
      <c r="V136" s="196"/>
      <c r="W136" s="196"/>
      <c r="X136" s="196"/>
      <c r="Y136" s="196"/>
      <c r="Z136" s="196"/>
      <c r="AA136" s="196"/>
      <c r="AB136" s="196"/>
      <c r="AC136" s="196"/>
    </row>
    <row r="137" spans="1:29">
      <c r="A137" s="6"/>
      <c r="B137" s="65">
        <v>43884</v>
      </c>
      <c r="C137" s="375">
        <f>'Water Tm_Log'!B146</f>
        <v>11</v>
      </c>
      <c r="D137" s="375">
        <f>'Water Tm_Log'!Q146</f>
        <v>2</v>
      </c>
      <c r="E137" s="376">
        <v>72.8</v>
      </c>
      <c r="F137" s="376">
        <v>73.2</v>
      </c>
      <c r="G137" s="80"/>
      <c r="H137" s="81">
        <f>'Water Tm_Log'!H146</f>
        <v>13</v>
      </c>
      <c r="I137" s="81">
        <f>'Water Tm_Log'!V146</f>
        <v>1</v>
      </c>
      <c r="J137" s="378">
        <v>110.5</v>
      </c>
      <c r="K137" s="378"/>
      <c r="L137" s="6"/>
      <c r="M137" s="196"/>
      <c r="N137" s="196"/>
      <c r="O137" s="196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  <c r="AA137" s="196"/>
      <c r="AB137" s="196"/>
      <c r="AC137" s="196"/>
    </row>
    <row r="138" spans="1:29">
      <c r="A138" s="6"/>
      <c r="B138" s="66">
        <v>43883</v>
      </c>
      <c r="C138" s="141">
        <f>'Water Tm_Log'!B147</f>
        <v>6</v>
      </c>
      <c r="D138" s="141">
        <f>'Water Tm_Log'!Q147</f>
        <v>1</v>
      </c>
      <c r="E138" s="377">
        <v>92</v>
      </c>
      <c r="F138" s="377">
        <v>67.7</v>
      </c>
      <c r="G138" s="80"/>
      <c r="H138" s="85">
        <f>'Water Tm_Log'!H147</f>
        <v>9</v>
      </c>
      <c r="I138" s="85">
        <f>'Water Tm_Log'!V147</f>
        <v>0</v>
      </c>
      <c r="J138" s="379">
        <v>76.5</v>
      </c>
      <c r="K138" s="379"/>
      <c r="L138" s="6"/>
      <c r="M138" s="196"/>
      <c r="N138" s="196"/>
      <c r="O138" s="196"/>
      <c r="P138" s="196"/>
      <c r="Q138" s="196"/>
      <c r="R138" s="196"/>
      <c r="S138" s="196"/>
      <c r="T138" s="196"/>
      <c r="U138" s="196"/>
      <c r="V138" s="196"/>
      <c r="W138" s="196"/>
      <c r="X138" s="196"/>
      <c r="Y138" s="196"/>
      <c r="Z138" s="196"/>
      <c r="AA138" s="196"/>
      <c r="AB138" s="196"/>
      <c r="AC138" s="196"/>
    </row>
    <row r="139" spans="1:29">
      <c r="A139" s="6"/>
      <c r="B139" s="65">
        <v>43882</v>
      </c>
      <c r="C139" s="375">
        <f>'Water Tm_Log'!B148</f>
        <v>2</v>
      </c>
      <c r="D139" s="375">
        <f>'Water Tm_Log'!Q148</f>
        <v>1</v>
      </c>
      <c r="E139" s="376">
        <v>15.6</v>
      </c>
      <c r="F139" s="376">
        <v>55</v>
      </c>
      <c r="G139" s="80"/>
      <c r="H139" s="81">
        <f>'Water Tm_Log'!H148</f>
        <v>13</v>
      </c>
      <c r="I139" s="81">
        <f>'Water Tm_Log'!V148</f>
        <v>1</v>
      </c>
      <c r="J139" s="378">
        <v>110.5</v>
      </c>
      <c r="K139" s="378"/>
      <c r="L139" s="6"/>
      <c r="M139" s="196"/>
      <c r="N139" s="196"/>
      <c r="O139" s="196"/>
      <c r="P139" s="196"/>
      <c r="Q139" s="196"/>
      <c r="R139" s="196"/>
      <c r="S139" s="196"/>
      <c r="T139" s="196"/>
      <c r="U139" s="196"/>
      <c r="V139" s="196"/>
      <c r="W139" s="196"/>
      <c r="X139" s="196"/>
      <c r="Y139" s="196"/>
      <c r="Z139" s="196"/>
      <c r="AA139" s="196"/>
      <c r="AB139" s="196"/>
      <c r="AC139" s="196"/>
    </row>
    <row r="140" spans="1:29">
      <c r="A140" s="6"/>
      <c r="B140" s="66">
        <v>43881</v>
      </c>
      <c r="C140" s="141">
        <f>'Water Tm_Log'!B149</f>
        <v>8</v>
      </c>
      <c r="D140" s="141">
        <f>'Water Tm_Log'!Q149</f>
        <v>0</v>
      </c>
      <c r="E140" s="377">
        <v>64.3</v>
      </c>
      <c r="F140" s="377">
        <v>54</v>
      </c>
      <c r="G140" s="80"/>
      <c r="H140" s="85">
        <f>'Water Tm_Log'!H149</f>
        <v>9</v>
      </c>
      <c r="I140" s="85">
        <f>'Water Tm_Log'!V149</f>
        <v>1</v>
      </c>
      <c r="J140" s="379">
        <v>76.5</v>
      </c>
      <c r="K140" s="379"/>
      <c r="L140" s="6"/>
      <c r="M140" s="196"/>
      <c r="N140" s="196"/>
      <c r="O140" s="196"/>
      <c r="P140" s="196"/>
      <c r="Q140" s="196"/>
      <c r="R140" s="196"/>
      <c r="S140" s="196"/>
      <c r="T140" s="196"/>
      <c r="U140" s="196"/>
      <c r="V140" s="196"/>
      <c r="W140" s="196"/>
      <c r="X140" s="196"/>
      <c r="Y140" s="196"/>
      <c r="Z140" s="196"/>
      <c r="AA140" s="196"/>
      <c r="AB140" s="196"/>
      <c r="AC140" s="196"/>
    </row>
    <row r="141" spans="1:29">
      <c r="A141" s="6"/>
      <c r="B141" s="65">
        <v>43880</v>
      </c>
      <c r="C141" s="375">
        <f>'Water Tm_Log'!B150</f>
        <v>7</v>
      </c>
      <c r="D141" s="375">
        <f>'Water Tm_Log'!Q150</f>
        <v>0</v>
      </c>
      <c r="E141" s="376">
        <v>60.4</v>
      </c>
      <c r="F141" s="376">
        <v>54.8</v>
      </c>
      <c r="G141" s="80"/>
      <c r="H141" s="81">
        <f>'Water Tm_Log'!H150</f>
        <v>9</v>
      </c>
      <c r="I141" s="81">
        <f>'Water Tm_Log'!V150</f>
        <v>1</v>
      </c>
      <c r="J141" s="378">
        <v>76.5</v>
      </c>
      <c r="K141" s="378"/>
      <c r="L141" s="6"/>
      <c r="M141" s="196"/>
      <c r="N141" s="196"/>
      <c r="O141" s="196"/>
      <c r="P141" s="196"/>
      <c r="Q141" s="196"/>
      <c r="R141" s="196"/>
      <c r="S141" s="196"/>
      <c r="T141" s="196"/>
      <c r="U141" s="196"/>
      <c r="V141" s="196"/>
      <c r="W141" s="196"/>
      <c r="X141" s="196"/>
      <c r="Y141" s="196"/>
      <c r="Z141" s="196"/>
      <c r="AA141" s="196"/>
      <c r="AB141" s="196"/>
      <c r="AC141" s="196"/>
    </row>
    <row r="142" spans="1:29">
      <c r="A142" s="6"/>
      <c r="B142" s="66">
        <v>43879</v>
      </c>
      <c r="C142" s="141">
        <f>'Water Tm_Log'!B151</f>
        <v>4</v>
      </c>
      <c r="D142" s="141">
        <f>'Water Tm_Log'!Q151</f>
        <v>1</v>
      </c>
      <c r="E142" s="377">
        <v>29.8</v>
      </c>
      <c r="F142" s="377">
        <v>55</v>
      </c>
      <c r="G142" s="80"/>
      <c r="H142" s="85">
        <f>'Water Tm_Log'!H151</f>
        <v>8</v>
      </c>
      <c r="I142" s="85">
        <f>'Water Tm_Log'!V151</f>
        <v>1</v>
      </c>
      <c r="J142" s="379">
        <v>68</v>
      </c>
      <c r="K142" s="379"/>
      <c r="L142" s="6"/>
      <c r="M142" s="196"/>
      <c r="N142" s="196"/>
      <c r="O142" s="196"/>
      <c r="P142" s="196"/>
      <c r="Q142" s="196"/>
      <c r="R142" s="196"/>
      <c r="S142" s="196"/>
      <c r="T142" s="196"/>
      <c r="U142" s="196"/>
      <c r="V142" s="196"/>
      <c r="W142" s="196"/>
      <c r="X142" s="196"/>
      <c r="Y142" s="196"/>
      <c r="Z142" s="196"/>
      <c r="AA142" s="196"/>
      <c r="AB142" s="196"/>
      <c r="AC142" s="196"/>
    </row>
    <row r="143" spans="1:29">
      <c r="A143" s="6"/>
      <c r="B143" s="65">
        <v>43878</v>
      </c>
      <c r="C143" s="375">
        <f>'Water Tm_Log'!B152</f>
        <v>8</v>
      </c>
      <c r="D143" s="375">
        <f>'Water Tm_Log'!Q152</f>
        <v>1</v>
      </c>
      <c r="E143" s="376">
        <v>63</v>
      </c>
      <c r="F143" s="376">
        <v>75</v>
      </c>
      <c r="G143" s="80"/>
      <c r="H143" s="81">
        <f>'Water Tm_Log'!H152</f>
        <v>10</v>
      </c>
      <c r="I143" s="81">
        <f>'Water Tm_Log'!V152</f>
        <v>0</v>
      </c>
      <c r="J143" s="378">
        <v>85</v>
      </c>
      <c r="K143" s="378"/>
      <c r="L143" s="6"/>
      <c r="M143" s="196"/>
      <c r="N143" s="196"/>
      <c r="O143" s="196"/>
      <c r="P143" s="196"/>
      <c r="Q143" s="196"/>
      <c r="R143" s="196"/>
      <c r="S143" s="196"/>
      <c r="T143" s="196"/>
      <c r="U143" s="196"/>
      <c r="V143" s="196"/>
      <c r="W143" s="196"/>
      <c r="X143" s="196"/>
      <c r="Y143" s="196"/>
      <c r="Z143" s="196"/>
      <c r="AA143" s="196"/>
      <c r="AB143" s="196"/>
      <c r="AC143" s="196"/>
    </row>
    <row r="144" spans="1:29">
      <c r="A144" s="6"/>
      <c r="B144" s="66">
        <v>43877</v>
      </c>
      <c r="C144" s="141">
        <f>'Water Tm_Log'!B153</f>
        <v>11</v>
      </c>
      <c r="D144" s="141">
        <f>'Water Tm_Log'!Q153</f>
        <v>1</v>
      </c>
      <c r="E144" s="377">
        <v>85</v>
      </c>
      <c r="F144" s="377">
        <v>54</v>
      </c>
      <c r="G144" s="80"/>
      <c r="H144" s="85">
        <f>'Water Tm_Log'!H153</f>
        <v>13</v>
      </c>
      <c r="I144" s="85">
        <f>'Water Tm_Log'!V153</f>
        <v>2</v>
      </c>
      <c r="J144" s="379">
        <v>110.5</v>
      </c>
      <c r="K144" s="379"/>
      <c r="L144" s="6"/>
      <c r="M144" s="196"/>
      <c r="N144" s="196"/>
      <c r="O144" s="196"/>
      <c r="P144" s="196"/>
      <c r="Q144" s="196"/>
      <c r="R144" s="196"/>
      <c r="S144" s="196"/>
      <c r="T144" s="196"/>
      <c r="U144" s="196"/>
      <c r="V144" s="196"/>
      <c r="W144" s="196"/>
      <c r="X144" s="196"/>
      <c r="Y144" s="196"/>
      <c r="Z144" s="196"/>
      <c r="AA144" s="196"/>
      <c r="AB144" s="196"/>
      <c r="AC144" s="196"/>
    </row>
    <row r="145" spans="1:29">
      <c r="A145" s="6"/>
      <c r="B145" s="65">
        <v>43876</v>
      </c>
      <c r="C145" s="375">
        <f>'Water Tm_Log'!B154</f>
        <v>9</v>
      </c>
      <c r="D145" s="375">
        <f>'Water Tm_Log'!Q154</f>
        <v>1</v>
      </c>
      <c r="E145" s="376">
        <v>66</v>
      </c>
      <c r="F145" s="376">
        <v>54</v>
      </c>
      <c r="G145" s="80"/>
      <c r="H145" s="81">
        <f>'Water Tm_Log'!H154</f>
        <v>10</v>
      </c>
      <c r="I145" s="81">
        <f>'Water Tm_Log'!V154</f>
        <v>1</v>
      </c>
      <c r="J145" s="378">
        <v>85</v>
      </c>
      <c r="K145" s="378"/>
      <c r="L145" s="6"/>
      <c r="M145" s="196"/>
      <c r="N145" s="196"/>
      <c r="O145" s="196"/>
      <c r="P145" s="196"/>
      <c r="Q145" s="196"/>
      <c r="R145" s="196"/>
      <c r="S145" s="196"/>
      <c r="T145" s="196"/>
      <c r="U145" s="196"/>
      <c r="V145" s="196"/>
      <c r="W145" s="196"/>
      <c r="X145" s="196"/>
      <c r="Y145" s="196"/>
      <c r="Z145" s="196"/>
      <c r="AA145" s="196"/>
      <c r="AB145" s="196"/>
      <c r="AC145" s="196"/>
    </row>
    <row r="146" spans="1:29">
      <c r="A146" s="6"/>
      <c r="B146" s="66">
        <v>43875</v>
      </c>
      <c r="C146" s="141">
        <f>'Water Tm_Log'!B155</f>
        <v>7</v>
      </c>
      <c r="D146" s="141">
        <f>'Water Tm_Log'!Q155</f>
        <v>0</v>
      </c>
      <c r="E146" s="377">
        <v>55</v>
      </c>
      <c r="F146" s="377">
        <v>51</v>
      </c>
      <c r="G146" s="80"/>
      <c r="H146" s="85">
        <f>'Water Tm_Log'!H155</f>
        <v>9</v>
      </c>
      <c r="I146" s="85">
        <f>'Water Tm_Log'!V155</f>
        <v>1</v>
      </c>
      <c r="J146" s="379">
        <v>76.5</v>
      </c>
      <c r="K146" s="379"/>
      <c r="L146" s="6"/>
      <c r="M146" s="196"/>
      <c r="N146" s="196"/>
      <c r="O146" s="196"/>
      <c r="P146" s="196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196"/>
    </row>
    <row r="147" spans="1:29">
      <c r="A147" s="6"/>
      <c r="B147" s="65">
        <v>43874</v>
      </c>
      <c r="C147" s="375">
        <f>'Water Tm_Log'!B156</f>
        <v>6</v>
      </c>
      <c r="D147" s="375">
        <f>'Water Tm_Log'!Q156</f>
        <v>0</v>
      </c>
      <c r="E147" s="376">
        <v>39.700000000000003</v>
      </c>
      <c r="F147" s="376">
        <v>25</v>
      </c>
      <c r="G147" s="80"/>
      <c r="H147" s="81">
        <f>'Water Tm_Log'!H156</f>
        <v>7</v>
      </c>
      <c r="I147" s="81">
        <f>'Water Tm_Log'!V156</f>
        <v>1</v>
      </c>
      <c r="J147" s="378">
        <v>59.5</v>
      </c>
      <c r="K147" s="378"/>
      <c r="L147" s="6"/>
      <c r="M147" s="196"/>
      <c r="N147" s="196"/>
      <c r="O147" s="196"/>
      <c r="P147" s="196"/>
      <c r="Q147" s="196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6"/>
      <c r="AC147" s="196"/>
    </row>
    <row r="148" spans="1:29">
      <c r="A148" s="6"/>
      <c r="B148" s="66">
        <v>43873</v>
      </c>
      <c r="C148" s="141">
        <f>'Water Tm_Log'!B157</f>
        <v>10</v>
      </c>
      <c r="D148" s="141">
        <f>'Water Tm_Log'!Q157</f>
        <v>0</v>
      </c>
      <c r="E148" s="377">
        <v>85</v>
      </c>
      <c r="F148" s="377">
        <v>21</v>
      </c>
      <c r="G148" s="80"/>
      <c r="H148" s="85">
        <f>'Water Tm_Log'!H157</f>
        <v>9</v>
      </c>
      <c r="I148" s="85">
        <f>'Water Tm_Log'!V157</f>
        <v>1</v>
      </c>
      <c r="J148" s="379">
        <v>76.5</v>
      </c>
      <c r="K148" s="379"/>
      <c r="L148" s="6"/>
      <c r="M148" s="196"/>
      <c r="N148" s="196"/>
      <c r="O148" s="196"/>
      <c r="P148" s="196"/>
      <c r="Q148" s="196"/>
      <c r="R148" s="196"/>
      <c r="S148" s="196"/>
      <c r="T148" s="196"/>
      <c r="U148" s="196"/>
      <c r="V148" s="196"/>
      <c r="W148" s="196"/>
      <c r="X148" s="196"/>
      <c r="Y148" s="196"/>
      <c r="Z148" s="196"/>
      <c r="AA148" s="196"/>
      <c r="AB148" s="196"/>
      <c r="AC148" s="196"/>
    </row>
    <row r="149" spans="1:29">
      <c r="A149" s="6"/>
      <c r="B149" s="65">
        <v>43872</v>
      </c>
      <c r="C149" s="375">
        <f>'Water Tm_Log'!B158</f>
        <v>7</v>
      </c>
      <c r="D149" s="375">
        <f>'Water Tm_Log'!Q158</f>
        <v>0</v>
      </c>
      <c r="E149" s="376">
        <v>65.5</v>
      </c>
      <c r="F149" s="376">
        <v>71.7</v>
      </c>
      <c r="G149" s="80"/>
      <c r="H149" s="81">
        <f>'Water Tm_Log'!H158</f>
        <v>14</v>
      </c>
      <c r="I149" s="81">
        <f>'Water Tm_Log'!V158</f>
        <v>0</v>
      </c>
      <c r="J149" s="378">
        <v>119</v>
      </c>
      <c r="K149" s="378"/>
      <c r="L149" s="6"/>
      <c r="M149" s="196"/>
      <c r="N149" s="196"/>
      <c r="O149" s="196"/>
      <c r="P149" s="196"/>
      <c r="Q149" s="196"/>
      <c r="R149" s="196"/>
      <c r="S149" s="196"/>
      <c r="T149" s="196"/>
      <c r="U149" s="196"/>
      <c r="V149" s="196"/>
      <c r="W149" s="196"/>
      <c r="X149" s="196"/>
      <c r="Y149" s="196"/>
      <c r="Z149" s="196"/>
      <c r="AA149" s="196"/>
      <c r="AB149" s="196"/>
      <c r="AC149" s="196"/>
    </row>
    <row r="150" spans="1:29">
      <c r="A150" s="6"/>
      <c r="B150" s="66">
        <v>43871</v>
      </c>
      <c r="C150" s="141">
        <f>'Water Tm_Log'!B159</f>
        <v>8</v>
      </c>
      <c r="D150" s="141">
        <f>'Water Tm_Log'!Q159</f>
        <v>1</v>
      </c>
      <c r="E150" s="377">
        <v>64.599999999999994</v>
      </c>
      <c r="F150" s="377">
        <v>68.5</v>
      </c>
      <c r="G150" s="80"/>
      <c r="H150" s="85">
        <f>'Water Tm_Log'!H159</f>
        <v>6</v>
      </c>
      <c r="I150" s="85">
        <f>'Water Tm_Log'!V159</f>
        <v>1</v>
      </c>
      <c r="J150" s="379">
        <v>51</v>
      </c>
      <c r="K150" s="379"/>
      <c r="L150" s="6"/>
      <c r="M150" s="196"/>
      <c r="N150" s="196"/>
      <c r="O150" s="196"/>
      <c r="P150" s="196"/>
      <c r="Q150" s="196"/>
      <c r="R150" s="196"/>
      <c r="S150" s="196"/>
      <c r="T150" s="196"/>
      <c r="U150" s="196"/>
      <c r="V150" s="196"/>
      <c r="W150" s="196"/>
      <c r="X150" s="196"/>
      <c r="Y150" s="196"/>
      <c r="Z150" s="196"/>
      <c r="AA150" s="196"/>
      <c r="AB150" s="196"/>
      <c r="AC150" s="196"/>
    </row>
    <row r="151" spans="1:29">
      <c r="A151" s="6"/>
      <c r="B151" s="65">
        <v>43870</v>
      </c>
      <c r="C151" s="375">
        <f>'Water Tm_Log'!B160</f>
        <v>8</v>
      </c>
      <c r="D151" s="375">
        <f>'Water Tm_Log'!Q160</f>
        <v>0</v>
      </c>
      <c r="E151" s="376">
        <v>60.7</v>
      </c>
      <c r="F151" s="376">
        <v>55.3</v>
      </c>
      <c r="G151" s="80"/>
      <c r="H151" s="81">
        <f>'Water Tm_Log'!H160</f>
        <v>7</v>
      </c>
      <c r="I151" s="81">
        <f>'Water Tm_Log'!V160</f>
        <v>1</v>
      </c>
      <c r="J151" s="378">
        <v>59.5</v>
      </c>
      <c r="K151" s="378"/>
      <c r="L151" s="6"/>
      <c r="M151" s="196"/>
      <c r="N151" s="196"/>
      <c r="O151" s="196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  <c r="AA151" s="196"/>
      <c r="AB151" s="196"/>
      <c r="AC151" s="196"/>
    </row>
    <row r="152" spans="1:29">
      <c r="A152" s="6"/>
      <c r="B152" s="66">
        <v>43869</v>
      </c>
      <c r="C152" s="141">
        <f>'Water Tm_Log'!B161</f>
        <v>8</v>
      </c>
      <c r="D152" s="141">
        <f>'Water Tm_Log'!Q161</f>
        <v>1</v>
      </c>
      <c r="E152" s="377">
        <v>48.8</v>
      </c>
      <c r="F152" s="377">
        <v>69</v>
      </c>
      <c r="G152" s="80"/>
      <c r="H152" s="85">
        <f>'Water Tm_Log'!H161</f>
        <v>10</v>
      </c>
      <c r="I152" s="85">
        <f>'Water Tm_Log'!V161</f>
        <v>1</v>
      </c>
      <c r="J152" s="379">
        <v>85</v>
      </c>
      <c r="K152" s="379"/>
      <c r="L152" s="6"/>
      <c r="M152" s="196"/>
      <c r="N152" s="196"/>
      <c r="O152" s="196"/>
      <c r="P152" s="196"/>
      <c r="Q152" s="196"/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6"/>
      <c r="AC152" s="196"/>
    </row>
    <row r="153" spans="1:29">
      <c r="A153" s="6"/>
      <c r="B153" s="65">
        <v>43868</v>
      </c>
      <c r="C153" s="375">
        <f>'Water Tm_Log'!B162</f>
        <v>7</v>
      </c>
      <c r="D153" s="375">
        <f>'Water Tm_Log'!Q162</f>
        <v>1</v>
      </c>
      <c r="E153" s="376">
        <v>54.9</v>
      </c>
      <c r="F153" s="376">
        <v>51.5</v>
      </c>
      <c r="G153" s="80"/>
      <c r="H153" s="81">
        <f>'Water Tm_Log'!H162</f>
        <v>11</v>
      </c>
      <c r="I153" s="81">
        <f>'Water Tm_Log'!V162</f>
        <v>1</v>
      </c>
      <c r="J153" s="378">
        <v>93.5</v>
      </c>
      <c r="K153" s="378"/>
      <c r="L153" s="6"/>
      <c r="M153" s="196"/>
      <c r="N153" s="196"/>
      <c r="O153" s="196"/>
      <c r="P153" s="196"/>
      <c r="Q153" s="196"/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6"/>
      <c r="AC153" s="196"/>
    </row>
    <row r="154" spans="1:29">
      <c r="A154" s="6"/>
      <c r="B154" s="66">
        <v>43867</v>
      </c>
      <c r="C154" s="141">
        <f>'Water Tm_Log'!B163</f>
        <v>9</v>
      </c>
      <c r="D154" s="141">
        <f>'Water Tm_Log'!Q163</f>
        <v>1</v>
      </c>
      <c r="E154" s="377">
        <v>57.3</v>
      </c>
      <c r="F154" s="377">
        <v>24.8</v>
      </c>
      <c r="G154" s="80"/>
      <c r="H154" s="85">
        <f>'Water Tm_Log'!H163</f>
        <v>14</v>
      </c>
      <c r="I154" s="85">
        <f>'Water Tm_Log'!V163</f>
        <v>0</v>
      </c>
      <c r="J154" s="379">
        <v>119</v>
      </c>
      <c r="K154" s="379"/>
      <c r="L154" s="6"/>
      <c r="M154" s="196"/>
      <c r="N154" s="196"/>
      <c r="O154" s="196"/>
      <c r="P154" s="196"/>
      <c r="Q154" s="196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6"/>
      <c r="AC154" s="196"/>
    </row>
    <row r="155" spans="1:29">
      <c r="A155" s="6"/>
      <c r="B155" s="65">
        <v>43866</v>
      </c>
      <c r="C155" s="375">
        <f>'Water Tm_Log'!B164</f>
        <v>9</v>
      </c>
      <c r="D155" s="375">
        <f>'Water Tm_Log'!Q164</f>
        <v>1</v>
      </c>
      <c r="E155" s="376">
        <v>49.3</v>
      </c>
      <c r="F155" s="376">
        <v>64.2</v>
      </c>
      <c r="G155" s="80"/>
      <c r="H155" s="81">
        <f>'Water Tm_Log'!H164</f>
        <v>11</v>
      </c>
      <c r="I155" s="81">
        <f>'Water Tm_Log'!V164</f>
        <v>0</v>
      </c>
      <c r="J155" s="378">
        <v>93.5</v>
      </c>
      <c r="K155" s="378"/>
      <c r="L155" s="6"/>
      <c r="M155" s="196"/>
      <c r="N155" s="196"/>
      <c r="O155" s="196"/>
      <c r="P155" s="196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</row>
    <row r="156" spans="1:29">
      <c r="A156" s="6"/>
      <c r="B156" s="66">
        <v>43865</v>
      </c>
      <c r="C156" s="141">
        <f>'Water Tm_Log'!B165</f>
        <v>6</v>
      </c>
      <c r="D156" s="141">
        <f>'Water Tm_Log'!Q165</f>
        <v>0</v>
      </c>
      <c r="E156" s="377">
        <v>41.8</v>
      </c>
      <c r="F156" s="377">
        <v>88.4</v>
      </c>
      <c r="G156" s="80"/>
      <c r="H156" s="85">
        <f>'Water Tm_Log'!H165</f>
        <v>5</v>
      </c>
      <c r="I156" s="85">
        <f>'Water Tm_Log'!V165</f>
        <v>1</v>
      </c>
      <c r="J156" s="379">
        <v>42.5</v>
      </c>
      <c r="K156" s="379"/>
      <c r="L156" s="6"/>
      <c r="M156" s="196"/>
      <c r="N156" s="196"/>
      <c r="O156" s="196"/>
      <c r="P156" s="196"/>
      <c r="Q156" s="196"/>
      <c r="R156" s="196"/>
      <c r="S156" s="196"/>
      <c r="T156" s="196"/>
      <c r="U156" s="196"/>
      <c r="V156" s="196"/>
      <c r="W156" s="196"/>
      <c r="X156" s="196"/>
      <c r="Y156" s="196"/>
      <c r="Z156" s="196"/>
      <c r="AA156" s="196"/>
      <c r="AB156" s="196"/>
      <c r="AC156" s="196"/>
    </row>
    <row r="157" spans="1:29">
      <c r="A157" s="6"/>
      <c r="B157" s="65">
        <v>43864</v>
      </c>
      <c r="C157" s="375">
        <f>'Water Tm_Log'!B166</f>
        <v>8</v>
      </c>
      <c r="D157" s="375">
        <f>'Water Tm_Log'!Q166</f>
        <v>0</v>
      </c>
      <c r="E157" s="376">
        <v>47</v>
      </c>
      <c r="F157" s="376">
        <v>38.200000000000003</v>
      </c>
      <c r="G157" s="80"/>
      <c r="H157" s="81">
        <f>'Water Tm_Log'!H166</f>
        <v>6</v>
      </c>
      <c r="I157" s="81">
        <f>'Water Tm_Log'!V166</f>
        <v>0</v>
      </c>
      <c r="J157" s="378">
        <v>51</v>
      </c>
      <c r="K157" s="378"/>
      <c r="L157" s="6"/>
      <c r="M157" s="196"/>
      <c r="N157" s="196"/>
      <c r="O157" s="196"/>
      <c r="P157" s="196"/>
      <c r="Q157" s="196"/>
      <c r="R157" s="196"/>
      <c r="S157" s="196"/>
      <c r="T157" s="196"/>
      <c r="U157" s="196"/>
      <c r="V157" s="196"/>
      <c r="W157" s="196"/>
      <c r="X157" s="196"/>
      <c r="Y157" s="196"/>
      <c r="Z157" s="196"/>
      <c r="AA157" s="196"/>
      <c r="AB157" s="196"/>
      <c r="AC157" s="196"/>
    </row>
    <row r="158" spans="1:29">
      <c r="A158" s="6"/>
      <c r="B158" s="66">
        <v>43863</v>
      </c>
      <c r="C158" s="141">
        <f>'Water Tm_Log'!B167</f>
        <v>6</v>
      </c>
      <c r="D158" s="141">
        <f>'Water Tm_Log'!Q167</f>
        <v>1</v>
      </c>
      <c r="E158" s="377">
        <v>30.9</v>
      </c>
      <c r="F158" s="377">
        <v>61.8</v>
      </c>
      <c r="G158" s="80"/>
      <c r="H158" s="85">
        <f>'Water Tm_Log'!H167</f>
        <v>9</v>
      </c>
      <c r="I158" s="85">
        <f>'Water Tm_Log'!V167</f>
        <v>0</v>
      </c>
      <c r="J158" s="379">
        <v>76.5</v>
      </c>
      <c r="K158" s="379"/>
      <c r="L158" s="6"/>
      <c r="M158" s="196"/>
      <c r="N158" s="196"/>
      <c r="O158" s="196"/>
      <c r="P158" s="196"/>
      <c r="Q158" s="196"/>
      <c r="R158" s="196"/>
      <c r="S158" s="196"/>
      <c r="T158" s="196"/>
      <c r="U158" s="196"/>
      <c r="V158" s="196"/>
      <c r="W158" s="196"/>
      <c r="X158" s="196"/>
      <c r="Y158" s="196"/>
      <c r="Z158" s="196"/>
      <c r="AA158" s="196"/>
      <c r="AB158" s="196"/>
      <c r="AC158" s="196"/>
    </row>
    <row r="159" spans="1:29">
      <c r="A159" s="6"/>
      <c r="B159" s="65">
        <v>43862</v>
      </c>
      <c r="C159" s="375">
        <f>'Water Tm_Log'!B168</f>
        <v>8</v>
      </c>
      <c r="D159" s="375">
        <f>'Water Tm_Log'!Q168</f>
        <v>0</v>
      </c>
      <c r="E159" s="376">
        <v>60.4</v>
      </c>
      <c r="F159" s="376">
        <v>48.7</v>
      </c>
      <c r="G159" s="80"/>
      <c r="H159" s="81">
        <f>'Water Tm_Log'!H168</f>
        <v>6</v>
      </c>
      <c r="I159" s="81">
        <f>'Water Tm_Log'!V168</f>
        <v>0</v>
      </c>
      <c r="J159" s="378">
        <v>51</v>
      </c>
      <c r="K159" s="378"/>
      <c r="L159" s="6"/>
      <c r="M159" s="196"/>
      <c r="N159" s="196"/>
      <c r="O159" s="196"/>
      <c r="P159" s="196"/>
      <c r="Q159" s="196"/>
      <c r="R159" s="196"/>
      <c r="S159" s="196"/>
      <c r="T159" s="196"/>
      <c r="U159" s="196"/>
      <c r="V159" s="196"/>
      <c r="W159" s="196"/>
      <c r="X159" s="196"/>
      <c r="Y159" s="196"/>
      <c r="Z159" s="196"/>
      <c r="AA159" s="196"/>
      <c r="AB159" s="196"/>
      <c r="AC159" s="196"/>
    </row>
    <row r="160" spans="1:29">
      <c r="A160" s="6"/>
      <c r="B160" s="66">
        <v>43861</v>
      </c>
      <c r="C160" s="141">
        <f>'Water Tm_Log'!B169</f>
        <v>10</v>
      </c>
      <c r="D160" s="141">
        <f>'Water Tm_Log'!Q169</f>
        <v>0</v>
      </c>
      <c r="E160" s="377">
        <v>47.8</v>
      </c>
      <c r="F160" s="377">
        <v>58.6</v>
      </c>
      <c r="G160" s="80"/>
      <c r="H160" s="85">
        <f>'Water Tm_Log'!H169</f>
        <v>7</v>
      </c>
      <c r="I160" s="85">
        <f>'Water Tm_Log'!V169</f>
        <v>1</v>
      </c>
      <c r="J160" s="379">
        <v>59.5</v>
      </c>
      <c r="K160" s="379"/>
      <c r="L160" s="6"/>
      <c r="M160" s="196"/>
      <c r="N160" s="196"/>
      <c r="O160" s="196"/>
      <c r="P160" s="196"/>
      <c r="Q160" s="196"/>
      <c r="R160" s="196"/>
      <c r="S160" s="196"/>
      <c r="T160" s="196"/>
      <c r="U160" s="196"/>
      <c r="V160" s="196"/>
      <c r="W160" s="196"/>
      <c r="X160" s="196"/>
      <c r="Y160" s="196"/>
      <c r="Z160" s="196"/>
      <c r="AA160" s="196"/>
      <c r="AB160" s="196"/>
      <c r="AC160" s="196"/>
    </row>
    <row r="161" spans="1:29">
      <c r="A161" s="6"/>
      <c r="B161" s="65">
        <v>43860</v>
      </c>
      <c r="C161" s="375">
        <f>'Water Tm_Log'!B170</f>
        <v>4</v>
      </c>
      <c r="D161" s="375">
        <f>'Water Tm_Log'!Q170</f>
        <v>1</v>
      </c>
      <c r="E161" s="376">
        <v>29.7</v>
      </c>
      <c r="F161" s="376">
        <v>65.099999999999994</v>
      </c>
      <c r="G161" s="80"/>
      <c r="H161" s="81">
        <f>'Water Tm_Log'!H170</f>
        <v>5</v>
      </c>
      <c r="I161" s="81">
        <f>'Water Tm_Log'!V170</f>
        <v>0</v>
      </c>
      <c r="J161" s="378">
        <v>42.5</v>
      </c>
      <c r="K161" s="378"/>
      <c r="L161" s="6"/>
      <c r="M161" s="196"/>
      <c r="N161" s="196"/>
      <c r="O161" s="196"/>
      <c r="P161" s="196"/>
      <c r="Q161" s="196"/>
      <c r="R161" s="196"/>
      <c r="S161" s="196"/>
      <c r="T161" s="196"/>
      <c r="U161" s="196"/>
      <c r="V161" s="196"/>
      <c r="W161" s="196"/>
      <c r="X161" s="196"/>
      <c r="Y161" s="196"/>
      <c r="Z161" s="196"/>
      <c r="AA161" s="196"/>
      <c r="AB161" s="196"/>
      <c r="AC161" s="196"/>
    </row>
    <row r="162" spans="1:29">
      <c r="A162" s="6"/>
      <c r="B162" s="66">
        <v>43859</v>
      </c>
      <c r="C162" s="141">
        <f>'Water Tm_Log'!B171</f>
        <v>4</v>
      </c>
      <c r="D162" s="141">
        <f>'Water Tm_Log'!Q171</f>
        <v>1</v>
      </c>
      <c r="E162" s="377">
        <v>23.2</v>
      </c>
      <c r="F162" s="377">
        <v>40.9</v>
      </c>
      <c r="G162" s="80"/>
      <c r="H162" s="85">
        <f>'Water Tm_Log'!H171</f>
        <v>10</v>
      </c>
      <c r="I162" s="85">
        <f>'Water Tm_Log'!V171</f>
        <v>0</v>
      </c>
      <c r="J162" s="379">
        <v>85</v>
      </c>
      <c r="K162" s="379"/>
      <c r="L162" s="6"/>
      <c r="M162" s="196"/>
      <c r="N162" s="196"/>
      <c r="O162" s="196"/>
      <c r="P162" s="196"/>
      <c r="Q162" s="196"/>
      <c r="R162" s="196"/>
      <c r="S162" s="196"/>
      <c r="T162" s="196"/>
      <c r="U162" s="196"/>
      <c r="V162" s="196"/>
      <c r="W162" s="196"/>
      <c r="X162" s="196"/>
      <c r="Y162" s="196"/>
      <c r="Z162" s="196"/>
      <c r="AA162" s="196"/>
      <c r="AB162" s="196"/>
      <c r="AC162" s="196"/>
    </row>
    <row r="163" spans="1:29">
      <c r="A163" s="6"/>
      <c r="B163" s="65">
        <v>43858</v>
      </c>
      <c r="C163" s="375">
        <f>'Water Tm_Log'!B172</f>
        <v>4</v>
      </c>
      <c r="D163" s="375">
        <f>'Water Tm_Log'!Q172</f>
        <v>0</v>
      </c>
      <c r="E163" s="376">
        <v>32.6</v>
      </c>
      <c r="F163" s="376">
        <v>54.8</v>
      </c>
      <c r="G163" s="80"/>
      <c r="H163" s="81">
        <f>'Water Tm_Log'!H172</f>
        <v>5</v>
      </c>
      <c r="I163" s="81">
        <f>'Water Tm_Log'!V172</f>
        <v>1</v>
      </c>
      <c r="J163" s="378">
        <v>42.5</v>
      </c>
      <c r="K163" s="378"/>
      <c r="L163" s="6"/>
      <c r="M163" s="196"/>
      <c r="N163" s="196"/>
      <c r="O163" s="196"/>
      <c r="P163" s="196"/>
      <c r="Q163" s="196"/>
      <c r="R163" s="196"/>
      <c r="S163" s="196"/>
      <c r="T163" s="196"/>
      <c r="U163" s="196"/>
      <c r="V163" s="196"/>
      <c r="W163" s="196"/>
      <c r="X163" s="196"/>
      <c r="Y163" s="196"/>
      <c r="Z163" s="196"/>
      <c r="AA163" s="196"/>
      <c r="AB163" s="196"/>
      <c r="AC163" s="196"/>
    </row>
    <row r="164" spans="1:29" ht="5.4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196"/>
      <c r="N164" s="196"/>
      <c r="O164" s="196"/>
      <c r="P164" s="196"/>
      <c r="Q164" s="196"/>
      <c r="R164" s="196"/>
      <c r="S164" s="196"/>
      <c r="T164" s="196"/>
      <c r="U164" s="196"/>
      <c r="V164" s="196"/>
      <c r="W164" s="196"/>
      <c r="X164" s="196"/>
      <c r="Y164" s="196"/>
      <c r="Z164" s="196"/>
      <c r="AA164" s="196"/>
      <c r="AB164" s="196"/>
      <c r="AC164" s="196"/>
    </row>
    <row r="165" spans="1:29">
      <c r="A165" s="196"/>
      <c r="B165" s="196" t="s">
        <v>100</v>
      </c>
      <c r="C165" s="196">
        <f t="shared" ref="C165:J165" si="5">SUM(C7:C163)</f>
        <v>866</v>
      </c>
      <c r="D165" s="196">
        <f t="shared" si="5"/>
        <v>62</v>
      </c>
      <c r="E165" s="196">
        <f t="shared" si="5"/>
        <v>2751062.6999999983</v>
      </c>
      <c r="F165" s="196">
        <f t="shared" si="5"/>
        <v>3505614.5999999996</v>
      </c>
      <c r="G165" s="196">
        <f t="shared" si="5"/>
        <v>0</v>
      </c>
      <c r="H165" s="196">
        <f t="shared" si="5"/>
        <v>1135</v>
      </c>
      <c r="I165" s="196">
        <f t="shared" si="5"/>
        <v>75</v>
      </c>
      <c r="J165" s="196">
        <f t="shared" si="5"/>
        <v>4323592</v>
      </c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6"/>
    </row>
    <row r="166" spans="1:29">
      <c r="A166" s="196"/>
      <c r="B166" s="196"/>
      <c r="C166" s="196"/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196"/>
      <c r="P166" s="196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</row>
    <row r="167" spans="1:29">
      <c r="A167" s="196"/>
      <c r="B167" s="196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196"/>
      <c r="P167" s="196"/>
      <c r="Q167" s="196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6"/>
      <c r="AC167" s="196"/>
    </row>
    <row r="168" spans="1:29">
      <c r="A168" s="196"/>
      <c r="B168" s="196"/>
      <c r="C168" s="196"/>
      <c r="D168" s="196"/>
      <c r="E168" s="196"/>
      <c r="F168" s="196"/>
      <c r="G168" s="196"/>
      <c r="H168" s="196"/>
      <c r="I168" s="196"/>
      <c r="J168" s="196"/>
      <c r="K168" s="196"/>
      <c r="L168" s="196"/>
      <c r="M168" s="196"/>
      <c r="N168" s="196"/>
      <c r="O168" s="196"/>
      <c r="P168" s="196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6"/>
      <c r="AC168" s="196"/>
    </row>
    <row r="169" spans="1:29">
      <c r="A169" s="196"/>
      <c r="B169" s="196"/>
      <c r="C169" s="196"/>
      <c r="D169" s="196"/>
      <c r="E169" s="196"/>
      <c r="F169" s="196"/>
      <c r="G169" s="196"/>
      <c r="H169" s="196"/>
      <c r="I169" s="196"/>
      <c r="J169" s="196"/>
      <c r="K169" s="196"/>
      <c r="L169" s="196"/>
      <c r="M169" s="196"/>
      <c r="N169" s="196"/>
      <c r="O169" s="196"/>
      <c r="P169" s="196"/>
      <c r="Q169" s="196"/>
      <c r="R169" s="196"/>
      <c r="S169" s="196"/>
      <c r="T169" s="196"/>
      <c r="U169" s="196"/>
      <c r="V169" s="196"/>
      <c r="W169" s="196"/>
      <c r="X169" s="196"/>
      <c r="Y169" s="196"/>
      <c r="Z169" s="196"/>
      <c r="AA169" s="196"/>
      <c r="AB169" s="196"/>
      <c r="AC169" s="196"/>
    </row>
    <row r="170" spans="1:29">
      <c r="A170" s="196"/>
      <c r="B170" s="196"/>
      <c r="C170" s="196"/>
      <c r="D170" s="196"/>
      <c r="E170" s="196"/>
      <c r="F170" s="196"/>
      <c r="G170" s="196"/>
      <c r="H170" s="196"/>
      <c r="I170" s="196"/>
      <c r="J170" s="196"/>
      <c r="K170" s="196"/>
      <c r="L170" s="196"/>
      <c r="M170" s="196"/>
      <c r="N170" s="196"/>
      <c r="O170" s="196"/>
      <c r="P170" s="196"/>
      <c r="Q170" s="196"/>
      <c r="R170" s="196"/>
      <c r="S170" s="196"/>
      <c r="T170" s="196"/>
      <c r="U170" s="196"/>
      <c r="V170" s="196"/>
      <c r="W170" s="196"/>
      <c r="X170" s="196"/>
      <c r="Y170" s="196"/>
      <c r="Z170" s="196"/>
      <c r="AA170" s="196"/>
      <c r="AB170" s="196"/>
      <c r="AC170" s="196"/>
    </row>
    <row r="171" spans="1:29">
      <c r="A171" s="196"/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6"/>
      <c r="P171" s="196"/>
      <c r="Q171" s="196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6"/>
      <c r="AC171" s="196"/>
    </row>
    <row r="172" spans="1:29">
      <c r="A172" s="196"/>
      <c r="B172" s="196"/>
      <c r="C172" s="196"/>
      <c r="D172" s="196"/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196"/>
      <c r="P172" s="196"/>
      <c r="Q172" s="196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6"/>
      <c r="AC172" s="196"/>
    </row>
    <row r="173" spans="1:29">
      <c r="A173" s="196"/>
      <c r="B173" s="196"/>
      <c r="C173" s="196"/>
      <c r="D173" s="196"/>
      <c r="E173" s="196"/>
      <c r="F173" s="196"/>
      <c r="G173" s="196"/>
      <c r="H173" s="196"/>
      <c r="I173" s="196"/>
      <c r="J173" s="196"/>
      <c r="K173" s="196"/>
      <c r="L173" s="196"/>
      <c r="M173" s="196"/>
      <c r="N173" s="196"/>
      <c r="O173" s="196"/>
      <c r="P173" s="196"/>
      <c r="Q173" s="196"/>
      <c r="R173" s="196"/>
      <c r="S173" s="196"/>
      <c r="T173" s="196"/>
      <c r="U173" s="196"/>
      <c r="V173" s="196"/>
      <c r="W173" s="196"/>
      <c r="X173" s="196"/>
      <c r="Y173" s="196"/>
      <c r="Z173" s="196"/>
      <c r="AA173" s="196"/>
      <c r="AB173" s="196"/>
      <c r="AC173" s="196"/>
    </row>
    <row r="174" spans="1:29">
      <c r="A174" s="196"/>
      <c r="B174" s="196"/>
      <c r="C174" s="196"/>
      <c r="D174" s="196"/>
      <c r="E174" s="196"/>
      <c r="F174" s="196"/>
      <c r="G174" s="196"/>
      <c r="H174" s="196"/>
      <c r="I174" s="196"/>
      <c r="J174" s="196"/>
      <c r="K174" s="196"/>
      <c r="L174" s="196"/>
      <c r="M174" s="196"/>
      <c r="N174" s="196"/>
      <c r="O174" s="196"/>
      <c r="P174" s="196"/>
      <c r="Q174" s="196"/>
      <c r="R174" s="196"/>
      <c r="S174" s="196"/>
      <c r="T174" s="196"/>
      <c r="U174" s="196"/>
      <c r="V174" s="196"/>
      <c r="W174" s="196"/>
      <c r="X174" s="196"/>
      <c r="Y174" s="196"/>
      <c r="Z174" s="196"/>
      <c r="AA174" s="196"/>
      <c r="AB174" s="196"/>
      <c r="AC174" s="196"/>
    </row>
    <row r="175" spans="1:29">
      <c r="A175" s="196"/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6"/>
      <c r="P175" s="196"/>
      <c r="Q175" s="196"/>
      <c r="R175" s="196"/>
      <c r="S175" s="196"/>
      <c r="T175" s="196"/>
      <c r="U175" s="196"/>
      <c r="V175" s="196"/>
      <c r="W175" s="196"/>
      <c r="X175" s="196"/>
      <c r="Y175" s="196"/>
      <c r="Z175" s="196"/>
      <c r="AA175" s="196"/>
      <c r="AB175" s="196"/>
      <c r="AC175" s="196"/>
    </row>
    <row r="176" spans="1:29">
      <c r="A176" s="196"/>
      <c r="B176" s="196"/>
      <c r="C176" s="196"/>
      <c r="D176" s="196"/>
      <c r="E176" s="196"/>
      <c r="F176" s="196"/>
      <c r="G176" s="196"/>
      <c r="H176" s="196"/>
      <c r="I176" s="196"/>
      <c r="J176" s="196"/>
      <c r="K176" s="196"/>
      <c r="L176" s="196"/>
      <c r="M176" s="196"/>
      <c r="N176" s="196"/>
      <c r="O176" s="196"/>
      <c r="P176" s="196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  <c r="AA176" s="196"/>
      <c r="AB176" s="196"/>
      <c r="AC176" s="196"/>
    </row>
    <row r="177" spans="1:29">
      <c r="A177" s="196"/>
      <c r="B177" s="196"/>
      <c r="C177" s="196"/>
      <c r="D177" s="196"/>
      <c r="E177" s="196"/>
      <c r="F177" s="196"/>
      <c r="G177" s="196"/>
      <c r="H177" s="196"/>
      <c r="I177" s="196"/>
      <c r="J177" s="196"/>
      <c r="K177" s="196"/>
      <c r="L177" s="196"/>
      <c r="M177" s="196"/>
      <c r="N177" s="196"/>
      <c r="O177" s="196"/>
      <c r="P177" s="196"/>
      <c r="Q177" s="196"/>
      <c r="R177" s="196"/>
      <c r="S177" s="196"/>
      <c r="T177" s="196"/>
      <c r="U177" s="196"/>
      <c r="V177" s="196"/>
      <c r="W177" s="196"/>
      <c r="X177" s="196"/>
      <c r="Y177" s="196"/>
      <c r="Z177" s="196"/>
      <c r="AA177" s="196"/>
      <c r="AB177" s="196"/>
      <c r="AC177" s="196"/>
    </row>
    <row r="178" spans="1:29">
      <c r="A178" s="196"/>
      <c r="B178" s="196"/>
      <c r="C178" s="196"/>
      <c r="D178" s="196"/>
      <c r="E178" s="196"/>
      <c r="F178" s="196"/>
      <c r="G178" s="196"/>
      <c r="H178" s="196"/>
      <c r="I178" s="196"/>
      <c r="J178" s="196"/>
      <c r="K178" s="196"/>
      <c r="L178" s="196"/>
      <c r="M178" s="196"/>
      <c r="N178" s="196"/>
      <c r="O178" s="196"/>
      <c r="P178" s="196"/>
      <c r="Q178" s="196"/>
      <c r="R178" s="196"/>
      <c r="S178" s="196"/>
      <c r="T178" s="196"/>
      <c r="U178" s="196"/>
      <c r="V178" s="196"/>
      <c r="W178" s="196"/>
      <c r="X178" s="196"/>
      <c r="Y178" s="196"/>
      <c r="Z178" s="196"/>
      <c r="AA178" s="196"/>
      <c r="AB178" s="196"/>
      <c r="AC178" s="196"/>
    </row>
    <row r="179" spans="1:29">
      <c r="A179" s="196"/>
      <c r="B179" s="196"/>
      <c r="C179" s="196"/>
      <c r="D179" s="196"/>
      <c r="E179" s="196"/>
      <c r="F179" s="196"/>
      <c r="G179" s="196"/>
      <c r="H179" s="196"/>
      <c r="I179" s="196"/>
      <c r="J179" s="196"/>
      <c r="K179" s="196"/>
      <c r="L179" s="196"/>
      <c r="M179" s="196"/>
      <c r="N179" s="196"/>
      <c r="O179" s="196"/>
      <c r="P179" s="196"/>
      <c r="Q179" s="196"/>
      <c r="R179" s="196"/>
      <c r="S179" s="196"/>
      <c r="T179" s="196"/>
      <c r="U179" s="196"/>
      <c r="V179" s="196"/>
      <c r="W179" s="196"/>
      <c r="X179" s="196"/>
      <c r="Y179" s="196"/>
      <c r="Z179" s="196"/>
      <c r="AA179" s="196"/>
      <c r="AB179" s="196"/>
      <c r="AC179" s="196"/>
    </row>
    <row r="180" spans="1:29">
      <c r="A180" s="196"/>
      <c r="B180" s="196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196"/>
      <c r="Q180" s="196"/>
      <c r="R180" s="196"/>
      <c r="S180" s="196"/>
      <c r="T180" s="196"/>
      <c r="U180" s="196"/>
      <c r="V180" s="196"/>
      <c r="W180" s="196"/>
      <c r="X180" s="196"/>
      <c r="Y180" s="196"/>
      <c r="Z180" s="196"/>
      <c r="AA180" s="196"/>
      <c r="AB180" s="196"/>
      <c r="AC180" s="196"/>
    </row>
    <row r="181" spans="1:29">
      <c r="A181" s="196"/>
      <c r="B181" s="196"/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O181" s="196"/>
      <c r="P181" s="196"/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</row>
    <row r="182" spans="1:29">
      <c r="A182" s="196"/>
      <c r="B182" s="196"/>
      <c r="C182" s="196"/>
      <c r="D182" s="196"/>
      <c r="E182" s="196"/>
      <c r="F182" s="196"/>
      <c r="G182" s="196"/>
      <c r="H182" s="196"/>
      <c r="I182" s="196"/>
      <c r="J182" s="196"/>
      <c r="K182" s="196"/>
      <c r="L182" s="196"/>
      <c r="M182" s="196"/>
      <c r="N182" s="196"/>
      <c r="O182" s="196"/>
      <c r="P182" s="196"/>
      <c r="Q182" s="196"/>
      <c r="R182" s="196"/>
      <c r="S182" s="196"/>
      <c r="T182" s="196"/>
      <c r="U182" s="196"/>
      <c r="V182" s="196"/>
      <c r="W182" s="196"/>
      <c r="X182" s="196"/>
      <c r="Y182" s="196"/>
      <c r="Z182" s="196"/>
      <c r="AA182" s="196"/>
      <c r="AB182" s="196"/>
      <c r="AC182" s="196"/>
    </row>
    <row r="183" spans="1:29">
      <c r="A183" s="196"/>
      <c r="B183" s="196"/>
      <c r="C183" s="196"/>
      <c r="D183" s="196"/>
      <c r="E183" s="196"/>
      <c r="F183" s="196"/>
      <c r="G183" s="196"/>
      <c r="H183" s="196"/>
      <c r="I183" s="196"/>
      <c r="J183" s="196"/>
      <c r="K183" s="196"/>
      <c r="L183" s="196"/>
      <c r="M183" s="196"/>
      <c r="N183" s="196"/>
      <c r="O183" s="196"/>
      <c r="P183" s="196"/>
      <c r="Q183" s="196"/>
      <c r="R183" s="196"/>
      <c r="S183" s="196"/>
      <c r="T183" s="196"/>
      <c r="U183" s="196"/>
      <c r="V183" s="196"/>
      <c r="W183" s="196"/>
      <c r="X183" s="196"/>
      <c r="Y183" s="196"/>
      <c r="Z183" s="196"/>
      <c r="AA183" s="196"/>
      <c r="AB183" s="196"/>
      <c r="AC183" s="196"/>
    </row>
    <row r="184" spans="1:29">
      <c r="A184" s="196"/>
      <c r="B184" s="196"/>
      <c r="C184" s="196"/>
      <c r="D184" s="196"/>
      <c r="E184" s="196"/>
      <c r="F184" s="196"/>
      <c r="G184" s="196"/>
      <c r="H184" s="196"/>
      <c r="I184" s="196"/>
      <c r="J184" s="196"/>
      <c r="K184" s="196"/>
      <c r="L184" s="196"/>
      <c r="M184" s="196"/>
      <c r="N184" s="196"/>
      <c r="O184" s="196"/>
      <c r="P184" s="196"/>
      <c r="Q184" s="196"/>
      <c r="R184" s="196"/>
      <c r="S184" s="196"/>
      <c r="T184" s="196"/>
      <c r="U184" s="196"/>
      <c r="V184" s="196"/>
      <c r="W184" s="196"/>
      <c r="X184" s="196"/>
      <c r="Y184" s="196"/>
      <c r="Z184" s="196"/>
      <c r="AA184" s="196"/>
      <c r="AB184" s="196"/>
      <c r="AC184" s="196"/>
    </row>
    <row r="185" spans="1:29">
      <c r="A185" s="196"/>
      <c r="B185" s="196"/>
      <c r="C185" s="196"/>
      <c r="D185" s="196"/>
      <c r="E185" s="196"/>
      <c r="F185" s="196"/>
      <c r="G185" s="196"/>
      <c r="H185" s="196"/>
      <c r="I185" s="196"/>
      <c r="J185" s="196"/>
      <c r="K185" s="196"/>
      <c r="L185" s="196"/>
      <c r="M185" s="196"/>
      <c r="N185" s="196"/>
      <c r="O185" s="196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  <c r="AA185" s="196"/>
      <c r="AB185" s="196"/>
      <c r="AC185" s="196"/>
    </row>
    <row r="186" spans="1:29">
      <c r="A186" s="196"/>
      <c r="B186" s="196"/>
      <c r="C186" s="196"/>
      <c r="D186" s="196"/>
      <c r="E186" s="196"/>
      <c r="F186" s="196"/>
      <c r="G186" s="196"/>
      <c r="H186" s="196"/>
      <c r="I186" s="196"/>
      <c r="J186" s="196"/>
      <c r="K186" s="196"/>
      <c r="L186" s="196"/>
      <c r="M186" s="196"/>
      <c r="N186" s="196"/>
      <c r="O186" s="196"/>
      <c r="P186" s="196"/>
      <c r="Q186" s="196"/>
      <c r="R186" s="196"/>
      <c r="S186" s="196"/>
      <c r="T186" s="196"/>
      <c r="U186" s="196"/>
      <c r="V186" s="196"/>
      <c r="W186" s="196"/>
      <c r="X186" s="196"/>
      <c r="Y186" s="196"/>
      <c r="Z186" s="196"/>
      <c r="AA186" s="196"/>
      <c r="AB186" s="196"/>
      <c r="AC186" s="196"/>
    </row>
    <row r="187" spans="1:29">
      <c r="A187" s="196"/>
      <c r="B187" s="196"/>
      <c r="C187" s="196"/>
      <c r="D187" s="196"/>
      <c r="E187" s="196"/>
      <c r="F187" s="196"/>
      <c r="G187" s="196"/>
      <c r="H187" s="196"/>
      <c r="I187" s="196"/>
      <c r="J187" s="196"/>
      <c r="K187" s="196"/>
      <c r="L187" s="196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</row>
    <row r="188" spans="1:29">
      <c r="A188" s="196"/>
      <c r="B188" s="196"/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196"/>
      <c r="Q188" s="196"/>
      <c r="R188" s="196"/>
      <c r="S188" s="196"/>
      <c r="T188" s="196"/>
      <c r="U188" s="196"/>
      <c r="V188" s="196"/>
      <c r="W188" s="196"/>
      <c r="X188" s="196"/>
      <c r="Y188" s="196"/>
      <c r="Z188" s="196"/>
      <c r="AA188" s="196"/>
      <c r="AB188" s="196"/>
      <c r="AC188" s="196"/>
    </row>
    <row r="189" spans="1:29">
      <c r="A189" s="196"/>
      <c r="B189" s="196"/>
      <c r="C189" s="196"/>
      <c r="D189" s="196"/>
      <c r="E189" s="196"/>
      <c r="F189" s="196"/>
      <c r="G189" s="196"/>
      <c r="H189" s="196"/>
      <c r="I189" s="196"/>
      <c r="J189" s="196"/>
      <c r="K189" s="196"/>
      <c r="L189" s="196"/>
      <c r="M189" s="196"/>
      <c r="N189" s="196"/>
      <c r="O189" s="196"/>
      <c r="P189" s="196"/>
      <c r="Q189" s="196"/>
      <c r="R189" s="196"/>
      <c r="S189" s="196"/>
      <c r="T189" s="196"/>
      <c r="U189" s="196"/>
      <c r="V189" s="196"/>
      <c r="W189" s="196"/>
      <c r="X189" s="196"/>
      <c r="Y189" s="196"/>
      <c r="Z189" s="196"/>
      <c r="AA189" s="196"/>
      <c r="AB189" s="196"/>
      <c r="AC189" s="196"/>
    </row>
    <row r="190" spans="1:29">
      <c r="A190" s="196"/>
      <c r="B190" s="196"/>
      <c r="C190" s="196"/>
      <c r="D190" s="196"/>
      <c r="E190" s="196"/>
      <c r="F190" s="196"/>
      <c r="G190" s="196"/>
      <c r="H190" s="196"/>
      <c r="I190" s="196"/>
      <c r="J190" s="196"/>
      <c r="K190" s="196"/>
      <c r="L190" s="196"/>
      <c r="M190" s="196"/>
      <c r="N190" s="196"/>
      <c r="O190" s="196"/>
      <c r="P190" s="196"/>
      <c r="Q190" s="196"/>
      <c r="R190" s="196"/>
      <c r="S190" s="196"/>
      <c r="T190" s="196"/>
      <c r="U190" s="196"/>
      <c r="V190" s="196"/>
      <c r="W190" s="196"/>
      <c r="X190" s="196"/>
      <c r="Y190" s="196"/>
      <c r="Z190" s="196"/>
      <c r="AA190" s="196"/>
      <c r="AB190" s="196"/>
      <c r="AC190" s="196"/>
    </row>
    <row r="191" spans="1:29">
      <c r="A191" s="196"/>
      <c r="B191" s="196"/>
      <c r="C191" s="196"/>
      <c r="D191" s="196"/>
      <c r="E191" s="196"/>
      <c r="F191" s="196"/>
      <c r="G191" s="196"/>
      <c r="H191" s="196"/>
      <c r="I191" s="196"/>
      <c r="J191" s="196"/>
      <c r="K191" s="196"/>
      <c r="L191" s="196"/>
      <c r="M191" s="196"/>
      <c r="N191" s="196"/>
      <c r="O191" s="196"/>
      <c r="P191" s="196"/>
      <c r="Q191" s="196"/>
      <c r="R191" s="196"/>
      <c r="S191" s="196"/>
      <c r="T191" s="196"/>
      <c r="U191" s="196"/>
      <c r="V191" s="196"/>
      <c r="W191" s="196"/>
      <c r="X191" s="196"/>
      <c r="Y191" s="196"/>
      <c r="Z191" s="196"/>
      <c r="AA191" s="196"/>
      <c r="AB191" s="196"/>
      <c r="AC191" s="196"/>
    </row>
    <row r="192" spans="1:29">
      <c r="A192" s="196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196"/>
      <c r="Y192" s="196"/>
      <c r="Z192" s="196"/>
      <c r="AA192" s="196"/>
      <c r="AB192" s="196"/>
      <c r="AC192" s="196"/>
    </row>
    <row r="193" spans="1:29">
      <c r="A193" s="196"/>
      <c r="B193" s="196"/>
      <c r="C193" s="196"/>
      <c r="D193" s="196"/>
      <c r="E193" s="196"/>
      <c r="F193" s="196"/>
      <c r="G193" s="196"/>
      <c r="H193" s="196"/>
      <c r="I193" s="196"/>
      <c r="J193" s="196"/>
      <c r="K193" s="196"/>
      <c r="L193" s="196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</row>
    <row r="194" spans="1:29">
      <c r="A194" s="196"/>
      <c r="B194" s="196"/>
      <c r="C194" s="196"/>
      <c r="D194" s="196"/>
      <c r="E194" s="196"/>
      <c r="F194" s="196"/>
      <c r="G194" s="196"/>
      <c r="H194" s="196"/>
      <c r="I194" s="196"/>
      <c r="J194" s="196"/>
      <c r="K194" s="196"/>
      <c r="L194" s="196"/>
      <c r="M194" s="196"/>
      <c r="N194" s="196"/>
      <c r="O194" s="196"/>
      <c r="P194" s="196"/>
      <c r="Q194" s="196"/>
      <c r="R194" s="196"/>
      <c r="S194" s="196"/>
      <c r="T194" s="196"/>
      <c r="U194" s="196"/>
      <c r="V194" s="196"/>
      <c r="W194" s="196"/>
      <c r="X194" s="196"/>
      <c r="Y194" s="196"/>
      <c r="Z194" s="196"/>
      <c r="AA194" s="196"/>
      <c r="AB194" s="196"/>
      <c r="AC194" s="196"/>
    </row>
    <row r="195" spans="1:29">
      <c r="A195" s="196"/>
      <c r="B195" s="196"/>
      <c r="C195" s="196"/>
      <c r="D195" s="196"/>
      <c r="E195" s="196"/>
      <c r="F195" s="196"/>
      <c r="G195" s="196"/>
      <c r="H195" s="196"/>
      <c r="I195" s="196"/>
      <c r="J195" s="196"/>
      <c r="K195" s="196"/>
      <c r="L195" s="196"/>
      <c r="M195" s="196"/>
      <c r="N195" s="196"/>
      <c r="O195" s="196"/>
      <c r="P195" s="196"/>
      <c r="Q195" s="196"/>
      <c r="R195" s="196"/>
      <c r="S195" s="196"/>
      <c r="T195" s="196"/>
      <c r="U195" s="196"/>
      <c r="V195" s="196"/>
      <c r="W195" s="196"/>
      <c r="X195" s="196"/>
      <c r="Y195" s="196"/>
      <c r="Z195" s="196"/>
      <c r="AA195" s="196"/>
      <c r="AB195" s="196"/>
      <c r="AC195" s="196"/>
    </row>
    <row r="196" spans="1:29">
      <c r="A196" s="196"/>
      <c r="B196" s="196"/>
      <c r="C196" s="196"/>
      <c r="D196" s="196"/>
      <c r="E196" s="196"/>
      <c r="F196" s="196"/>
      <c r="G196" s="196"/>
      <c r="H196" s="196"/>
      <c r="I196" s="196"/>
      <c r="J196" s="196"/>
      <c r="K196" s="196"/>
      <c r="L196" s="196"/>
      <c r="M196" s="196"/>
      <c r="N196" s="196"/>
      <c r="O196" s="196"/>
      <c r="P196" s="196"/>
      <c r="Q196" s="196"/>
      <c r="R196" s="196"/>
      <c r="S196" s="196"/>
      <c r="T196" s="196"/>
      <c r="U196" s="196"/>
      <c r="V196" s="196"/>
      <c r="W196" s="196"/>
      <c r="X196" s="196"/>
      <c r="Y196" s="196"/>
      <c r="Z196" s="196"/>
      <c r="AA196" s="196"/>
      <c r="AB196" s="196"/>
      <c r="AC196" s="196"/>
    </row>
    <row r="197" spans="1:29">
      <c r="A197" s="196"/>
      <c r="B197" s="196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</row>
    <row r="198" spans="1:29">
      <c r="A198" s="196"/>
      <c r="B198" s="196"/>
      <c r="C198" s="196"/>
      <c r="D198" s="196"/>
      <c r="E198" s="196"/>
      <c r="F198" s="196"/>
      <c r="G198" s="196"/>
      <c r="H198" s="196"/>
      <c r="I198" s="196"/>
      <c r="J198" s="196"/>
      <c r="K198" s="196"/>
      <c r="L198" s="196"/>
      <c r="M198" s="196"/>
      <c r="N198" s="196"/>
      <c r="O198" s="196"/>
      <c r="P198" s="196"/>
      <c r="Q198" s="196"/>
      <c r="R198" s="196"/>
      <c r="S198" s="196"/>
      <c r="T198" s="196"/>
      <c r="U198" s="196"/>
      <c r="V198" s="196"/>
      <c r="W198" s="196"/>
      <c r="X198" s="196"/>
      <c r="Y198" s="196"/>
      <c r="Z198" s="196"/>
      <c r="AA198" s="196"/>
      <c r="AB198" s="196"/>
      <c r="AC198" s="196"/>
    </row>
    <row r="199" spans="1:29">
      <c r="A199" s="196"/>
      <c r="B199" s="196"/>
      <c r="C199" s="196"/>
      <c r="D199" s="196"/>
      <c r="E199" s="196"/>
      <c r="F199" s="196"/>
      <c r="G199" s="196"/>
      <c r="H199" s="196"/>
      <c r="I199" s="196"/>
      <c r="J199" s="196"/>
      <c r="K199" s="196"/>
      <c r="L199" s="196"/>
      <c r="M199" s="196"/>
      <c r="N199" s="196"/>
      <c r="O199" s="196"/>
      <c r="P199" s="196"/>
      <c r="Q199" s="196"/>
      <c r="R199" s="196"/>
      <c r="S199" s="196"/>
      <c r="T199" s="196"/>
      <c r="U199" s="196"/>
      <c r="V199" s="196"/>
      <c r="W199" s="196"/>
      <c r="X199" s="196"/>
      <c r="Y199" s="196"/>
      <c r="Z199" s="196"/>
      <c r="AA199" s="196"/>
      <c r="AB199" s="196"/>
      <c r="AC199" s="196"/>
    </row>
    <row r="200" spans="1:29">
      <c r="A200" s="196"/>
      <c r="B200" s="196"/>
      <c r="C200" s="196"/>
      <c r="D200" s="196"/>
      <c r="E200" s="196"/>
      <c r="F200" s="196"/>
      <c r="G200" s="196"/>
      <c r="H200" s="196"/>
      <c r="I200" s="196"/>
      <c r="J200" s="196"/>
      <c r="K200" s="196"/>
      <c r="L200" s="196"/>
      <c r="M200" s="196"/>
      <c r="N200" s="196"/>
      <c r="O200" s="196"/>
      <c r="P200" s="196"/>
      <c r="Q200" s="196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</row>
    <row r="201" spans="1:29">
      <c r="A201" s="196"/>
      <c r="B201" s="196"/>
      <c r="C201" s="196"/>
      <c r="D201" s="196"/>
      <c r="E201" s="196"/>
      <c r="F201" s="196"/>
      <c r="G201" s="196"/>
      <c r="H201" s="196"/>
      <c r="I201" s="196"/>
      <c r="J201" s="196"/>
      <c r="K201" s="196"/>
      <c r="L201" s="196"/>
      <c r="M201" s="196"/>
      <c r="N201" s="196"/>
      <c r="O201" s="196"/>
      <c r="P201" s="196"/>
      <c r="Q201" s="196"/>
      <c r="R201" s="196"/>
      <c r="S201" s="196"/>
      <c r="T201" s="196"/>
      <c r="U201" s="196"/>
      <c r="V201" s="196"/>
      <c r="W201" s="196"/>
      <c r="X201" s="196"/>
      <c r="Y201" s="196"/>
      <c r="Z201" s="196"/>
      <c r="AA201" s="196"/>
      <c r="AB201" s="196"/>
      <c r="AC201" s="196"/>
    </row>
    <row r="202" spans="1:29">
      <c r="A202" s="196"/>
      <c r="B202" s="196"/>
      <c r="C202" s="196"/>
      <c r="D202" s="196"/>
      <c r="E202" s="196"/>
      <c r="F202" s="196"/>
      <c r="G202" s="196"/>
      <c r="H202" s="196"/>
      <c r="I202" s="196"/>
      <c r="J202" s="196"/>
      <c r="K202" s="196"/>
      <c r="L202" s="196"/>
      <c r="M202" s="196"/>
      <c r="N202" s="196"/>
      <c r="O202" s="196"/>
      <c r="P202" s="196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</row>
    <row r="203" spans="1:29">
      <c r="A203" s="196"/>
      <c r="B203" s="196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196"/>
      <c r="Q203" s="196"/>
      <c r="R203" s="196"/>
      <c r="S203" s="196"/>
      <c r="T203" s="196"/>
      <c r="U203" s="196"/>
      <c r="V203" s="196"/>
      <c r="W203" s="196"/>
      <c r="X203" s="196"/>
      <c r="Y203" s="196"/>
      <c r="Z203" s="196"/>
      <c r="AA203" s="196"/>
      <c r="AB203" s="196"/>
      <c r="AC203" s="196"/>
    </row>
    <row r="204" spans="1:29">
      <c r="A204" s="196"/>
      <c r="B204" s="196"/>
      <c r="C204" s="196"/>
      <c r="D204" s="196"/>
      <c r="E204" s="196"/>
      <c r="F204" s="196"/>
      <c r="G204" s="196"/>
      <c r="H204" s="196"/>
      <c r="I204" s="196"/>
      <c r="J204" s="196"/>
      <c r="K204" s="196"/>
      <c r="L204" s="196"/>
      <c r="M204" s="196"/>
      <c r="N204" s="196"/>
      <c r="O204" s="196"/>
      <c r="P204" s="196"/>
      <c r="Q204" s="196"/>
      <c r="R204" s="196"/>
      <c r="S204" s="196"/>
      <c r="T204" s="196"/>
      <c r="U204" s="196"/>
      <c r="V204" s="196"/>
      <c r="W204" s="196"/>
      <c r="X204" s="196"/>
      <c r="Y204" s="196"/>
      <c r="Z204" s="196"/>
      <c r="AA204" s="196"/>
      <c r="AB204" s="196"/>
      <c r="AC204" s="196"/>
    </row>
    <row r="205" spans="1:29">
      <c r="A205" s="196"/>
      <c r="B205" s="196"/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196"/>
      <c r="Q205" s="196"/>
      <c r="R205" s="196"/>
      <c r="S205" s="196"/>
      <c r="T205" s="196"/>
      <c r="U205" s="196"/>
      <c r="V205" s="196"/>
      <c r="W205" s="196"/>
      <c r="X205" s="196"/>
      <c r="Y205" s="196"/>
      <c r="Z205" s="196"/>
      <c r="AA205" s="196"/>
      <c r="AB205" s="196"/>
      <c r="AC205" s="196"/>
    </row>
    <row r="206" spans="1:29">
      <c r="A206" s="196"/>
      <c r="B206" s="196"/>
      <c r="C206" s="196"/>
      <c r="D206" s="196"/>
      <c r="E206" s="196"/>
      <c r="F206" s="196"/>
      <c r="G206" s="196"/>
      <c r="H206" s="196"/>
      <c r="I206" s="196"/>
      <c r="J206" s="196"/>
      <c r="K206" s="196"/>
      <c r="L206" s="196"/>
      <c r="M206" s="196"/>
      <c r="N206" s="196"/>
      <c r="O206" s="196"/>
      <c r="P206" s="196"/>
      <c r="Q206" s="196"/>
      <c r="R206" s="196"/>
      <c r="S206" s="196"/>
      <c r="T206" s="196"/>
      <c r="U206" s="196"/>
      <c r="V206" s="196"/>
      <c r="W206" s="196"/>
      <c r="X206" s="196"/>
      <c r="Y206" s="196"/>
      <c r="Z206" s="196"/>
      <c r="AA206" s="196"/>
      <c r="AB206" s="196"/>
      <c r="AC206" s="196"/>
    </row>
    <row r="207" spans="1:29">
      <c r="A207" s="196"/>
      <c r="B207" s="196"/>
      <c r="C207" s="196"/>
      <c r="D207" s="196"/>
      <c r="E207" s="196"/>
      <c r="F207" s="196"/>
      <c r="G207" s="196"/>
      <c r="H207" s="196"/>
      <c r="I207" s="196"/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Z207" s="196"/>
      <c r="AA207" s="196"/>
      <c r="AB207" s="196"/>
      <c r="AC207" s="196"/>
    </row>
    <row r="208" spans="1:29">
      <c r="A208" s="196"/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  <c r="O208" s="196"/>
      <c r="P208" s="196"/>
      <c r="Q208" s="196"/>
      <c r="R208" s="196"/>
      <c r="S208" s="196"/>
      <c r="T208" s="196"/>
      <c r="U208" s="196"/>
      <c r="V208" s="196"/>
      <c r="W208" s="196"/>
      <c r="X208" s="196"/>
      <c r="Y208" s="196"/>
      <c r="Z208" s="196"/>
      <c r="AA208" s="196"/>
      <c r="AB208" s="196"/>
      <c r="AC208" s="196"/>
    </row>
    <row r="209" spans="1:29">
      <c r="A209" s="196"/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6"/>
      <c r="P209" s="196"/>
      <c r="Q209" s="196"/>
      <c r="R209" s="196"/>
      <c r="S209" s="196"/>
      <c r="T209" s="196"/>
      <c r="U209" s="196"/>
      <c r="V209" s="196"/>
      <c r="W209" s="196"/>
      <c r="X209" s="196"/>
      <c r="Y209" s="196"/>
      <c r="Z209" s="196"/>
      <c r="AA209" s="196"/>
      <c r="AB209" s="196"/>
      <c r="AC209" s="196"/>
    </row>
    <row r="210" spans="1:29">
      <c r="A210" s="196"/>
      <c r="B210" s="196"/>
      <c r="C210" s="196"/>
      <c r="D210" s="196"/>
      <c r="E210" s="196"/>
      <c r="F210" s="196"/>
      <c r="G210" s="196"/>
      <c r="H210" s="196"/>
      <c r="I210" s="196"/>
      <c r="J210" s="196"/>
      <c r="K210" s="196"/>
      <c r="L210" s="196"/>
      <c r="M210" s="196"/>
      <c r="N210" s="196"/>
      <c r="O210" s="196"/>
      <c r="P210" s="196"/>
      <c r="Q210" s="196"/>
      <c r="R210" s="196"/>
      <c r="S210" s="196"/>
      <c r="T210" s="196"/>
      <c r="U210" s="196"/>
      <c r="V210" s="196"/>
      <c r="W210" s="196"/>
      <c r="X210" s="196"/>
      <c r="Y210" s="196"/>
      <c r="Z210" s="196"/>
      <c r="AA210" s="196"/>
      <c r="AB210" s="196"/>
      <c r="AC210" s="196"/>
    </row>
    <row r="211" spans="1:29">
      <c r="A211" s="196"/>
      <c r="B211" s="196"/>
      <c r="C211" s="196"/>
      <c r="D211" s="196"/>
      <c r="E211" s="196"/>
      <c r="F211" s="196"/>
      <c r="G211" s="196"/>
      <c r="H211" s="196"/>
      <c r="I211" s="196"/>
      <c r="J211" s="196"/>
      <c r="K211" s="196"/>
      <c r="L211" s="196"/>
      <c r="M211" s="196"/>
      <c r="N211" s="196"/>
      <c r="O211" s="196"/>
      <c r="P211" s="196"/>
      <c r="Q211" s="196"/>
      <c r="R211" s="196"/>
      <c r="S211" s="196"/>
      <c r="T211" s="196"/>
      <c r="U211" s="196"/>
      <c r="V211" s="196"/>
      <c r="W211" s="196"/>
      <c r="X211" s="196"/>
      <c r="Y211" s="196"/>
      <c r="Z211" s="196"/>
      <c r="AA211" s="196"/>
      <c r="AB211" s="196"/>
      <c r="AC211" s="196"/>
    </row>
    <row r="212" spans="1:29">
      <c r="A212" s="196"/>
      <c r="B212" s="196"/>
      <c r="C212" s="196"/>
      <c r="D212" s="196"/>
      <c r="E212" s="196"/>
      <c r="F212" s="196"/>
      <c r="G212" s="196"/>
      <c r="H212" s="196"/>
      <c r="I212" s="196"/>
      <c r="J212" s="196"/>
      <c r="K212" s="196"/>
      <c r="L212" s="196"/>
      <c r="M212" s="196"/>
      <c r="N212" s="196"/>
      <c r="O212" s="196"/>
      <c r="P212" s="196"/>
      <c r="Q212" s="196"/>
      <c r="R212" s="196"/>
      <c r="S212" s="196"/>
      <c r="T212" s="196"/>
      <c r="U212" s="196"/>
      <c r="V212" s="196"/>
      <c r="W212" s="196"/>
      <c r="X212" s="196"/>
      <c r="Y212" s="196"/>
      <c r="Z212" s="196"/>
      <c r="AA212" s="196"/>
      <c r="AB212" s="196"/>
      <c r="AC212" s="196"/>
    </row>
    <row r="213" spans="1:29">
      <c r="A213" s="196"/>
      <c r="B213" s="196"/>
      <c r="C213" s="196"/>
      <c r="D213" s="196"/>
      <c r="E213" s="196"/>
      <c r="F213" s="196"/>
      <c r="G213" s="196"/>
      <c r="H213" s="196"/>
      <c r="I213" s="196"/>
      <c r="J213" s="196"/>
      <c r="K213" s="196"/>
      <c r="L213" s="196"/>
      <c r="M213" s="196"/>
      <c r="N213" s="196"/>
      <c r="O213" s="196"/>
      <c r="P213" s="196"/>
      <c r="Q213" s="196"/>
      <c r="R213" s="196"/>
      <c r="S213" s="196"/>
      <c r="T213" s="196"/>
      <c r="U213" s="196"/>
      <c r="V213" s="196"/>
      <c r="W213" s="196"/>
      <c r="X213" s="196"/>
      <c r="Y213" s="196"/>
      <c r="Z213" s="196"/>
      <c r="AA213" s="196"/>
      <c r="AB213" s="196"/>
      <c r="AC213" s="196"/>
    </row>
    <row r="214" spans="1:29">
      <c r="A214" s="196"/>
      <c r="B214" s="196"/>
      <c r="C214" s="196"/>
      <c r="D214" s="196"/>
      <c r="E214" s="196"/>
      <c r="F214" s="196"/>
      <c r="G214" s="196"/>
      <c r="H214" s="196"/>
      <c r="I214" s="196"/>
      <c r="J214" s="196"/>
      <c r="K214" s="196"/>
      <c r="L214" s="196"/>
      <c r="M214" s="196"/>
      <c r="N214" s="196"/>
      <c r="O214" s="196"/>
      <c r="P214" s="196"/>
      <c r="Q214" s="196"/>
      <c r="R214" s="196"/>
      <c r="S214" s="196"/>
      <c r="T214" s="196"/>
      <c r="U214" s="196"/>
      <c r="V214" s="196"/>
      <c r="W214" s="196"/>
      <c r="X214" s="196"/>
      <c r="Y214" s="196"/>
      <c r="Z214" s="196"/>
      <c r="AA214" s="196"/>
      <c r="AB214" s="196"/>
      <c r="AC214" s="196"/>
    </row>
    <row r="215" spans="1:29">
      <c r="A215" s="196"/>
      <c r="B215" s="196"/>
      <c r="C215" s="196"/>
      <c r="D215" s="196"/>
      <c r="E215" s="196"/>
      <c r="F215" s="196"/>
      <c r="G215" s="196"/>
      <c r="H215" s="196"/>
      <c r="I215" s="196"/>
      <c r="J215" s="196"/>
      <c r="K215" s="196"/>
      <c r="L215" s="196"/>
      <c r="M215" s="196"/>
      <c r="N215" s="196"/>
      <c r="O215" s="196"/>
      <c r="P215" s="196"/>
      <c r="Q215" s="196"/>
      <c r="R215" s="196"/>
      <c r="S215" s="196"/>
      <c r="T215" s="196"/>
      <c r="U215" s="196"/>
      <c r="V215" s="196"/>
      <c r="W215" s="196"/>
      <c r="X215" s="196"/>
      <c r="Y215" s="196"/>
      <c r="Z215" s="196"/>
      <c r="AA215" s="196"/>
      <c r="AB215" s="196"/>
      <c r="AC215" s="196"/>
    </row>
    <row r="216" spans="1:29">
      <c r="A216" s="196"/>
      <c r="B216" s="196"/>
      <c r="C216" s="196"/>
      <c r="D216" s="196"/>
      <c r="E216" s="196"/>
      <c r="F216" s="196"/>
      <c r="G216" s="196"/>
      <c r="H216" s="196"/>
      <c r="I216" s="196"/>
      <c r="J216" s="196"/>
      <c r="K216" s="196"/>
      <c r="L216" s="196"/>
      <c r="M216" s="196"/>
      <c r="N216" s="196"/>
      <c r="O216" s="196"/>
      <c r="P216" s="196"/>
      <c r="Q216" s="196"/>
      <c r="R216" s="196"/>
      <c r="S216" s="196"/>
      <c r="T216" s="196"/>
      <c r="U216" s="196"/>
      <c r="V216" s="196"/>
      <c r="W216" s="196"/>
      <c r="X216" s="196"/>
      <c r="Y216" s="196"/>
      <c r="Z216" s="196"/>
      <c r="AA216" s="196"/>
      <c r="AB216" s="196"/>
      <c r="AC216" s="196"/>
    </row>
    <row r="217" spans="1:29">
      <c r="A217" s="196"/>
      <c r="B217" s="196"/>
      <c r="C217" s="196"/>
      <c r="D217" s="196"/>
      <c r="E217" s="196"/>
      <c r="F217" s="196"/>
      <c r="G217" s="196"/>
      <c r="H217" s="196"/>
      <c r="I217" s="196"/>
      <c r="J217" s="196"/>
      <c r="K217" s="196"/>
      <c r="L217" s="196"/>
      <c r="M217" s="196"/>
      <c r="N217" s="196"/>
      <c r="O217" s="196"/>
      <c r="P217" s="196"/>
      <c r="Q217" s="196"/>
      <c r="R217" s="196"/>
      <c r="S217" s="196"/>
      <c r="T217" s="196"/>
      <c r="U217" s="196"/>
      <c r="V217" s="196"/>
      <c r="W217" s="196"/>
      <c r="X217" s="196"/>
      <c r="Y217" s="196"/>
      <c r="Z217" s="196"/>
      <c r="AA217" s="196"/>
      <c r="AB217" s="196"/>
      <c r="AC217" s="196"/>
    </row>
    <row r="218" spans="1:29">
      <c r="A218" s="196"/>
      <c r="B218" s="196"/>
      <c r="C218" s="196"/>
      <c r="D218" s="196"/>
      <c r="E218" s="196"/>
      <c r="F218" s="196"/>
      <c r="G218" s="196"/>
      <c r="H218" s="196"/>
      <c r="I218" s="196"/>
      <c r="J218" s="196"/>
      <c r="K218" s="196"/>
      <c r="L218" s="196"/>
      <c r="M218" s="196"/>
      <c r="N218" s="196"/>
      <c r="O218" s="196"/>
      <c r="P218" s="196"/>
      <c r="Q218" s="196"/>
      <c r="R218" s="196"/>
      <c r="S218" s="196"/>
      <c r="T218" s="196"/>
      <c r="U218" s="196"/>
      <c r="V218" s="196"/>
      <c r="W218" s="196"/>
      <c r="X218" s="196"/>
      <c r="Y218" s="196"/>
      <c r="Z218" s="196"/>
      <c r="AA218" s="196"/>
      <c r="AB218" s="196"/>
      <c r="AC218" s="196"/>
    </row>
    <row r="219" spans="1:29">
      <c r="A219" s="196"/>
      <c r="B219" s="196"/>
      <c r="C219" s="196"/>
      <c r="D219" s="196"/>
      <c r="E219" s="196"/>
      <c r="F219" s="196"/>
      <c r="G219" s="196"/>
      <c r="H219" s="196"/>
      <c r="I219" s="196"/>
      <c r="J219" s="196"/>
      <c r="K219" s="196"/>
      <c r="L219" s="196"/>
      <c r="M219" s="196"/>
      <c r="N219" s="196"/>
      <c r="O219" s="196"/>
      <c r="P219" s="196"/>
      <c r="Q219" s="196"/>
      <c r="R219" s="196"/>
      <c r="S219" s="196"/>
      <c r="T219" s="196"/>
      <c r="U219" s="196"/>
      <c r="V219" s="196"/>
      <c r="W219" s="196"/>
      <c r="X219" s="196"/>
      <c r="Y219" s="196"/>
      <c r="Z219" s="196"/>
      <c r="AA219" s="196"/>
      <c r="AB219" s="196"/>
      <c r="AC219" s="196"/>
    </row>
    <row r="220" spans="1:29">
      <c r="A220" s="196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</row>
    <row r="221" spans="1:29">
      <c r="A221" s="196"/>
      <c r="B221" s="196"/>
      <c r="C221" s="196"/>
      <c r="D221" s="196"/>
      <c r="E221" s="196"/>
      <c r="F221" s="196"/>
      <c r="G221" s="196"/>
      <c r="H221" s="196"/>
      <c r="I221" s="196"/>
      <c r="J221" s="196"/>
      <c r="K221" s="196"/>
      <c r="L221" s="196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</row>
    <row r="222" spans="1:29">
      <c r="A222" s="196"/>
      <c r="B222" s="196"/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</row>
    <row r="223" spans="1:29">
      <c r="A223" s="196"/>
      <c r="B223" s="196"/>
      <c r="C223" s="196"/>
      <c r="D223" s="196"/>
      <c r="E223" s="196"/>
      <c r="F223" s="196"/>
      <c r="G223" s="196"/>
      <c r="H223" s="196"/>
      <c r="I223" s="196"/>
      <c r="J223" s="196"/>
      <c r="K223" s="196"/>
      <c r="L223" s="196"/>
      <c r="M223" s="196"/>
      <c r="N223" s="196"/>
      <c r="O223" s="196"/>
      <c r="P223" s="196"/>
      <c r="Q223" s="196"/>
      <c r="R223" s="196"/>
      <c r="S223" s="196"/>
      <c r="T223" s="196"/>
      <c r="U223" s="196"/>
      <c r="V223" s="196"/>
      <c r="W223" s="196"/>
      <c r="X223" s="196"/>
      <c r="Y223" s="196"/>
      <c r="Z223" s="196"/>
      <c r="AA223" s="196"/>
      <c r="AB223" s="196"/>
      <c r="AC223" s="196"/>
    </row>
    <row r="224" spans="1:29">
      <c r="A224" s="196"/>
      <c r="B224" s="196"/>
      <c r="C224" s="196"/>
      <c r="D224" s="196"/>
      <c r="E224" s="196"/>
      <c r="F224" s="196"/>
      <c r="G224" s="196"/>
      <c r="H224" s="196"/>
      <c r="I224" s="196"/>
      <c r="J224" s="196"/>
      <c r="K224" s="196"/>
      <c r="L224" s="196"/>
      <c r="M224" s="196"/>
      <c r="N224" s="196"/>
      <c r="O224" s="196"/>
      <c r="P224" s="196"/>
      <c r="Q224" s="196"/>
      <c r="R224" s="196"/>
      <c r="S224" s="196"/>
      <c r="T224" s="196"/>
      <c r="U224" s="196"/>
      <c r="V224" s="196"/>
      <c r="W224" s="196"/>
      <c r="X224" s="196"/>
      <c r="Y224" s="196"/>
      <c r="Z224" s="196"/>
      <c r="AA224" s="196"/>
      <c r="AB224" s="196"/>
      <c r="AC224" s="196"/>
    </row>
    <row r="225" spans="1:29">
      <c r="A225" s="196"/>
      <c r="B225" s="196"/>
      <c r="C225" s="196"/>
      <c r="D225" s="196"/>
      <c r="E225" s="196"/>
      <c r="F225" s="196"/>
      <c r="G225" s="196"/>
      <c r="H225" s="196"/>
      <c r="I225" s="196"/>
      <c r="J225" s="196"/>
      <c r="K225" s="196"/>
      <c r="L225" s="196"/>
      <c r="M225" s="196"/>
      <c r="N225" s="196"/>
      <c r="O225" s="196"/>
      <c r="P225" s="196"/>
      <c r="Q225" s="196"/>
      <c r="R225" s="196"/>
      <c r="S225" s="196"/>
      <c r="T225" s="196"/>
      <c r="U225" s="196"/>
      <c r="V225" s="196"/>
      <c r="W225" s="196"/>
      <c r="X225" s="196"/>
      <c r="Y225" s="196"/>
      <c r="Z225" s="196"/>
      <c r="AA225" s="196"/>
      <c r="AB225" s="196"/>
      <c r="AC225" s="196"/>
    </row>
    <row r="226" spans="1:29">
      <c r="A226" s="196"/>
      <c r="B226" s="196"/>
      <c r="C226" s="196"/>
      <c r="D226" s="196"/>
      <c r="E226" s="196"/>
      <c r="F226" s="196"/>
      <c r="G226" s="196"/>
      <c r="H226" s="196"/>
      <c r="I226" s="196"/>
      <c r="J226" s="196"/>
      <c r="K226" s="196"/>
      <c r="L226" s="196"/>
      <c r="M226" s="196"/>
      <c r="N226" s="196"/>
      <c r="O226" s="196"/>
      <c r="P226" s="196"/>
      <c r="Q226" s="196"/>
      <c r="R226" s="196"/>
      <c r="S226" s="196"/>
      <c r="T226" s="196"/>
      <c r="U226" s="196"/>
      <c r="V226" s="196"/>
      <c r="W226" s="196"/>
      <c r="X226" s="196"/>
      <c r="Y226" s="196"/>
      <c r="Z226" s="196"/>
      <c r="AA226" s="196"/>
      <c r="AB226" s="196"/>
      <c r="AC226" s="196"/>
    </row>
    <row r="227" spans="1:29">
      <c r="A227" s="196"/>
      <c r="B227" s="196"/>
      <c r="C227" s="196"/>
      <c r="D227" s="196"/>
      <c r="E227" s="196"/>
      <c r="F227" s="196"/>
      <c r="G227" s="196"/>
      <c r="H227" s="196"/>
      <c r="I227" s="196"/>
      <c r="J227" s="196"/>
      <c r="K227" s="196"/>
      <c r="L227" s="196"/>
      <c r="M227" s="196"/>
      <c r="N227" s="196"/>
      <c r="O227" s="196"/>
      <c r="P227" s="196"/>
      <c r="Q227" s="196"/>
      <c r="R227" s="196"/>
      <c r="S227" s="196"/>
      <c r="T227" s="196"/>
      <c r="U227" s="196"/>
      <c r="V227" s="196"/>
      <c r="W227" s="196"/>
      <c r="X227" s="196"/>
      <c r="Y227" s="196"/>
      <c r="Z227" s="196"/>
      <c r="AA227" s="196"/>
      <c r="AB227" s="196"/>
      <c r="AC227" s="196"/>
    </row>
    <row r="228" spans="1:29">
      <c r="A228" s="196"/>
      <c r="B228" s="196"/>
      <c r="C228" s="196"/>
      <c r="D228" s="196"/>
      <c r="E228" s="196"/>
      <c r="F228" s="196"/>
      <c r="G228" s="196"/>
      <c r="H228" s="196"/>
      <c r="I228" s="196"/>
      <c r="J228" s="196"/>
      <c r="K228" s="196"/>
      <c r="L228" s="196"/>
      <c r="M228" s="196"/>
      <c r="N228" s="196"/>
      <c r="O228" s="196"/>
      <c r="P228" s="196"/>
      <c r="Q228" s="196"/>
      <c r="R228" s="196"/>
      <c r="S228" s="196"/>
      <c r="T228" s="196"/>
      <c r="U228" s="196"/>
      <c r="V228" s="196"/>
      <c r="W228" s="196"/>
      <c r="X228" s="196"/>
      <c r="Y228" s="196"/>
      <c r="Z228" s="196"/>
      <c r="AA228" s="196"/>
      <c r="AB228" s="196"/>
      <c r="AC228" s="196"/>
    </row>
    <row r="229" spans="1:29">
      <c r="A229" s="196"/>
      <c r="B229" s="196"/>
      <c r="C229" s="196"/>
      <c r="D229" s="196"/>
      <c r="E229" s="196"/>
      <c r="F229" s="196"/>
      <c r="G229" s="196"/>
      <c r="H229" s="196"/>
      <c r="I229" s="196"/>
      <c r="J229" s="196"/>
      <c r="K229" s="196"/>
      <c r="L229" s="196"/>
      <c r="M229" s="196"/>
      <c r="N229" s="196"/>
      <c r="O229" s="196"/>
      <c r="P229" s="196"/>
      <c r="Q229" s="196"/>
      <c r="R229" s="196"/>
      <c r="S229" s="196"/>
      <c r="T229" s="196"/>
      <c r="U229" s="196"/>
      <c r="V229" s="196"/>
      <c r="W229" s="196"/>
      <c r="X229" s="196"/>
      <c r="Y229" s="196"/>
      <c r="Z229" s="196"/>
      <c r="AA229" s="196"/>
      <c r="AB229" s="196"/>
      <c r="AC229" s="196"/>
    </row>
    <row r="230" spans="1:29">
      <c r="A230" s="196"/>
      <c r="B230" s="196"/>
      <c r="C230" s="196"/>
      <c r="D230" s="196"/>
      <c r="E230" s="196"/>
      <c r="F230" s="196"/>
      <c r="G230" s="196"/>
      <c r="H230" s="196"/>
      <c r="I230" s="196"/>
      <c r="J230" s="196"/>
      <c r="K230" s="196"/>
      <c r="L230" s="196"/>
      <c r="M230" s="196"/>
      <c r="N230" s="196"/>
      <c r="O230" s="196"/>
      <c r="P230" s="196"/>
      <c r="Q230" s="196"/>
      <c r="R230" s="196"/>
      <c r="S230" s="196"/>
      <c r="T230" s="196"/>
      <c r="U230" s="196"/>
      <c r="V230" s="196"/>
      <c r="W230" s="196"/>
      <c r="X230" s="196"/>
      <c r="Y230" s="196"/>
      <c r="Z230" s="196"/>
      <c r="AA230" s="196"/>
      <c r="AB230" s="196"/>
      <c r="AC230" s="196"/>
    </row>
    <row r="231" spans="1:29">
      <c r="A231" s="196"/>
      <c r="B231" s="196"/>
      <c r="C231" s="196"/>
      <c r="D231" s="196"/>
      <c r="E231" s="196"/>
      <c r="F231" s="196"/>
      <c r="G231" s="196"/>
      <c r="H231" s="196"/>
      <c r="I231" s="196"/>
      <c r="J231" s="196"/>
      <c r="K231" s="196"/>
      <c r="L231" s="196"/>
      <c r="M231" s="196"/>
      <c r="N231" s="196"/>
      <c r="O231" s="196"/>
      <c r="P231" s="196"/>
      <c r="Q231" s="196"/>
      <c r="R231" s="196"/>
      <c r="S231" s="196"/>
      <c r="T231" s="196"/>
      <c r="U231" s="196"/>
      <c r="V231" s="196"/>
      <c r="W231" s="196"/>
      <c r="X231" s="196"/>
      <c r="Y231" s="196"/>
      <c r="Z231" s="196"/>
      <c r="AA231" s="196"/>
      <c r="AB231" s="196"/>
      <c r="AC231" s="196"/>
    </row>
    <row r="232" spans="1:29">
      <c r="A232" s="196"/>
      <c r="B232" s="196"/>
      <c r="C232" s="196"/>
      <c r="D232" s="196"/>
      <c r="E232" s="196"/>
      <c r="F232" s="196"/>
      <c r="G232" s="196"/>
      <c r="H232" s="196"/>
      <c r="I232" s="196"/>
      <c r="J232" s="196"/>
      <c r="K232" s="196"/>
      <c r="L232" s="196"/>
      <c r="M232" s="196"/>
      <c r="N232" s="196"/>
      <c r="O232" s="196"/>
      <c r="P232" s="196"/>
      <c r="Q232" s="196"/>
      <c r="R232" s="196"/>
      <c r="S232" s="196"/>
      <c r="T232" s="196"/>
      <c r="U232" s="196"/>
      <c r="V232" s="196"/>
      <c r="W232" s="196"/>
      <c r="X232" s="196"/>
      <c r="Y232" s="196"/>
      <c r="Z232" s="196"/>
      <c r="AA232" s="196"/>
      <c r="AB232" s="196"/>
      <c r="AC232" s="196"/>
    </row>
    <row r="233" spans="1:29">
      <c r="A233" s="196"/>
      <c r="B233" s="196"/>
      <c r="C233" s="196"/>
      <c r="D233" s="196"/>
      <c r="E233" s="196"/>
      <c r="F233" s="196"/>
      <c r="G233" s="196"/>
      <c r="H233" s="196"/>
      <c r="I233" s="196"/>
      <c r="J233" s="196"/>
      <c r="K233" s="196"/>
      <c r="L233" s="196"/>
      <c r="M233" s="196"/>
      <c r="N233" s="196"/>
      <c r="O233" s="196"/>
      <c r="P233" s="196"/>
      <c r="Q233" s="196"/>
      <c r="R233" s="196"/>
      <c r="S233" s="196"/>
      <c r="T233" s="196"/>
      <c r="U233" s="196"/>
      <c r="V233" s="196"/>
      <c r="W233" s="196"/>
      <c r="X233" s="196"/>
      <c r="Y233" s="196"/>
      <c r="Z233" s="196"/>
      <c r="AA233" s="196"/>
      <c r="AB233" s="196"/>
      <c r="AC233" s="196"/>
    </row>
    <row r="234" spans="1:29">
      <c r="A234" s="196"/>
      <c r="B234" s="196"/>
      <c r="C234" s="196"/>
      <c r="D234" s="196"/>
      <c r="E234" s="196"/>
      <c r="F234" s="196"/>
      <c r="G234" s="196"/>
      <c r="H234" s="196"/>
      <c r="I234" s="196"/>
      <c r="J234" s="196"/>
      <c r="K234" s="196"/>
      <c r="L234" s="196"/>
      <c r="M234" s="196"/>
      <c r="N234" s="196"/>
      <c r="O234" s="196"/>
      <c r="P234" s="196"/>
      <c r="Q234" s="196"/>
      <c r="R234" s="196"/>
      <c r="S234" s="196"/>
      <c r="T234" s="196"/>
      <c r="U234" s="196"/>
      <c r="V234" s="196"/>
      <c r="W234" s="196"/>
      <c r="X234" s="196"/>
      <c r="Y234" s="196"/>
      <c r="Z234" s="196"/>
      <c r="AA234" s="196"/>
      <c r="AB234" s="196"/>
      <c r="AC234" s="196"/>
    </row>
    <row r="235" spans="1:29">
      <c r="A235" s="196"/>
      <c r="B235" s="196"/>
      <c r="C235" s="196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196"/>
      <c r="Q235" s="196"/>
      <c r="R235" s="196"/>
      <c r="S235" s="196"/>
      <c r="T235" s="196"/>
      <c r="U235" s="196"/>
      <c r="V235" s="196"/>
      <c r="W235" s="196"/>
      <c r="X235" s="196"/>
      <c r="Y235" s="196"/>
      <c r="Z235" s="196"/>
      <c r="AA235" s="196"/>
      <c r="AB235" s="196"/>
      <c r="AC235" s="196"/>
    </row>
    <row r="236" spans="1:29">
      <c r="A236" s="196"/>
      <c r="B236" s="196"/>
      <c r="C236" s="196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196"/>
      <c r="Q236" s="196"/>
      <c r="R236" s="196"/>
      <c r="S236" s="196"/>
      <c r="T236" s="196"/>
      <c r="U236" s="196"/>
      <c r="V236" s="196"/>
      <c r="W236" s="196"/>
      <c r="X236" s="196"/>
      <c r="Y236" s="196"/>
      <c r="Z236" s="196"/>
      <c r="AA236" s="196"/>
      <c r="AB236" s="196"/>
      <c r="AC236" s="196"/>
    </row>
    <row r="237" spans="1:29">
      <c r="A237" s="196"/>
      <c r="B237" s="196"/>
      <c r="C237" s="196"/>
      <c r="D237" s="196"/>
      <c r="E237" s="196"/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196"/>
      <c r="Q237" s="196"/>
      <c r="R237" s="196"/>
      <c r="S237" s="196"/>
      <c r="T237" s="196"/>
      <c r="U237" s="196"/>
      <c r="V237" s="196"/>
      <c r="W237" s="196"/>
      <c r="X237" s="196"/>
      <c r="Y237" s="196"/>
      <c r="Z237" s="196"/>
      <c r="AA237" s="196"/>
      <c r="AB237" s="196"/>
      <c r="AC237" s="196"/>
    </row>
    <row r="238" spans="1:29">
      <c r="A238" s="196"/>
      <c r="B238" s="196"/>
      <c r="C238" s="196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196"/>
      <c r="Q238" s="196"/>
      <c r="R238" s="196"/>
      <c r="S238" s="196"/>
      <c r="T238" s="196"/>
      <c r="U238" s="196"/>
      <c r="V238" s="196"/>
      <c r="W238" s="196"/>
      <c r="X238" s="196"/>
      <c r="Y238" s="196"/>
      <c r="Z238" s="196"/>
      <c r="AA238" s="196"/>
      <c r="AB238" s="196"/>
      <c r="AC238" s="196"/>
    </row>
    <row r="239" spans="1:29">
      <c r="A239" s="196"/>
      <c r="B239" s="196"/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196"/>
      <c r="Q239" s="196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6"/>
      <c r="AC239" s="196"/>
    </row>
    <row r="240" spans="1:29">
      <c r="A240" s="196"/>
      <c r="B240" s="196"/>
      <c r="C240" s="196"/>
      <c r="D240" s="196"/>
      <c r="E240" s="196"/>
      <c r="F240" s="196"/>
      <c r="G240" s="196"/>
      <c r="H240" s="196"/>
      <c r="I240" s="196"/>
      <c r="J240" s="196"/>
      <c r="K240" s="196"/>
      <c r="L240" s="196"/>
      <c r="M240" s="196"/>
      <c r="N240" s="196"/>
      <c r="O240" s="196"/>
      <c r="P240" s="196"/>
      <c r="Q240" s="196"/>
      <c r="R240" s="196"/>
      <c r="S240" s="196"/>
      <c r="T240" s="196"/>
      <c r="U240" s="196"/>
      <c r="V240" s="196"/>
      <c r="W240" s="196"/>
      <c r="X240" s="196"/>
      <c r="Y240" s="196"/>
      <c r="Z240" s="196"/>
      <c r="AA240" s="196"/>
      <c r="AB240" s="196"/>
      <c r="AC240" s="196"/>
    </row>
    <row r="241" spans="1:29">
      <c r="A241" s="196"/>
      <c r="B241" s="196"/>
      <c r="C241" s="196"/>
      <c r="D241" s="196"/>
      <c r="E241" s="196"/>
      <c r="F241" s="196"/>
      <c r="G241" s="196"/>
      <c r="H241" s="196"/>
      <c r="I241" s="196"/>
      <c r="J241" s="196"/>
      <c r="K241" s="196"/>
      <c r="L241" s="196"/>
      <c r="M241" s="196"/>
      <c r="N241" s="196"/>
      <c r="O241" s="196"/>
      <c r="P241" s="196"/>
      <c r="Q241" s="196"/>
      <c r="R241" s="196"/>
      <c r="S241" s="196"/>
      <c r="T241" s="196"/>
      <c r="U241" s="196"/>
      <c r="V241" s="196"/>
      <c r="W241" s="196"/>
      <c r="X241" s="196"/>
      <c r="Y241" s="196"/>
      <c r="Z241" s="196"/>
      <c r="AA241" s="196"/>
      <c r="AB241" s="196"/>
      <c r="AC241" s="196"/>
    </row>
    <row r="242" spans="1:29">
      <c r="A242" s="196"/>
      <c r="B242" s="196"/>
      <c r="C242" s="196"/>
      <c r="D242" s="196"/>
      <c r="E242" s="196"/>
      <c r="F242" s="196"/>
      <c r="G242" s="196"/>
      <c r="H242" s="196"/>
      <c r="I242" s="196"/>
      <c r="J242" s="196"/>
      <c r="K242" s="196"/>
      <c r="L242" s="196"/>
      <c r="M242" s="196"/>
      <c r="N242" s="196"/>
      <c r="O242" s="196"/>
      <c r="P242" s="196"/>
      <c r="Q242" s="196"/>
      <c r="R242" s="196"/>
      <c r="S242" s="196"/>
      <c r="T242" s="196"/>
      <c r="U242" s="196"/>
      <c r="V242" s="196"/>
      <c r="W242" s="196"/>
      <c r="X242" s="196"/>
      <c r="Y242" s="196"/>
      <c r="Z242" s="196"/>
      <c r="AA242" s="196"/>
      <c r="AB242" s="196"/>
      <c r="AC242" s="196"/>
    </row>
    <row r="243" spans="1:29">
      <c r="A243" s="196"/>
      <c r="B243" s="196"/>
      <c r="C243" s="196"/>
      <c r="D243" s="196"/>
      <c r="E243" s="196"/>
      <c r="F243" s="196"/>
      <c r="G243" s="196"/>
      <c r="H243" s="196"/>
      <c r="I243" s="196"/>
      <c r="J243" s="196"/>
      <c r="K243" s="196"/>
      <c r="L243" s="196"/>
      <c r="M243" s="196"/>
      <c r="N243" s="196"/>
      <c r="O243" s="196"/>
      <c r="P243" s="196"/>
      <c r="Q243" s="196"/>
      <c r="R243" s="196"/>
      <c r="S243" s="196"/>
      <c r="T243" s="196"/>
      <c r="U243" s="196"/>
      <c r="V243" s="196"/>
      <c r="W243" s="196"/>
      <c r="X243" s="196"/>
      <c r="Y243" s="196"/>
      <c r="Z243" s="196"/>
      <c r="AA243" s="196"/>
      <c r="AB243" s="196"/>
      <c r="AC243" s="196"/>
    </row>
    <row r="244" spans="1:29">
      <c r="A244" s="196"/>
      <c r="B244" s="196"/>
      <c r="C244" s="196"/>
      <c r="D244" s="196"/>
      <c r="E244" s="196"/>
      <c r="F244" s="196"/>
      <c r="G244" s="196"/>
      <c r="H244" s="196"/>
      <c r="I244" s="196"/>
      <c r="J244" s="196"/>
      <c r="K244" s="196"/>
      <c r="L244" s="196"/>
      <c r="M244" s="196"/>
      <c r="N244" s="196"/>
      <c r="O244" s="196"/>
      <c r="P244" s="196"/>
      <c r="Q244" s="196"/>
      <c r="R244" s="196"/>
      <c r="S244" s="196"/>
      <c r="T244" s="196"/>
      <c r="U244" s="196"/>
      <c r="V244" s="196"/>
      <c r="W244" s="196"/>
      <c r="X244" s="196"/>
      <c r="Y244" s="196"/>
      <c r="Z244" s="196"/>
      <c r="AA244" s="196"/>
      <c r="AB244" s="196"/>
      <c r="AC244" s="196"/>
    </row>
    <row r="245" spans="1:29">
      <c r="A245" s="196"/>
      <c r="B245" s="196"/>
      <c r="C245" s="196"/>
      <c r="D245" s="196"/>
      <c r="E245" s="196"/>
      <c r="F245" s="196"/>
      <c r="G245" s="196"/>
      <c r="H245" s="196"/>
      <c r="I245" s="196"/>
      <c r="J245" s="196"/>
      <c r="K245" s="196"/>
      <c r="L245" s="196"/>
      <c r="M245" s="196"/>
      <c r="N245" s="196"/>
      <c r="O245" s="196"/>
      <c r="P245" s="196"/>
      <c r="Q245" s="196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</row>
    <row r="246" spans="1:29">
      <c r="A246" s="196"/>
      <c r="B246" s="196"/>
      <c r="C246" s="196"/>
      <c r="D246" s="196"/>
      <c r="E246" s="196"/>
      <c r="F246" s="196"/>
      <c r="G246" s="196"/>
      <c r="H246" s="196"/>
      <c r="I246" s="196"/>
      <c r="J246" s="196"/>
      <c r="K246" s="196"/>
      <c r="L246" s="196"/>
      <c r="M246" s="196"/>
      <c r="N246" s="196"/>
      <c r="O246" s="196"/>
      <c r="P246" s="196"/>
      <c r="Q246" s="196"/>
      <c r="R246" s="196"/>
      <c r="S246" s="196"/>
      <c r="T246" s="196"/>
      <c r="U246" s="196"/>
      <c r="V246" s="196"/>
      <c r="W246" s="196"/>
      <c r="X246" s="196"/>
      <c r="Y246" s="196"/>
      <c r="Z246" s="196"/>
      <c r="AA246" s="196"/>
      <c r="AB246" s="196"/>
      <c r="AC246" s="196"/>
    </row>
    <row r="247" spans="1:29">
      <c r="A247" s="196"/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6"/>
      <c r="P247" s="196"/>
      <c r="Q247" s="196"/>
      <c r="R247" s="196"/>
      <c r="S247" s="196"/>
      <c r="T247" s="196"/>
      <c r="U247" s="196"/>
      <c r="V247" s="196"/>
      <c r="W247" s="196"/>
      <c r="X247" s="196"/>
      <c r="Y247" s="196"/>
      <c r="Z247" s="196"/>
      <c r="AA247" s="196"/>
      <c r="AB247" s="196"/>
      <c r="AC247" s="196"/>
    </row>
    <row r="248" spans="1:29">
      <c r="A248" s="196"/>
      <c r="B248" s="196"/>
      <c r="C248" s="196"/>
      <c r="D248" s="196"/>
      <c r="E248" s="196"/>
      <c r="F248" s="196"/>
      <c r="G248" s="196"/>
      <c r="H248" s="196"/>
      <c r="I248" s="196"/>
      <c r="J248" s="196"/>
      <c r="K248" s="196"/>
      <c r="L248" s="196"/>
      <c r="M248" s="196"/>
      <c r="N248" s="196"/>
      <c r="O248" s="196"/>
      <c r="P248" s="196"/>
      <c r="Q248" s="196"/>
      <c r="R248" s="196"/>
      <c r="S248" s="196"/>
      <c r="T248" s="196"/>
      <c r="U248" s="196"/>
      <c r="V248" s="196"/>
      <c r="W248" s="196"/>
      <c r="X248" s="196"/>
      <c r="Y248" s="196"/>
      <c r="Z248" s="196"/>
      <c r="AA248" s="196"/>
      <c r="AB248" s="196"/>
      <c r="AC248" s="196"/>
    </row>
    <row r="249" spans="1:29">
      <c r="A249" s="196"/>
      <c r="B249" s="196"/>
      <c r="C249" s="196"/>
      <c r="D249" s="196"/>
      <c r="E249" s="196"/>
      <c r="F249" s="196"/>
      <c r="G249" s="196"/>
      <c r="H249" s="196"/>
      <c r="I249" s="196"/>
      <c r="J249" s="196"/>
      <c r="K249" s="196"/>
      <c r="L249" s="196"/>
      <c r="M249" s="196"/>
      <c r="N249" s="196"/>
      <c r="O249" s="196"/>
      <c r="P249" s="196"/>
      <c r="Q249" s="196"/>
      <c r="R249" s="196"/>
      <c r="S249" s="196"/>
      <c r="T249" s="196"/>
      <c r="U249" s="196"/>
      <c r="V249" s="196"/>
      <c r="W249" s="196"/>
      <c r="X249" s="196"/>
      <c r="Y249" s="196"/>
      <c r="Z249" s="196"/>
      <c r="AA249" s="196"/>
      <c r="AB249" s="196"/>
      <c r="AC249" s="196"/>
    </row>
    <row r="250" spans="1:29">
      <c r="A250" s="196"/>
      <c r="B250" s="196"/>
      <c r="C250" s="196"/>
      <c r="D250" s="196"/>
      <c r="E250" s="196"/>
      <c r="F250" s="196"/>
      <c r="G250" s="196"/>
      <c r="H250" s="196"/>
      <c r="I250" s="196"/>
      <c r="J250" s="196"/>
      <c r="K250" s="196"/>
      <c r="L250" s="196"/>
      <c r="M250" s="196"/>
      <c r="N250" s="196"/>
      <c r="O250" s="196"/>
      <c r="P250" s="196"/>
      <c r="Q250" s="196"/>
      <c r="R250" s="196"/>
      <c r="S250" s="196"/>
      <c r="T250" s="196"/>
      <c r="U250" s="196"/>
      <c r="V250" s="196"/>
      <c r="W250" s="196"/>
      <c r="X250" s="196"/>
      <c r="Y250" s="196"/>
      <c r="Z250" s="196"/>
      <c r="AA250" s="196"/>
      <c r="AB250" s="196"/>
      <c r="AC250" s="196"/>
    </row>
    <row r="251" spans="1:29">
      <c r="A251" s="196"/>
      <c r="B251" s="196"/>
      <c r="C251" s="196"/>
      <c r="D251" s="196"/>
      <c r="E251" s="196"/>
      <c r="F251" s="196"/>
      <c r="G251" s="196"/>
      <c r="H251" s="196"/>
      <c r="I251" s="196"/>
      <c r="J251" s="196"/>
      <c r="K251" s="196"/>
      <c r="L251" s="196"/>
      <c r="M251" s="196"/>
      <c r="N251" s="196"/>
      <c r="O251" s="196"/>
      <c r="P251" s="196"/>
      <c r="Q251" s="196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6"/>
      <c r="AC251" s="196"/>
    </row>
    <row r="252" spans="1:29">
      <c r="A252" s="196"/>
      <c r="B252" s="196"/>
      <c r="C252" s="196"/>
      <c r="D252" s="196"/>
      <c r="E252" s="196"/>
      <c r="F252" s="196"/>
      <c r="G252" s="196"/>
      <c r="H252" s="196"/>
      <c r="I252" s="196"/>
      <c r="J252" s="196"/>
      <c r="K252" s="196"/>
      <c r="L252" s="196"/>
      <c r="M252" s="196"/>
      <c r="N252" s="196"/>
      <c r="O252" s="196"/>
      <c r="P252" s="196"/>
      <c r="Q252" s="196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6"/>
      <c r="AC252" s="196"/>
    </row>
    <row r="253" spans="1:29">
      <c r="A253" s="196"/>
      <c r="B253" s="196"/>
      <c r="C253" s="196"/>
      <c r="D253" s="196"/>
      <c r="E253" s="196"/>
      <c r="F253" s="196"/>
      <c r="G253" s="196"/>
      <c r="H253" s="196"/>
      <c r="I253" s="196"/>
      <c r="J253" s="196"/>
      <c r="K253" s="196"/>
      <c r="L253" s="196"/>
      <c r="M253" s="196"/>
      <c r="N253" s="196"/>
      <c r="O253" s="196"/>
      <c r="P253" s="196"/>
      <c r="Q253" s="196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6"/>
      <c r="AC253" s="196"/>
    </row>
    <row r="254" spans="1:29">
      <c r="A254" s="196"/>
      <c r="B254" s="196"/>
      <c r="C254" s="196"/>
      <c r="D254" s="196"/>
      <c r="E254" s="196"/>
      <c r="F254" s="196"/>
      <c r="G254" s="196"/>
      <c r="H254" s="196"/>
      <c r="I254" s="196"/>
      <c r="J254" s="196"/>
      <c r="K254" s="196"/>
      <c r="L254" s="196"/>
      <c r="M254" s="196"/>
      <c r="N254" s="196"/>
      <c r="O254" s="196"/>
      <c r="P254" s="196"/>
      <c r="Q254" s="196"/>
      <c r="R254" s="196"/>
      <c r="S254" s="196"/>
      <c r="T254" s="196"/>
      <c r="U254" s="196"/>
      <c r="V254" s="196"/>
      <c r="W254" s="196"/>
      <c r="X254" s="196"/>
      <c r="Y254" s="196"/>
      <c r="Z254" s="196"/>
      <c r="AA254" s="196"/>
      <c r="AB254" s="196"/>
      <c r="AC254" s="196"/>
    </row>
    <row r="255" spans="1:29">
      <c r="A255" s="196"/>
      <c r="B255" s="196"/>
      <c r="C255" s="196"/>
      <c r="D255" s="196"/>
      <c r="E255" s="196"/>
      <c r="F255" s="196"/>
      <c r="G255" s="196"/>
      <c r="H255" s="196"/>
      <c r="I255" s="196"/>
      <c r="J255" s="196"/>
      <c r="K255" s="196"/>
      <c r="L255" s="196"/>
      <c r="M255" s="196"/>
      <c r="N255" s="196"/>
      <c r="O255" s="196"/>
      <c r="P255" s="196"/>
      <c r="Q255" s="196"/>
      <c r="R255" s="196"/>
      <c r="S255" s="196"/>
      <c r="T255" s="196"/>
      <c r="U255" s="196"/>
      <c r="V255" s="196"/>
      <c r="W255" s="196"/>
      <c r="X255" s="196"/>
      <c r="Y255" s="196"/>
      <c r="Z255" s="196"/>
      <c r="AA255" s="196"/>
      <c r="AB255" s="196"/>
      <c r="AC255" s="196"/>
    </row>
    <row r="256" spans="1:29">
      <c r="A256" s="196"/>
      <c r="B256" s="196"/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N256" s="196"/>
      <c r="O256" s="196"/>
      <c r="P256" s="196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</row>
    <row r="257" spans="1:29">
      <c r="A257" s="196"/>
      <c r="B257" s="196"/>
      <c r="C257" s="196"/>
      <c r="D257" s="196"/>
      <c r="E257" s="196"/>
      <c r="F257" s="196"/>
      <c r="G257" s="196"/>
      <c r="H257" s="196"/>
      <c r="I257" s="196"/>
      <c r="J257" s="196"/>
      <c r="K257" s="196"/>
      <c r="L257" s="196"/>
      <c r="M257" s="196"/>
      <c r="N257" s="196"/>
      <c r="O257" s="196"/>
      <c r="P257" s="196"/>
      <c r="Q257" s="196"/>
      <c r="R257" s="196"/>
      <c r="S257" s="196"/>
      <c r="T257" s="196"/>
      <c r="U257" s="196"/>
      <c r="V257" s="196"/>
      <c r="W257" s="196"/>
      <c r="X257" s="196"/>
      <c r="Y257" s="196"/>
      <c r="Z257" s="196"/>
      <c r="AA257" s="196"/>
      <c r="AB257" s="196"/>
      <c r="AC257" s="196"/>
    </row>
    <row r="258" spans="1:29">
      <c r="A258" s="196"/>
      <c r="B258" s="196"/>
      <c r="C258" s="196"/>
      <c r="D258" s="196"/>
      <c r="E258" s="196"/>
      <c r="F258" s="196"/>
      <c r="G258" s="196"/>
      <c r="H258" s="196"/>
      <c r="I258" s="196"/>
      <c r="J258" s="196"/>
      <c r="K258" s="196"/>
      <c r="L258" s="196"/>
      <c r="M258" s="196"/>
      <c r="N258" s="196"/>
      <c r="O258" s="196"/>
      <c r="P258" s="196"/>
      <c r="Q258" s="196"/>
      <c r="R258" s="196"/>
      <c r="S258" s="196"/>
      <c r="T258" s="196"/>
      <c r="U258" s="196"/>
      <c r="V258" s="196"/>
      <c r="W258" s="196"/>
      <c r="X258" s="196"/>
      <c r="Y258" s="196"/>
      <c r="Z258" s="196"/>
      <c r="AA258" s="196"/>
      <c r="AB258" s="196"/>
      <c r="AC258" s="196"/>
    </row>
    <row r="259" spans="1:29">
      <c r="A259" s="196"/>
      <c r="B259" s="196"/>
      <c r="C259" s="196"/>
      <c r="D259" s="196"/>
      <c r="E259" s="196"/>
      <c r="F259" s="196"/>
      <c r="G259" s="196"/>
      <c r="H259" s="196"/>
      <c r="I259" s="196"/>
      <c r="J259" s="196"/>
      <c r="K259" s="196"/>
      <c r="L259" s="196"/>
      <c r="M259" s="196"/>
      <c r="N259" s="196"/>
      <c r="O259" s="196"/>
      <c r="P259" s="196"/>
      <c r="Q259" s="196"/>
      <c r="R259" s="196"/>
      <c r="S259" s="196"/>
      <c r="T259" s="196"/>
      <c r="U259" s="196"/>
      <c r="V259" s="196"/>
      <c r="W259" s="196"/>
      <c r="X259" s="196"/>
      <c r="Y259" s="196"/>
      <c r="Z259" s="196"/>
      <c r="AA259" s="196"/>
      <c r="AB259" s="196"/>
      <c r="AC259" s="196"/>
    </row>
    <row r="260" spans="1:29">
      <c r="A260" s="196"/>
      <c r="B260" s="196"/>
      <c r="C260" s="196"/>
      <c r="D260" s="196"/>
      <c r="E260" s="196"/>
      <c r="F260" s="196"/>
      <c r="G260" s="196"/>
      <c r="H260" s="196"/>
      <c r="I260" s="196"/>
      <c r="J260" s="196"/>
      <c r="K260" s="196"/>
      <c r="L260" s="196"/>
      <c r="M260" s="196"/>
      <c r="N260" s="196"/>
      <c r="O260" s="196"/>
      <c r="P260" s="196"/>
      <c r="Q260" s="196"/>
      <c r="R260" s="196"/>
      <c r="S260" s="196"/>
      <c r="T260" s="196"/>
      <c r="U260" s="196"/>
      <c r="V260" s="196"/>
      <c r="W260" s="196"/>
      <c r="X260" s="196"/>
      <c r="Y260" s="196"/>
      <c r="Z260" s="196"/>
      <c r="AA260" s="196"/>
      <c r="AB260" s="196"/>
      <c r="AC260" s="196"/>
    </row>
    <row r="261" spans="1:29">
      <c r="A261" s="196"/>
      <c r="B261" s="196"/>
      <c r="C261" s="196"/>
      <c r="D261" s="196"/>
      <c r="E261" s="196"/>
      <c r="F261" s="196"/>
      <c r="G261" s="196"/>
      <c r="H261" s="196"/>
      <c r="I261" s="196"/>
      <c r="J261" s="196"/>
      <c r="K261" s="196"/>
      <c r="L261" s="196"/>
      <c r="M261" s="196"/>
      <c r="N261" s="196"/>
      <c r="O261" s="196"/>
      <c r="P261" s="196"/>
      <c r="Q261" s="196"/>
      <c r="R261" s="196"/>
      <c r="S261" s="196"/>
      <c r="T261" s="196"/>
      <c r="U261" s="196"/>
      <c r="V261" s="196"/>
      <c r="W261" s="196"/>
      <c r="X261" s="196"/>
      <c r="Y261" s="196"/>
      <c r="Z261" s="196"/>
      <c r="AA261" s="196"/>
      <c r="AB261" s="196"/>
      <c r="AC261" s="196"/>
    </row>
    <row r="262" spans="1:29">
      <c r="A262" s="196"/>
      <c r="B262" s="196"/>
      <c r="C262" s="196"/>
      <c r="D262" s="196"/>
      <c r="E262" s="196"/>
      <c r="F262" s="196"/>
      <c r="G262" s="196"/>
      <c r="H262" s="196"/>
      <c r="I262" s="196"/>
      <c r="J262" s="196"/>
      <c r="K262" s="196"/>
      <c r="L262" s="196"/>
      <c r="M262" s="196"/>
      <c r="N262" s="196"/>
      <c r="O262" s="196"/>
      <c r="P262" s="196"/>
      <c r="Q262" s="196"/>
      <c r="R262" s="196"/>
      <c r="S262" s="196"/>
      <c r="T262" s="196"/>
      <c r="U262" s="196"/>
      <c r="V262" s="196"/>
      <c r="W262" s="196"/>
      <c r="X262" s="196"/>
      <c r="Y262" s="196"/>
      <c r="Z262" s="196"/>
      <c r="AA262" s="196"/>
      <c r="AB262" s="196"/>
      <c r="AC262" s="196"/>
    </row>
    <row r="263" spans="1:29">
      <c r="A263" s="196"/>
      <c r="B263" s="196"/>
      <c r="C263" s="196"/>
      <c r="D263" s="196"/>
      <c r="E263" s="196"/>
      <c r="F263" s="196"/>
      <c r="G263" s="196"/>
      <c r="H263" s="196"/>
      <c r="I263" s="196"/>
      <c r="J263" s="196"/>
      <c r="K263" s="196"/>
      <c r="L263" s="196"/>
      <c r="M263" s="196"/>
      <c r="N263" s="196"/>
      <c r="O263" s="196"/>
      <c r="P263" s="196"/>
      <c r="Q263" s="196"/>
      <c r="R263" s="196"/>
      <c r="S263" s="196"/>
      <c r="T263" s="196"/>
      <c r="U263" s="196"/>
      <c r="V263" s="196"/>
      <c r="W263" s="196"/>
      <c r="X263" s="196"/>
      <c r="Y263" s="196"/>
      <c r="Z263" s="196"/>
      <c r="AA263" s="196"/>
      <c r="AB263" s="196"/>
      <c r="AC263" s="196"/>
    </row>
    <row r="264" spans="1:29">
      <c r="A264" s="196"/>
      <c r="B264" s="196"/>
      <c r="C264" s="196"/>
      <c r="D264" s="196"/>
      <c r="E264" s="196"/>
      <c r="F264" s="196"/>
      <c r="G264" s="196"/>
      <c r="H264" s="196"/>
      <c r="I264" s="196"/>
      <c r="J264" s="196"/>
      <c r="K264" s="196"/>
      <c r="L264" s="196"/>
      <c r="M264" s="196"/>
      <c r="N264" s="196"/>
      <c r="O264" s="196"/>
      <c r="P264" s="196"/>
      <c r="Q264" s="196"/>
      <c r="R264" s="196"/>
      <c r="S264" s="196"/>
      <c r="T264" s="196"/>
      <c r="U264" s="196"/>
      <c r="V264" s="196"/>
      <c r="W264" s="196"/>
      <c r="X264" s="196"/>
      <c r="Y264" s="196"/>
      <c r="Z264" s="196"/>
      <c r="AA264" s="196"/>
      <c r="AB264" s="196"/>
      <c r="AC264" s="196"/>
    </row>
    <row r="265" spans="1:29">
      <c r="A265" s="196"/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N265" s="196"/>
      <c r="O265" s="196"/>
      <c r="P265" s="196"/>
      <c r="Q265" s="196"/>
      <c r="R265" s="196"/>
      <c r="S265" s="196"/>
      <c r="T265" s="196"/>
      <c r="U265" s="196"/>
      <c r="V265" s="196"/>
      <c r="W265" s="196"/>
      <c r="X265" s="196"/>
      <c r="Y265" s="196"/>
      <c r="Z265" s="196"/>
      <c r="AA265" s="196"/>
      <c r="AB265" s="196"/>
      <c r="AC265" s="196"/>
    </row>
    <row r="266" spans="1:29">
      <c r="A266" s="196"/>
      <c r="B266" s="196"/>
      <c r="C266" s="196"/>
      <c r="D266" s="196"/>
      <c r="E266" s="196"/>
      <c r="F266" s="196"/>
      <c r="G266" s="196"/>
      <c r="H266" s="196"/>
      <c r="I266" s="196"/>
      <c r="J266" s="196"/>
      <c r="K266" s="196"/>
      <c r="L266" s="196"/>
      <c r="M266" s="196"/>
      <c r="N266" s="196"/>
      <c r="O266" s="196"/>
      <c r="P266" s="196"/>
      <c r="Q266" s="196"/>
      <c r="R266" s="196"/>
      <c r="S266" s="196"/>
      <c r="T266" s="196"/>
      <c r="U266" s="196"/>
      <c r="V266" s="196"/>
      <c r="W266" s="196"/>
      <c r="X266" s="196"/>
      <c r="Y266" s="196"/>
      <c r="Z266" s="196"/>
      <c r="AA266" s="196"/>
      <c r="AB266" s="196"/>
      <c r="AC266" s="196"/>
    </row>
    <row r="267" spans="1:29">
      <c r="A267" s="196"/>
      <c r="B267" s="196"/>
      <c r="C267" s="196"/>
      <c r="D267" s="196"/>
      <c r="E267" s="196"/>
      <c r="F267" s="196"/>
      <c r="G267" s="196"/>
      <c r="H267" s="196"/>
      <c r="I267" s="196"/>
      <c r="J267" s="196"/>
      <c r="K267" s="196"/>
      <c r="L267" s="196"/>
      <c r="M267" s="196"/>
      <c r="N267" s="196"/>
      <c r="O267" s="196"/>
      <c r="P267" s="196"/>
      <c r="Q267" s="196"/>
      <c r="R267" s="196"/>
      <c r="S267" s="196"/>
      <c r="T267" s="196"/>
      <c r="U267" s="196"/>
      <c r="V267" s="196"/>
      <c r="W267" s="196"/>
      <c r="X267" s="196"/>
      <c r="Y267" s="196"/>
      <c r="Z267" s="196"/>
      <c r="AA267" s="196"/>
      <c r="AB267" s="196"/>
      <c r="AC267" s="196"/>
    </row>
    <row r="268" spans="1:29">
      <c r="A268" s="196"/>
      <c r="B268" s="196"/>
      <c r="C268" s="196"/>
      <c r="D268" s="196"/>
      <c r="E268" s="196"/>
      <c r="F268" s="196"/>
      <c r="G268" s="196"/>
      <c r="H268" s="196"/>
      <c r="I268" s="196"/>
      <c r="J268" s="196"/>
      <c r="K268" s="196"/>
      <c r="L268" s="196"/>
      <c r="M268" s="196"/>
      <c r="N268" s="196"/>
      <c r="O268" s="196"/>
      <c r="P268" s="196"/>
      <c r="Q268" s="196"/>
      <c r="R268" s="196"/>
      <c r="S268" s="196"/>
      <c r="T268" s="196"/>
      <c r="U268" s="196"/>
      <c r="V268" s="196"/>
      <c r="W268" s="196"/>
      <c r="X268" s="196"/>
      <c r="Y268" s="196"/>
      <c r="Z268" s="196"/>
      <c r="AA268" s="196"/>
      <c r="AB268" s="196"/>
      <c r="AC268" s="196"/>
    </row>
    <row r="269" spans="1:29">
      <c r="A269" s="196"/>
      <c r="B269" s="196"/>
      <c r="C269" s="196"/>
      <c r="D269" s="196"/>
      <c r="E269" s="196"/>
      <c r="F269" s="196"/>
      <c r="G269" s="196"/>
      <c r="H269" s="196"/>
      <c r="I269" s="196"/>
      <c r="J269" s="196"/>
      <c r="K269" s="196"/>
      <c r="L269" s="196"/>
      <c r="M269" s="196"/>
      <c r="N269" s="196"/>
      <c r="O269" s="196"/>
      <c r="P269" s="196"/>
      <c r="Q269" s="196"/>
      <c r="R269" s="196"/>
      <c r="S269" s="196"/>
      <c r="T269" s="196"/>
      <c r="U269" s="196"/>
      <c r="V269" s="196"/>
      <c r="W269" s="196"/>
      <c r="X269" s="196"/>
      <c r="Y269" s="196"/>
      <c r="Z269" s="196"/>
      <c r="AA269" s="196"/>
      <c r="AB269" s="196"/>
      <c r="AC269" s="196"/>
    </row>
    <row r="270" spans="1:29">
      <c r="A270" s="196"/>
      <c r="B270" s="196"/>
      <c r="C270" s="196"/>
      <c r="D270" s="196"/>
      <c r="E270" s="196"/>
      <c r="F270" s="196"/>
      <c r="G270" s="196"/>
      <c r="H270" s="196"/>
      <c r="I270" s="196"/>
      <c r="J270" s="196"/>
      <c r="K270" s="196"/>
      <c r="L270" s="196"/>
      <c r="M270" s="196"/>
      <c r="N270" s="196"/>
      <c r="O270" s="196"/>
      <c r="P270" s="196"/>
      <c r="Q270" s="196"/>
      <c r="R270" s="196"/>
      <c r="S270" s="196"/>
      <c r="T270" s="196"/>
      <c r="U270" s="196"/>
      <c r="V270" s="196"/>
      <c r="W270" s="196"/>
      <c r="X270" s="196"/>
      <c r="Y270" s="196"/>
      <c r="Z270" s="196"/>
      <c r="AA270" s="196"/>
      <c r="AB270" s="196"/>
      <c r="AC270" s="196"/>
    </row>
    <row r="271" spans="1:29">
      <c r="A271" s="196"/>
      <c r="B271" s="196"/>
      <c r="C271" s="196"/>
      <c r="D271" s="196"/>
      <c r="E271" s="196"/>
      <c r="F271" s="196"/>
      <c r="G271" s="196"/>
      <c r="H271" s="196"/>
      <c r="I271" s="196"/>
      <c r="J271" s="196"/>
      <c r="K271" s="196"/>
      <c r="L271" s="196"/>
      <c r="M271" s="196"/>
      <c r="N271" s="196"/>
      <c r="O271" s="196"/>
      <c r="P271" s="196"/>
      <c r="Q271" s="196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6"/>
      <c r="AC271" s="196"/>
    </row>
    <row r="272" spans="1:29">
      <c r="A272" s="196"/>
      <c r="B272" s="196"/>
      <c r="C272" s="196"/>
      <c r="D272" s="196"/>
      <c r="E272" s="196"/>
      <c r="F272" s="196"/>
      <c r="G272" s="196"/>
      <c r="H272" s="196"/>
      <c r="I272" s="196"/>
      <c r="J272" s="196"/>
      <c r="K272" s="196"/>
      <c r="L272" s="196"/>
      <c r="M272" s="196"/>
      <c r="N272" s="196"/>
      <c r="O272" s="196"/>
      <c r="P272" s="196"/>
      <c r="Q272" s="196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6"/>
      <c r="AC272" s="196"/>
    </row>
    <row r="273" spans="1:29">
      <c r="A273" s="196"/>
      <c r="B273" s="196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N273" s="196"/>
      <c r="O273" s="196"/>
      <c r="P273" s="196"/>
      <c r="Q273" s="196"/>
      <c r="R273" s="196"/>
      <c r="S273" s="196"/>
      <c r="T273" s="196"/>
      <c r="U273" s="196"/>
      <c r="V273" s="196"/>
      <c r="W273" s="196"/>
      <c r="X273" s="196"/>
      <c r="Y273" s="196"/>
      <c r="Z273" s="196"/>
      <c r="AA273" s="196"/>
      <c r="AB273" s="196"/>
      <c r="AC273" s="196"/>
    </row>
    <row r="274" spans="1:29">
      <c r="A274" s="196"/>
      <c r="B274" s="196"/>
      <c r="C274" s="196"/>
      <c r="D274" s="196"/>
      <c r="E274" s="196"/>
      <c r="F274" s="196"/>
      <c r="G274" s="196"/>
      <c r="H274" s="196"/>
      <c r="I274" s="196"/>
      <c r="J274" s="196"/>
      <c r="K274" s="196"/>
      <c r="L274" s="196"/>
      <c r="M274" s="196"/>
      <c r="N274" s="196"/>
      <c r="O274" s="196"/>
      <c r="P274" s="196"/>
      <c r="Q274" s="196"/>
      <c r="R274" s="196"/>
      <c r="S274" s="196"/>
      <c r="T274" s="196"/>
      <c r="U274" s="196"/>
      <c r="V274" s="196"/>
      <c r="W274" s="196"/>
      <c r="X274" s="196"/>
      <c r="Y274" s="196"/>
      <c r="Z274" s="196"/>
      <c r="AA274" s="196"/>
      <c r="AB274" s="196"/>
      <c r="AC274" s="196"/>
    </row>
    <row r="275" spans="1:29">
      <c r="A275" s="196"/>
      <c r="B275" s="196"/>
      <c r="C275" s="196"/>
      <c r="D275" s="196"/>
      <c r="E275" s="196"/>
      <c r="F275" s="196"/>
      <c r="G275" s="196"/>
      <c r="H275" s="196"/>
      <c r="I275" s="196"/>
      <c r="J275" s="196"/>
      <c r="K275" s="196"/>
      <c r="L275" s="196"/>
      <c r="M275" s="196"/>
      <c r="N275" s="196"/>
      <c r="O275" s="196"/>
      <c r="P275" s="196"/>
      <c r="Q275" s="196"/>
      <c r="R275" s="196"/>
      <c r="S275" s="196"/>
      <c r="T275" s="196"/>
      <c r="U275" s="196"/>
      <c r="V275" s="196"/>
      <c r="W275" s="196"/>
      <c r="X275" s="196"/>
      <c r="Y275" s="196"/>
      <c r="Z275" s="196"/>
      <c r="AA275" s="196"/>
      <c r="AB275" s="196"/>
      <c r="AC275" s="196"/>
    </row>
    <row r="276" spans="1:29">
      <c r="A276" s="196"/>
      <c r="B276" s="196"/>
      <c r="C276" s="196"/>
      <c r="D276" s="196"/>
      <c r="E276" s="196"/>
      <c r="F276" s="196"/>
      <c r="G276" s="196"/>
      <c r="H276" s="196"/>
      <c r="I276" s="196"/>
      <c r="J276" s="196"/>
      <c r="K276" s="196"/>
      <c r="L276" s="196"/>
      <c r="M276" s="196"/>
      <c r="N276" s="196"/>
      <c r="O276" s="196"/>
      <c r="P276" s="196"/>
      <c r="Q276" s="196"/>
      <c r="R276" s="196"/>
      <c r="S276" s="196"/>
      <c r="T276" s="196"/>
      <c r="U276" s="196"/>
      <c r="V276" s="196"/>
      <c r="W276" s="196"/>
      <c r="X276" s="196"/>
      <c r="Y276" s="196"/>
      <c r="Z276" s="196"/>
      <c r="AA276" s="196"/>
      <c r="AB276" s="196"/>
      <c r="AC276" s="196"/>
    </row>
    <row r="277" spans="1:29">
      <c r="A277" s="196"/>
      <c r="B277" s="196"/>
      <c r="C277" s="196"/>
      <c r="D277" s="196"/>
      <c r="E277" s="196"/>
      <c r="F277" s="196"/>
      <c r="G277" s="196"/>
      <c r="H277" s="196"/>
      <c r="I277" s="196"/>
      <c r="J277" s="196"/>
      <c r="K277" s="196"/>
      <c r="L277" s="196"/>
      <c r="M277" s="196"/>
      <c r="N277" s="196"/>
      <c r="O277" s="196"/>
      <c r="P277" s="196"/>
      <c r="Q277" s="196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6"/>
      <c r="AC277" s="196"/>
    </row>
    <row r="278" spans="1:29">
      <c r="A278" s="196"/>
      <c r="B278" s="196"/>
      <c r="C278" s="196"/>
      <c r="D278" s="196"/>
      <c r="E278" s="196"/>
      <c r="F278" s="196"/>
      <c r="G278" s="196"/>
      <c r="H278" s="196"/>
      <c r="I278" s="196"/>
      <c r="J278" s="196"/>
      <c r="K278" s="196"/>
      <c r="L278" s="196"/>
      <c r="M278" s="196"/>
      <c r="N278" s="196"/>
      <c r="O278" s="196"/>
      <c r="P278" s="196"/>
      <c r="Q278" s="196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6"/>
      <c r="AC278" s="196"/>
    </row>
    <row r="279" spans="1:29">
      <c r="A279" s="196"/>
      <c r="B279" s="196"/>
      <c r="C279" s="196"/>
      <c r="D279" s="196"/>
      <c r="E279" s="196"/>
      <c r="F279" s="196"/>
      <c r="G279" s="196"/>
      <c r="H279" s="196"/>
      <c r="I279" s="196"/>
      <c r="J279" s="196"/>
      <c r="K279" s="196"/>
      <c r="L279" s="196"/>
      <c r="M279" s="196"/>
      <c r="N279" s="196"/>
      <c r="O279" s="196"/>
      <c r="P279" s="196"/>
      <c r="Q279" s="196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6"/>
      <c r="AC279" s="196"/>
    </row>
    <row r="280" spans="1:29">
      <c r="A280" s="196"/>
      <c r="B280" s="196"/>
      <c r="C280" s="196"/>
      <c r="D280" s="196"/>
      <c r="E280" s="196"/>
      <c r="F280" s="196"/>
      <c r="G280" s="196"/>
      <c r="H280" s="196"/>
      <c r="I280" s="196"/>
      <c r="J280" s="196"/>
      <c r="K280" s="196"/>
      <c r="L280" s="196"/>
      <c r="M280" s="196"/>
      <c r="N280" s="196"/>
      <c r="O280" s="196"/>
      <c r="P280" s="196"/>
      <c r="Q280" s="196"/>
      <c r="R280" s="196"/>
      <c r="S280" s="196"/>
      <c r="T280" s="196"/>
      <c r="U280" s="196"/>
      <c r="V280" s="196"/>
      <c r="W280" s="196"/>
      <c r="X280" s="196"/>
      <c r="Y280" s="196"/>
      <c r="Z280" s="196"/>
      <c r="AA280" s="196"/>
      <c r="AB280" s="196"/>
      <c r="AC280" s="196"/>
    </row>
    <row r="281" spans="1:29">
      <c r="A281" s="196"/>
      <c r="B281" s="196"/>
      <c r="C281" s="196"/>
      <c r="D281" s="196"/>
      <c r="E281" s="196"/>
      <c r="F281" s="196"/>
      <c r="G281" s="196"/>
      <c r="H281" s="196"/>
      <c r="I281" s="196"/>
      <c r="J281" s="196"/>
      <c r="K281" s="196"/>
      <c r="L281" s="196"/>
      <c r="M281" s="196"/>
      <c r="N281" s="196"/>
      <c r="O281" s="196"/>
      <c r="P281" s="196"/>
      <c r="Q281" s="196"/>
      <c r="R281" s="196"/>
      <c r="S281" s="196"/>
      <c r="T281" s="196"/>
      <c r="U281" s="196"/>
      <c r="V281" s="196"/>
      <c r="W281" s="196"/>
      <c r="X281" s="196"/>
      <c r="Y281" s="196"/>
      <c r="Z281" s="196"/>
      <c r="AA281" s="196"/>
      <c r="AB281" s="196"/>
      <c r="AC281" s="196"/>
    </row>
    <row r="282" spans="1:29">
      <c r="A282" s="196"/>
      <c r="B282" s="196"/>
      <c r="C282" s="196"/>
      <c r="D282" s="196"/>
      <c r="E282" s="196"/>
      <c r="F282" s="196"/>
      <c r="G282" s="196"/>
      <c r="H282" s="196"/>
      <c r="I282" s="196"/>
      <c r="J282" s="196"/>
      <c r="K282" s="196"/>
      <c r="L282" s="196"/>
      <c r="M282" s="196"/>
      <c r="N282" s="196"/>
      <c r="O282" s="196"/>
      <c r="P282" s="196"/>
      <c r="Q282" s="196"/>
      <c r="R282" s="196"/>
      <c r="S282" s="196"/>
      <c r="T282" s="196"/>
      <c r="U282" s="196"/>
      <c r="V282" s="196"/>
      <c r="W282" s="196"/>
      <c r="X282" s="196"/>
      <c r="Y282" s="196"/>
      <c r="Z282" s="196"/>
      <c r="AA282" s="196"/>
      <c r="AB282" s="196"/>
      <c r="AC282" s="196"/>
    </row>
    <row r="283" spans="1:29">
      <c r="A283" s="196"/>
      <c r="B283" s="196"/>
      <c r="C283" s="196"/>
      <c r="D283" s="196"/>
      <c r="E283" s="196"/>
      <c r="F283" s="196"/>
      <c r="G283" s="196"/>
      <c r="H283" s="196"/>
      <c r="I283" s="196"/>
      <c r="J283" s="196"/>
      <c r="K283" s="196"/>
      <c r="L283" s="196"/>
      <c r="M283" s="196"/>
      <c r="N283" s="196"/>
      <c r="O283" s="196"/>
      <c r="P283" s="196"/>
      <c r="Q283" s="196"/>
      <c r="R283" s="196"/>
      <c r="S283" s="196"/>
      <c r="T283" s="196"/>
      <c r="U283" s="196"/>
      <c r="V283" s="196"/>
      <c r="W283" s="196"/>
      <c r="X283" s="196"/>
      <c r="Y283" s="196"/>
      <c r="Z283" s="196"/>
      <c r="AA283" s="196"/>
      <c r="AB283" s="196"/>
      <c r="AC283" s="196"/>
    </row>
    <row r="284" spans="1:29">
      <c r="A284" s="196"/>
      <c r="B284" s="196"/>
      <c r="C284" s="196"/>
      <c r="D284" s="196"/>
      <c r="E284" s="196"/>
      <c r="F284" s="196"/>
      <c r="G284" s="196"/>
      <c r="H284" s="196"/>
      <c r="I284" s="196"/>
      <c r="J284" s="196"/>
      <c r="K284" s="196"/>
      <c r="L284" s="196"/>
      <c r="M284" s="196"/>
      <c r="N284" s="196"/>
      <c r="O284" s="196"/>
      <c r="P284" s="196"/>
      <c r="Q284" s="196"/>
      <c r="R284" s="196"/>
      <c r="S284" s="196"/>
      <c r="T284" s="196"/>
      <c r="U284" s="196"/>
      <c r="V284" s="196"/>
      <c r="W284" s="196"/>
      <c r="X284" s="196"/>
      <c r="Y284" s="196"/>
      <c r="Z284" s="196"/>
      <c r="AA284" s="196"/>
      <c r="AB284" s="196"/>
      <c r="AC284" s="196"/>
    </row>
    <row r="285" spans="1:29">
      <c r="A285" s="196"/>
      <c r="B285" s="196"/>
      <c r="C285" s="196"/>
      <c r="D285" s="196"/>
      <c r="E285" s="196"/>
      <c r="F285" s="196"/>
      <c r="G285" s="196"/>
      <c r="H285" s="196"/>
      <c r="I285" s="196"/>
      <c r="J285" s="196"/>
      <c r="K285" s="196"/>
      <c r="L285" s="196"/>
      <c r="M285" s="196"/>
      <c r="N285" s="196"/>
      <c r="O285" s="196"/>
      <c r="P285" s="196"/>
      <c r="Q285" s="196"/>
      <c r="R285" s="196"/>
      <c r="S285" s="196"/>
      <c r="T285" s="196"/>
      <c r="U285" s="196"/>
      <c r="V285" s="196"/>
      <c r="W285" s="196"/>
      <c r="X285" s="196"/>
      <c r="Y285" s="196"/>
      <c r="Z285" s="196"/>
      <c r="AA285" s="196"/>
      <c r="AB285" s="196"/>
      <c r="AC285" s="196"/>
    </row>
    <row r="286" spans="1:29">
      <c r="A286" s="196"/>
      <c r="B286" s="196"/>
      <c r="C286" s="196"/>
      <c r="D286" s="196"/>
      <c r="E286" s="196"/>
      <c r="F286" s="196"/>
      <c r="G286" s="196"/>
      <c r="H286" s="196"/>
      <c r="I286" s="196"/>
      <c r="J286" s="196"/>
      <c r="K286" s="196"/>
      <c r="L286" s="196"/>
      <c r="M286" s="196"/>
      <c r="N286" s="196"/>
      <c r="O286" s="196"/>
      <c r="P286" s="196"/>
      <c r="Q286" s="196"/>
      <c r="R286" s="196"/>
      <c r="S286" s="196"/>
      <c r="T286" s="196"/>
      <c r="U286" s="196"/>
      <c r="V286" s="196"/>
      <c r="W286" s="196"/>
      <c r="X286" s="196"/>
      <c r="Y286" s="196"/>
      <c r="Z286" s="196"/>
      <c r="AA286" s="196"/>
      <c r="AB286" s="196"/>
      <c r="AC286" s="196"/>
    </row>
    <row r="287" spans="1:29">
      <c r="A287" s="196"/>
      <c r="B287" s="196"/>
      <c r="C287" s="196"/>
      <c r="D287" s="196"/>
      <c r="E287" s="196"/>
      <c r="F287" s="196"/>
      <c r="G287" s="196"/>
      <c r="H287" s="196"/>
      <c r="I287" s="196"/>
      <c r="J287" s="196"/>
      <c r="K287" s="196"/>
      <c r="L287" s="196"/>
      <c r="M287" s="196"/>
      <c r="N287" s="196"/>
      <c r="O287" s="196"/>
      <c r="P287" s="196"/>
      <c r="Q287" s="196"/>
      <c r="R287" s="196"/>
      <c r="S287" s="196"/>
      <c r="T287" s="196"/>
      <c r="U287" s="196"/>
      <c r="V287" s="196"/>
      <c r="W287" s="196"/>
      <c r="X287" s="196"/>
      <c r="Y287" s="196"/>
      <c r="Z287" s="196"/>
      <c r="AA287" s="196"/>
      <c r="AB287" s="196"/>
      <c r="AC287" s="196"/>
    </row>
    <row r="288" spans="1:29">
      <c r="A288" s="196"/>
      <c r="B288" s="196"/>
      <c r="C288" s="196"/>
      <c r="D288" s="196"/>
      <c r="E288" s="196"/>
      <c r="F288" s="196"/>
      <c r="G288" s="196"/>
      <c r="H288" s="196"/>
      <c r="I288" s="196"/>
      <c r="J288" s="196"/>
      <c r="K288" s="196"/>
      <c r="L288" s="196"/>
      <c r="M288" s="196"/>
      <c r="N288" s="196"/>
      <c r="O288" s="196"/>
      <c r="P288" s="196"/>
      <c r="Q288" s="196"/>
      <c r="R288" s="196"/>
      <c r="S288" s="196"/>
      <c r="T288" s="196"/>
      <c r="U288" s="196"/>
      <c r="V288" s="196"/>
      <c r="W288" s="196"/>
      <c r="X288" s="196"/>
      <c r="Y288" s="196"/>
      <c r="Z288" s="196"/>
      <c r="AA288" s="196"/>
      <c r="AB288" s="196"/>
      <c r="AC288" s="196"/>
    </row>
    <row r="289" spans="1:29">
      <c r="A289" s="196"/>
      <c r="B289" s="196"/>
      <c r="C289" s="196"/>
      <c r="D289" s="196"/>
      <c r="E289" s="196"/>
      <c r="F289" s="196"/>
      <c r="G289" s="196"/>
      <c r="H289" s="196"/>
      <c r="I289" s="196"/>
      <c r="J289" s="196"/>
      <c r="K289" s="196"/>
      <c r="L289" s="196"/>
      <c r="M289" s="196"/>
      <c r="N289" s="196"/>
      <c r="O289" s="196"/>
      <c r="P289" s="196"/>
      <c r="Q289" s="196"/>
      <c r="R289" s="196"/>
      <c r="S289" s="196"/>
      <c r="T289" s="196"/>
      <c r="U289" s="196"/>
      <c r="V289" s="196"/>
      <c r="W289" s="196"/>
      <c r="X289" s="196"/>
      <c r="Y289" s="196"/>
      <c r="Z289" s="196"/>
      <c r="AA289" s="196"/>
      <c r="AB289" s="196"/>
      <c r="AC289" s="196"/>
    </row>
    <row r="290" spans="1:29">
      <c r="A290" s="196"/>
      <c r="B290" s="196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N290" s="196"/>
      <c r="O290" s="196"/>
      <c r="P290" s="196"/>
      <c r="Q290" s="196"/>
      <c r="R290" s="196"/>
      <c r="S290" s="196"/>
      <c r="T290" s="196"/>
      <c r="U290" s="196"/>
      <c r="V290" s="196"/>
      <c r="W290" s="196"/>
      <c r="X290" s="196"/>
      <c r="Y290" s="196"/>
      <c r="Z290" s="196"/>
      <c r="AA290" s="196"/>
      <c r="AB290" s="196"/>
      <c r="AC290" s="196"/>
    </row>
    <row r="291" spans="1:29">
      <c r="A291" s="196"/>
      <c r="B291" s="196"/>
      <c r="C291" s="196"/>
      <c r="D291" s="196"/>
      <c r="E291" s="196"/>
      <c r="F291" s="196"/>
      <c r="G291" s="196"/>
      <c r="H291" s="196"/>
      <c r="I291" s="196"/>
      <c r="J291" s="196"/>
      <c r="K291" s="196"/>
      <c r="L291" s="196"/>
      <c r="M291" s="196"/>
      <c r="N291" s="196"/>
      <c r="O291" s="196"/>
      <c r="P291" s="196"/>
      <c r="Q291" s="196"/>
      <c r="R291" s="196"/>
      <c r="S291" s="196"/>
      <c r="T291" s="196"/>
      <c r="U291" s="196"/>
      <c r="V291" s="196"/>
      <c r="W291" s="196"/>
      <c r="X291" s="196"/>
      <c r="Y291" s="196"/>
      <c r="Z291" s="196"/>
      <c r="AA291" s="196"/>
      <c r="AB291" s="196"/>
      <c r="AC291" s="196"/>
    </row>
    <row r="292" spans="1:29">
      <c r="A292" s="196"/>
      <c r="B292" s="196"/>
      <c r="C292" s="196"/>
      <c r="D292" s="196"/>
      <c r="E292" s="196"/>
      <c r="F292" s="196"/>
      <c r="G292" s="196"/>
      <c r="H292" s="196"/>
      <c r="I292" s="196"/>
      <c r="J292" s="196"/>
      <c r="K292" s="196"/>
      <c r="L292" s="196"/>
      <c r="M292" s="196"/>
      <c r="N292" s="196"/>
      <c r="O292" s="196"/>
      <c r="P292" s="196"/>
      <c r="Q292" s="196"/>
      <c r="R292" s="196"/>
      <c r="S292" s="196"/>
      <c r="T292" s="196"/>
      <c r="U292" s="196"/>
      <c r="V292" s="196"/>
      <c r="W292" s="196"/>
      <c r="X292" s="196"/>
      <c r="Y292" s="196"/>
      <c r="Z292" s="196"/>
      <c r="AA292" s="196"/>
      <c r="AB292" s="196"/>
      <c r="AC292" s="196"/>
    </row>
    <row r="293" spans="1:29">
      <c r="A293" s="196"/>
      <c r="B293" s="196"/>
      <c r="C293" s="196"/>
      <c r="D293" s="196"/>
      <c r="E293" s="196"/>
      <c r="F293" s="196"/>
      <c r="G293" s="196"/>
      <c r="H293" s="196"/>
      <c r="I293" s="196"/>
      <c r="J293" s="196"/>
      <c r="K293" s="196"/>
      <c r="L293" s="196"/>
      <c r="M293" s="196"/>
      <c r="N293" s="196"/>
      <c r="O293" s="196"/>
      <c r="P293" s="196"/>
      <c r="Q293" s="196"/>
      <c r="R293" s="196"/>
      <c r="S293" s="196"/>
      <c r="T293" s="196"/>
      <c r="U293" s="196"/>
      <c r="V293" s="196"/>
      <c r="W293" s="196"/>
      <c r="X293" s="196"/>
      <c r="Y293" s="196"/>
      <c r="Z293" s="196"/>
      <c r="AA293" s="196"/>
      <c r="AB293" s="196"/>
      <c r="AC293" s="196"/>
    </row>
    <row r="294" spans="1:29">
      <c r="A294" s="196"/>
      <c r="B294" s="196"/>
      <c r="C294" s="196"/>
      <c r="D294" s="196"/>
      <c r="E294" s="196"/>
      <c r="F294" s="196"/>
      <c r="G294" s="196"/>
      <c r="H294" s="196"/>
      <c r="I294" s="196"/>
      <c r="J294" s="196"/>
      <c r="K294" s="196"/>
      <c r="L294" s="196"/>
      <c r="M294" s="196"/>
      <c r="N294" s="196"/>
      <c r="O294" s="196"/>
      <c r="P294" s="196"/>
      <c r="Q294" s="196"/>
      <c r="R294" s="196"/>
      <c r="S294" s="196"/>
      <c r="T294" s="196"/>
      <c r="U294" s="196"/>
      <c r="V294" s="196"/>
      <c r="W294" s="196"/>
      <c r="X294" s="196"/>
      <c r="Y294" s="196"/>
      <c r="Z294" s="196"/>
      <c r="AA294" s="196"/>
      <c r="AB294" s="196"/>
      <c r="AC294" s="196"/>
    </row>
    <row r="295" spans="1:29">
      <c r="A295" s="196"/>
      <c r="B295" s="196"/>
      <c r="C295" s="196"/>
      <c r="D295" s="196"/>
      <c r="E295" s="196"/>
      <c r="F295" s="196"/>
      <c r="G295" s="196"/>
      <c r="H295" s="196"/>
      <c r="I295" s="196"/>
      <c r="J295" s="196"/>
      <c r="K295" s="196"/>
      <c r="L295" s="196"/>
      <c r="M295" s="196"/>
      <c r="N295" s="196"/>
      <c r="O295" s="196"/>
      <c r="P295" s="196"/>
      <c r="Q295" s="196"/>
      <c r="R295" s="196"/>
      <c r="S295" s="196"/>
      <c r="T295" s="196"/>
      <c r="U295" s="196"/>
      <c r="V295" s="196"/>
      <c r="W295" s="196"/>
      <c r="X295" s="196"/>
      <c r="Y295" s="196"/>
      <c r="Z295" s="196"/>
      <c r="AA295" s="196"/>
      <c r="AB295" s="196"/>
      <c r="AC295" s="196"/>
    </row>
    <row r="296" spans="1:29">
      <c r="A296" s="196"/>
      <c r="B296" s="196"/>
      <c r="C296" s="196"/>
      <c r="D296" s="196"/>
      <c r="E296" s="196"/>
      <c r="F296" s="196"/>
      <c r="G296" s="196"/>
      <c r="H296" s="196"/>
      <c r="I296" s="196"/>
      <c r="J296" s="196"/>
      <c r="K296" s="196"/>
      <c r="L296" s="196"/>
      <c r="M296" s="196"/>
      <c r="N296" s="196"/>
      <c r="O296" s="196"/>
      <c r="P296" s="196"/>
      <c r="Q296" s="196"/>
      <c r="R296" s="196"/>
      <c r="S296" s="196"/>
      <c r="T296" s="196"/>
      <c r="U296" s="196"/>
      <c r="V296" s="196"/>
      <c r="W296" s="196"/>
      <c r="X296" s="196"/>
      <c r="Y296" s="196"/>
      <c r="Z296" s="196"/>
      <c r="AA296" s="196"/>
      <c r="AB296" s="196"/>
      <c r="AC296" s="196"/>
    </row>
    <row r="297" spans="1:29">
      <c r="A297" s="196"/>
      <c r="B297" s="196"/>
      <c r="C297" s="196"/>
      <c r="D297" s="196"/>
      <c r="E297" s="196"/>
      <c r="F297" s="196"/>
      <c r="G297" s="196"/>
      <c r="H297" s="196"/>
      <c r="I297" s="196"/>
      <c r="J297" s="196"/>
      <c r="K297" s="196"/>
      <c r="L297" s="196"/>
      <c r="M297" s="196"/>
      <c r="N297" s="196"/>
      <c r="O297" s="196"/>
      <c r="P297" s="196"/>
      <c r="Q297" s="196"/>
      <c r="R297" s="196"/>
      <c r="S297" s="196"/>
      <c r="T297" s="196"/>
      <c r="U297" s="196"/>
      <c r="V297" s="196"/>
      <c r="W297" s="196"/>
      <c r="X297" s="196"/>
      <c r="Y297" s="196"/>
      <c r="Z297" s="196"/>
      <c r="AA297" s="196"/>
      <c r="AB297" s="196"/>
      <c r="AC297" s="196"/>
    </row>
    <row r="298" spans="1:29">
      <c r="A298" s="196"/>
      <c r="B298" s="196"/>
      <c r="C298" s="196"/>
      <c r="D298" s="196"/>
      <c r="E298" s="196"/>
      <c r="F298" s="196"/>
      <c r="G298" s="196"/>
      <c r="H298" s="196"/>
      <c r="I298" s="196"/>
      <c r="J298" s="196"/>
      <c r="K298" s="196"/>
      <c r="L298" s="196"/>
      <c r="M298" s="196"/>
      <c r="N298" s="196"/>
      <c r="O298" s="196"/>
      <c r="P298" s="196"/>
      <c r="Q298" s="196"/>
      <c r="R298" s="196"/>
      <c r="S298" s="196"/>
      <c r="T298" s="196"/>
      <c r="U298" s="196"/>
      <c r="V298" s="196"/>
      <c r="W298" s="196"/>
      <c r="X298" s="196"/>
      <c r="Y298" s="196"/>
      <c r="Z298" s="196"/>
      <c r="AA298" s="196"/>
      <c r="AB298" s="196"/>
      <c r="AC298" s="196"/>
    </row>
    <row r="299" spans="1:29">
      <c r="A299" s="196"/>
      <c r="B299" s="196"/>
      <c r="C299" s="196"/>
      <c r="D299" s="196"/>
      <c r="E299" s="196"/>
      <c r="F299" s="196"/>
      <c r="G299" s="196"/>
      <c r="H299" s="196"/>
      <c r="I299" s="196"/>
      <c r="J299" s="196"/>
      <c r="K299" s="196"/>
      <c r="L299" s="196"/>
      <c r="M299" s="196"/>
      <c r="N299" s="196"/>
      <c r="O299" s="196"/>
      <c r="P299" s="196"/>
      <c r="Q299" s="196"/>
      <c r="R299" s="196"/>
      <c r="S299" s="196"/>
      <c r="T299" s="196"/>
      <c r="U299" s="196"/>
      <c r="V299" s="196"/>
      <c r="W299" s="196"/>
      <c r="X299" s="196"/>
      <c r="Y299" s="196"/>
      <c r="Z299" s="196"/>
      <c r="AA299" s="196"/>
      <c r="AB299" s="196"/>
      <c r="AC299" s="196"/>
    </row>
    <row r="300" spans="1:29">
      <c r="A300" s="196"/>
      <c r="B300" s="196"/>
      <c r="C300" s="196"/>
      <c r="D300" s="196"/>
      <c r="E300" s="196"/>
      <c r="F300" s="196"/>
      <c r="G300" s="196"/>
      <c r="H300" s="196"/>
      <c r="I300" s="196"/>
      <c r="J300" s="196"/>
      <c r="K300" s="196"/>
      <c r="L300" s="196"/>
      <c r="M300" s="196"/>
      <c r="N300" s="196"/>
      <c r="O300" s="196"/>
      <c r="P300" s="196"/>
      <c r="Q300" s="196"/>
      <c r="R300" s="196"/>
      <c r="S300" s="196"/>
      <c r="T300" s="196"/>
      <c r="U300" s="196"/>
      <c r="V300" s="196"/>
      <c r="W300" s="196"/>
      <c r="X300" s="196"/>
      <c r="Y300" s="196"/>
      <c r="Z300" s="196"/>
      <c r="AA300" s="196"/>
      <c r="AB300" s="196"/>
      <c r="AC300" s="196"/>
    </row>
    <row r="301" spans="1:29">
      <c r="A301" s="196"/>
      <c r="B301" s="196"/>
      <c r="C301" s="196"/>
      <c r="D301" s="196"/>
      <c r="E301" s="196"/>
      <c r="F301" s="196"/>
      <c r="G301" s="196"/>
      <c r="H301" s="196"/>
      <c r="I301" s="196"/>
      <c r="J301" s="196"/>
      <c r="K301" s="196"/>
      <c r="L301" s="196"/>
      <c r="M301" s="196"/>
      <c r="N301" s="196"/>
      <c r="O301" s="196"/>
      <c r="P301" s="196"/>
      <c r="Q301" s="196"/>
      <c r="R301" s="196"/>
      <c r="S301" s="196"/>
      <c r="T301" s="196"/>
      <c r="U301" s="196"/>
      <c r="V301" s="196"/>
      <c r="W301" s="196"/>
      <c r="X301" s="196"/>
      <c r="Y301" s="196"/>
      <c r="Z301" s="196"/>
      <c r="AA301" s="196"/>
      <c r="AB301" s="196"/>
      <c r="AC301" s="196"/>
    </row>
    <row r="302" spans="1:29">
      <c r="A302" s="196"/>
      <c r="B302" s="196"/>
      <c r="C302" s="196"/>
      <c r="D302" s="196"/>
      <c r="E302" s="196"/>
      <c r="F302" s="196"/>
      <c r="G302" s="196"/>
      <c r="H302" s="196"/>
      <c r="I302" s="196"/>
      <c r="J302" s="196"/>
      <c r="K302" s="196"/>
      <c r="L302" s="196"/>
      <c r="M302" s="196"/>
      <c r="N302" s="196"/>
      <c r="O302" s="196"/>
      <c r="P302" s="196"/>
      <c r="Q302" s="196"/>
      <c r="R302" s="196"/>
      <c r="S302" s="196"/>
      <c r="T302" s="196"/>
      <c r="U302" s="196"/>
      <c r="V302" s="196"/>
      <c r="W302" s="196"/>
      <c r="X302" s="196"/>
      <c r="Y302" s="196"/>
      <c r="Z302" s="196"/>
      <c r="AA302" s="196"/>
      <c r="AB302" s="196"/>
      <c r="AC302" s="196"/>
    </row>
    <row r="303" spans="1:29">
      <c r="A303" s="196"/>
      <c r="B303" s="196"/>
      <c r="C303" s="196"/>
      <c r="D303" s="196"/>
      <c r="E303" s="196"/>
      <c r="F303" s="196"/>
      <c r="G303" s="196"/>
      <c r="H303" s="196"/>
      <c r="I303" s="196"/>
      <c r="J303" s="196"/>
      <c r="K303" s="196"/>
      <c r="L303" s="196"/>
      <c r="M303" s="196"/>
      <c r="N303" s="196"/>
      <c r="O303" s="196"/>
      <c r="P303" s="196"/>
      <c r="Q303" s="196"/>
      <c r="R303" s="196"/>
      <c r="S303" s="196"/>
      <c r="T303" s="196"/>
      <c r="U303" s="196"/>
      <c r="V303" s="196"/>
      <c r="W303" s="196"/>
      <c r="X303" s="196"/>
      <c r="Y303" s="196"/>
      <c r="Z303" s="196"/>
      <c r="AA303" s="196"/>
      <c r="AB303" s="196"/>
      <c r="AC303" s="196"/>
    </row>
    <row r="304" spans="1:29">
      <c r="A304" s="196"/>
      <c r="B304" s="196"/>
      <c r="C304" s="196"/>
      <c r="D304" s="196"/>
      <c r="E304" s="196"/>
      <c r="F304" s="196"/>
      <c r="G304" s="196"/>
      <c r="H304" s="196"/>
      <c r="I304" s="196"/>
      <c r="J304" s="196"/>
      <c r="K304" s="196"/>
      <c r="L304" s="196"/>
      <c r="M304" s="196"/>
      <c r="N304" s="196"/>
      <c r="O304" s="196"/>
      <c r="P304" s="196"/>
      <c r="Q304" s="196"/>
      <c r="R304" s="196"/>
      <c r="S304" s="196"/>
      <c r="T304" s="196"/>
      <c r="U304" s="196"/>
      <c r="V304" s="196"/>
      <c r="W304" s="196"/>
      <c r="X304" s="196"/>
      <c r="Y304" s="196"/>
      <c r="Z304" s="196"/>
      <c r="AA304" s="196"/>
      <c r="AB304" s="196"/>
      <c r="AC304" s="196"/>
    </row>
    <row r="305" spans="1:29">
      <c r="A305" s="196"/>
      <c r="B305" s="196"/>
      <c r="C305" s="196"/>
      <c r="D305" s="196"/>
      <c r="E305" s="196"/>
      <c r="F305" s="196"/>
      <c r="G305" s="196"/>
      <c r="H305" s="196"/>
      <c r="I305" s="196"/>
      <c r="J305" s="196"/>
      <c r="K305" s="196"/>
      <c r="L305" s="196"/>
      <c r="M305" s="196"/>
      <c r="N305" s="196"/>
      <c r="O305" s="196"/>
      <c r="P305" s="196"/>
      <c r="Q305" s="196"/>
      <c r="R305" s="196"/>
      <c r="S305" s="196"/>
      <c r="T305" s="196"/>
      <c r="U305" s="196"/>
      <c r="V305" s="196"/>
      <c r="W305" s="196"/>
      <c r="X305" s="196"/>
      <c r="Y305" s="196"/>
      <c r="Z305" s="196"/>
      <c r="AA305" s="196"/>
      <c r="AB305" s="196"/>
      <c r="AC305" s="196"/>
    </row>
    <row r="306" spans="1:29">
      <c r="A306" s="196"/>
      <c r="B306" s="196"/>
      <c r="C306" s="196"/>
      <c r="D306" s="196"/>
      <c r="E306" s="196"/>
      <c r="F306" s="196"/>
      <c r="G306" s="196"/>
      <c r="H306" s="196"/>
      <c r="I306" s="196"/>
      <c r="J306" s="196"/>
      <c r="K306" s="196"/>
      <c r="L306" s="196"/>
      <c r="M306" s="196"/>
      <c r="N306" s="196"/>
      <c r="O306" s="196"/>
      <c r="P306" s="196"/>
      <c r="Q306" s="196"/>
      <c r="R306" s="196"/>
      <c r="S306" s="196"/>
      <c r="T306" s="196"/>
      <c r="U306" s="196"/>
      <c r="V306" s="196"/>
      <c r="W306" s="196"/>
      <c r="X306" s="196"/>
      <c r="Y306" s="196"/>
      <c r="Z306" s="196"/>
      <c r="AA306" s="196"/>
      <c r="AB306" s="196"/>
      <c r="AC306" s="196"/>
    </row>
    <row r="307" spans="1:29">
      <c r="A307" s="196"/>
      <c r="B307" s="196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N307" s="196"/>
      <c r="O307" s="196"/>
      <c r="P307" s="196"/>
      <c r="Q307" s="196"/>
      <c r="R307" s="196"/>
      <c r="S307" s="196"/>
      <c r="T307" s="196"/>
      <c r="U307" s="196"/>
      <c r="V307" s="196"/>
      <c r="W307" s="196"/>
      <c r="X307" s="196"/>
      <c r="Y307" s="196"/>
      <c r="Z307" s="196"/>
      <c r="AA307" s="196"/>
      <c r="AB307" s="196"/>
      <c r="AC307" s="196"/>
    </row>
    <row r="308" spans="1:29">
      <c r="A308" s="196"/>
      <c r="B308" s="196"/>
      <c r="C308" s="196"/>
      <c r="D308" s="196"/>
      <c r="E308" s="196"/>
      <c r="F308" s="196"/>
      <c r="G308" s="196"/>
      <c r="H308" s="196"/>
      <c r="I308" s="196"/>
      <c r="J308" s="196"/>
      <c r="K308" s="196"/>
      <c r="L308" s="196"/>
      <c r="M308" s="196"/>
      <c r="N308" s="196"/>
      <c r="O308" s="196"/>
      <c r="P308" s="196"/>
      <c r="Q308" s="196"/>
      <c r="R308" s="196"/>
      <c r="S308" s="196"/>
      <c r="T308" s="196"/>
      <c r="U308" s="196"/>
      <c r="V308" s="196"/>
      <c r="W308" s="196"/>
      <c r="X308" s="196"/>
      <c r="Y308" s="196"/>
      <c r="Z308" s="196"/>
      <c r="AA308" s="196"/>
      <c r="AB308" s="196"/>
      <c r="AC308" s="196"/>
    </row>
    <row r="309" spans="1:29">
      <c r="A309" s="196"/>
      <c r="B309" s="196"/>
      <c r="C309" s="196"/>
      <c r="D309" s="196"/>
      <c r="E309" s="196"/>
      <c r="F309" s="196"/>
      <c r="G309" s="196"/>
      <c r="H309" s="196"/>
      <c r="I309" s="196"/>
      <c r="J309" s="196"/>
      <c r="K309" s="196"/>
      <c r="L309" s="196"/>
      <c r="M309" s="196"/>
      <c r="N309" s="196"/>
      <c r="O309" s="196"/>
      <c r="P309" s="196"/>
      <c r="Q309" s="196"/>
      <c r="R309" s="196"/>
      <c r="S309" s="196"/>
      <c r="T309" s="196"/>
      <c r="U309" s="196"/>
      <c r="V309" s="196"/>
      <c r="W309" s="196"/>
      <c r="X309" s="196"/>
      <c r="Y309" s="196"/>
      <c r="Z309" s="196"/>
      <c r="AA309" s="196"/>
      <c r="AB309" s="196"/>
      <c r="AC309" s="196"/>
    </row>
    <row r="310" spans="1:29">
      <c r="A310" s="196"/>
      <c r="B310" s="196"/>
      <c r="C310" s="196"/>
      <c r="D310" s="196"/>
      <c r="E310" s="196"/>
      <c r="F310" s="196"/>
      <c r="G310" s="196"/>
      <c r="H310" s="196"/>
      <c r="I310" s="196"/>
      <c r="J310" s="196"/>
      <c r="K310" s="196"/>
      <c r="L310" s="196"/>
      <c r="M310" s="196"/>
      <c r="N310" s="196"/>
      <c r="O310" s="196"/>
      <c r="P310" s="196"/>
      <c r="Q310" s="196"/>
      <c r="R310" s="196"/>
      <c r="S310" s="196"/>
      <c r="T310" s="196"/>
      <c r="U310" s="196"/>
      <c r="V310" s="196"/>
      <c r="W310" s="196"/>
      <c r="X310" s="196"/>
      <c r="Y310" s="196"/>
      <c r="Z310" s="196"/>
      <c r="AA310" s="196"/>
      <c r="AB310" s="196"/>
      <c r="AC310" s="196"/>
    </row>
    <row r="311" spans="1:29">
      <c r="A311" s="196"/>
      <c r="B311" s="196"/>
      <c r="C311" s="196"/>
      <c r="D311" s="196"/>
      <c r="E311" s="196"/>
      <c r="F311" s="196"/>
      <c r="G311" s="196"/>
      <c r="H311" s="196"/>
      <c r="I311" s="196"/>
      <c r="J311" s="196"/>
      <c r="K311" s="196"/>
      <c r="L311" s="196"/>
      <c r="M311" s="196"/>
      <c r="N311" s="196"/>
      <c r="O311" s="196"/>
      <c r="P311" s="196"/>
      <c r="Q311" s="196"/>
      <c r="R311" s="196"/>
      <c r="S311" s="196"/>
      <c r="T311" s="196"/>
      <c r="U311" s="196"/>
      <c r="V311" s="196"/>
      <c r="W311" s="196"/>
      <c r="X311" s="196"/>
      <c r="Y311" s="196"/>
      <c r="Z311" s="196"/>
      <c r="AA311" s="196"/>
      <c r="AB311" s="196"/>
      <c r="AC311" s="196"/>
    </row>
    <row r="312" spans="1:29">
      <c r="A312" s="196"/>
      <c r="B312" s="196"/>
      <c r="C312" s="196"/>
      <c r="D312" s="196"/>
      <c r="E312" s="196"/>
      <c r="F312" s="196"/>
      <c r="G312" s="196"/>
      <c r="H312" s="196"/>
      <c r="I312" s="196"/>
      <c r="J312" s="196"/>
      <c r="K312" s="196"/>
      <c r="L312" s="196"/>
      <c r="M312" s="196"/>
      <c r="N312" s="196"/>
      <c r="O312" s="196"/>
      <c r="P312" s="196"/>
      <c r="Q312" s="196"/>
      <c r="R312" s="196"/>
      <c r="S312" s="196"/>
      <c r="T312" s="196"/>
      <c r="U312" s="196"/>
      <c r="V312" s="196"/>
      <c r="W312" s="196"/>
      <c r="X312" s="196"/>
      <c r="Y312" s="196"/>
      <c r="Z312" s="196"/>
      <c r="AA312" s="196"/>
      <c r="AB312" s="196"/>
      <c r="AC312" s="196"/>
    </row>
    <row r="313" spans="1:29">
      <c r="A313" s="196"/>
      <c r="B313" s="196"/>
      <c r="C313" s="196"/>
      <c r="D313" s="196"/>
      <c r="E313" s="196"/>
      <c r="F313" s="196"/>
      <c r="G313" s="196"/>
      <c r="H313" s="196"/>
      <c r="I313" s="196"/>
      <c r="J313" s="196"/>
      <c r="K313" s="196"/>
      <c r="L313" s="196"/>
      <c r="M313" s="196"/>
      <c r="N313" s="196"/>
      <c r="O313" s="196"/>
      <c r="P313" s="196"/>
      <c r="Q313" s="196"/>
      <c r="R313" s="196"/>
      <c r="S313" s="196"/>
      <c r="T313" s="196"/>
      <c r="U313" s="196"/>
      <c r="V313" s="196"/>
      <c r="W313" s="196"/>
      <c r="X313" s="196"/>
      <c r="Y313" s="196"/>
      <c r="Z313" s="196"/>
      <c r="AA313" s="196"/>
      <c r="AB313" s="196"/>
      <c r="AC313" s="196"/>
    </row>
    <row r="314" spans="1:29">
      <c r="A314" s="196"/>
      <c r="B314" s="196"/>
      <c r="C314" s="196"/>
      <c r="D314" s="196"/>
      <c r="E314" s="196"/>
      <c r="F314" s="196"/>
      <c r="G314" s="196"/>
      <c r="H314" s="196"/>
      <c r="I314" s="196"/>
      <c r="J314" s="196"/>
      <c r="K314" s="196"/>
      <c r="L314" s="196"/>
      <c r="M314" s="196"/>
      <c r="N314" s="196"/>
      <c r="O314" s="196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</row>
    <row r="315" spans="1:29">
      <c r="A315" s="196"/>
      <c r="B315" s="196"/>
      <c r="C315" s="196"/>
      <c r="D315" s="196"/>
      <c r="E315" s="196"/>
      <c r="F315" s="196"/>
      <c r="G315" s="196"/>
      <c r="H315" s="196"/>
      <c r="I315" s="196"/>
      <c r="J315" s="196"/>
      <c r="K315" s="196"/>
      <c r="L315" s="196"/>
      <c r="M315" s="196"/>
      <c r="N315" s="196"/>
      <c r="O315" s="196"/>
      <c r="P315" s="196"/>
      <c r="Q315" s="196"/>
      <c r="R315" s="196"/>
      <c r="S315" s="196"/>
      <c r="T315" s="196"/>
      <c r="U315" s="196"/>
      <c r="V315" s="196"/>
      <c r="W315" s="196"/>
      <c r="X315" s="196"/>
      <c r="Y315" s="196"/>
      <c r="Z315" s="196"/>
      <c r="AA315" s="196"/>
      <c r="AB315" s="196"/>
      <c r="AC315" s="196"/>
    </row>
    <row r="316" spans="1:29">
      <c r="A316" s="196"/>
      <c r="B316" s="196"/>
      <c r="C316" s="196"/>
      <c r="D316" s="196"/>
      <c r="E316" s="196"/>
      <c r="F316" s="196"/>
      <c r="G316" s="196"/>
      <c r="H316" s="196"/>
      <c r="I316" s="196"/>
      <c r="J316" s="196"/>
      <c r="K316" s="196"/>
      <c r="L316" s="196"/>
      <c r="M316" s="196"/>
      <c r="N316" s="196"/>
      <c r="O316" s="196"/>
      <c r="P316" s="196"/>
      <c r="Q316" s="196"/>
      <c r="R316" s="196"/>
      <c r="S316" s="196"/>
      <c r="T316" s="196"/>
      <c r="U316" s="196"/>
      <c r="V316" s="196"/>
      <c r="W316" s="196"/>
      <c r="X316" s="196"/>
      <c r="Y316" s="196"/>
      <c r="Z316" s="196"/>
      <c r="AA316" s="196"/>
      <c r="AB316" s="196"/>
      <c r="AC316" s="196"/>
    </row>
    <row r="317" spans="1:29">
      <c r="A317" s="196"/>
      <c r="B317" s="196"/>
      <c r="C317" s="196"/>
      <c r="D317" s="196"/>
      <c r="E317" s="196"/>
      <c r="F317" s="196"/>
      <c r="G317" s="196"/>
      <c r="H317" s="196"/>
      <c r="I317" s="196"/>
      <c r="J317" s="196"/>
      <c r="K317" s="196"/>
      <c r="L317" s="196"/>
      <c r="M317" s="196"/>
      <c r="N317" s="196"/>
      <c r="O317" s="196"/>
      <c r="P317" s="196"/>
      <c r="Q317" s="196"/>
      <c r="R317" s="196"/>
      <c r="S317" s="196"/>
      <c r="T317" s="196"/>
      <c r="U317" s="196"/>
      <c r="V317" s="196"/>
      <c r="W317" s="196"/>
      <c r="X317" s="196"/>
      <c r="Y317" s="196"/>
      <c r="Z317" s="196"/>
      <c r="AA317" s="196"/>
      <c r="AB317" s="196"/>
      <c r="AC317" s="196"/>
    </row>
    <row r="318" spans="1:29">
      <c r="A318" s="196"/>
      <c r="B318" s="196"/>
      <c r="C318" s="196"/>
      <c r="D318" s="196"/>
      <c r="E318" s="196"/>
      <c r="F318" s="196"/>
      <c r="G318" s="196"/>
      <c r="H318" s="196"/>
      <c r="I318" s="196"/>
      <c r="J318" s="196"/>
      <c r="K318" s="196"/>
      <c r="L318" s="196"/>
      <c r="M318" s="196"/>
      <c r="N318" s="196"/>
      <c r="O318" s="196"/>
      <c r="P318" s="196"/>
      <c r="Q318" s="196"/>
      <c r="R318" s="196"/>
      <c r="S318" s="196"/>
      <c r="T318" s="196"/>
      <c r="U318" s="196"/>
      <c r="V318" s="196"/>
      <c r="W318" s="196"/>
      <c r="X318" s="196"/>
      <c r="Y318" s="196"/>
      <c r="Z318" s="196"/>
      <c r="AA318" s="196"/>
      <c r="AB318" s="196"/>
      <c r="AC318" s="196"/>
    </row>
    <row r="319" spans="1:29">
      <c r="A319" s="196"/>
      <c r="B319" s="196"/>
      <c r="C319" s="196"/>
      <c r="D319" s="196"/>
      <c r="E319" s="196"/>
      <c r="F319" s="196"/>
      <c r="G319" s="196"/>
      <c r="H319" s="196"/>
      <c r="I319" s="196"/>
      <c r="J319" s="196"/>
      <c r="K319" s="196"/>
      <c r="L319" s="196"/>
      <c r="M319" s="196"/>
      <c r="N319" s="196"/>
      <c r="O319" s="196"/>
      <c r="P319" s="196"/>
      <c r="Q319" s="196"/>
      <c r="R319" s="196"/>
      <c r="S319" s="196"/>
      <c r="T319" s="196"/>
      <c r="U319" s="196"/>
      <c r="V319" s="196"/>
      <c r="W319" s="196"/>
      <c r="X319" s="196"/>
      <c r="Y319" s="196"/>
      <c r="Z319" s="196"/>
      <c r="AA319" s="196"/>
      <c r="AB319" s="196"/>
      <c r="AC319" s="196"/>
    </row>
    <row r="320" spans="1:29">
      <c r="A320" s="196"/>
      <c r="B320" s="196"/>
      <c r="C320" s="196"/>
      <c r="D320" s="196"/>
      <c r="E320" s="196"/>
      <c r="F320" s="196"/>
      <c r="G320" s="196"/>
      <c r="H320" s="196"/>
      <c r="I320" s="196"/>
      <c r="J320" s="196"/>
      <c r="K320" s="196"/>
      <c r="L320" s="196"/>
      <c r="M320" s="196"/>
      <c r="N320" s="196"/>
      <c r="O320" s="196"/>
      <c r="P320" s="196"/>
      <c r="Q320" s="196"/>
      <c r="R320" s="196"/>
      <c r="S320" s="196"/>
      <c r="T320" s="196"/>
      <c r="U320" s="196"/>
      <c r="V320" s="196"/>
      <c r="W320" s="196"/>
      <c r="X320" s="196"/>
      <c r="Y320" s="196"/>
      <c r="Z320" s="196"/>
      <c r="AA320" s="196"/>
      <c r="AB320" s="196"/>
      <c r="AC320" s="196"/>
    </row>
    <row r="321" spans="1:29">
      <c r="A321" s="196"/>
      <c r="B321" s="196"/>
      <c r="C321" s="196"/>
      <c r="D321" s="196"/>
      <c r="E321" s="196"/>
      <c r="F321" s="196"/>
      <c r="G321" s="196"/>
      <c r="H321" s="196"/>
      <c r="I321" s="196"/>
      <c r="J321" s="196"/>
      <c r="K321" s="196"/>
      <c r="L321" s="196"/>
      <c r="M321" s="196"/>
      <c r="N321" s="196"/>
      <c r="O321" s="196"/>
      <c r="P321" s="196"/>
      <c r="Q321" s="196"/>
      <c r="R321" s="196"/>
      <c r="S321" s="196"/>
      <c r="T321" s="196"/>
      <c r="U321" s="196"/>
      <c r="V321" s="196"/>
      <c r="W321" s="196"/>
      <c r="X321" s="196"/>
      <c r="Y321" s="196"/>
      <c r="Z321" s="196"/>
      <c r="AA321" s="196"/>
      <c r="AB321" s="196"/>
      <c r="AC321" s="196"/>
    </row>
    <row r="322" spans="1:29">
      <c r="A322" s="196"/>
      <c r="B322" s="196"/>
      <c r="C322" s="196"/>
      <c r="D322" s="196"/>
      <c r="E322" s="196"/>
      <c r="F322" s="196"/>
      <c r="G322" s="196"/>
      <c r="H322" s="196"/>
      <c r="I322" s="196"/>
      <c r="J322" s="196"/>
      <c r="K322" s="196"/>
      <c r="L322" s="196"/>
      <c r="M322" s="196"/>
      <c r="N322" s="196"/>
      <c r="O322" s="196"/>
      <c r="P322" s="196"/>
      <c r="Q322" s="196"/>
      <c r="R322" s="196"/>
      <c r="S322" s="196"/>
      <c r="T322" s="196"/>
      <c r="U322" s="196"/>
      <c r="V322" s="196"/>
      <c r="W322" s="196"/>
      <c r="X322" s="196"/>
      <c r="Y322" s="196"/>
      <c r="Z322" s="196"/>
      <c r="AA322" s="196"/>
      <c r="AB322" s="196"/>
      <c r="AC322" s="196"/>
    </row>
    <row r="323" spans="1:29">
      <c r="A323" s="196"/>
      <c r="B323" s="196"/>
      <c r="C323" s="196"/>
      <c r="D323" s="196"/>
      <c r="E323" s="196"/>
      <c r="F323" s="196"/>
      <c r="G323" s="196"/>
      <c r="H323" s="196"/>
      <c r="I323" s="196"/>
      <c r="J323" s="196"/>
      <c r="K323" s="196"/>
      <c r="L323" s="196"/>
      <c r="M323" s="196"/>
      <c r="N323" s="196"/>
      <c r="O323" s="196"/>
      <c r="P323" s="196"/>
      <c r="Q323" s="196"/>
      <c r="R323" s="196"/>
      <c r="S323" s="196"/>
      <c r="T323" s="196"/>
      <c r="U323" s="196"/>
      <c r="V323" s="196"/>
      <c r="W323" s="196"/>
      <c r="X323" s="196"/>
      <c r="Y323" s="196"/>
      <c r="Z323" s="196"/>
      <c r="AA323" s="196"/>
      <c r="AB323" s="196"/>
      <c r="AC323" s="196"/>
    </row>
    <row r="324" spans="1:29">
      <c r="A324" s="196"/>
      <c r="B324" s="196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N324" s="196"/>
      <c r="O324" s="196"/>
      <c r="P324" s="196"/>
      <c r="Q324" s="196"/>
      <c r="R324" s="196"/>
      <c r="S324" s="196"/>
      <c r="T324" s="196"/>
      <c r="U324" s="196"/>
      <c r="V324" s="196"/>
      <c r="W324" s="196"/>
      <c r="X324" s="196"/>
      <c r="Y324" s="196"/>
      <c r="Z324" s="196"/>
      <c r="AA324" s="196"/>
      <c r="AB324" s="196"/>
      <c r="AC324" s="196"/>
    </row>
    <row r="325" spans="1:29">
      <c r="A325" s="196"/>
      <c r="B325" s="196"/>
      <c r="C325" s="196"/>
      <c r="D325" s="196"/>
      <c r="E325" s="196"/>
      <c r="F325" s="196"/>
      <c r="G325" s="196"/>
      <c r="H325" s="196"/>
      <c r="I325" s="196"/>
      <c r="J325" s="196"/>
      <c r="K325" s="196"/>
      <c r="L325" s="196"/>
      <c r="M325" s="196"/>
      <c r="N325" s="196"/>
      <c r="O325" s="196"/>
      <c r="P325" s="196"/>
      <c r="Q325" s="196"/>
      <c r="R325" s="196"/>
      <c r="S325" s="196"/>
      <c r="T325" s="196"/>
      <c r="U325" s="196"/>
      <c r="V325" s="196"/>
      <c r="W325" s="196"/>
      <c r="X325" s="196"/>
      <c r="Y325" s="196"/>
      <c r="Z325" s="196"/>
      <c r="AA325" s="196"/>
      <c r="AB325" s="196"/>
      <c r="AC325" s="196"/>
    </row>
    <row r="326" spans="1:29">
      <c r="A326" s="196"/>
      <c r="B326" s="196"/>
      <c r="C326" s="196"/>
      <c r="D326" s="196"/>
      <c r="E326" s="196"/>
      <c r="F326" s="196"/>
      <c r="G326" s="196"/>
      <c r="H326" s="196"/>
      <c r="I326" s="196"/>
      <c r="J326" s="196"/>
      <c r="K326" s="196"/>
      <c r="L326" s="196"/>
      <c r="M326" s="196"/>
      <c r="N326" s="196"/>
      <c r="O326" s="196"/>
      <c r="P326" s="196"/>
      <c r="Q326" s="196"/>
      <c r="R326" s="196"/>
      <c r="S326" s="196"/>
      <c r="T326" s="196"/>
      <c r="U326" s="196"/>
      <c r="V326" s="196"/>
      <c r="W326" s="196"/>
      <c r="X326" s="196"/>
      <c r="Y326" s="196"/>
      <c r="Z326" s="196"/>
      <c r="AA326" s="196"/>
      <c r="AB326" s="196"/>
      <c r="AC326" s="196"/>
    </row>
    <row r="327" spans="1:29">
      <c r="A327" s="196"/>
      <c r="B327" s="196"/>
      <c r="C327" s="196"/>
      <c r="D327" s="196"/>
      <c r="E327" s="196"/>
      <c r="F327" s="196"/>
      <c r="G327" s="196"/>
      <c r="H327" s="196"/>
      <c r="I327" s="196"/>
      <c r="J327" s="196"/>
      <c r="K327" s="196"/>
      <c r="L327" s="196"/>
      <c r="M327" s="196"/>
      <c r="N327" s="196"/>
      <c r="O327" s="196"/>
      <c r="P327" s="196"/>
      <c r="Q327" s="196"/>
      <c r="R327" s="196"/>
      <c r="S327" s="196"/>
      <c r="T327" s="196"/>
      <c r="U327" s="196"/>
      <c r="V327" s="196"/>
      <c r="W327" s="196"/>
      <c r="X327" s="196"/>
      <c r="Y327" s="196"/>
      <c r="Z327" s="196"/>
      <c r="AA327" s="196"/>
      <c r="AB327" s="196"/>
      <c r="AC327" s="196"/>
    </row>
    <row r="328" spans="1:29">
      <c r="A328" s="196"/>
      <c r="B328" s="196"/>
      <c r="C328" s="196"/>
      <c r="D328" s="196"/>
      <c r="E328" s="196"/>
      <c r="F328" s="196"/>
      <c r="G328" s="196"/>
      <c r="H328" s="196"/>
      <c r="I328" s="196"/>
      <c r="J328" s="196"/>
      <c r="K328" s="196"/>
      <c r="L328" s="196"/>
      <c r="M328" s="196"/>
      <c r="N328" s="196"/>
      <c r="O328" s="196"/>
      <c r="P328" s="196"/>
      <c r="Q328" s="196"/>
      <c r="R328" s="196"/>
      <c r="S328" s="196"/>
      <c r="T328" s="196"/>
      <c r="U328" s="196"/>
      <c r="V328" s="196"/>
      <c r="W328" s="196"/>
      <c r="X328" s="196"/>
      <c r="Y328" s="196"/>
      <c r="Z328" s="196"/>
      <c r="AA328" s="196"/>
      <c r="AB328" s="196"/>
      <c r="AC328" s="196"/>
    </row>
    <row r="329" spans="1:29">
      <c r="A329" s="196"/>
      <c r="B329" s="196"/>
      <c r="C329" s="196"/>
      <c r="D329" s="196"/>
      <c r="E329" s="196"/>
      <c r="F329" s="196"/>
      <c r="G329" s="196"/>
      <c r="H329" s="196"/>
      <c r="I329" s="196"/>
      <c r="J329" s="196"/>
      <c r="K329" s="196"/>
      <c r="L329" s="196"/>
      <c r="M329" s="196"/>
      <c r="N329" s="196"/>
      <c r="O329" s="196"/>
      <c r="P329" s="196"/>
      <c r="Q329" s="196"/>
      <c r="R329" s="196"/>
      <c r="S329" s="196"/>
      <c r="T329" s="196"/>
      <c r="U329" s="196"/>
      <c r="V329" s="196"/>
      <c r="W329" s="196"/>
      <c r="X329" s="196"/>
      <c r="Y329" s="196"/>
      <c r="Z329" s="196"/>
      <c r="AA329" s="196"/>
      <c r="AB329" s="196"/>
      <c r="AC329" s="196"/>
    </row>
    <row r="330" spans="1:29">
      <c r="A330" s="196"/>
      <c r="B330" s="196"/>
      <c r="C330" s="196"/>
      <c r="D330" s="196"/>
      <c r="E330" s="196"/>
      <c r="F330" s="196"/>
      <c r="G330" s="196"/>
      <c r="H330" s="196"/>
      <c r="I330" s="196"/>
      <c r="J330" s="196"/>
      <c r="K330" s="196"/>
      <c r="L330" s="196"/>
      <c r="M330" s="196"/>
      <c r="N330" s="196"/>
      <c r="O330" s="196"/>
      <c r="P330" s="196"/>
      <c r="Q330" s="196"/>
      <c r="R330" s="196"/>
      <c r="S330" s="196"/>
      <c r="T330" s="196"/>
      <c r="U330" s="196"/>
      <c r="V330" s="196"/>
      <c r="W330" s="196"/>
      <c r="X330" s="196"/>
      <c r="Y330" s="196"/>
      <c r="Z330" s="196"/>
      <c r="AA330" s="196"/>
      <c r="AB330" s="196"/>
      <c r="AC330" s="196"/>
    </row>
    <row r="331" spans="1:29">
      <c r="A331" s="196"/>
      <c r="B331" s="196"/>
      <c r="C331" s="196"/>
      <c r="D331" s="196"/>
      <c r="E331" s="196"/>
      <c r="F331" s="196"/>
      <c r="G331" s="196"/>
      <c r="H331" s="196"/>
      <c r="I331" s="196"/>
      <c r="J331" s="196"/>
      <c r="K331" s="196"/>
      <c r="L331" s="196"/>
      <c r="M331" s="196"/>
      <c r="N331" s="196"/>
      <c r="O331" s="196"/>
      <c r="P331" s="196"/>
      <c r="Q331" s="196"/>
      <c r="R331" s="196"/>
      <c r="S331" s="196"/>
      <c r="T331" s="196"/>
      <c r="U331" s="196"/>
      <c r="V331" s="196"/>
      <c r="W331" s="196"/>
      <c r="X331" s="196"/>
      <c r="Y331" s="196"/>
      <c r="Z331" s="196"/>
      <c r="AA331" s="196"/>
      <c r="AB331" s="196"/>
      <c r="AC331" s="196"/>
    </row>
    <row r="332" spans="1:29">
      <c r="A332" s="196"/>
      <c r="B332" s="196"/>
      <c r="C332" s="196"/>
      <c r="D332" s="196"/>
      <c r="E332" s="196"/>
      <c r="F332" s="196"/>
      <c r="G332" s="196"/>
      <c r="H332" s="196"/>
      <c r="I332" s="196"/>
      <c r="J332" s="196"/>
      <c r="K332" s="196"/>
      <c r="L332" s="196"/>
      <c r="M332" s="196"/>
      <c r="N332" s="196"/>
      <c r="O332" s="196"/>
      <c r="P332" s="196"/>
      <c r="Q332" s="196"/>
      <c r="R332" s="196"/>
      <c r="S332" s="196"/>
      <c r="T332" s="196"/>
      <c r="U332" s="196"/>
      <c r="V332" s="196"/>
      <c r="W332" s="196"/>
      <c r="X332" s="196"/>
      <c r="Y332" s="196"/>
      <c r="Z332" s="196"/>
      <c r="AA332" s="196"/>
      <c r="AB332" s="196"/>
      <c r="AC332" s="196"/>
    </row>
    <row r="333" spans="1:29">
      <c r="A333" s="196"/>
      <c r="B333" s="196"/>
      <c r="C333" s="196"/>
      <c r="D333" s="196"/>
      <c r="E333" s="196"/>
      <c r="F333" s="196"/>
      <c r="G333" s="196"/>
      <c r="H333" s="196"/>
      <c r="I333" s="196"/>
      <c r="J333" s="196"/>
      <c r="K333" s="196"/>
      <c r="L333" s="196"/>
      <c r="M333" s="196"/>
      <c r="N333" s="196"/>
      <c r="O333" s="196"/>
      <c r="P333" s="196"/>
      <c r="Q333" s="196"/>
      <c r="R333" s="196"/>
      <c r="S333" s="196"/>
      <c r="T333" s="196"/>
      <c r="U333" s="196"/>
      <c r="V333" s="196"/>
      <c r="W333" s="196"/>
      <c r="X333" s="196"/>
      <c r="Y333" s="196"/>
      <c r="Z333" s="196"/>
      <c r="AA333" s="196"/>
      <c r="AB333" s="196"/>
      <c r="AC333" s="196"/>
    </row>
    <row r="334" spans="1:29">
      <c r="A334" s="196"/>
      <c r="B334" s="196"/>
      <c r="C334" s="196"/>
      <c r="D334" s="196"/>
      <c r="E334" s="196"/>
      <c r="F334" s="196"/>
      <c r="G334" s="196"/>
      <c r="H334" s="196"/>
      <c r="I334" s="196"/>
      <c r="J334" s="196"/>
      <c r="K334" s="196"/>
      <c r="L334" s="196"/>
      <c r="M334" s="196"/>
      <c r="N334" s="196"/>
      <c r="O334" s="196"/>
      <c r="P334" s="196"/>
      <c r="Q334" s="196"/>
      <c r="R334" s="196"/>
      <c r="S334" s="196"/>
      <c r="T334" s="196"/>
      <c r="U334" s="196"/>
      <c r="V334" s="196"/>
      <c r="W334" s="196"/>
      <c r="X334" s="196"/>
      <c r="Y334" s="196"/>
      <c r="Z334" s="196"/>
      <c r="AA334" s="196"/>
      <c r="AB334" s="196"/>
      <c r="AC334" s="196"/>
    </row>
    <row r="335" spans="1:29">
      <c r="A335" s="196"/>
      <c r="B335" s="196"/>
      <c r="C335" s="196"/>
      <c r="D335" s="196"/>
      <c r="E335" s="196"/>
      <c r="F335" s="196"/>
      <c r="G335" s="196"/>
      <c r="H335" s="196"/>
      <c r="I335" s="196"/>
      <c r="J335" s="196"/>
      <c r="K335" s="196"/>
      <c r="L335" s="196"/>
      <c r="M335" s="196"/>
      <c r="N335" s="196"/>
      <c r="O335" s="196"/>
      <c r="P335" s="196"/>
      <c r="Q335" s="196"/>
      <c r="R335" s="196"/>
      <c r="S335" s="196"/>
      <c r="T335" s="196"/>
      <c r="U335" s="196"/>
      <c r="V335" s="196"/>
      <c r="W335" s="196"/>
      <c r="X335" s="196"/>
      <c r="Y335" s="196"/>
      <c r="Z335" s="196"/>
      <c r="AA335" s="196"/>
      <c r="AB335" s="196"/>
      <c r="AC335" s="196"/>
    </row>
    <row r="336" spans="1:29">
      <c r="A336" s="196"/>
      <c r="B336" s="196"/>
      <c r="C336" s="196"/>
      <c r="D336" s="196"/>
      <c r="E336" s="196"/>
      <c r="F336" s="196"/>
      <c r="G336" s="196"/>
      <c r="H336" s="196"/>
      <c r="I336" s="196"/>
      <c r="J336" s="196"/>
      <c r="K336" s="196"/>
      <c r="L336" s="196"/>
      <c r="M336" s="196"/>
      <c r="N336" s="196"/>
      <c r="O336" s="196"/>
      <c r="P336" s="196"/>
      <c r="Q336" s="196"/>
      <c r="R336" s="196"/>
      <c r="S336" s="196"/>
      <c r="T336" s="196"/>
      <c r="U336" s="196"/>
      <c r="V336" s="196"/>
      <c r="W336" s="196"/>
      <c r="X336" s="196"/>
      <c r="Y336" s="196"/>
      <c r="Z336" s="196"/>
      <c r="AA336" s="196"/>
      <c r="AB336" s="196"/>
      <c r="AC336" s="196"/>
    </row>
    <row r="337" spans="1:29">
      <c r="A337" s="196"/>
      <c r="B337" s="196"/>
      <c r="C337" s="196"/>
      <c r="D337" s="196"/>
      <c r="E337" s="196"/>
      <c r="F337" s="196"/>
      <c r="G337" s="196"/>
      <c r="H337" s="196"/>
      <c r="I337" s="196"/>
      <c r="J337" s="196"/>
      <c r="K337" s="196"/>
      <c r="L337" s="196"/>
      <c r="M337" s="196"/>
      <c r="N337" s="196"/>
      <c r="O337" s="196"/>
      <c r="P337" s="196"/>
      <c r="Q337" s="196"/>
      <c r="R337" s="196"/>
      <c r="S337" s="196"/>
      <c r="T337" s="196"/>
      <c r="U337" s="196"/>
      <c r="V337" s="196"/>
      <c r="W337" s="196"/>
      <c r="X337" s="196"/>
      <c r="Y337" s="196"/>
      <c r="Z337" s="196"/>
      <c r="AA337" s="196"/>
      <c r="AB337" s="196"/>
      <c r="AC337" s="196"/>
    </row>
    <row r="338" spans="1:29">
      <c r="A338" s="196"/>
      <c r="B338" s="196"/>
      <c r="C338" s="196"/>
      <c r="D338" s="196"/>
      <c r="E338" s="196"/>
      <c r="F338" s="196"/>
      <c r="G338" s="196"/>
      <c r="H338" s="196"/>
      <c r="I338" s="196"/>
      <c r="J338" s="196"/>
      <c r="K338" s="196"/>
      <c r="L338" s="196"/>
      <c r="M338" s="196"/>
      <c r="N338" s="196"/>
      <c r="O338" s="196"/>
      <c r="P338" s="196"/>
      <c r="Q338" s="196"/>
      <c r="R338" s="196"/>
      <c r="S338" s="196"/>
      <c r="T338" s="196"/>
      <c r="U338" s="196"/>
      <c r="V338" s="196"/>
      <c r="W338" s="196"/>
      <c r="X338" s="196"/>
      <c r="Y338" s="196"/>
      <c r="Z338" s="196"/>
      <c r="AA338" s="196"/>
      <c r="AB338" s="196"/>
      <c r="AC338" s="196"/>
    </row>
    <row r="339" spans="1:29">
      <c r="A339" s="196"/>
      <c r="B339" s="196"/>
      <c r="C339" s="196"/>
      <c r="D339" s="196"/>
      <c r="E339" s="196"/>
      <c r="F339" s="196"/>
      <c r="G339" s="196"/>
      <c r="H339" s="196"/>
      <c r="I339" s="196"/>
      <c r="J339" s="196"/>
      <c r="K339" s="196"/>
      <c r="L339" s="196"/>
      <c r="M339" s="196"/>
      <c r="N339" s="196"/>
      <c r="O339" s="196"/>
      <c r="P339" s="196"/>
      <c r="Q339" s="196"/>
      <c r="R339" s="196"/>
      <c r="S339" s="196"/>
      <c r="T339" s="196"/>
      <c r="U339" s="196"/>
      <c r="V339" s="196"/>
      <c r="W339" s="196"/>
      <c r="X339" s="196"/>
      <c r="Y339" s="196"/>
      <c r="Z339" s="196"/>
      <c r="AA339" s="196"/>
      <c r="AB339" s="196"/>
      <c r="AC339" s="196"/>
    </row>
    <row r="340" spans="1:29">
      <c r="A340" s="196"/>
      <c r="B340" s="196"/>
      <c r="C340" s="196"/>
      <c r="D340" s="196"/>
      <c r="E340" s="196"/>
      <c r="F340" s="196"/>
      <c r="G340" s="196"/>
      <c r="H340" s="196"/>
      <c r="I340" s="196"/>
      <c r="J340" s="196"/>
      <c r="K340" s="196"/>
      <c r="L340" s="196"/>
      <c r="M340" s="196"/>
      <c r="N340" s="196"/>
      <c r="O340" s="196"/>
      <c r="P340" s="196"/>
      <c r="Q340" s="196"/>
      <c r="R340" s="196"/>
      <c r="S340" s="196"/>
      <c r="T340" s="196"/>
      <c r="U340" s="196"/>
      <c r="V340" s="196"/>
      <c r="W340" s="196"/>
      <c r="X340" s="196"/>
      <c r="Y340" s="196"/>
      <c r="Z340" s="196"/>
      <c r="AA340" s="196"/>
      <c r="AB340" s="196"/>
      <c r="AC340" s="196"/>
    </row>
    <row r="341" spans="1:29">
      <c r="A341" s="196"/>
      <c r="B341" s="196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N341" s="196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6"/>
      <c r="AC341" s="196"/>
    </row>
    <row r="342" spans="1:29">
      <c r="A342" s="196"/>
      <c r="B342" s="196"/>
      <c r="C342" s="196"/>
      <c r="D342" s="196"/>
      <c r="E342" s="196"/>
      <c r="F342" s="196"/>
      <c r="G342" s="196"/>
      <c r="H342" s="196"/>
      <c r="I342" s="196"/>
      <c r="J342" s="196"/>
      <c r="K342" s="196"/>
      <c r="L342" s="196"/>
      <c r="M342" s="196"/>
      <c r="N342" s="196"/>
      <c r="O342" s="196"/>
      <c r="P342" s="196"/>
      <c r="Q342" s="196"/>
      <c r="R342" s="196"/>
      <c r="S342" s="196"/>
      <c r="T342" s="196"/>
      <c r="U342" s="196"/>
      <c r="V342" s="196"/>
      <c r="W342" s="196"/>
      <c r="X342" s="196"/>
      <c r="Y342" s="196"/>
      <c r="Z342" s="196"/>
      <c r="AA342" s="196"/>
      <c r="AB342" s="196"/>
      <c r="AC342" s="196"/>
    </row>
    <row r="343" spans="1:29">
      <c r="A343" s="196"/>
      <c r="B343" s="196"/>
      <c r="C343" s="196"/>
      <c r="D343" s="196"/>
      <c r="E343" s="196"/>
      <c r="F343" s="196"/>
      <c r="G343" s="196"/>
      <c r="H343" s="196"/>
      <c r="I343" s="196"/>
      <c r="J343" s="196"/>
      <c r="K343" s="196"/>
      <c r="L343" s="196"/>
      <c r="M343" s="196"/>
      <c r="N343" s="196"/>
      <c r="O343" s="196"/>
      <c r="P343" s="196"/>
      <c r="Q343" s="196"/>
      <c r="R343" s="196"/>
      <c r="S343" s="196"/>
      <c r="T343" s="196"/>
      <c r="U343" s="196"/>
      <c r="V343" s="196"/>
      <c r="W343" s="196"/>
      <c r="X343" s="196"/>
      <c r="Y343" s="196"/>
      <c r="Z343" s="196"/>
      <c r="AA343" s="196"/>
      <c r="AB343" s="196"/>
      <c r="AC343" s="196"/>
    </row>
    <row r="344" spans="1:29">
      <c r="A344" s="196"/>
      <c r="B344" s="196"/>
      <c r="C344" s="196"/>
      <c r="D344" s="196"/>
      <c r="E344" s="196"/>
      <c r="F344" s="196"/>
      <c r="G344" s="196"/>
      <c r="H344" s="196"/>
      <c r="I344" s="196"/>
      <c r="J344" s="196"/>
      <c r="K344" s="196"/>
      <c r="L344" s="196"/>
      <c r="M344" s="196"/>
      <c r="N344" s="196"/>
      <c r="O344" s="196"/>
      <c r="P344" s="196"/>
      <c r="Q344" s="196"/>
      <c r="R344" s="196"/>
      <c r="S344" s="196"/>
      <c r="T344" s="196"/>
      <c r="U344" s="196"/>
      <c r="V344" s="196"/>
      <c r="W344" s="196"/>
      <c r="X344" s="196"/>
      <c r="Y344" s="196"/>
      <c r="Z344" s="196"/>
      <c r="AA344" s="196"/>
      <c r="AB344" s="196"/>
      <c r="AC344" s="196"/>
    </row>
    <row r="345" spans="1:29">
      <c r="A345" s="196"/>
      <c r="B345" s="196"/>
      <c r="C345" s="196"/>
      <c r="D345" s="196"/>
      <c r="E345" s="196"/>
      <c r="F345" s="196"/>
      <c r="G345" s="196"/>
      <c r="H345" s="196"/>
      <c r="I345" s="196"/>
      <c r="J345" s="196"/>
      <c r="K345" s="196"/>
      <c r="L345" s="196"/>
      <c r="M345" s="196"/>
      <c r="N345" s="196"/>
      <c r="O345" s="196"/>
      <c r="P345" s="196"/>
      <c r="Q345" s="196"/>
      <c r="R345" s="196"/>
      <c r="S345" s="196"/>
      <c r="T345" s="196"/>
      <c r="U345" s="196"/>
      <c r="V345" s="196"/>
      <c r="W345" s="196"/>
      <c r="X345" s="196"/>
      <c r="Y345" s="196"/>
      <c r="Z345" s="196"/>
      <c r="AA345" s="196"/>
      <c r="AB345" s="196"/>
      <c r="AC345" s="196"/>
    </row>
    <row r="346" spans="1:29">
      <c r="A346" s="196"/>
      <c r="B346" s="196"/>
      <c r="C346" s="196"/>
      <c r="D346" s="196"/>
      <c r="E346" s="196"/>
      <c r="F346" s="196"/>
      <c r="G346" s="196"/>
      <c r="H346" s="196"/>
      <c r="I346" s="196"/>
      <c r="J346" s="196"/>
      <c r="K346" s="196"/>
      <c r="L346" s="196"/>
      <c r="M346" s="196"/>
      <c r="N346" s="196"/>
      <c r="O346" s="196"/>
      <c r="P346" s="196"/>
      <c r="Q346" s="196"/>
      <c r="R346" s="196"/>
      <c r="S346" s="196"/>
      <c r="T346" s="196"/>
      <c r="U346" s="196"/>
      <c r="V346" s="196"/>
      <c r="W346" s="196"/>
      <c r="X346" s="196"/>
      <c r="Y346" s="196"/>
      <c r="Z346" s="196"/>
      <c r="AA346" s="196"/>
      <c r="AB346" s="196"/>
      <c r="AC346" s="196"/>
    </row>
    <row r="347" spans="1:29">
      <c r="A347" s="196"/>
      <c r="B347" s="196"/>
      <c r="C347" s="196"/>
      <c r="D347" s="196"/>
      <c r="E347" s="196"/>
      <c r="F347" s="196"/>
      <c r="G347" s="196"/>
      <c r="H347" s="196"/>
      <c r="I347" s="196"/>
      <c r="J347" s="196"/>
      <c r="K347" s="196"/>
      <c r="L347" s="196"/>
      <c r="M347" s="196"/>
      <c r="N347" s="196"/>
      <c r="O347" s="196"/>
      <c r="P347" s="196"/>
      <c r="Q347" s="196"/>
      <c r="R347" s="196"/>
      <c r="S347" s="196"/>
      <c r="T347" s="196"/>
      <c r="U347" s="196"/>
      <c r="V347" s="196"/>
      <c r="W347" s="196"/>
      <c r="X347" s="196"/>
      <c r="Y347" s="196"/>
      <c r="Z347" s="196"/>
      <c r="AA347" s="196"/>
      <c r="AB347" s="196"/>
      <c r="AC347" s="196"/>
    </row>
    <row r="348" spans="1:29">
      <c r="A348" s="196"/>
      <c r="B348" s="196"/>
      <c r="C348" s="196"/>
      <c r="D348" s="196"/>
      <c r="E348" s="196"/>
      <c r="F348" s="196"/>
      <c r="G348" s="196"/>
      <c r="H348" s="196"/>
      <c r="I348" s="196"/>
      <c r="J348" s="196"/>
      <c r="K348" s="196"/>
      <c r="L348" s="196"/>
      <c r="M348" s="196"/>
      <c r="N348" s="196"/>
      <c r="O348" s="196"/>
      <c r="P348" s="196"/>
      <c r="Q348" s="196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6"/>
      <c r="AC348" s="196"/>
    </row>
    <row r="349" spans="1:29">
      <c r="A349" s="196"/>
      <c r="B349" s="196"/>
      <c r="C349" s="196"/>
      <c r="D349" s="196"/>
      <c r="E349" s="196"/>
      <c r="F349" s="196"/>
      <c r="G349" s="196"/>
      <c r="H349" s="196"/>
      <c r="I349" s="196"/>
      <c r="J349" s="196"/>
      <c r="K349" s="196"/>
      <c r="L349" s="196"/>
      <c r="M349" s="196"/>
      <c r="N349" s="196"/>
      <c r="O349" s="196"/>
      <c r="P349" s="196"/>
      <c r="Q349" s="196"/>
      <c r="R349" s="196"/>
      <c r="S349" s="196"/>
      <c r="T349" s="196"/>
      <c r="U349" s="196"/>
      <c r="V349" s="196"/>
      <c r="W349" s="196"/>
      <c r="X349" s="196"/>
      <c r="Y349" s="196"/>
      <c r="Z349" s="196"/>
      <c r="AA349" s="196"/>
      <c r="AB349" s="196"/>
      <c r="AC349" s="196"/>
    </row>
    <row r="350" spans="1:29">
      <c r="A350" s="196"/>
      <c r="B350" s="196"/>
      <c r="C350" s="196"/>
      <c r="D350" s="196"/>
      <c r="E350" s="196"/>
      <c r="F350" s="196"/>
      <c r="G350" s="196"/>
      <c r="H350" s="196"/>
      <c r="I350" s="196"/>
      <c r="J350" s="196"/>
      <c r="K350" s="196"/>
      <c r="L350" s="196"/>
      <c r="M350" s="196"/>
      <c r="N350" s="196"/>
      <c r="O350" s="196"/>
      <c r="P350" s="196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</row>
    <row r="351" spans="1:29">
      <c r="A351" s="196"/>
      <c r="B351" s="196"/>
      <c r="C351" s="196"/>
      <c r="D351" s="196"/>
      <c r="E351" s="196"/>
      <c r="F351" s="196"/>
      <c r="G351" s="196"/>
      <c r="H351" s="196"/>
      <c r="I351" s="196"/>
      <c r="J351" s="196"/>
      <c r="K351" s="196"/>
      <c r="L351" s="196"/>
      <c r="M351" s="196"/>
      <c r="N351" s="196"/>
      <c r="O351" s="196"/>
      <c r="P351" s="196"/>
      <c r="Q351" s="196"/>
      <c r="R351" s="196"/>
      <c r="S351" s="196"/>
      <c r="T351" s="196"/>
      <c r="U351" s="196"/>
      <c r="V351" s="196"/>
      <c r="W351" s="196"/>
      <c r="X351" s="196"/>
      <c r="Y351" s="196"/>
      <c r="Z351" s="196"/>
      <c r="AA351" s="196"/>
      <c r="AB351" s="196"/>
      <c r="AC351" s="196"/>
    </row>
    <row r="352" spans="1:29">
      <c r="A352" s="196"/>
      <c r="B352" s="196"/>
      <c r="C352" s="196"/>
      <c r="D352" s="196"/>
      <c r="E352" s="196"/>
      <c r="F352" s="196"/>
      <c r="G352" s="196"/>
      <c r="H352" s="196"/>
      <c r="I352" s="196"/>
      <c r="J352" s="196"/>
      <c r="K352" s="196"/>
      <c r="L352" s="196"/>
      <c r="M352" s="196"/>
      <c r="N352" s="196"/>
      <c r="O352" s="196"/>
      <c r="P352" s="196"/>
      <c r="Q352" s="196"/>
      <c r="R352" s="196"/>
      <c r="S352" s="196"/>
      <c r="T352" s="196"/>
      <c r="U352" s="196"/>
      <c r="V352" s="196"/>
      <c r="W352" s="196"/>
      <c r="X352" s="196"/>
      <c r="Y352" s="196"/>
      <c r="Z352" s="196"/>
      <c r="AA352" s="196"/>
      <c r="AB352" s="196"/>
      <c r="AC352" s="196"/>
    </row>
    <row r="353" spans="1:29">
      <c r="A353" s="196"/>
      <c r="B353" s="196"/>
      <c r="C353" s="196"/>
      <c r="D353" s="196"/>
      <c r="E353" s="196"/>
      <c r="F353" s="196"/>
      <c r="G353" s="196"/>
      <c r="H353" s="196"/>
      <c r="I353" s="196"/>
      <c r="J353" s="196"/>
      <c r="K353" s="196"/>
      <c r="L353" s="196"/>
      <c r="M353" s="196"/>
      <c r="N353" s="196"/>
      <c r="O353" s="196"/>
      <c r="P353" s="196"/>
      <c r="Q353" s="196"/>
      <c r="R353" s="196"/>
      <c r="S353" s="196"/>
      <c r="T353" s="196"/>
      <c r="U353" s="196"/>
      <c r="V353" s="196"/>
      <c r="W353" s="196"/>
      <c r="X353" s="196"/>
      <c r="Y353" s="196"/>
      <c r="Z353" s="196"/>
      <c r="AA353" s="196"/>
      <c r="AB353" s="196"/>
      <c r="AC353" s="196"/>
    </row>
    <row r="354" spans="1:29">
      <c r="A354" s="196"/>
      <c r="B354" s="196"/>
      <c r="C354" s="196"/>
      <c r="D354" s="196"/>
      <c r="E354" s="196"/>
      <c r="F354" s="196"/>
      <c r="G354" s="196"/>
      <c r="H354" s="196"/>
      <c r="I354" s="196"/>
      <c r="J354" s="196"/>
      <c r="K354" s="196"/>
      <c r="L354" s="196"/>
      <c r="M354" s="196"/>
      <c r="N354" s="196"/>
      <c r="O354" s="196"/>
      <c r="P354" s="196"/>
      <c r="Q354" s="196"/>
      <c r="R354" s="196"/>
      <c r="S354" s="196"/>
      <c r="T354" s="196"/>
      <c r="U354" s="196"/>
      <c r="V354" s="196"/>
      <c r="W354" s="196"/>
      <c r="X354" s="196"/>
      <c r="Y354" s="196"/>
      <c r="Z354" s="196"/>
      <c r="AA354" s="196"/>
      <c r="AB354" s="196"/>
      <c r="AC354" s="196"/>
    </row>
    <row r="355" spans="1:29">
      <c r="A355" s="196"/>
      <c r="B355" s="196"/>
      <c r="C355" s="196"/>
      <c r="D355" s="196"/>
      <c r="E355" s="196"/>
      <c r="F355" s="196"/>
      <c r="G355" s="196"/>
      <c r="H355" s="196"/>
      <c r="I355" s="196"/>
      <c r="J355" s="196"/>
      <c r="K355" s="196"/>
      <c r="L355" s="196"/>
      <c r="M355" s="196"/>
      <c r="N355" s="196"/>
      <c r="O355" s="196"/>
      <c r="P355" s="196"/>
      <c r="Q355" s="196"/>
      <c r="R355" s="196"/>
      <c r="S355" s="196"/>
      <c r="T355" s="196"/>
      <c r="U355" s="196"/>
      <c r="V355" s="196"/>
      <c r="W355" s="196"/>
      <c r="X355" s="196"/>
      <c r="Y355" s="196"/>
      <c r="Z355" s="196"/>
      <c r="AA355" s="196"/>
      <c r="AB355" s="196"/>
      <c r="AC355" s="196"/>
    </row>
    <row r="356" spans="1:29">
      <c r="A356" s="196"/>
      <c r="B356" s="196"/>
      <c r="C356" s="196"/>
      <c r="D356" s="196"/>
      <c r="E356" s="196"/>
      <c r="F356" s="196"/>
      <c r="G356" s="196"/>
      <c r="H356" s="196"/>
      <c r="I356" s="196"/>
      <c r="J356" s="196"/>
      <c r="K356" s="196"/>
      <c r="L356" s="196"/>
      <c r="M356" s="196"/>
      <c r="N356" s="196"/>
      <c r="O356" s="196"/>
      <c r="P356" s="196"/>
      <c r="Q356" s="196"/>
      <c r="R356" s="196"/>
      <c r="S356" s="196"/>
      <c r="T356" s="196"/>
      <c r="U356" s="196"/>
      <c r="V356" s="196"/>
      <c r="W356" s="196"/>
      <c r="X356" s="196"/>
      <c r="Y356" s="196"/>
      <c r="Z356" s="196"/>
      <c r="AA356" s="196"/>
      <c r="AB356" s="196"/>
      <c r="AC356" s="196"/>
    </row>
    <row r="357" spans="1:29">
      <c r="A357" s="196"/>
      <c r="B357" s="196"/>
      <c r="C357" s="196"/>
      <c r="D357" s="196"/>
      <c r="E357" s="196"/>
      <c r="F357" s="196"/>
      <c r="G357" s="196"/>
      <c r="H357" s="196"/>
      <c r="I357" s="196"/>
      <c r="J357" s="196"/>
      <c r="K357" s="196"/>
      <c r="L357" s="196"/>
      <c r="M357" s="196"/>
      <c r="N357" s="196"/>
      <c r="O357" s="196"/>
      <c r="P357" s="196"/>
      <c r="Q357" s="196"/>
      <c r="R357" s="196"/>
      <c r="S357" s="196"/>
      <c r="T357" s="196"/>
      <c r="U357" s="196"/>
      <c r="V357" s="196"/>
      <c r="W357" s="196"/>
      <c r="X357" s="196"/>
      <c r="Y357" s="196"/>
      <c r="Z357" s="196"/>
      <c r="AA357" s="196"/>
      <c r="AB357" s="196"/>
      <c r="AC357" s="196"/>
    </row>
    <row r="358" spans="1:29">
      <c r="A358" s="196"/>
      <c r="B358" s="196"/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N358" s="196"/>
      <c r="O358" s="196"/>
      <c r="P358" s="196"/>
      <c r="Q358" s="196"/>
      <c r="R358" s="196"/>
      <c r="S358" s="196"/>
      <c r="T358" s="196"/>
      <c r="U358" s="196"/>
      <c r="V358" s="196"/>
      <c r="W358" s="196"/>
      <c r="X358" s="196"/>
      <c r="Y358" s="196"/>
      <c r="Z358" s="196"/>
      <c r="AA358" s="196"/>
      <c r="AB358" s="196"/>
      <c r="AC358" s="196"/>
    </row>
    <row r="359" spans="1:29">
      <c r="A359" s="196"/>
      <c r="B359" s="196"/>
      <c r="C359" s="196"/>
      <c r="D359" s="196"/>
      <c r="E359" s="196"/>
      <c r="F359" s="196"/>
      <c r="G359" s="196"/>
      <c r="H359" s="196"/>
      <c r="I359" s="196"/>
      <c r="J359" s="196"/>
      <c r="K359" s="196"/>
      <c r="L359" s="196"/>
      <c r="M359" s="196"/>
      <c r="N359" s="196"/>
      <c r="O359" s="196"/>
      <c r="P359" s="196"/>
      <c r="Q359" s="196"/>
      <c r="R359" s="196"/>
      <c r="S359" s="196"/>
      <c r="T359" s="196"/>
      <c r="U359" s="196"/>
      <c r="V359" s="196"/>
      <c r="W359" s="196"/>
      <c r="X359" s="196"/>
      <c r="Y359" s="196"/>
      <c r="Z359" s="196"/>
      <c r="AA359" s="196"/>
      <c r="AB359" s="196"/>
      <c r="AC359" s="196"/>
    </row>
    <row r="360" spans="1:29">
      <c r="A360" s="196"/>
      <c r="B360" s="196"/>
      <c r="C360" s="196"/>
      <c r="D360" s="196"/>
      <c r="E360" s="196"/>
      <c r="F360" s="196"/>
      <c r="G360" s="196"/>
      <c r="H360" s="196"/>
      <c r="I360" s="196"/>
      <c r="J360" s="196"/>
      <c r="K360" s="196"/>
      <c r="L360" s="196"/>
      <c r="M360" s="196"/>
      <c r="N360" s="196"/>
      <c r="O360" s="196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6"/>
      <c r="AA360" s="196"/>
      <c r="AB360" s="196"/>
      <c r="AC360" s="196"/>
    </row>
    <row r="361" spans="1:29">
      <c r="A361" s="196"/>
      <c r="B361" s="196"/>
      <c r="C361" s="196"/>
      <c r="D361" s="196"/>
      <c r="E361" s="196"/>
      <c r="F361" s="196"/>
      <c r="G361" s="196"/>
      <c r="H361" s="196"/>
      <c r="I361" s="196"/>
      <c r="J361" s="196"/>
      <c r="K361" s="196"/>
      <c r="L361" s="196"/>
      <c r="M361" s="196"/>
      <c r="N361" s="196"/>
      <c r="O361" s="196"/>
      <c r="P361" s="196"/>
      <c r="Q361" s="196"/>
      <c r="R361" s="196"/>
      <c r="S361" s="196"/>
      <c r="T361" s="196"/>
      <c r="U361" s="196"/>
      <c r="V361" s="196"/>
      <c r="W361" s="196"/>
      <c r="X361" s="196"/>
      <c r="Y361" s="196"/>
      <c r="Z361" s="196"/>
      <c r="AA361" s="196"/>
      <c r="AB361" s="196"/>
      <c r="AC361" s="196"/>
    </row>
    <row r="362" spans="1:29">
      <c r="A362" s="196"/>
      <c r="B362" s="196"/>
      <c r="C362" s="196"/>
      <c r="D362" s="196"/>
      <c r="E362" s="196"/>
      <c r="F362" s="196"/>
      <c r="G362" s="196"/>
      <c r="H362" s="196"/>
      <c r="I362" s="196"/>
      <c r="J362" s="196"/>
      <c r="K362" s="196"/>
      <c r="L362" s="196"/>
      <c r="M362" s="196"/>
      <c r="N362" s="196"/>
      <c r="O362" s="196"/>
      <c r="P362" s="196"/>
      <c r="Q362" s="196"/>
      <c r="R362" s="196"/>
      <c r="S362" s="196"/>
      <c r="T362" s="196"/>
      <c r="U362" s="196"/>
      <c r="V362" s="196"/>
      <c r="W362" s="196"/>
      <c r="X362" s="196"/>
      <c r="Y362" s="196"/>
      <c r="Z362" s="196"/>
      <c r="AA362" s="196"/>
      <c r="AB362" s="196"/>
      <c r="AC362" s="196"/>
    </row>
    <row r="363" spans="1:29">
      <c r="A363" s="196"/>
      <c r="B363" s="196"/>
      <c r="C363" s="196"/>
      <c r="D363" s="196"/>
      <c r="E363" s="196"/>
      <c r="F363" s="196"/>
      <c r="G363" s="196"/>
      <c r="H363" s="196"/>
      <c r="I363" s="196"/>
      <c r="J363" s="196"/>
      <c r="K363" s="196"/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196"/>
      <c r="X363" s="196"/>
      <c r="Y363" s="196"/>
      <c r="Z363" s="196"/>
      <c r="AA363" s="196"/>
      <c r="AB363" s="196"/>
      <c r="AC363" s="196"/>
    </row>
    <row r="364" spans="1:29">
      <c r="A364" s="196"/>
      <c r="B364" s="196"/>
      <c r="C364" s="196"/>
      <c r="D364" s="196"/>
      <c r="E364" s="196"/>
      <c r="F364" s="196"/>
      <c r="G364" s="196"/>
      <c r="H364" s="196"/>
      <c r="I364" s="196"/>
      <c r="J364" s="196"/>
      <c r="K364" s="196"/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196"/>
      <c r="X364" s="196"/>
      <c r="Y364" s="196"/>
      <c r="Z364" s="196"/>
      <c r="AA364" s="196"/>
      <c r="AB364" s="196"/>
      <c r="AC364" s="196"/>
    </row>
    <row r="365" spans="1:29">
      <c r="A365" s="196"/>
      <c r="B365" s="196"/>
      <c r="C365" s="196"/>
      <c r="D365" s="196"/>
      <c r="E365" s="196"/>
      <c r="F365" s="196"/>
      <c r="G365" s="196"/>
      <c r="H365" s="196"/>
      <c r="I365" s="196"/>
      <c r="J365" s="196"/>
      <c r="K365" s="196"/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6"/>
      <c r="AC365" s="196"/>
    </row>
    <row r="366" spans="1:29">
      <c r="A366" s="196"/>
      <c r="B366" s="196"/>
      <c r="C366" s="196"/>
      <c r="D366" s="196"/>
      <c r="E366" s="196"/>
      <c r="F366" s="196"/>
      <c r="G366" s="196"/>
      <c r="H366" s="196"/>
      <c r="I366" s="196"/>
      <c r="J366" s="196"/>
      <c r="K366" s="196"/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196"/>
      <c r="X366" s="196"/>
      <c r="Y366" s="196"/>
      <c r="Z366" s="196"/>
      <c r="AA366" s="196"/>
      <c r="AB366" s="196"/>
      <c r="AC366" s="196"/>
    </row>
    <row r="367" spans="1:29">
      <c r="A367" s="196"/>
      <c r="B367" s="196"/>
      <c r="C367" s="196"/>
      <c r="D367" s="196"/>
      <c r="E367" s="196"/>
      <c r="F367" s="196"/>
      <c r="G367" s="196"/>
      <c r="H367" s="196"/>
      <c r="I367" s="196"/>
      <c r="J367" s="196"/>
      <c r="K367" s="196"/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196"/>
      <c r="X367" s="196"/>
      <c r="Y367" s="196"/>
      <c r="Z367" s="196"/>
      <c r="AA367" s="196"/>
      <c r="AB367" s="196"/>
      <c r="AC367" s="196"/>
    </row>
    <row r="368" spans="1:29">
      <c r="A368" s="196"/>
      <c r="B368" s="196"/>
      <c r="C368" s="196"/>
      <c r="D368" s="196"/>
      <c r="E368" s="196"/>
      <c r="F368" s="196"/>
      <c r="G368" s="196"/>
      <c r="H368" s="196"/>
      <c r="I368" s="196"/>
      <c r="J368" s="196"/>
      <c r="K368" s="196"/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196"/>
      <c r="X368" s="196"/>
      <c r="Y368" s="196"/>
      <c r="Z368" s="196"/>
      <c r="AA368" s="196"/>
      <c r="AB368" s="196"/>
      <c r="AC368" s="196"/>
    </row>
    <row r="369" spans="1:29">
      <c r="A369" s="196"/>
      <c r="B369" s="196"/>
      <c r="C369" s="196"/>
      <c r="D369" s="196"/>
      <c r="E369" s="196"/>
      <c r="F369" s="196"/>
      <c r="G369" s="196"/>
      <c r="H369" s="196"/>
      <c r="I369" s="196"/>
      <c r="J369" s="196"/>
      <c r="K369" s="196"/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196"/>
      <c r="X369" s="196"/>
      <c r="Y369" s="196"/>
      <c r="Z369" s="196"/>
      <c r="AA369" s="196"/>
      <c r="AB369" s="196"/>
      <c r="AC369" s="196"/>
    </row>
    <row r="370" spans="1:29">
      <c r="A370" s="196"/>
      <c r="B370" s="196"/>
      <c r="C370" s="196"/>
      <c r="D370" s="196"/>
      <c r="E370" s="196"/>
      <c r="F370" s="196"/>
      <c r="G370" s="196"/>
      <c r="H370" s="196"/>
      <c r="I370" s="196"/>
      <c r="J370" s="196"/>
      <c r="K370" s="196"/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196"/>
      <c r="X370" s="196"/>
      <c r="Y370" s="196"/>
      <c r="Z370" s="196"/>
      <c r="AA370" s="196"/>
      <c r="AB370" s="196"/>
      <c r="AC370" s="196"/>
    </row>
    <row r="371" spans="1:29">
      <c r="A371" s="196"/>
      <c r="B371" s="196"/>
      <c r="C371" s="196"/>
      <c r="D371" s="196"/>
      <c r="E371" s="196"/>
      <c r="F371" s="196"/>
      <c r="G371" s="196"/>
      <c r="H371" s="196"/>
      <c r="I371" s="196"/>
      <c r="J371" s="196"/>
      <c r="K371" s="196"/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196"/>
      <c r="X371" s="196"/>
      <c r="Y371" s="196"/>
      <c r="Z371" s="196"/>
      <c r="AA371" s="196"/>
      <c r="AB371" s="196"/>
      <c r="AC371" s="196"/>
    </row>
    <row r="372" spans="1:29">
      <c r="A372" s="196"/>
      <c r="B372" s="196"/>
      <c r="C372" s="196"/>
      <c r="D372" s="196"/>
      <c r="E372" s="196"/>
      <c r="F372" s="196"/>
      <c r="G372" s="196"/>
      <c r="H372" s="196"/>
      <c r="I372" s="196"/>
      <c r="J372" s="196"/>
      <c r="K372" s="196"/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196"/>
      <c r="X372" s="196"/>
      <c r="Y372" s="196"/>
      <c r="Z372" s="196"/>
      <c r="AA372" s="196"/>
      <c r="AB372" s="196"/>
      <c r="AC372" s="196"/>
    </row>
    <row r="373" spans="1:29">
      <c r="A373" s="196"/>
      <c r="B373" s="196"/>
      <c r="C373" s="196"/>
      <c r="D373" s="196"/>
      <c r="E373" s="196"/>
      <c r="F373" s="196"/>
      <c r="G373" s="196"/>
      <c r="H373" s="196"/>
      <c r="I373" s="196"/>
      <c r="J373" s="196"/>
      <c r="K373" s="196"/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196"/>
      <c r="X373" s="196"/>
      <c r="Y373" s="196"/>
      <c r="Z373" s="196"/>
      <c r="AA373" s="196"/>
      <c r="AB373" s="196"/>
      <c r="AC373" s="196"/>
    </row>
    <row r="374" spans="1:29">
      <c r="A374" s="196"/>
      <c r="B374" s="196"/>
      <c r="C374" s="196"/>
      <c r="D374" s="196"/>
      <c r="E374" s="196"/>
      <c r="F374" s="196"/>
      <c r="G374" s="196"/>
      <c r="H374" s="196"/>
      <c r="I374" s="196"/>
      <c r="J374" s="196"/>
      <c r="K374" s="196"/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196"/>
      <c r="X374" s="196"/>
      <c r="Y374" s="196"/>
      <c r="Z374" s="196"/>
      <c r="AA374" s="196"/>
      <c r="AB374" s="196"/>
      <c r="AC374" s="196"/>
    </row>
    <row r="375" spans="1:29">
      <c r="A375" s="196"/>
      <c r="B375" s="196"/>
      <c r="C375" s="196"/>
      <c r="D375" s="196"/>
      <c r="E375" s="196"/>
      <c r="F375" s="196"/>
      <c r="G375" s="196"/>
      <c r="H375" s="196"/>
      <c r="I375" s="196"/>
      <c r="J375" s="196"/>
      <c r="K375" s="196"/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196"/>
      <c r="X375" s="196"/>
      <c r="Y375" s="196"/>
      <c r="Z375" s="196"/>
      <c r="AA375" s="196"/>
      <c r="AB375" s="196"/>
      <c r="AC375" s="196"/>
    </row>
    <row r="376" spans="1:29">
      <c r="A376" s="196"/>
      <c r="B376" s="196"/>
      <c r="C376" s="196"/>
      <c r="D376" s="196"/>
      <c r="E376" s="196"/>
      <c r="F376" s="196"/>
      <c r="G376" s="196"/>
      <c r="H376" s="196"/>
      <c r="I376" s="196"/>
      <c r="J376" s="196"/>
      <c r="K376" s="196"/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196"/>
      <c r="X376" s="196"/>
      <c r="Y376" s="196"/>
      <c r="Z376" s="196"/>
      <c r="AA376" s="196"/>
      <c r="AB376" s="196"/>
      <c r="AC376" s="196"/>
    </row>
    <row r="377" spans="1:29">
      <c r="A377" s="196"/>
      <c r="B377" s="196"/>
      <c r="C377" s="196"/>
      <c r="D377" s="196"/>
      <c r="E377" s="196"/>
      <c r="F377" s="196"/>
      <c r="G377" s="196"/>
      <c r="H377" s="196"/>
      <c r="I377" s="196"/>
      <c r="J377" s="196"/>
      <c r="K377" s="196"/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196"/>
      <c r="X377" s="196"/>
      <c r="Y377" s="196"/>
      <c r="Z377" s="196"/>
      <c r="AA377" s="196"/>
      <c r="AB377" s="196"/>
      <c r="AC377" s="196"/>
    </row>
    <row r="378" spans="1:29">
      <c r="A378" s="196"/>
      <c r="B378" s="196"/>
      <c r="C378" s="196"/>
      <c r="D378" s="196"/>
      <c r="E378" s="196"/>
      <c r="F378" s="196"/>
      <c r="G378" s="196"/>
      <c r="H378" s="196"/>
      <c r="I378" s="196"/>
      <c r="J378" s="196"/>
      <c r="K378" s="196"/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196"/>
      <c r="X378" s="196"/>
      <c r="Y378" s="196"/>
      <c r="Z378" s="196"/>
      <c r="AA378" s="196"/>
      <c r="AB378" s="196"/>
      <c r="AC378" s="196"/>
    </row>
    <row r="379" spans="1:29">
      <c r="A379" s="196"/>
      <c r="B379" s="196"/>
      <c r="C379" s="196"/>
      <c r="D379" s="196"/>
      <c r="E379" s="196"/>
      <c r="F379" s="196"/>
      <c r="G379" s="196"/>
      <c r="H379" s="196"/>
      <c r="I379" s="196"/>
      <c r="J379" s="196"/>
      <c r="K379" s="196"/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196"/>
      <c r="X379" s="196"/>
      <c r="Y379" s="196"/>
      <c r="Z379" s="196"/>
      <c r="AA379" s="196"/>
      <c r="AB379" s="196"/>
      <c r="AC379" s="196"/>
    </row>
    <row r="380" spans="1:29">
      <c r="A380" s="196"/>
      <c r="B380" s="196"/>
      <c r="C380" s="196"/>
      <c r="D380" s="196"/>
      <c r="E380" s="196"/>
      <c r="F380" s="196"/>
      <c r="G380" s="196"/>
      <c r="H380" s="196"/>
      <c r="I380" s="196"/>
      <c r="J380" s="196"/>
      <c r="K380" s="196"/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196"/>
      <c r="X380" s="196"/>
      <c r="Y380" s="196"/>
      <c r="Z380" s="196"/>
      <c r="AA380" s="196"/>
      <c r="AB380" s="196"/>
      <c r="AC380" s="196"/>
    </row>
    <row r="381" spans="1:29">
      <c r="A381" s="196"/>
      <c r="B381" s="196"/>
      <c r="C381" s="196"/>
      <c r="D381" s="196"/>
      <c r="E381" s="196"/>
      <c r="F381" s="196"/>
      <c r="G381" s="196"/>
      <c r="H381" s="196"/>
      <c r="I381" s="196"/>
      <c r="J381" s="196"/>
      <c r="K381" s="196"/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196"/>
      <c r="X381" s="196"/>
      <c r="Y381" s="196"/>
      <c r="Z381" s="196"/>
      <c r="AA381" s="196"/>
      <c r="AB381" s="196"/>
      <c r="AC381" s="196"/>
    </row>
    <row r="382" spans="1:29">
      <c r="A382" s="196"/>
      <c r="B382" s="196"/>
      <c r="C382" s="196"/>
      <c r="D382" s="196"/>
      <c r="E382" s="196"/>
      <c r="F382" s="196"/>
      <c r="G382" s="196"/>
      <c r="H382" s="196"/>
      <c r="I382" s="196"/>
      <c r="J382" s="196"/>
      <c r="K382" s="196"/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196"/>
      <c r="X382" s="196"/>
      <c r="Y382" s="196"/>
      <c r="Z382" s="196"/>
      <c r="AA382" s="196"/>
      <c r="AB382" s="196"/>
      <c r="AC382" s="196"/>
    </row>
    <row r="383" spans="1:29">
      <c r="A383" s="196"/>
      <c r="B383" s="196"/>
      <c r="C383" s="196"/>
      <c r="D383" s="196"/>
      <c r="E383" s="196"/>
      <c r="F383" s="196"/>
      <c r="G383" s="196"/>
      <c r="H383" s="196"/>
      <c r="I383" s="196"/>
      <c r="J383" s="196"/>
      <c r="K383" s="196"/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196"/>
      <c r="X383" s="196"/>
      <c r="Y383" s="196"/>
      <c r="Z383" s="196"/>
      <c r="AA383" s="196"/>
      <c r="AB383" s="196"/>
      <c r="AC383" s="196"/>
    </row>
    <row r="384" spans="1:29">
      <c r="A384" s="196"/>
      <c r="B384" s="196"/>
      <c r="C384" s="196"/>
      <c r="D384" s="196"/>
      <c r="E384" s="196"/>
      <c r="F384" s="196"/>
      <c r="G384" s="196"/>
      <c r="H384" s="196"/>
      <c r="I384" s="196"/>
      <c r="J384" s="196"/>
      <c r="K384" s="196"/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196"/>
      <c r="X384" s="196"/>
      <c r="Y384" s="196"/>
      <c r="Z384" s="196"/>
      <c r="AA384" s="196"/>
      <c r="AB384" s="196"/>
      <c r="AC384" s="196"/>
    </row>
    <row r="385" spans="1:29">
      <c r="A385" s="196"/>
      <c r="B385" s="196"/>
      <c r="C385" s="196"/>
      <c r="D385" s="196"/>
      <c r="E385" s="196"/>
      <c r="F385" s="196"/>
      <c r="G385" s="196"/>
      <c r="H385" s="196"/>
      <c r="I385" s="196"/>
      <c r="J385" s="196"/>
      <c r="K385" s="196"/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196"/>
      <c r="X385" s="196"/>
      <c r="Y385" s="196"/>
      <c r="Z385" s="196"/>
      <c r="AA385" s="196"/>
      <c r="AB385" s="196"/>
      <c r="AC385" s="196"/>
    </row>
    <row r="386" spans="1:29">
      <c r="A386" s="196"/>
      <c r="B386" s="196"/>
      <c r="C386" s="196"/>
      <c r="D386" s="196"/>
      <c r="E386" s="196"/>
      <c r="F386" s="196"/>
      <c r="G386" s="196"/>
      <c r="H386" s="196"/>
      <c r="I386" s="196"/>
      <c r="J386" s="196"/>
      <c r="K386" s="196"/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196"/>
      <c r="X386" s="196"/>
      <c r="Y386" s="196"/>
      <c r="Z386" s="196"/>
      <c r="AA386" s="196"/>
      <c r="AB386" s="196"/>
      <c r="AC386" s="196"/>
    </row>
    <row r="387" spans="1:29">
      <c r="A387" s="196"/>
      <c r="B387" s="196"/>
      <c r="C387" s="196"/>
      <c r="D387" s="196"/>
      <c r="E387" s="196"/>
      <c r="F387" s="196"/>
      <c r="G387" s="196"/>
      <c r="H387" s="196"/>
      <c r="I387" s="196"/>
      <c r="J387" s="196"/>
      <c r="K387" s="196"/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196"/>
      <c r="X387" s="196"/>
      <c r="Y387" s="196"/>
      <c r="Z387" s="196"/>
      <c r="AA387" s="196"/>
      <c r="AB387" s="196"/>
      <c r="AC387" s="196"/>
    </row>
    <row r="388" spans="1:29">
      <c r="A388" s="196"/>
      <c r="B388" s="196"/>
      <c r="C388" s="196"/>
      <c r="D388" s="196"/>
      <c r="E388" s="196"/>
      <c r="F388" s="196"/>
      <c r="G388" s="196"/>
      <c r="H388" s="196"/>
      <c r="I388" s="196"/>
      <c r="J388" s="196"/>
      <c r="K388" s="196"/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196"/>
      <c r="X388" s="196"/>
      <c r="Y388" s="196"/>
      <c r="Z388" s="196"/>
      <c r="AA388" s="196"/>
      <c r="AB388" s="196"/>
      <c r="AC388" s="196"/>
    </row>
    <row r="389" spans="1:29">
      <c r="A389" s="196"/>
      <c r="B389" s="196"/>
      <c r="C389" s="196"/>
      <c r="D389" s="196"/>
      <c r="E389" s="196"/>
      <c r="F389" s="196"/>
      <c r="G389" s="196"/>
      <c r="H389" s="196"/>
      <c r="I389" s="196"/>
      <c r="J389" s="196"/>
      <c r="K389" s="196"/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196"/>
      <c r="X389" s="196"/>
      <c r="Y389" s="196"/>
      <c r="Z389" s="196"/>
      <c r="AA389" s="196"/>
      <c r="AB389" s="196"/>
      <c r="AC389" s="196"/>
    </row>
    <row r="390" spans="1:29">
      <c r="A390" s="196"/>
      <c r="B390" s="196"/>
      <c r="C390" s="196"/>
      <c r="D390" s="196"/>
      <c r="E390" s="196"/>
      <c r="F390" s="196"/>
      <c r="G390" s="196"/>
      <c r="H390" s="196"/>
      <c r="I390" s="196"/>
      <c r="J390" s="196"/>
      <c r="K390" s="196"/>
      <c r="L390" s="196"/>
      <c r="M390" s="196"/>
      <c r="N390" s="196"/>
      <c r="O390" s="196"/>
      <c r="P390" s="196"/>
      <c r="Q390" s="196"/>
      <c r="R390" s="196"/>
      <c r="S390" s="196"/>
      <c r="T390" s="196"/>
      <c r="U390" s="196"/>
      <c r="V390" s="196"/>
      <c r="W390" s="196"/>
      <c r="X390" s="196"/>
      <c r="Y390" s="196"/>
      <c r="Z390" s="196"/>
      <c r="AA390" s="196"/>
      <c r="AB390" s="196"/>
      <c r="AC390" s="196"/>
    </row>
    <row r="391" spans="1:29">
      <c r="A391" s="196"/>
      <c r="B391" s="196"/>
      <c r="C391" s="196"/>
      <c r="D391" s="196"/>
      <c r="E391" s="196"/>
      <c r="F391" s="196"/>
      <c r="G391" s="196"/>
      <c r="H391" s="196"/>
      <c r="I391" s="196"/>
      <c r="J391" s="196"/>
      <c r="K391" s="196"/>
      <c r="L391" s="196"/>
      <c r="M391" s="196"/>
      <c r="N391" s="196"/>
      <c r="O391" s="196"/>
      <c r="P391" s="196"/>
      <c r="Q391" s="196"/>
      <c r="R391" s="196"/>
      <c r="S391" s="196"/>
      <c r="T391" s="196"/>
      <c r="U391" s="196"/>
      <c r="V391" s="196"/>
      <c r="W391" s="196"/>
      <c r="X391" s="196"/>
      <c r="Y391" s="196"/>
      <c r="Z391" s="196"/>
      <c r="AA391" s="196"/>
      <c r="AB391" s="196"/>
      <c r="AC391" s="196"/>
    </row>
    <row r="392" spans="1:29">
      <c r="A392" s="196"/>
      <c r="B392" s="196"/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N392" s="196"/>
      <c r="O392" s="196"/>
      <c r="P392" s="196"/>
      <c r="Q392" s="196"/>
      <c r="R392" s="196"/>
      <c r="S392" s="196"/>
      <c r="T392" s="196"/>
      <c r="U392" s="196"/>
      <c r="V392" s="196"/>
      <c r="W392" s="196"/>
      <c r="X392" s="196"/>
      <c r="Y392" s="196"/>
      <c r="Z392" s="196"/>
      <c r="AA392" s="196"/>
      <c r="AB392" s="196"/>
      <c r="AC392" s="196"/>
    </row>
    <row r="393" spans="1:29">
      <c r="A393" s="196"/>
      <c r="B393" s="196"/>
      <c r="C393" s="196"/>
      <c r="D393" s="196"/>
      <c r="E393" s="196"/>
      <c r="F393" s="196"/>
      <c r="G393" s="196"/>
      <c r="H393" s="196"/>
      <c r="I393" s="196"/>
      <c r="J393" s="196"/>
      <c r="K393" s="196"/>
      <c r="L393" s="196"/>
      <c r="M393" s="196"/>
      <c r="N393" s="196"/>
      <c r="O393" s="196"/>
      <c r="P393" s="196"/>
      <c r="Q393" s="196"/>
      <c r="R393" s="196"/>
      <c r="S393" s="196"/>
      <c r="T393" s="196"/>
      <c r="U393" s="196"/>
      <c r="V393" s="196"/>
      <c r="W393" s="196"/>
      <c r="X393" s="196"/>
      <c r="Y393" s="196"/>
      <c r="Z393" s="196"/>
      <c r="AA393" s="196"/>
      <c r="AB393" s="196"/>
      <c r="AC393" s="196"/>
    </row>
    <row r="394" spans="1:29">
      <c r="A394" s="196"/>
      <c r="B394" s="196"/>
      <c r="C394" s="196"/>
      <c r="D394" s="196"/>
      <c r="E394" s="196"/>
      <c r="F394" s="196"/>
      <c r="G394" s="196"/>
      <c r="H394" s="196"/>
      <c r="I394" s="196"/>
      <c r="J394" s="196"/>
      <c r="K394" s="196"/>
      <c r="L394" s="196"/>
      <c r="M394" s="196"/>
      <c r="N394" s="196"/>
      <c r="O394" s="196"/>
      <c r="P394" s="196"/>
      <c r="Q394" s="196"/>
      <c r="R394" s="196"/>
      <c r="S394" s="196"/>
      <c r="T394" s="196"/>
      <c r="U394" s="196"/>
      <c r="V394" s="196"/>
      <c r="W394" s="196"/>
      <c r="X394" s="196"/>
      <c r="Y394" s="196"/>
      <c r="Z394" s="196"/>
      <c r="AA394" s="196"/>
      <c r="AB394" s="196"/>
      <c r="AC394" s="196"/>
    </row>
    <row r="395" spans="1:29">
      <c r="A395" s="196"/>
      <c r="B395" s="196"/>
      <c r="C395" s="196"/>
      <c r="D395" s="196"/>
      <c r="E395" s="196"/>
      <c r="F395" s="196"/>
      <c r="G395" s="196"/>
      <c r="H395" s="196"/>
      <c r="I395" s="196"/>
      <c r="J395" s="196"/>
      <c r="K395" s="196"/>
      <c r="L395" s="196"/>
      <c r="M395" s="196"/>
      <c r="N395" s="196"/>
      <c r="O395" s="196"/>
      <c r="P395" s="196"/>
      <c r="Q395" s="196"/>
      <c r="R395" s="196"/>
      <c r="S395" s="196"/>
      <c r="T395" s="196"/>
      <c r="U395" s="196"/>
      <c r="V395" s="196"/>
      <c r="W395" s="196"/>
      <c r="X395" s="196"/>
      <c r="Y395" s="196"/>
      <c r="Z395" s="196"/>
      <c r="AA395" s="196"/>
      <c r="AB395" s="196"/>
      <c r="AC395" s="196"/>
    </row>
    <row r="396" spans="1:29">
      <c r="A396" s="196"/>
      <c r="B396" s="196"/>
      <c r="C396" s="196"/>
      <c r="D396" s="196"/>
      <c r="E396" s="196"/>
      <c r="F396" s="196"/>
      <c r="G396" s="196"/>
      <c r="H396" s="196"/>
      <c r="I396" s="196"/>
      <c r="J396" s="196"/>
      <c r="K396" s="196"/>
      <c r="L396" s="196"/>
      <c r="M396" s="196"/>
      <c r="N396" s="196"/>
      <c r="O396" s="196"/>
      <c r="P396" s="196"/>
      <c r="Q396" s="196"/>
      <c r="R396" s="196"/>
      <c r="S396" s="196"/>
      <c r="T396" s="196"/>
      <c r="U396" s="196"/>
      <c r="V396" s="196"/>
      <c r="W396" s="196"/>
      <c r="X396" s="196"/>
      <c r="Y396" s="196"/>
      <c r="Z396" s="196"/>
      <c r="AA396" s="196"/>
      <c r="AB396" s="196"/>
      <c r="AC396" s="196"/>
    </row>
    <row r="397" spans="1:29">
      <c r="A397" s="196"/>
      <c r="B397" s="196"/>
      <c r="C397" s="196"/>
      <c r="D397" s="196"/>
      <c r="E397" s="196"/>
      <c r="F397" s="196"/>
      <c r="G397" s="196"/>
      <c r="H397" s="196"/>
      <c r="I397" s="196"/>
      <c r="J397" s="196"/>
      <c r="K397" s="196"/>
      <c r="L397" s="196"/>
      <c r="M397" s="196"/>
      <c r="N397" s="196"/>
      <c r="O397" s="196"/>
      <c r="P397" s="196"/>
      <c r="Q397" s="196"/>
      <c r="R397" s="196"/>
      <c r="S397" s="196"/>
      <c r="T397" s="196"/>
      <c r="U397" s="196"/>
      <c r="V397" s="196"/>
      <c r="W397" s="196"/>
      <c r="X397" s="196"/>
      <c r="Y397" s="196"/>
      <c r="Z397" s="196"/>
      <c r="AA397" s="196"/>
      <c r="AB397" s="196"/>
      <c r="AC397" s="196"/>
    </row>
    <row r="398" spans="1:29">
      <c r="A398" s="196"/>
      <c r="B398" s="196"/>
      <c r="C398" s="196"/>
      <c r="D398" s="196"/>
      <c r="E398" s="196"/>
      <c r="F398" s="196"/>
      <c r="G398" s="196"/>
      <c r="H398" s="196"/>
      <c r="I398" s="196"/>
      <c r="J398" s="196"/>
      <c r="K398" s="196"/>
      <c r="L398" s="196"/>
      <c r="M398" s="196"/>
      <c r="N398" s="196"/>
      <c r="O398" s="196"/>
      <c r="P398" s="196"/>
      <c r="Q398" s="196"/>
      <c r="R398" s="196"/>
      <c r="S398" s="196"/>
      <c r="T398" s="196"/>
      <c r="U398" s="196"/>
      <c r="V398" s="196"/>
      <c r="W398" s="196"/>
      <c r="X398" s="196"/>
      <c r="Y398" s="196"/>
      <c r="Z398" s="196"/>
      <c r="AA398" s="196"/>
      <c r="AB398" s="196"/>
      <c r="AC398" s="196"/>
    </row>
    <row r="399" spans="1:29">
      <c r="A399" s="196"/>
      <c r="B399" s="196"/>
      <c r="C399" s="196"/>
      <c r="D399" s="196"/>
      <c r="E399" s="196"/>
      <c r="F399" s="196"/>
      <c r="G399" s="196"/>
      <c r="H399" s="196"/>
      <c r="I399" s="196"/>
      <c r="J399" s="196"/>
      <c r="K399" s="196"/>
      <c r="L399" s="196"/>
      <c r="M399" s="196"/>
      <c r="N399" s="196"/>
      <c r="O399" s="196"/>
      <c r="P399" s="196"/>
      <c r="Q399" s="196"/>
      <c r="R399" s="196"/>
      <c r="S399" s="196"/>
      <c r="T399" s="196"/>
      <c r="U399" s="196"/>
      <c r="V399" s="196"/>
      <c r="W399" s="196"/>
      <c r="X399" s="196"/>
      <c r="Y399" s="196"/>
      <c r="Z399" s="196"/>
      <c r="AA399" s="196"/>
      <c r="AB399" s="196"/>
      <c r="AC399" s="196"/>
    </row>
    <row r="400" spans="1:29">
      <c r="A400" s="196"/>
      <c r="B400" s="196"/>
      <c r="C400" s="196"/>
      <c r="D400" s="196"/>
      <c r="E400" s="196"/>
      <c r="F400" s="196"/>
      <c r="G400" s="196"/>
      <c r="H400" s="196"/>
      <c r="I400" s="196"/>
      <c r="J400" s="196"/>
      <c r="K400" s="196"/>
      <c r="L400" s="196"/>
      <c r="M400" s="196"/>
      <c r="N400" s="196"/>
      <c r="O400" s="196"/>
      <c r="P400" s="196"/>
      <c r="Q400" s="196"/>
      <c r="R400" s="196"/>
      <c r="S400" s="196"/>
      <c r="T400" s="196"/>
      <c r="U400" s="196"/>
      <c r="V400" s="196"/>
      <c r="W400" s="196"/>
      <c r="X400" s="196"/>
      <c r="Y400" s="196"/>
      <c r="Z400" s="196"/>
      <c r="AA400" s="196"/>
      <c r="AB400" s="196"/>
      <c r="AC400" s="196"/>
    </row>
    <row r="401" spans="1:29">
      <c r="A401" s="196"/>
      <c r="B401" s="196"/>
      <c r="C401" s="196"/>
      <c r="D401" s="196"/>
      <c r="E401" s="196"/>
      <c r="F401" s="196"/>
      <c r="G401" s="196"/>
      <c r="H401" s="196"/>
      <c r="I401" s="196"/>
      <c r="J401" s="196"/>
      <c r="K401" s="196"/>
      <c r="L401" s="196"/>
      <c r="M401" s="196"/>
      <c r="N401" s="196"/>
      <c r="O401" s="196"/>
      <c r="P401" s="196"/>
      <c r="Q401" s="196"/>
      <c r="R401" s="196"/>
      <c r="S401" s="196"/>
      <c r="T401" s="196"/>
      <c r="U401" s="196"/>
      <c r="V401" s="196"/>
      <c r="W401" s="196"/>
      <c r="X401" s="196"/>
      <c r="Y401" s="196"/>
      <c r="Z401" s="196"/>
      <c r="AA401" s="196"/>
      <c r="AB401" s="196"/>
      <c r="AC401" s="196"/>
    </row>
    <row r="402" spans="1:29">
      <c r="A402" s="196"/>
      <c r="B402" s="196"/>
      <c r="C402" s="196"/>
      <c r="D402" s="196"/>
      <c r="E402" s="196"/>
      <c r="F402" s="196"/>
      <c r="G402" s="196"/>
      <c r="H402" s="196"/>
      <c r="I402" s="196"/>
      <c r="J402" s="196"/>
      <c r="K402" s="196"/>
      <c r="L402" s="196"/>
      <c r="M402" s="196"/>
      <c r="N402" s="196"/>
      <c r="O402" s="196"/>
      <c r="P402" s="196"/>
      <c r="Q402" s="196"/>
      <c r="R402" s="196"/>
      <c r="S402" s="196"/>
      <c r="T402" s="196"/>
      <c r="U402" s="196"/>
      <c r="V402" s="196"/>
      <c r="W402" s="196"/>
      <c r="X402" s="196"/>
      <c r="Y402" s="196"/>
      <c r="Z402" s="196"/>
      <c r="AA402" s="196"/>
      <c r="AB402" s="196"/>
      <c r="AC402" s="196"/>
    </row>
    <row r="403" spans="1:29">
      <c r="A403" s="196"/>
      <c r="B403" s="196"/>
      <c r="C403" s="196"/>
      <c r="D403" s="196"/>
      <c r="E403" s="196"/>
      <c r="F403" s="196"/>
      <c r="G403" s="196"/>
      <c r="H403" s="196"/>
      <c r="I403" s="196"/>
      <c r="J403" s="196"/>
      <c r="K403" s="196"/>
      <c r="L403" s="196"/>
      <c r="M403" s="196"/>
      <c r="N403" s="196"/>
      <c r="O403" s="196"/>
      <c r="P403" s="196"/>
      <c r="Q403" s="196"/>
      <c r="R403" s="196"/>
      <c r="S403" s="196"/>
      <c r="T403" s="196"/>
      <c r="U403" s="196"/>
      <c r="V403" s="196"/>
      <c r="W403" s="196"/>
      <c r="X403" s="196"/>
      <c r="Y403" s="196"/>
      <c r="Z403" s="196"/>
      <c r="AA403" s="196"/>
      <c r="AB403" s="196"/>
      <c r="AC403" s="196"/>
    </row>
    <row r="404" spans="1:29">
      <c r="A404" s="196"/>
      <c r="B404" s="196"/>
      <c r="C404" s="196"/>
      <c r="D404" s="196"/>
      <c r="E404" s="196"/>
      <c r="F404" s="196"/>
      <c r="G404" s="196"/>
      <c r="H404" s="196"/>
      <c r="I404" s="196"/>
      <c r="J404" s="196"/>
      <c r="K404" s="196"/>
      <c r="L404" s="196"/>
      <c r="M404" s="196"/>
      <c r="N404" s="196"/>
      <c r="O404" s="196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</row>
    <row r="405" spans="1:29">
      <c r="A405" s="196"/>
      <c r="B405" s="196"/>
      <c r="C405" s="196"/>
      <c r="D405" s="196"/>
      <c r="E405" s="196"/>
      <c r="F405" s="196"/>
      <c r="G405" s="196"/>
      <c r="H405" s="196"/>
      <c r="I405" s="196"/>
      <c r="J405" s="196"/>
      <c r="K405" s="196"/>
      <c r="L405" s="196"/>
      <c r="M405" s="196"/>
      <c r="N405" s="196"/>
      <c r="O405" s="196"/>
      <c r="P405" s="196"/>
      <c r="Q405" s="196"/>
      <c r="R405" s="196"/>
      <c r="S405" s="196"/>
      <c r="T405" s="196"/>
      <c r="U405" s="196"/>
      <c r="V405" s="196"/>
      <c r="W405" s="196"/>
      <c r="X405" s="196"/>
      <c r="Y405" s="196"/>
      <c r="Z405" s="196"/>
      <c r="AA405" s="196"/>
      <c r="AB405" s="196"/>
      <c r="AC405" s="196"/>
    </row>
    <row r="406" spans="1:29">
      <c r="A406" s="196"/>
      <c r="B406" s="196"/>
      <c r="C406" s="196"/>
      <c r="D406" s="196"/>
      <c r="E406" s="196"/>
      <c r="F406" s="196"/>
      <c r="G406" s="196"/>
      <c r="H406" s="196"/>
      <c r="I406" s="196"/>
      <c r="J406" s="196"/>
      <c r="K406" s="196"/>
      <c r="L406" s="196"/>
      <c r="M406" s="196"/>
      <c r="N406" s="196"/>
      <c r="O406" s="196"/>
      <c r="P406" s="196"/>
      <c r="Q406" s="196"/>
      <c r="R406" s="196"/>
      <c r="S406" s="196"/>
      <c r="T406" s="196"/>
      <c r="U406" s="196"/>
      <c r="V406" s="196"/>
      <c r="W406" s="196"/>
      <c r="X406" s="196"/>
      <c r="Y406" s="196"/>
      <c r="Z406" s="196"/>
      <c r="AA406" s="196"/>
      <c r="AB406" s="196"/>
      <c r="AC406" s="196"/>
    </row>
    <row r="407" spans="1:29">
      <c r="A407" s="196"/>
      <c r="B407" s="196"/>
      <c r="C407" s="196"/>
      <c r="D407" s="196"/>
      <c r="E407" s="196"/>
      <c r="F407" s="196"/>
      <c r="G407" s="196"/>
      <c r="H407" s="196"/>
      <c r="I407" s="196"/>
      <c r="J407" s="196"/>
      <c r="K407" s="196"/>
      <c r="L407" s="196"/>
      <c r="M407" s="196"/>
      <c r="N407" s="196"/>
      <c r="O407" s="196"/>
      <c r="P407" s="196"/>
      <c r="Q407" s="196"/>
      <c r="R407" s="196"/>
      <c r="S407" s="196"/>
      <c r="T407" s="196"/>
      <c r="U407" s="196"/>
      <c r="V407" s="196"/>
      <c r="W407" s="196"/>
      <c r="X407" s="196"/>
      <c r="Y407" s="196"/>
      <c r="Z407" s="196"/>
      <c r="AA407" s="196"/>
      <c r="AB407" s="196"/>
      <c r="AC407" s="196"/>
    </row>
    <row r="408" spans="1:29">
      <c r="A408" s="196"/>
      <c r="B408" s="196"/>
      <c r="C408" s="196"/>
      <c r="D408" s="196"/>
      <c r="E408" s="196"/>
      <c r="F408" s="196"/>
      <c r="G408" s="196"/>
      <c r="H408" s="196"/>
      <c r="I408" s="196"/>
      <c r="J408" s="196"/>
      <c r="K408" s="196"/>
      <c r="L408" s="196"/>
      <c r="M408" s="196"/>
      <c r="N408" s="196"/>
      <c r="O408" s="196"/>
      <c r="P408" s="196"/>
      <c r="Q408" s="196"/>
      <c r="R408" s="196"/>
      <c r="S408" s="196"/>
      <c r="T408" s="196"/>
      <c r="U408" s="196"/>
      <c r="V408" s="196"/>
      <c r="W408" s="196"/>
      <c r="X408" s="196"/>
      <c r="Y408" s="196"/>
      <c r="Z408" s="196"/>
      <c r="AA408" s="196"/>
      <c r="AB408" s="196"/>
      <c r="AC408" s="196"/>
    </row>
    <row r="409" spans="1:29">
      <c r="A409" s="196"/>
      <c r="B409" s="196"/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N409" s="196"/>
      <c r="O409" s="196"/>
      <c r="P409" s="196"/>
      <c r="Q409" s="196"/>
      <c r="R409" s="196"/>
      <c r="S409" s="196"/>
      <c r="T409" s="196"/>
      <c r="U409" s="196"/>
      <c r="V409" s="196"/>
      <c r="W409" s="196"/>
      <c r="X409" s="196"/>
      <c r="Y409" s="196"/>
      <c r="Z409" s="196"/>
      <c r="AA409" s="196"/>
      <c r="AB409" s="196"/>
      <c r="AC409" s="196"/>
    </row>
    <row r="410" spans="1:29">
      <c r="A410" s="196"/>
      <c r="B410" s="196"/>
      <c r="C410" s="196"/>
      <c r="D410" s="196"/>
      <c r="E410" s="196"/>
      <c r="F410" s="196"/>
      <c r="G410" s="196"/>
      <c r="H410" s="196"/>
      <c r="I410" s="196"/>
      <c r="J410" s="196"/>
      <c r="K410" s="196"/>
      <c r="L410" s="196"/>
      <c r="M410" s="196"/>
      <c r="N410" s="196"/>
      <c r="O410" s="196"/>
      <c r="P410" s="196"/>
      <c r="Q410" s="196"/>
      <c r="R410" s="196"/>
      <c r="S410" s="196"/>
      <c r="T410" s="196"/>
      <c r="U410" s="196"/>
      <c r="V410" s="196"/>
      <c r="W410" s="196"/>
      <c r="X410" s="196"/>
      <c r="Y410" s="196"/>
      <c r="Z410" s="196"/>
      <c r="AA410" s="196"/>
      <c r="AB410" s="196"/>
      <c r="AC410" s="196"/>
    </row>
    <row r="411" spans="1:29">
      <c r="A411" s="196"/>
      <c r="B411" s="196"/>
      <c r="C411" s="196"/>
      <c r="D411" s="196"/>
      <c r="E411" s="196"/>
      <c r="F411" s="196"/>
      <c r="G411" s="196"/>
      <c r="H411" s="196"/>
      <c r="I411" s="196"/>
      <c r="J411" s="196"/>
      <c r="K411" s="196"/>
      <c r="L411" s="196"/>
      <c r="M411" s="196"/>
      <c r="N411" s="196"/>
      <c r="O411" s="196"/>
      <c r="P411" s="196"/>
      <c r="Q411" s="196"/>
      <c r="R411" s="196"/>
      <c r="S411" s="196"/>
      <c r="T411" s="196"/>
      <c r="U411" s="196"/>
      <c r="V411" s="196"/>
      <c r="W411" s="196"/>
      <c r="X411" s="196"/>
      <c r="Y411" s="196"/>
      <c r="Z411" s="196"/>
      <c r="AA411" s="196"/>
      <c r="AB411" s="196"/>
      <c r="AC411" s="196"/>
    </row>
    <row r="412" spans="1:29">
      <c r="A412" s="196"/>
      <c r="B412" s="196"/>
      <c r="C412" s="196"/>
      <c r="D412" s="196"/>
      <c r="E412" s="196"/>
      <c r="F412" s="196"/>
      <c r="G412" s="196"/>
      <c r="H412" s="196"/>
      <c r="I412" s="196"/>
      <c r="J412" s="196"/>
      <c r="K412" s="196"/>
      <c r="L412" s="196"/>
      <c r="M412" s="196"/>
      <c r="N412" s="196"/>
      <c r="O412" s="196"/>
      <c r="P412" s="196"/>
      <c r="Q412" s="196"/>
      <c r="R412" s="196"/>
      <c r="S412" s="196"/>
      <c r="T412" s="196"/>
      <c r="U412" s="196"/>
      <c r="V412" s="196"/>
      <c r="W412" s="196"/>
      <c r="X412" s="196"/>
      <c r="Y412" s="196"/>
      <c r="Z412" s="196"/>
      <c r="AA412" s="196"/>
      <c r="AB412" s="196"/>
      <c r="AC412" s="196"/>
    </row>
    <row r="413" spans="1:29">
      <c r="A413" s="196"/>
      <c r="B413" s="196"/>
      <c r="C413" s="196"/>
      <c r="D413" s="196"/>
      <c r="E413" s="196"/>
      <c r="F413" s="196"/>
      <c r="G413" s="196"/>
      <c r="H413" s="196"/>
      <c r="I413" s="196"/>
      <c r="J413" s="196"/>
      <c r="K413" s="196"/>
      <c r="L413" s="196"/>
      <c r="M413" s="196"/>
      <c r="N413" s="196"/>
      <c r="O413" s="196"/>
      <c r="P413" s="196"/>
      <c r="Q413" s="196"/>
      <c r="R413" s="196"/>
      <c r="S413" s="196"/>
      <c r="T413" s="196"/>
      <c r="U413" s="196"/>
      <c r="V413" s="196"/>
      <c r="W413" s="196"/>
      <c r="X413" s="196"/>
      <c r="Y413" s="196"/>
      <c r="Z413" s="196"/>
      <c r="AA413" s="196"/>
      <c r="AB413" s="196"/>
      <c r="AC413" s="196"/>
    </row>
    <row r="414" spans="1:29">
      <c r="A414" s="196"/>
      <c r="B414" s="196"/>
      <c r="C414" s="196"/>
      <c r="D414" s="196"/>
      <c r="E414" s="196"/>
      <c r="F414" s="196"/>
      <c r="G414" s="196"/>
      <c r="H414" s="196"/>
      <c r="I414" s="196"/>
      <c r="J414" s="196"/>
      <c r="K414" s="196"/>
      <c r="L414" s="196"/>
      <c r="M414" s="196"/>
      <c r="N414" s="196"/>
      <c r="O414" s="196"/>
      <c r="P414" s="196"/>
      <c r="Q414" s="196"/>
      <c r="R414" s="196"/>
      <c r="S414" s="196"/>
      <c r="T414" s="196"/>
      <c r="U414" s="196"/>
      <c r="V414" s="196"/>
      <c r="W414" s="196"/>
      <c r="X414" s="196"/>
      <c r="Y414" s="196"/>
      <c r="Z414" s="196"/>
      <c r="AA414" s="196"/>
      <c r="AB414" s="196"/>
      <c r="AC414" s="196"/>
    </row>
    <row r="415" spans="1:29">
      <c r="A415" s="196"/>
      <c r="B415" s="196"/>
      <c r="C415" s="196"/>
      <c r="D415" s="196"/>
      <c r="E415" s="196"/>
      <c r="F415" s="196"/>
      <c r="G415" s="196"/>
      <c r="H415" s="196"/>
      <c r="I415" s="196"/>
      <c r="J415" s="196"/>
      <c r="K415" s="196"/>
      <c r="L415" s="196"/>
      <c r="M415" s="196"/>
      <c r="N415" s="196"/>
      <c r="O415" s="196"/>
      <c r="P415" s="196"/>
      <c r="Q415" s="196"/>
      <c r="R415" s="196"/>
      <c r="S415" s="196"/>
      <c r="T415" s="196"/>
      <c r="U415" s="196"/>
      <c r="V415" s="196"/>
      <c r="W415" s="196"/>
      <c r="X415" s="196"/>
      <c r="Y415" s="196"/>
      <c r="Z415" s="196"/>
      <c r="AA415" s="196"/>
      <c r="AB415" s="196"/>
      <c r="AC415" s="196"/>
    </row>
    <row r="416" spans="1:29">
      <c r="A416" s="196"/>
      <c r="B416" s="196"/>
      <c r="C416" s="196"/>
      <c r="D416" s="196"/>
      <c r="E416" s="196"/>
      <c r="F416" s="196"/>
      <c r="G416" s="196"/>
      <c r="H416" s="196"/>
      <c r="I416" s="196"/>
      <c r="J416" s="196"/>
      <c r="K416" s="196"/>
      <c r="L416" s="196"/>
      <c r="M416" s="196"/>
      <c r="N416" s="196"/>
      <c r="O416" s="196"/>
      <c r="P416" s="196"/>
      <c r="Q416" s="196"/>
      <c r="R416" s="196"/>
      <c r="S416" s="196"/>
      <c r="T416" s="196"/>
      <c r="U416" s="196"/>
      <c r="V416" s="196"/>
      <c r="W416" s="196"/>
      <c r="X416" s="196"/>
      <c r="Y416" s="196"/>
      <c r="Z416" s="196"/>
      <c r="AA416" s="196"/>
      <c r="AB416" s="196"/>
      <c r="AC416" s="196"/>
    </row>
    <row r="417" spans="1:29">
      <c r="A417" s="196"/>
      <c r="B417" s="196"/>
      <c r="C417" s="196"/>
      <c r="D417" s="196"/>
      <c r="E417" s="196"/>
      <c r="F417" s="196"/>
      <c r="G417" s="196"/>
      <c r="H417" s="196"/>
      <c r="I417" s="196"/>
      <c r="J417" s="196"/>
      <c r="K417" s="196"/>
      <c r="L417" s="196"/>
      <c r="M417" s="196"/>
      <c r="N417" s="196"/>
      <c r="O417" s="196"/>
      <c r="P417" s="196"/>
      <c r="Q417" s="196"/>
      <c r="R417" s="196"/>
      <c r="S417" s="196"/>
      <c r="T417" s="196"/>
      <c r="U417" s="196"/>
      <c r="V417" s="196"/>
      <c r="W417" s="196"/>
      <c r="X417" s="196"/>
      <c r="Y417" s="196"/>
      <c r="Z417" s="196"/>
      <c r="AA417" s="196"/>
      <c r="AB417" s="196"/>
      <c r="AC417" s="196"/>
    </row>
    <row r="418" spans="1:29">
      <c r="A418" s="196"/>
      <c r="B418" s="196"/>
      <c r="C418" s="196"/>
      <c r="D418" s="196"/>
      <c r="E418" s="196"/>
      <c r="F418" s="196"/>
      <c r="G418" s="196"/>
      <c r="H418" s="196"/>
      <c r="I418" s="196"/>
      <c r="J418" s="196"/>
      <c r="K418" s="196"/>
      <c r="L418" s="196"/>
      <c r="M418" s="196"/>
      <c r="N418" s="196"/>
      <c r="O418" s="196"/>
      <c r="P418" s="196"/>
      <c r="Q418" s="196"/>
      <c r="R418" s="196"/>
      <c r="S418" s="196"/>
      <c r="T418" s="196"/>
      <c r="U418" s="196"/>
      <c r="V418" s="196"/>
      <c r="W418" s="196"/>
      <c r="X418" s="196"/>
      <c r="Y418" s="196"/>
      <c r="Z418" s="196"/>
      <c r="AA418" s="196"/>
      <c r="AB418" s="196"/>
      <c r="AC418" s="196"/>
    </row>
    <row r="419" spans="1:29">
      <c r="A419" s="196"/>
      <c r="B419" s="196"/>
      <c r="C419" s="196"/>
      <c r="D419" s="196"/>
      <c r="E419" s="196"/>
      <c r="F419" s="196"/>
      <c r="G419" s="196"/>
      <c r="H419" s="196"/>
      <c r="I419" s="196"/>
      <c r="J419" s="196"/>
      <c r="K419" s="196"/>
      <c r="L419" s="196"/>
      <c r="M419" s="196"/>
      <c r="N419" s="196"/>
      <c r="O419" s="196"/>
      <c r="P419" s="196"/>
      <c r="Q419" s="196"/>
      <c r="R419" s="196"/>
      <c r="S419" s="196"/>
      <c r="T419" s="196"/>
      <c r="U419" s="196"/>
      <c r="V419" s="196"/>
      <c r="W419" s="196"/>
      <c r="X419" s="196"/>
      <c r="Y419" s="196"/>
      <c r="Z419" s="196"/>
      <c r="AA419" s="196"/>
      <c r="AB419" s="196"/>
      <c r="AC419" s="196"/>
    </row>
    <row r="420" spans="1:29">
      <c r="A420" s="196"/>
      <c r="B420" s="196"/>
      <c r="C420" s="196"/>
      <c r="D420" s="196"/>
      <c r="E420" s="196"/>
      <c r="F420" s="196"/>
      <c r="G420" s="196"/>
      <c r="H420" s="196"/>
      <c r="I420" s="196"/>
      <c r="J420" s="196"/>
      <c r="K420" s="196"/>
      <c r="L420" s="196"/>
      <c r="M420" s="196"/>
      <c r="N420" s="196"/>
      <c r="O420" s="196"/>
      <c r="P420" s="196"/>
      <c r="Q420" s="196"/>
      <c r="R420" s="196"/>
      <c r="S420" s="196"/>
      <c r="T420" s="196"/>
      <c r="U420" s="196"/>
      <c r="V420" s="196"/>
      <c r="W420" s="196"/>
      <c r="X420" s="196"/>
      <c r="Y420" s="196"/>
      <c r="Z420" s="196"/>
      <c r="AA420" s="196"/>
      <c r="AB420" s="196"/>
      <c r="AC420" s="196"/>
    </row>
    <row r="421" spans="1:29">
      <c r="A421" s="196"/>
      <c r="B421" s="196"/>
      <c r="C421" s="196"/>
      <c r="D421" s="196"/>
      <c r="E421" s="196"/>
      <c r="F421" s="196"/>
      <c r="G421" s="196"/>
      <c r="H421" s="196"/>
      <c r="I421" s="196"/>
      <c r="J421" s="196"/>
      <c r="K421" s="196"/>
      <c r="L421" s="196"/>
      <c r="M421" s="196"/>
      <c r="N421" s="196"/>
      <c r="O421" s="196"/>
      <c r="P421" s="196"/>
      <c r="Q421" s="196"/>
      <c r="R421" s="196"/>
      <c r="S421" s="196"/>
      <c r="T421" s="196"/>
      <c r="U421" s="196"/>
      <c r="V421" s="196"/>
      <c r="W421" s="196"/>
      <c r="X421" s="196"/>
      <c r="Y421" s="196"/>
      <c r="Z421" s="196"/>
      <c r="AA421" s="196"/>
      <c r="AB421" s="196"/>
      <c r="AC421" s="196"/>
    </row>
    <row r="422" spans="1:29">
      <c r="A422" s="196"/>
      <c r="B422" s="196"/>
      <c r="C422" s="196"/>
      <c r="D422" s="196"/>
      <c r="E422" s="196"/>
      <c r="F422" s="196"/>
      <c r="G422" s="196"/>
      <c r="H422" s="196"/>
      <c r="I422" s="196"/>
      <c r="J422" s="196"/>
      <c r="K422" s="196"/>
      <c r="L422" s="196"/>
      <c r="M422" s="196"/>
      <c r="N422" s="196"/>
      <c r="O422" s="196"/>
      <c r="P422" s="196"/>
      <c r="Q422" s="196"/>
      <c r="R422" s="196"/>
      <c r="S422" s="196"/>
      <c r="T422" s="196"/>
      <c r="U422" s="196"/>
      <c r="V422" s="196"/>
      <c r="W422" s="196"/>
      <c r="X422" s="196"/>
      <c r="Y422" s="196"/>
      <c r="Z422" s="196"/>
      <c r="AA422" s="196"/>
      <c r="AB422" s="196"/>
      <c r="AC422" s="196"/>
    </row>
    <row r="423" spans="1:29">
      <c r="A423" s="196"/>
      <c r="B423" s="196"/>
      <c r="C423" s="196"/>
      <c r="D423" s="196"/>
      <c r="E423" s="196"/>
      <c r="F423" s="196"/>
      <c r="G423" s="196"/>
      <c r="H423" s="196"/>
      <c r="I423" s="196"/>
      <c r="J423" s="196"/>
      <c r="K423" s="196"/>
      <c r="L423" s="196"/>
      <c r="M423" s="196"/>
      <c r="N423" s="196"/>
      <c r="O423" s="196"/>
      <c r="P423" s="196"/>
      <c r="Q423" s="196"/>
      <c r="R423" s="196"/>
      <c r="S423" s="196"/>
      <c r="T423" s="196"/>
      <c r="U423" s="196"/>
      <c r="V423" s="196"/>
      <c r="W423" s="196"/>
      <c r="X423" s="196"/>
      <c r="Y423" s="196"/>
      <c r="Z423" s="196"/>
      <c r="AA423" s="196"/>
      <c r="AB423" s="196"/>
      <c r="AC423" s="196"/>
    </row>
    <row r="424" spans="1:29">
      <c r="A424" s="196"/>
      <c r="B424" s="196"/>
      <c r="C424" s="196"/>
      <c r="D424" s="196"/>
      <c r="E424" s="196"/>
      <c r="F424" s="196"/>
      <c r="G424" s="196"/>
      <c r="H424" s="196"/>
      <c r="I424" s="196"/>
      <c r="J424" s="196"/>
      <c r="K424" s="196"/>
      <c r="L424" s="196"/>
      <c r="M424" s="196"/>
      <c r="N424" s="196"/>
      <c r="O424" s="196"/>
      <c r="P424" s="196"/>
      <c r="Q424" s="196"/>
      <c r="R424" s="196"/>
      <c r="S424" s="196"/>
      <c r="T424" s="196"/>
      <c r="U424" s="196"/>
      <c r="V424" s="196"/>
      <c r="W424" s="196"/>
      <c r="X424" s="196"/>
      <c r="Y424" s="196"/>
      <c r="Z424" s="196"/>
      <c r="AA424" s="196"/>
      <c r="AB424" s="196"/>
      <c r="AC424" s="196"/>
    </row>
    <row r="425" spans="1:29">
      <c r="A425" s="196"/>
      <c r="B425" s="196"/>
      <c r="C425" s="196"/>
      <c r="D425" s="196"/>
      <c r="E425" s="196"/>
      <c r="F425" s="196"/>
      <c r="G425" s="196"/>
      <c r="H425" s="196"/>
      <c r="I425" s="196"/>
      <c r="J425" s="196"/>
      <c r="K425" s="196"/>
      <c r="L425" s="196"/>
      <c r="M425" s="196"/>
      <c r="N425" s="196"/>
      <c r="O425" s="196"/>
      <c r="P425" s="196"/>
      <c r="Q425" s="196"/>
      <c r="R425" s="196"/>
      <c r="S425" s="196"/>
      <c r="T425" s="196"/>
      <c r="U425" s="196"/>
      <c r="V425" s="196"/>
      <c r="W425" s="196"/>
      <c r="X425" s="196"/>
      <c r="Y425" s="196"/>
      <c r="Z425" s="196"/>
      <c r="AA425" s="196"/>
      <c r="AB425" s="196"/>
      <c r="AC425" s="196"/>
    </row>
    <row r="426" spans="1:29">
      <c r="A426" s="196"/>
      <c r="B426" s="196"/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N426" s="196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6"/>
      <c r="AA426" s="196"/>
      <c r="AB426" s="196"/>
      <c r="AC426" s="196"/>
    </row>
    <row r="427" spans="1:29">
      <c r="A427" s="196"/>
      <c r="B427" s="196"/>
      <c r="C427" s="196"/>
      <c r="D427" s="196"/>
      <c r="E427" s="196"/>
      <c r="F427" s="196"/>
      <c r="G427" s="196"/>
      <c r="H427" s="196"/>
      <c r="I427" s="196"/>
      <c r="J427" s="196"/>
      <c r="K427" s="196"/>
      <c r="L427" s="196"/>
      <c r="M427" s="196"/>
      <c r="N427" s="196"/>
      <c r="O427" s="196"/>
      <c r="P427" s="196"/>
      <c r="Q427" s="196"/>
      <c r="R427" s="196"/>
      <c r="S427" s="196"/>
      <c r="T427" s="196"/>
      <c r="U427" s="196"/>
      <c r="V427" s="196"/>
      <c r="W427" s="196"/>
      <c r="X427" s="196"/>
      <c r="Y427" s="196"/>
      <c r="Z427" s="196"/>
      <c r="AA427" s="196"/>
      <c r="AB427" s="196"/>
      <c r="AC427" s="196"/>
    </row>
    <row r="428" spans="1:29">
      <c r="A428" s="196"/>
      <c r="B428" s="196"/>
      <c r="C428" s="196"/>
      <c r="D428" s="196"/>
      <c r="E428" s="196"/>
      <c r="F428" s="196"/>
      <c r="G428" s="196"/>
      <c r="H428" s="196"/>
      <c r="I428" s="196"/>
      <c r="J428" s="196"/>
      <c r="K428" s="196"/>
      <c r="L428" s="196"/>
      <c r="M428" s="196"/>
      <c r="N428" s="196"/>
      <c r="O428" s="196"/>
      <c r="P428" s="196"/>
      <c r="Q428" s="196"/>
      <c r="R428" s="196"/>
      <c r="S428" s="196"/>
      <c r="T428" s="196"/>
      <c r="U428" s="196"/>
      <c r="V428" s="196"/>
      <c r="W428" s="196"/>
      <c r="X428" s="196"/>
      <c r="Y428" s="196"/>
      <c r="Z428" s="196"/>
      <c r="AA428" s="196"/>
      <c r="AB428" s="196"/>
      <c r="AC428" s="196"/>
    </row>
    <row r="429" spans="1:29">
      <c r="A429" s="196"/>
      <c r="B429" s="196"/>
      <c r="C429" s="196"/>
      <c r="D429" s="196"/>
      <c r="E429" s="196"/>
      <c r="F429" s="196"/>
      <c r="G429" s="196"/>
      <c r="H429" s="196"/>
      <c r="I429" s="196"/>
      <c r="J429" s="196"/>
      <c r="K429" s="196"/>
      <c r="L429" s="196"/>
      <c r="M429" s="196"/>
      <c r="N429" s="196"/>
      <c r="O429" s="196"/>
      <c r="P429" s="196"/>
      <c r="Q429" s="196"/>
      <c r="R429" s="196"/>
      <c r="S429" s="196"/>
      <c r="T429" s="196"/>
      <c r="U429" s="196"/>
      <c r="V429" s="196"/>
      <c r="W429" s="196"/>
      <c r="X429" s="196"/>
      <c r="Y429" s="196"/>
      <c r="Z429" s="196"/>
      <c r="AA429" s="196"/>
      <c r="AB429" s="196"/>
      <c r="AC429" s="196"/>
    </row>
    <row r="430" spans="1:29">
      <c r="A430" s="196"/>
      <c r="B430" s="196"/>
      <c r="C430" s="196"/>
      <c r="D430" s="196"/>
      <c r="E430" s="196"/>
      <c r="F430" s="196"/>
      <c r="G430" s="196"/>
      <c r="H430" s="196"/>
      <c r="I430" s="196"/>
      <c r="J430" s="196"/>
      <c r="K430" s="196"/>
      <c r="L430" s="196"/>
      <c r="M430" s="196"/>
      <c r="N430" s="196"/>
      <c r="O430" s="196"/>
      <c r="P430" s="196"/>
      <c r="Q430" s="196"/>
      <c r="R430" s="196"/>
      <c r="S430" s="196"/>
      <c r="T430" s="196"/>
      <c r="U430" s="196"/>
      <c r="V430" s="196"/>
      <c r="W430" s="196"/>
      <c r="X430" s="196"/>
      <c r="Y430" s="196"/>
      <c r="Z430" s="196"/>
      <c r="AA430" s="196"/>
      <c r="AB430" s="196"/>
      <c r="AC430" s="196"/>
    </row>
    <row r="431" spans="1:29">
      <c r="A431" s="196"/>
      <c r="B431" s="196"/>
      <c r="C431" s="196"/>
      <c r="D431" s="196"/>
      <c r="E431" s="196"/>
      <c r="F431" s="196"/>
      <c r="G431" s="196"/>
      <c r="H431" s="196"/>
      <c r="I431" s="196"/>
      <c r="J431" s="196"/>
      <c r="K431" s="196"/>
      <c r="L431" s="196"/>
      <c r="M431" s="196"/>
      <c r="N431" s="196"/>
      <c r="O431" s="196"/>
      <c r="P431" s="196"/>
      <c r="Q431" s="196"/>
      <c r="R431" s="196"/>
      <c r="S431" s="196"/>
      <c r="T431" s="196"/>
      <c r="U431" s="196"/>
      <c r="V431" s="196"/>
      <c r="W431" s="196"/>
      <c r="X431" s="196"/>
      <c r="Y431" s="196"/>
      <c r="Z431" s="196"/>
      <c r="AA431" s="196"/>
      <c r="AB431" s="196"/>
      <c r="AC431" s="196"/>
    </row>
    <row r="432" spans="1:29">
      <c r="A432" s="196"/>
      <c r="B432" s="196"/>
      <c r="C432" s="196"/>
      <c r="D432" s="196"/>
      <c r="E432" s="196"/>
      <c r="F432" s="196"/>
      <c r="G432" s="196"/>
      <c r="H432" s="196"/>
      <c r="I432" s="196"/>
      <c r="J432" s="196"/>
      <c r="K432" s="196"/>
      <c r="L432" s="196"/>
      <c r="M432" s="196"/>
      <c r="N432" s="196"/>
      <c r="O432" s="196"/>
      <c r="P432" s="196"/>
      <c r="Q432" s="196"/>
      <c r="R432" s="196"/>
      <c r="S432" s="196"/>
      <c r="T432" s="196"/>
      <c r="U432" s="196"/>
      <c r="V432" s="196"/>
      <c r="W432" s="196"/>
      <c r="X432" s="196"/>
      <c r="Y432" s="196"/>
      <c r="Z432" s="196"/>
      <c r="AA432" s="196"/>
      <c r="AB432" s="196"/>
      <c r="AC432" s="196"/>
    </row>
    <row r="433" spans="1:29">
      <c r="A433" s="196"/>
      <c r="B433" s="196"/>
      <c r="C433" s="196"/>
      <c r="D433" s="196"/>
      <c r="E433" s="196"/>
      <c r="F433" s="196"/>
      <c r="G433" s="196"/>
      <c r="H433" s="196"/>
      <c r="I433" s="196"/>
      <c r="J433" s="196"/>
      <c r="K433" s="196"/>
      <c r="L433" s="196"/>
      <c r="M433" s="196"/>
      <c r="N433" s="196"/>
      <c r="O433" s="196"/>
      <c r="P433" s="196"/>
      <c r="Q433" s="196"/>
      <c r="R433" s="196"/>
      <c r="S433" s="196"/>
      <c r="T433" s="196"/>
      <c r="U433" s="196"/>
      <c r="V433" s="196"/>
      <c r="W433" s="196"/>
      <c r="X433" s="196"/>
      <c r="Y433" s="196"/>
      <c r="Z433" s="196"/>
      <c r="AA433" s="196"/>
      <c r="AB433" s="196"/>
      <c r="AC433" s="196"/>
    </row>
    <row r="434" spans="1:29">
      <c r="A434" s="196"/>
      <c r="B434" s="196"/>
      <c r="C434" s="196"/>
      <c r="D434" s="196"/>
      <c r="E434" s="196"/>
      <c r="F434" s="196"/>
      <c r="G434" s="196"/>
      <c r="H434" s="196"/>
      <c r="I434" s="196"/>
      <c r="J434" s="196"/>
      <c r="K434" s="196"/>
      <c r="L434" s="196"/>
      <c r="M434" s="196"/>
      <c r="N434" s="196"/>
      <c r="O434" s="196"/>
      <c r="P434" s="196"/>
      <c r="Q434" s="196"/>
      <c r="R434" s="196"/>
      <c r="S434" s="196"/>
      <c r="T434" s="196"/>
      <c r="U434" s="196"/>
      <c r="V434" s="196"/>
      <c r="W434" s="196"/>
      <c r="X434" s="196"/>
      <c r="Y434" s="196"/>
      <c r="Z434" s="196"/>
      <c r="AA434" s="196"/>
      <c r="AB434" s="196"/>
      <c r="AC434" s="196"/>
    </row>
    <row r="435" spans="1:29">
      <c r="A435" s="196"/>
      <c r="B435" s="196"/>
      <c r="C435" s="196"/>
      <c r="D435" s="196"/>
      <c r="E435" s="196"/>
      <c r="F435" s="196"/>
      <c r="G435" s="196"/>
      <c r="H435" s="196"/>
      <c r="I435" s="196"/>
      <c r="J435" s="196"/>
      <c r="K435" s="196"/>
      <c r="L435" s="196"/>
      <c r="M435" s="196"/>
      <c r="N435" s="196"/>
      <c r="O435" s="196"/>
      <c r="P435" s="196"/>
      <c r="Q435" s="196"/>
      <c r="R435" s="196"/>
      <c r="S435" s="196"/>
      <c r="T435" s="196"/>
      <c r="U435" s="196"/>
      <c r="V435" s="196"/>
      <c r="W435" s="196"/>
      <c r="X435" s="196"/>
      <c r="Y435" s="196"/>
      <c r="Z435" s="196"/>
      <c r="AA435" s="196"/>
      <c r="AB435" s="196"/>
      <c r="AC435" s="196"/>
    </row>
    <row r="436" spans="1:29">
      <c r="A436" s="196"/>
      <c r="B436" s="196"/>
      <c r="C436" s="196"/>
      <c r="D436" s="196"/>
      <c r="E436" s="196"/>
      <c r="F436" s="196"/>
      <c r="G436" s="196"/>
      <c r="H436" s="196"/>
      <c r="I436" s="196"/>
      <c r="J436" s="196"/>
      <c r="K436" s="196"/>
      <c r="L436" s="196"/>
      <c r="M436" s="196"/>
      <c r="N436" s="196"/>
      <c r="O436" s="196"/>
      <c r="P436" s="196"/>
      <c r="Q436" s="196"/>
      <c r="R436" s="196"/>
      <c r="S436" s="196"/>
      <c r="T436" s="196"/>
      <c r="U436" s="196"/>
      <c r="V436" s="196"/>
      <c r="W436" s="196"/>
      <c r="X436" s="196"/>
      <c r="Y436" s="196"/>
      <c r="Z436" s="196"/>
      <c r="AA436" s="196"/>
      <c r="AB436" s="196"/>
      <c r="AC436" s="196"/>
    </row>
    <row r="437" spans="1:29">
      <c r="A437" s="196"/>
      <c r="B437" s="196"/>
      <c r="C437" s="196"/>
      <c r="D437" s="196"/>
      <c r="E437" s="196"/>
      <c r="F437" s="196"/>
      <c r="G437" s="196"/>
      <c r="H437" s="196"/>
      <c r="I437" s="196"/>
      <c r="J437" s="196"/>
      <c r="K437" s="196"/>
      <c r="L437" s="196"/>
      <c r="M437" s="196"/>
      <c r="N437" s="196"/>
      <c r="O437" s="196"/>
      <c r="P437" s="196"/>
      <c r="Q437" s="196"/>
      <c r="R437" s="196"/>
      <c r="S437" s="196"/>
      <c r="T437" s="196"/>
      <c r="U437" s="196"/>
      <c r="V437" s="196"/>
      <c r="W437" s="196"/>
      <c r="X437" s="196"/>
      <c r="Y437" s="196"/>
      <c r="Z437" s="196"/>
      <c r="AA437" s="196"/>
      <c r="AB437" s="196"/>
      <c r="AC437" s="196"/>
    </row>
    <row r="438" spans="1:29">
      <c r="A438" s="196"/>
      <c r="B438" s="196"/>
      <c r="C438" s="196"/>
      <c r="D438" s="196"/>
      <c r="E438" s="196"/>
      <c r="F438" s="196"/>
      <c r="G438" s="196"/>
      <c r="H438" s="196"/>
      <c r="I438" s="196"/>
      <c r="J438" s="196"/>
      <c r="K438" s="196"/>
      <c r="L438" s="196"/>
      <c r="M438" s="196"/>
      <c r="N438" s="196"/>
      <c r="O438" s="196"/>
      <c r="P438" s="196"/>
      <c r="Q438" s="196"/>
      <c r="R438" s="196"/>
      <c r="S438" s="196"/>
      <c r="T438" s="196"/>
      <c r="U438" s="196"/>
      <c r="V438" s="196"/>
      <c r="W438" s="196"/>
      <c r="X438" s="196"/>
      <c r="Y438" s="196"/>
      <c r="Z438" s="196"/>
      <c r="AA438" s="196"/>
      <c r="AB438" s="196"/>
      <c r="AC438" s="196"/>
    </row>
    <row r="439" spans="1:29">
      <c r="A439" s="196"/>
      <c r="B439" s="196"/>
      <c r="C439" s="196"/>
      <c r="D439" s="196"/>
      <c r="E439" s="196"/>
      <c r="F439" s="196"/>
      <c r="G439" s="196"/>
      <c r="H439" s="196"/>
      <c r="I439" s="196"/>
      <c r="J439" s="196"/>
      <c r="K439" s="196"/>
      <c r="L439" s="196"/>
      <c r="M439" s="196"/>
      <c r="N439" s="196"/>
      <c r="O439" s="196"/>
      <c r="P439" s="196"/>
      <c r="Q439" s="196"/>
      <c r="R439" s="196"/>
      <c r="S439" s="196"/>
      <c r="T439" s="196"/>
      <c r="U439" s="196"/>
      <c r="V439" s="196"/>
      <c r="W439" s="196"/>
      <c r="X439" s="196"/>
      <c r="Y439" s="196"/>
      <c r="Z439" s="196"/>
      <c r="AA439" s="196"/>
      <c r="AB439" s="196"/>
      <c r="AC439" s="196"/>
    </row>
    <row r="440" spans="1:29">
      <c r="A440" s="196"/>
      <c r="B440" s="196"/>
      <c r="C440" s="196"/>
      <c r="D440" s="196"/>
      <c r="E440" s="196"/>
      <c r="F440" s="196"/>
      <c r="G440" s="196"/>
      <c r="H440" s="196"/>
      <c r="I440" s="196"/>
      <c r="J440" s="196"/>
      <c r="K440" s="196"/>
      <c r="L440" s="196"/>
      <c r="M440" s="196"/>
      <c r="N440" s="196"/>
      <c r="O440" s="196"/>
      <c r="P440" s="196"/>
      <c r="Q440" s="196"/>
      <c r="R440" s="196"/>
      <c r="S440" s="196"/>
      <c r="T440" s="196"/>
      <c r="U440" s="196"/>
      <c r="V440" s="196"/>
      <c r="W440" s="196"/>
      <c r="X440" s="196"/>
      <c r="Y440" s="196"/>
      <c r="Z440" s="196"/>
      <c r="AA440" s="196"/>
      <c r="AB440" s="196"/>
      <c r="AC440" s="196"/>
    </row>
    <row r="441" spans="1:29">
      <c r="A441" s="196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  <c r="M441" s="196"/>
      <c r="N441" s="196"/>
      <c r="O441" s="196"/>
      <c r="P441" s="196"/>
      <c r="Q441" s="196"/>
      <c r="R441" s="196"/>
      <c r="S441" s="196"/>
      <c r="T441" s="196"/>
      <c r="U441" s="196"/>
      <c r="V441" s="196"/>
      <c r="W441" s="196"/>
      <c r="X441" s="196"/>
      <c r="Y441" s="196"/>
      <c r="Z441" s="196"/>
      <c r="AA441" s="196"/>
      <c r="AB441" s="196"/>
      <c r="AC441" s="196"/>
    </row>
    <row r="442" spans="1:29">
      <c r="A442" s="196"/>
      <c r="B442" s="196"/>
      <c r="C442" s="196"/>
      <c r="D442" s="196"/>
      <c r="E442" s="196"/>
      <c r="F442" s="196"/>
      <c r="G442" s="196"/>
      <c r="H442" s="196"/>
      <c r="I442" s="196"/>
      <c r="J442" s="196"/>
      <c r="K442" s="196"/>
      <c r="L442" s="196"/>
      <c r="M442" s="196"/>
      <c r="N442" s="196"/>
      <c r="O442" s="196"/>
      <c r="P442" s="196"/>
      <c r="Q442" s="196"/>
      <c r="R442" s="196"/>
      <c r="S442" s="196"/>
      <c r="T442" s="196"/>
      <c r="U442" s="196"/>
      <c r="V442" s="196"/>
      <c r="W442" s="196"/>
      <c r="X442" s="196"/>
      <c r="Y442" s="196"/>
      <c r="Z442" s="196"/>
      <c r="AA442" s="196"/>
      <c r="AB442" s="196"/>
      <c r="AC442" s="196"/>
    </row>
    <row r="443" spans="1:29">
      <c r="A443" s="196"/>
      <c r="B443" s="196"/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N443" s="19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</row>
    <row r="444" spans="1:29">
      <c r="A444" s="196"/>
      <c r="B444" s="196"/>
      <c r="C444" s="196"/>
      <c r="D444" s="196"/>
      <c r="E444" s="196"/>
      <c r="F444" s="196"/>
      <c r="G444" s="196"/>
      <c r="H444" s="196"/>
      <c r="I444" s="196"/>
      <c r="J444" s="196"/>
      <c r="K444" s="196"/>
      <c r="L444" s="196"/>
      <c r="M444" s="196"/>
      <c r="N444" s="196"/>
      <c r="O444" s="196"/>
      <c r="P444" s="196"/>
      <c r="Q444" s="196"/>
      <c r="R444" s="196"/>
      <c r="S444" s="196"/>
      <c r="T444" s="196"/>
      <c r="U444" s="196"/>
      <c r="V444" s="196"/>
      <c r="W444" s="196"/>
      <c r="X444" s="196"/>
      <c r="Y444" s="196"/>
      <c r="Z444" s="196"/>
      <c r="AA444" s="196"/>
      <c r="AB444" s="196"/>
      <c r="AC444" s="196"/>
    </row>
    <row r="445" spans="1:29">
      <c r="A445" s="196"/>
      <c r="B445" s="196"/>
      <c r="C445" s="196"/>
      <c r="D445" s="196"/>
      <c r="E445" s="196"/>
      <c r="F445" s="196"/>
      <c r="G445" s="196"/>
      <c r="H445" s="196"/>
      <c r="I445" s="196"/>
      <c r="J445" s="196"/>
      <c r="K445" s="196"/>
      <c r="L445" s="196"/>
      <c r="M445" s="196"/>
      <c r="N445" s="196"/>
      <c r="O445" s="196"/>
      <c r="P445" s="196"/>
      <c r="Q445" s="196"/>
      <c r="R445" s="196"/>
      <c r="S445" s="196"/>
      <c r="T445" s="196"/>
      <c r="U445" s="196"/>
      <c r="V445" s="196"/>
      <c r="W445" s="196"/>
      <c r="X445" s="196"/>
      <c r="Y445" s="196"/>
      <c r="Z445" s="196"/>
      <c r="AA445" s="196"/>
      <c r="AB445" s="196"/>
      <c r="AC445" s="196"/>
    </row>
    <row r="446" spans="1:29">
      <c r="A446" s="196"/>
      <c r="B446" s="196"/>
      <c r="C446" s="196"/>
      <c r="D446" s="196"/>
      <c r="E446" s="196"/>
      <c r="F446" s="196"/>
      <c r="G446" s="196"/>
      <c r="H446" s="196"/>
      <c r="I446" s="196"/>
      <c r="J446" s="196"/>
      <c r="K446" s="196"/>
      <c r="L446" s="196"/>
      <c r="M446" s="196"/>
      <c r="N446" s="196"/>
      <c r="O446" s="196"/>
      <c r="P446" s="196"/>
      <c r="Q446" s="196"/>
      <c r="R446" s="196"/>
      <c r="S446" s="196"/>
      <c r="T446" s="196"/>
      <c r="U446" s="196"/>
      <c r="V446" s="196"/>
      <c r="W446" s="196"/>
      <c r="X446" s="196"/>
      <c r="Y446" s="196"/>
      <c r="Z446" s="196"/>
      <c r="AA446" s="196"/>
      <c r="AB446" s="196"/>
      <c r="AC446" s="196"/>
    </row>
    <row r="447" spans="1:29">
      <c r="A447" s="196"/>
      <c r="B447" s="196"/>
      <c r="C447" s="196"/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N447" s="196"/>
      <c r="O447" s="196"/>
      <c r="P447" s="196"/>
      <c r="Q447" s="196"/>
      <c r="R447" s="196"/>
      <c r="S447" s="196"/>
      <c r="T447" s="196"/>
      <c r="U447" s="196"/>
      <c r="V447" s="196"/>
      <c r="W447" s="196"/>
      <c r="X447" s="196"/>
      <c r="Y447" s="196"/>
      <c r="Z447" s="196"/>
      <c r="AA447" s="196"/>
      <c r="AB447" s="196"/>
      <c r="AC447" s="196"/>
    </row>
    <row r="448" spans="1:29">
      <c r="A448" s="196"/>
      <c r="B448" s="196"/>
      <c r="C448" s="196"/>
      <c r="D448" s="196"/>
      <c r="E448" s="196"/>
      <c r="F448" s="196"/>
      <c r="G448" s="196"/>
      <c r="H448" s="196"/>
      <c r="I448" s="196"/>
      <c r="J448" s="196"/>
      <c r="K448" s="196"/>
      <c r="L448" s="196"/>
      <c r="M448" s="196"/>
      <c r="N448" s="196"/>
      <c r="O448" s="196"/>
      <c r="P448" s="196"/>
      <c r="Q448" s="196"/>
      <c r="R448" s="196"/>
      <c r="S448" s="196"/>
      <c r="T448" s="196"/>
      <c r="U448" s="196"/>
      <c r="V448" s="196"/>
      <c r="W448" s="196"/>
      <c r="X448" s="196"/>
      <c r="Y448" s="196"/>
      <c r="Z448" s="196"/>
      <c r="AA448" s="196"/>
      <c r="AB448" s="196"/>
      <c r="AC448" s="196"/>
    </row>
    <row r="449" spans="1:29">
      <c r="A449" s="196"/>
      <c r="B449" s="196"/>
      <c r="C449" s="196"/>
      <c r="D449" s="196"/>
      <c r="E449" s="196"/>
      <c r="F449" s="196"/>
      <c r="G449" s="196"/>
      <c r="H449" s="196"/>
      <c r="I449" s="196"/>
      <c r="J449" s="196"/>
      <c r="K449" s="196"/>
      <c r="L449" s="196"/>
      <c r="M449" s="196"/>
      <c r="N449" s="196"/>
      <c r="O449" s="196"/>
      <c r="P449" s="196"/>
      <c r="Q449" s="196"/>
      <c r="R449" s="196"/>
      <c r="S449" s="196"/>
      <c r="T449" s="196"/>
      <c r="U449" s="196"/>
      <c r="V449" s="196"/>
      <c r="W449" s="196"/>
      <c r="X449" s="196"/>
      <c r="Y449" s="196"/>
      <c r="Z449" s="196"/>
      <c r="AA449" s="196"/>
      <c r="AB449" s="196"/>
      <c r="AC449" s="196"/>
    </row>
    <row r="450" spans="1:29">
      <c r="A450" s="196"/>
      <c r="B450" s="196"/>
      <c r="C450" s="196"/>
      <c r="D450" s="196"/>
      <c r="E450" s="196"/>
      <c r="F450" s="196"/>
      <c r="G450" s="196"/>
      <c r="H450" s="196"/>
      <c r="I450" s="196"/>
      <c r="J450" s="196"/>
      <c r="K450" s="196"/>
      <c r="L450" s="196"/>
      <c r="M450" s="196"/>
      <c r="N450" s="196"/>
      <c r="O450" s="196"/>
      <c r="P450" s="196"/>
      <c r="Q450" s="196"/>
      <c r="R450" s="196"/>
      <c r="S450" s="196"/>
      <c r="T450" s="196"/>
      <c r="U450" s="196"/>
      <c r="V450" s="196"/>
      <c r="W450" s="196"/>
      <c r="X450" s="196"/>
      <c r="Y450" s="196"/>
      <c r="Z450" s="196"/>
      <c r="AA450" s="196"/>
      <c r="AB450" s="196"/>
      <c r="AC450" s="196"/>
    </row>
    <row r="451" spans="1:29">
      <c r="A451" s="196"/>
      <c r="B451" s="196"/>
      <c r="C451" s="196"/>
      <c r="D451" s="196"/>
      <c r="E451" s="196"/>
      <c r="F451" s="196"/>
      <c r="G451" s="196"/>
      <c r="H451" s="196"/>
      <c r="I451" s="196"/>
      <c r="J451" s="196"/>
      <c r="K451" s="196"/>
      <c r="L451" s="196"/>
      <c r="M451" s="196"/>
      <c r="N451" s="196"/>
      <c r="O451" s="196"/>
      <c r="P451" s="196"/>
      <c r="Q451" s="196"/>
      <c r="R451" s="196"/>
      <c r="S451" s="196"/>
      <c r="T451" s="196"/>
      <c r="U451" s="196"/>
      <c r="V451" s="196"/>
      <c r="W451" s="196"/>
      <c r="X451" s="196"/>
      <c r="Y451" s="196"/>
      <c r="Z451" s="196"/>
      <c r="AA451" s="196"/>
      <c r="AB451" s="196"/>
      <c r="AC451" s="196"/>
    </row>
    <row r="452" spans="1:29">
      <c r="A452" s="196"/>
      <c r="B452" s="196"/>
      <c r="C452" s="196"/>
      <c r="D452" s="196"/>
      <c r="E452" s="196"/>
      <c r="F452" s="196"/>
      <c r="G452" s="196"/>
      <c r="H452" s="196"/>
      <c r="I452" s="196"/>
      <c r="J452" s="196"/>
      <c r="K452" s="196"/>
      <c r="L452" s="196"/>
      <c r="M452" s="196"/>
      <c r="N452" s="196"/>
      <c r="O452" s="196"/>
      <c r="P452" s="196"/>
      <c r="Q452" s="196"/>
      <c r="R452" s="196"/>
      <c r="S452" s="196"/>
      <c r="T452" s="196"/>
      <c r="U452" s="196"/>
      <c r="V452" s="196"/>
      <c r="W452" s="196"/>
      <c r="X452" s="196"/>
      <c r="Y452" s="196"/>
      <c r="Z452" s="196"/>
      <c r="AA452" s="196"/>
      <c r="AB452" s="196"/>
      <c r="AC452" s="196"/>
    </row>
    <row r="453" spans="1:29">
      <c r="A453" s="196"/>
      <c r="B453" s="196"/>
      <c r="C453" s="196"/>
      <c r="D453" s="196"/>
      <c r="E453" s="196"/>
      <c r="F453" s="196"/>
      <c r="G453" s="196"/>
      <c r="H453" s="196"/>
      <c r="I453" s="196"/>
      <c r="J453" s="196"/>
      <c r="K453" s="196"/>
      <c r="L453" s="196"/>
      <c r="M453" s="196"/>
      <c r="N453" s="196"/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6"/>
      <c r="AA453" s="196"/>
      <c r="AB453" s="196"/>
      <c r="AC453" s="196"/>
    </row>
    <row r="454" spans="1:29">
      <c r="A454" s="196"/>
      <c r="B454" s="196"/>
      <c r="C454" s="196"/>
      <c r="D454" s="196"/>
      <c r="E454" s="196"/>
      <c r="F454" s="196"/>
      <c r="G454" s="196"/>
      <c r="H454" s="196"/>
      <c r="I454" s="196"/>
      <c r="J454" s="196"/>
      <c r="K454" s="196"/>
      <c r="L454" s="196"/>
      <c r="M454" s="196"/>
      <c r="N454" s="196"/>
      <c r="O454" s="196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6"/>
      <c r="AA454" s="196"/>
      <c r="AB454" s="196"/>
      <c r="AC454" s="196"/>
    </row>
    <row r="455" spans="1:29">
      <c r="A455" s="196"/>
      <c r="B455" s="196"/>
      <c r="C455" s="196"/>
      <c r="D455" s="196"/>
      <c r="E455" s="196"/>
      <c r="F455" s="196"/>
      <c r="G455" s="196"/>
      <c r="H455" s="196"/>
      <c r="I455" s="196"/>
      <c r="J455" s="196"/>
      <c r="K455" s="196"/>
      <c r="L455" s="196"/>
      <c r="M455" s="196"/>
      <c r="N455" s="196"/>
      <c r="O455" s="196"/>
      <c r="P455" s="196"/>
      <c r="Q455" s="196"/>
      <c r="R455" s="196"/>
      <c r="S455" s="196"/>
      <c r="T455" s="196"/>
      <c r="U455" s="196"/>
      <c r="V455" s="196"/>
      <c r="W455" s="196"/>
      <c r="X455" s="196"/>
      <c r="Y455" s="196"/>
      <c r="Z455" s="196"/>
      <c r="AA455" s="196"/>
      <c r="AB455" s="196"/>
      <c r="AC455" s="196"/>
    </row>
    <row r="456" spans="1:29">
      <c r="A456" s="196"/>
      <c r="B456" s="196"/>
      <c r="C456" s="196"/>
      <c r="D456" s="196"/>
      <c r="E456" s="196"/>
      <c r="F456" s="196"/>
      <c r="G456" s="196"/>
      <c r="H456" s="196"/>
      <c r="I456" s="196"/>
      <c r="J456" s="196"/>
      <c r="K456" s="196"/>
      <c r="L456" s="196"/>
      <c r="M456" s="196"/>
      <c r="N456" s="196"/>
      <c r="O456" s="196"/>
      <c r="P456" s="196"/>
      <c r="Q456" s="196"/>
      <c r="R456" s="196"/>
      <c r="S456" s="196"/>
      <c r="T456" s="196"/>
      <c r="U456" s="196"/>
      <c r="V456" s="196"/>
      <c r="W456" s="196"/>
      <c r="X456" s="196"/>
      <c r="Y456" s="196"/>
      <c r="Z456" s="196"/>
      <c r="AA456" s="196"/>
      <c r="AB456" s="196"/>
      <c r="AC456" s="196"/>
    </row>
    <row r="457" spans="1:29">
      <c r="A457" s="196"/>
      <c r="B457" s="196"/>
      <c r="C457" s="196"/>
      <c r="D457" s="196"/>
      <c r="E457" s="196"/>
      <c r="F457" s="196"/>
      <c r="G457" s="196"/>
      <c r="H457" s="196"/>
      <c r="I457" s="196"/>
      <c r="J457" s="196"/>
      <c r="K457" s="196"/>
      <c r="L457" s="196"/>
      <c r="M457" s="196"/>
      <c r="N457" s="196"/>
      <c r="O457" s="196"/>
      <c r="P457" s="196"/>
      <c r="Q457" s="196"/>
      <c r="R457" s="196"/>
      <c r="S457" s="196"/>
      <c r="T457" s="196"/>
      <c r="U457" s="196"/>
      <c r="V457" s="196"/>
      <c r="W457" s="196"/>
      <c r="X457" s="196"/>
      <c r="Y457" s="196"/>
      <c r="Z457" s="196"/>
      <c r="AA457" s="196"/>
      <c r="AB457" s="196"/>
      <c r="AC457" s="196"/>
    </row>
    <row r="458" spans="1:29">
      <c r="A458" s="196"/>
      <c r="B458" s="196"/>
      <c r="C458" s="196"/>
      <c r="D458" s="196"/>
      <c r="E458" s="196"/>
      <c r="F458" s="196"/>
      <c r="G458" s="196"/>
      <c r="H458" s="196"/>
      <c r="I458" s="196"/>
      <c r="J458" s="196"/>
      <c r="K458" s="196"/>
      <c r="L458" s="196"/>
      <c r="M458" s="196"/>
      <c r="N458" s="196"/>
      <c r="O458" s="196"/>
      <c r="P458" s="196"/>
      <c r="Q458" s="196"/>
      <c r="R458" s="196"/>
      <c r="S458" s="196"/>
      <c r="T458" s="196"/>
      <c r="U458" s="196"/>
      <c r="V458" s="196"/>
      <c r="W458" s="196"/>
      <c r="X458" s="196"/>
      <c r="Y458" s="196"/>
      <c r="Z458" s="196"/>
      <c r="AA458" s="196"/>
      <c r="AB458" s="196"/>
      <c r="AC458" s="196"/>
    </row>
    <row r="459" spans="1:29">
      <c r="A459" s="196"/>
      <c r="B459" s="196"/>
      <c r="C459" s="196"/>
      <c r="D459" s="196"/>
      <c r="E459" s="196"/>
      <c r="F459" s="196"/>
      <c r="G459" s="196"/>
      <c r="H459" s="196"/>
      <c r="I459" s="196"/>
      <c r="J459" s="196"/>
      <c r="K459" s="196"/>
      <c r="L459" s="196"/>
      <c r="M459" s="196"/>
      <c r="N459" s="196"/>
      <c r="O459" s="196"/>
      <c r="P459" s="196"/>
      <c r="Q459" s="196"/>
      <c r="R459" s="196"/>
      <c r="S459" s="196"/>
      <c r="T459" s="196"/>
      <c r="U459" s="196"/>
      <c r="V459" s="196"/>
      <c r="W459" s="196"/>
      <c r="X459" s="196"/>
      <c r="Y459" s="196"/>
      <c r="Z459" s="196"/>
      <c r="AA459" s="196"/>
      <c r="AB459" s="196"/>
      <c r="AC459" s="196"/>
    </row>
    <row r="460" spans="1:29">
      <c r="A460" s="196"/>
      <c r="B460" s="196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N460" s="19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6"/>
    </row>
    <row r="461" spans="1:29">
      <c r="A461" s="196"/>
      <c r="B461" s="196"/>
      <c r="C461" s="196"/>
      <c r="D461" s="196"/>
      <c r="E461" s="196"/>
      <c r="F461" s="196"/>
      <c r="G461" s="196"/>
      <c r="H461" s="196"/>
      <c r="I461" s="196"/>
      <c r="J461" s="196"/>
      <c r="K461" s="196"/>
      <c r="L461" s="196"/>
      <c r="M461" s="196"/>
      <c r="N461" s="196"/>
      <c r="O461" s="196"/>
      <c r="P461" s="196"/>
      <c r="Q461" s="196"/>
      <c r="R461" s="196"/>
      <c r="S461" s="196"/>
      <c r="T461" s="196"/>
      <c r="U461" s="196"/>
      <c r="V461" s="196"/>
      <c r="W461" s="196"/>
      <c r="X461" s="196"/>
      <c r="Y461" s="196"/>
      <c r="Z461" s="196"/>
      <c r="AA461" s="196"/>
      <c r="AB461" s="196"/>
      <c r="AC461" s="196"/>
    </row>
    <row r="462" spans="1:29">
      <c r="A462" s="196"/>
      <c r="B462" s="196"/>
      <c r="C462" s="196"/>
      <c r="D462" s="196"/>
      <c r="E462" s="196"/>
      <c r="F462" s="196"/>
      <c r="G462" s="196"/>
      <c r="H462" s="196"/>
      <c r="I462" s="196"/>
      <c r="J462" s="196"/>
      <c r="K462" s="196"/>
      <c r="L462" s="196"/>
      <c r="M462" s="196"/>
      <c r="N462" s="196"/>
      <c r="O462" s="196"/>
      <c r="P462" s="196"/>
      <c r="Q462" s="196"/>
      <c r="R462" s="196"/>
      <c r="S462" s="196"/>
      <c r="T462" s="196"/>
      <c r="U462" s="196"/>
      <c r="V462" s="196"/>
      <c r="W462" s="196"/>
      <c r="X462" s="196"/>
      <c r="Y462" s="196"/>
      <c r="Z462" s="196"/>
      <c r="AA462" s="196"/>
      <c r="AB462" s="196"/>
      <c r="AC462" s="196"/>
    </row>
    <row r="463" spans="1:29">
      <c r="A463" s="196"/>
      <c r="B463" s="196"/>
      <c r="C463" s="196"/>
      <c r="D463" s="196"/>
      <c r="E463" s="196"/>
      <c r="F463" s="196"/>
      <c r="G463" s="196"/>
      <c r="H463" s="196"/>
      <c r="I463" s="196"/>
      <c r="J463" s="196"/>
      <c r="K463" s="196"/>
      <c r="L463" s="196"/>
      <c r="M463" s="196"/>
      <c r="N463" s="196"/>
      <c r="O463" s="196"/>
      <c r="P463" s="196"/>
      <c r="Q463" s="196"/>
      <c r="R463" s="196"/>
      <c r="S463" s="196"/>
      <c r="T463" s="196"/>
      <c r="U463" s="196"/>
      <c r="V463" s="196"/>
      <c r="W463" s="196"/>
      <c r="X463" s="196"/>
      <c r="Y463" s="196"/>
      <c r="Z463" s="196"/>
      <c r="AA463" s="196"/>
      <c r="AB463" s="196"/>
      <c r="AC463" s="196"/>
    </row>
    <row r="464" spans="1:29">
      <c r="A464" s="196"/>
      <c r="B464" s="196"/>
      <c r="C464" s="196"/>
      <c r="D464" s="196"/>
      <c r="E464" s="196"/>
      <c r="F464" s="196"/>
      <c r="G464" s="196"/>
      <c r="H464" s="196"/>
      <c r="I464" s="196"/>
      <c r="J464" s="196"/>
      <c r="K464" s="196"/>
      <c r="L464" s="196"/>
      <c r="M464" s="196"/>
      <c r="N464" s="196"/>
      <c r="O464" s="196"/>
      <c r="P464" s="196"/>
      <c r="Q464" s="196"/>
      <c r="R464" s="196"/>
      <c r="S464" s="196"/>
      <c r="T464" s="196"/>
      <c r="U464" s="196"/>
      <c r="V464" s="196"/>
      <c r="W464" s="196"/>
      <c r="X464" s="196"/>
      <c r="Y464" s="196"/>
      <c r="Z464" s="196"/>
      <c r="AA464" s="196"/>
      <c r="AB464" s="196"/>
      <c r="AC464" s="196"/>
    </row>
    <row r="465" spans="1:29">
      <c r="A465" s="196"/>
      <c r="B465" s="196"/>
      <c r="C465" s="196"/>
      <c r="D465" s="196"/>
      <c r="E465" s="196"/>
      <c r="F465" s="196"/>
      <c r="G465" s="196"/>
      <c r="H465" s="196"/>
      <c r="I465" s="196"/>
      <c r="J465" s="196"/>
      <c r="K465" s="196"/>
      <c r="L465" s="196"/>
      <c r="M465" s="196"/>
      <c r="N465" s="196"/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6"/>
      <c r="AA465" s="196"/>
      <c r="AB465" s="196"/>
      <c r="AC465" s="196"/>
    </row>
    <row r="466" spans="1:29">
      <c r="A466" s="196"/>
      <c r="B466" s="196"/>
      <c r="C466" s="196"/>
      <c r="D466" s="196"/>
      <c r="E466" s="196"/>
      <c r="F466" s="196"/>
      <c r="G466" s="196"/>
      <c r="H466" s="196"/>
      <c r="I466" s="196"/>
      <c r="J466" s="196"/>
      <c r="K466" s="196"/>
      <c r="L466" s="196"/>
      <c r="M466" s="196"/>
      <c r="N466" s="196"/>
      <c r="O466" s="196"/>
      <c r="P466" s="196"/>
      <c r="Q466" s="196"/>
      <c r="R466" s="196"/>
      <c r="S466" s="196"/>
      <c r="T466" s="196"/>
      <c r="U466" s="196"/>
      <c r="V466" s="196"/>
      <c r="W466" s="196"/>
      <c r="X466" s="196"/>
      <c r="Y466" s="196"/>
      <c r="Z466" s="196"/>
      <c r="AA466" s="196"/>
      <c r="AB466" s="196"/>
      <c r="AC466" s="196"/>
    </row>
    <row r="467" spans="1:29">
      <c r="A467" s="196"/>
      <c r="B467" s="196"/>
      <c r="C467" s="196"/>
      <c r="D467" s="196"/>
      <c r="E467" s="196"/>
      <c r="F467" s="196"/>
      <c r="G467" s="196"/>
      <c r="H467" s="196"/>
      <c r="I467" s="196"/>
      <c r="J467" s="196"/>
      <c r="K467" s="196"/>
      <c r="L467" s="196"/>
      <c r="M467" s="196"/>
      <c r="N467" s="196"/>
      <c r="O467" s="196"/>
      <c r="P467" s="196"/>
      <c r="Q467" s="196"/>
      <c r="R467" s="196"/>
      <c r="S467" s="196"/>
      <c r="T467" s="196"/>
      <c r="U467" s="196"/>
      <c r="V467" s="196"/>
      <c r="W467" s="196"/>
      <c r="X467" s="196"/>
      <c r="Y467" s="196"/>
      <c r="Z467" s="196"/>
      <c r="AA467" s="196"/>
      <c r="AB467" s="196"/>
      <c r="AC467" s="196"/>
    </row>
    <row r="468" spans="1:29">
      <c r="A468" s="196"/>
      <c r="B468" s="196"/>
      <c r="C468" s="196"/>
      <c r="D468" s="196"/>
      <c r="E468" s="196"/>
      <c r="F468" s="196"/>
      <c r="G468" s="196"/>
      <c r="H468" s="196"/>
      <c r="I468" s="196"/>
      <c r="J468" s="196"/>
      <c r="K468" s="196"/>
      <c r="L468" s="196"/>
      <c r="M468" s="196"/>
      <c r="N468" s="196"/>
      <c r="O468" s="196"/>
      <c r="P468" s="196"/>
      <c r="Q468" s="196"/>
      <c r="R468" s="196"/>
      <c r="S468" s="196"/>
      <c r="T468" s="196"/>
      <c r="U468" s="196"/>
      <c r="V468" s="196"/>
      <c r="W468" s="196"/>
      <c r="X468" s="196"/>
      <c r="Y468" s="196"/>
      <c r="Z468" s="196"/>
      <c r="AA468" s="196"/>
      <c r="AB468" s="196"/>
      <c r="AC468" s="196"/>
    </row>
    <row r="469" spans="1:29">
      <c r="A469" s="196"/>
      <c r="B469" s="196"/>
      <c r="C469" s="196"/>
      <c r="D469" s="196"/>
      <c r="E469" s="196"/>
      <c r="F469" s="196"/>
      <c r="G469" s="196"/>
      <c r="H469" s="196"/>
      <c r="I469" s="196"/>
      <c r="J469" s="196"/>
      <c r="K469" s="196"/>
      <c r="L469" s="196"/>
      <c r="M469" s="196"/>
      <c r="N469" s="196"/>
      <c r="O469" s="196"/>
      <c r="P469" s="196"/>
      <c r="Q469" s="196"/>
      <c r="R469" s="196"/>
      <c r="S469" s="196"/>
      <c r="T469" s="196"/>
      <c r="U469" s="196"/>
      <c r="V469" s="196"/>
      <c r="W469" s="196"/>
      <c r="X469" s="196"/>
      <c r="Y469" s="196"/>
      <c r="Z469" s="196"/>
      <c r="AA469" s="196"/>
      <c r="AB469" s="196"/>
      <c r="AC469" s="196"/>
    </row>
    <row r="470" spans="1:29">
      <c r="A470" s="196"/>
      <c r="B470" s="196"/>
      <c r="C470" s="196"/>
      <c r="D470" s="196"/>
      <c r="E470" s="196"/>
      <c r="F470" s="196"/>
      <c r="G470" s="196"/>
      <c r="H470" s="196"/>
      <c r="I470" s="196"/>
      <c r="J470" s="196"/>
      <c r="K470" s="196"/>
      <c r="L470" s="196"/>
      <c r="M470" s="196"/>
      <c r="N470" s="196"/>
      <c r="O470" s="196"/>
      <c r="P470" s="196"/>
      <c r="Q470" s="196"/>
      <c r="R470" s="196"/>
      <c r="S470" s="196"/>
      <c r="T470" s="196"/>
      <c r="U470" s="196"/>
      <c r="V470" s="196"/>
      <c r="W470" s="196"/>
      <c r="X470" s="196"/>
      <c r="Y470" s="196"/>
      <c r="Z470" s="196"/>
      <c r="AA470" s="196"/>
      <c r="AB470" s="196"/>
      <c r="AC470" s="196"/>
    </row>
    <row r="471" spans="1:29">
      <c r="A471" s="196"/>
      <c r="B471" s="196"/>
      <c r="C471" s="196"/>
      <c r="D471" s="196"/>
      <c r="E471" s="196"/>
      <c r="F471" s="196"/>
      <c r="G471" s="196"/>
      <c r="H471" s="196"/>
      <c r="I471" s="196"/>
      <c r="J471" s="196"/>
      <c r="K471" s="196"/>
      <c r="L471" s="196"/>
      <c r="M471" s="196"/>
      <c r="N471" s="196"/>
      <c r="O471" s="196"/>
      <c r="P471" s="196"/>
      <c r="Q471" s="196"/>
      <c r="R471" s="196"/>
      <c r="S471" s="196"/>
      <c r="T471" s="196"/>
      <c r="U471" s="196"/>
      <c r="V471" s="196"/>
      <c r="W471" s="196"/>
      <c r="X471" s="196"/>
      <c r="Y471" s="196"/>
      <c r="Z471" s="196"/>
      <c r="AA471" s="196"/>
      <c r="AB471" s="196"/>
      <c r="AC471" s="196"/>
    </row>
    <row r="472" spans="1:29">
      <c r="A472" s="196"/>
      <c r="B472" s="196"/>
      <c r="C472" s="196"/>
      <c r="D472" s="196"/>
      <c r="E472" s="196"/>
      <c r="F472" s="196"/>
      <c r="G472" s="196"/>
      <c r="H472" s="196"/>
      <c r="I472" s="196"/>
      <c r="J472" s="196"/>
      <c r="K472" s="196"/>
      <c r="L472" s="196"/>
      <c r="M472" s="196"/>
      <c r="N472" s="196"/>
      <c r="O472" s="196"/>
      <c r="P472" s="196"/>
      <c r="Q472" s="196"/>
      <c r="R472" s="196"/>
      <c r="S472" s="196"/>
      <c r="T472" s="196"/>
      <c r="U472" s="196"/>
      <c r="V472" s="196"/>
      <c r="W472" s="196"/>
      <c r="X472" s="196"/>
      <c r="Y472" s="196"/>
      <c r="Z472" s="196"/>
      <c r="AA472" s="196"/>
      <c r="AB472" s="196"/>
      <c r="AC472" s="196"/>
    </row>
    <row r="473" spans="1:29">
      <c r="A473" s="196"/>
      <c r="B473" s="196"/>
      <c r="C473" s="196"/>
      <c r="D473" s="196"/>
      <c r="E473" s="196"/>
      <c r="F473" s="196"/>
      <c r="G473" s="196"/>
      <c r="H473" s="196"/>
      <c r="I473" s="196"/>
      <c r="J473" s="196"/>
      <c r="K473" s="196"/>
      <c r="L473" s="196"/>
      <c r="M473" s="196"/>
      <c r="N473" s="196"/>
      <c r="O473" s="196"/>
      <c r="P473" s="196"/>
      <c r="Q473" s="196"/>
      <c r="R473" s="196"/>
      <c r="S473" s="196"/>
      <c r="T473" s="196"/>
      <c r="U473" s="196"/>
      <c r="V473" s="196"/>
      <c r="W473" s="196"/>
      <c r="X473" s="196"/>
      <c r="Y473" s="196"/>
      <c r="Z473" s="196"/>
      <c r="AA473" s="196"/>
      <c r="AB473" s="196"/>
      <c r="AC473" s="196"/>
    </row>
    <row r="474" spans="1:29">
      <c r="A474" s="196"/>
      <c r="B474" s="196"/>
      <c r="C474" s="196"/>
      <c r="D474" s="196"/>
      <c r="E474" s="196"/>
      <c r="F474" s="196"/>
      <c r="G474" s="196"/>
      <c r="H474" s="196"/>
      <c r="I474" s="196"/>
      <c r="J474" s="196"/>
      <c r="K474" s="196"/>
      <c r="L474" s="196"/>
      <c r="M474" s="196"/>
      <c r="N474" s="196"/>
      <c r="O474" s="196"/>
      <c r="P474" s="196"/>
      <c r="Q474" s="196"/>
      <c r="R474" s="196"/>
      <c r="S474" s="196"/>
      <c r="T474" s="196"/>
      <c r="U474" s="196"/>
      <c r="V474" s="196"/>
      <c r="W474" s="196"/>
      <c r="X474" s="196"/>
      <c r="Y474" s="196"/>
      <c r="Z474" s="196"/>
      <c r="AA474" s="196"/>
      <c r="AB474" s="196"/>
      <c r="AC474" s="196"/>
    </row>
    <row r="475" spans="1:29">
      <c r="A475" s="196"/>
      <c r="B475" s="196"/>
      <c r="C475" s="196"/>
      <c r="D475" s="196"/>
      <c r="E475" s="196"/>
      <c r="F475" s="196"/>
      <c r="G475" s="196"/>
      <c r="H475" s="196"/>
      <c r="I475" s="196"/>
      <c r="J475" s="196"/>
      <c r="K475" s="196"/>
      <c r="L475" s="196"/>
      <c r="M475" s="196"/>
      <c r="N475" s="196"/>
      <c r="O475" s="196"/>
      <c r="P475" s="196"/>
      <c r="Q475" s="196"/>
      <c r="R475" s="196"/>
      <c r="S475" s="196"/>
      <c r="T475" s="196"/>
      <c r="U475" s="196"/>
      <c r="V475" s="196"/>
      <c r="W475" s="196"/>
      <c r="X475" s="196"/>
      <c r="Y475" s="196"/>
      <c r="Z475" s="196"/>
      <c r="AA475" s="196"/>
      <c r="AB475" s="196"/>
      <c r="AC475" s="196"/>
    </row>
    <row r="476" spans="1:29">
      <c r="A476" s="196"/>
      <c r="B476" s="196"/>
      <c r="C476" s="196"/>
      <c r="D476" s="196"/>
      <c r="E476" s="196"/>
      <c r="F476" s="196"/>
      <c r="G476" s="196"/>
      <c r="H476" s="196"/>
      <c r="I476" s="196"/>
      <c r="J476" s="196"/>
      <c r="K476" s="196"/>
      <c r="L476" s="196"/>
      <c r="M476" s="196"/>
      <c r="N476" s="196"/>
      <c r="O476" s="196"/>
      <c r="P476" s="196"/>
      <c r="Q476" s="196"/>
      <c r="R476" s="196"/>
      <c r="S476" s="196"/>
      <c r="T476" s="196"/>
      <c r="U476" s="196"/>
      <c r="V476" s="196"/>
      <c r="W476" s="196"/>
      <c r="X476" s="196"/>
      <c r="Y476" s="196"/>
      <c r="Z476" s="196"/>
      <c r="AA476" s="196"/>
      <c r="AB476" s="196"/>
      <c r="AC476" s="196"/>
    </row>
    <row r="477" spans="1:29">
      <c r="A477" s="196"/>
      <c r="B477" s="196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N477" s="19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6"/>
      <c r="AA477" s="196"/>
      <c r="AB477" s="196"/>
      <c r="AC477" s="196"/>
    </row>
    <row r="478" spans="1:29">
      <c r="A478" s="196"/>
      <c r="B478" s="196"/>
      <c r="C478" s="196"/>
      <c r="D478" s="196"/>
      <c r="E478" s="196"/>
      <c r="F478" s="196"/>
      <c r="G478" s="196"/>
      <c r="H478" s="196"/>
      <c r="I478" s="196"/>
      <c r="J478" s="196"/>
      <c r="K478" s="196"/>
      <c r="L478" s="196"/>
      <c r="M478" s="196"/>
      <c r="N478" s="196"/>
      <c r="O478" s="196"/>
      <c r="P478" s="196"/>
      <c r="Q478" s="196"/>
      <c r="R478" s="196"/>
      <c r="S478" s="196"/>
      <c r="T478" s="196"/>
      <c r="U478" s="196"/>
      <c r="V478" s="196"/>
      <c r="W478" s="196"/>
      <c r="X478" s="196"/>
      <c r="Y478" s="196"/>
      <c r="Z478" s="196"/>
      <c r="AA478" s="196"/>
      <c r="AB478" s="196"/>
      <c r="AC478" s="196"/>
    </row>
    <row r="479" spans="1:29">
      <c r="A479" s="196"/>
      <c r="B479" s="196"/>
      <c r="C479" s="196"/>
      <c r="D479" s="196"/>
      <c r="E479" s="196"/>
      <c r="F479" s="196"/>
      <c r="G479" s="196"/>
      <c r="H479" s="196"/>
      <c r="I479" s="196"/>
      <c r="J479" s="196"/>
      <c r="K479" s="196"/>
      <c r="L479" s="196"/>
      <c r="M479" s="196"/>
      <c r="N479" s="196"/>
      <c r="O479" s="196"/>
      <c r="P479" s="196"/>
      <c r="Q479" s="196"/>
      <c r="R479" s="196"/>
      <c r="S479" s="196"/>
      <c r="T479" s="196"/>
      <c r="U479" s="196"/>
      <c r="V479" s="196"/>
      <c r="W479" s="196"/>
      <c r="X479" s="196"/>
      <c r="Y479" s="196"/>
      <c r="Z479" s="196"/>
      <c r="AA479" s="196"/>
      <c r="AB479" s="196"/>
      <c r="AC479" s="196"/>
    </row>
    <row r="480" spans="1:29">
      <c r="A480" s="196"/>
      <c r="B480" s="196"/>
      <c r="C480" s="196"/>
      <c r="D480" s="196"/>
      <c r="E480" s="196"/>
      <c r="F480" s="196"/>
      <c r="G480" s="196"/>
      <c r="H480" s="196"/>
      <c r="I480" s="196"/>
      <c r="J480" s="196"/>
      <c r="K480" s="196"/>
      <c r="L480" s="196"/>
      <c r="M480" s="196"/>
      <c r="N480" s="196"/>
      <c r="O480" s="196"/>
      <c r="P480" s="196"/>
      <c r="Q480" s="196"/>
      <c r="R480" s="196"/>
      <c r="S480" s="196"/>
      <c r="T480" s="196"/>
      <c r="U480" s="196"/>
      <c r="V480" s="196"/>
      <c r="W480" s="196"/>
      <c r="X480" s="196"/>
      <c r="Y480" s="196"/>
      <c r="Z480" s="196"/>
      <c r="AA480" s="196"/>
      <c r="AB480" s="196"/>
      <c r="AC480" s="196"/>
    </row>
    <row r="481" spans="1:29">
      <c r="A481" s="196"/>
      <c r="B481" s="196"/>
      <c r="C481" s="196"/>
      <c r="D481" s="196"/>
      <c r="E481" s="196"/>
      <c r="F481" s="196"/>
      <c r="G481" s="196"/>
      <c r="H481" s="196"/>
      <c r="I481" s="196"/>
      <c r="J481" s="196"/>
      <c r="K481" s="196"/>
      <c r="L481" s="196"/>
      <c r="M481" s="196"/>
      <c r="N481" s="196"/>
      <c r="O481" s="196"/>
      <c r="P481" s="196"/>
      <c r="Q481" s="196"/>
      <c r="R481" s="196"/>
      <c r="S481" s="196"/>
      <c r="T481" s="196"/>
      <c r="U481" s="196"/>
      <c r="V481" s="196"/>
      <c r="W481" s="196"/>
      <c r="X481" s="196"/>
      <c r="Y481" s="196"/>
      <c r="Z481" s="196"/>
      <c r="AA481" s="196"/>
      <c r="AB481" s="196"/>
      <c r="AC481" s="196"/>
    </row>
    <row r="482" spans="1:29">
      <c r="A482" s="196"/>
      <c r="B482" s="196"/>
      <c r="C482" s="196"/>
      <c r="D482" s="196"/>
      <c r="E482" s="196"/>
      <c r="F482" s="196"/>
      <c r="G482" s="196"/>
      <c r="H482" s="196"/>
      <c r="I482" s="196"/>
      <c r="J482" s="196"/>
      <c r="K482" s="196"/>
      <c r="L482" s="196"/>
      <c r="M482" s="196"/>
      <c r="N482" s="196"/>
      <c r="O482" s="196"/>
      <c r="P482" s="196"/>
      <c r="Q482" s="196"/>
      <c r="R482" s="196"/>
      <c r="S482" s="196"/>
      <c r="T482" s="196"/>
      <c r="U482" s="196"/>
      <c r="V482" s="196"/>
      <c r="W482" s="196"/>
      <c r="X482" s="196"/>
      <c r="Y482" s="196"/>
      <c r="Z482" s="196"/>
      <c r="AA482" s="196"/>
      <c r="AB482" s="196"/>
      <c r="AC482" s="196"/>
    </row>
    <row r="483" spans="1:29">
      <c r="A483" s="196"/>
      <c r="B483" s="196"/>
      <c r="C483" s="196"/>
      <c r="D483" s="196"/>
      <c r="E483" s="196"/>
      <c r="F483" s="196"/>
      <c r="G483" s="196"/>
      <c r="H483" s="196"/>
      <c r="I483" s="196"/>
      <c r="J483" s="196"/>
      <c r="K483" s="196"/>
      <c r="L483" s="196"/>
      <c r="M483" s="196"/>
      <c r="N483" s="196"/>
      <c r="O483" s="196"/>
      <c r="P483" s="196"/>
      <c r="Q483" s="196"/>
      <c r="R483" s="196"/>
      <c r="S483" s="196"/>
      <c r="T483" s="196"/>
      <c r="U483" s="196"/>
      <c r="V483" s="196"/>
      <c r="W483" s="196"/>
      <c r="X483" s="196"/>
      <c r="Y483" s="196"/>
      <c r="Z483" s="196"/>
      <c r="AA483" s="196"/>
      <c r="AB483" s="196"/>
      <c r="AC483" s="196"/>
    </row>
    <row r="484" spans="1:29">
      <c r="A484" s="196"/>
      <c r="B484" s="196"/>
      <c r="C484" s="196"/>
      <c r="D484" s="196"/>
      <c r="E484" s="196"/>
      <c r="F484" s="196"/>
      <c r="G484" s="196"/>
      <c r="H484" s="196"/>
      <c r="I484" s="196"/>
      <c r="J484" s="196"/>
      <c r="K484" s="196"/>
      <c r="L484" s="196"/>
      <c r="M484" s="196"/>
      <c r="N484" s="196"/>
      <c r="O484" s="196"/>
      <c r="P484" s="196"/>
      <c r="Q484" s="196"/>
      <c r="R484" s="196"/>
      <c r="S484" s="196"/>
      <c r="T484" s="196"/>
      <c r="U484" s="196"/>
      <c r="V484" s="196"/>
      <c r="W484" s="196"/>
      <c r="X484" s="196"/>
      <c r="Y484" s="196"/>
      <c r="Z484" s="196"/>
      <c r="AA484" s="196"/>
      <c r="AB484" s="196"/>
      <c r="AC484" s="196"/>
    </row>
    <row r="485" spans="1:29">
      <c r="A485" s="196"/>
      <c r="B485" s="196"/>
      <c r="C485" s="196"/>
      <c r="D485" s="196"/>
      <c r="E485" s="196"/>
      <c r="F485" s="196"/>
      <c r="G485" s="196"/>
      <c r="H485" s="196"/>
      <c r="I485" s="196"/>
      <c r="J485" s="196"/>
      <c r="K485" s="196"/>
      <c r="L485" s="196"/>
      <c r="M485" s="196"/>
      <c r="N485" s="196"/>
      <c r="O485" s="196"/>
      <c r="P485" s="196"/>
      <c r="Q485" s="196"/>
      <c r="R485" s="196"/>
      <c r="S485" s="196"/>
      <c r="T485" s="196"/>
      <c r="U485" s="196"/>
      <c r="V485" s="196"/>
      <c r="W485" s="196"/>
      <c r="X485" s="196"/>
      <c r="Y485" s="196"/>
      <c r="Z485" s="196"/>
      <c r="AA485" s="196"/>
      <c r="AB485" s="196"/>
      <c r="AC485" s="196"/>
    </row>
    <row r="486" spans="1:29">
      <c r="A486" s="196"/>
      <c r="B486" s="196"/>
      <c r="C486" s="196"/>
      <c r="D486" s="196"/>
      <c r="E486" s="196"/>
      <c r="F486" s="196"/>
      <c r="G486" s="196"/>
      <c r="H486" s="196"/>
      <c r="I486" s="196"/>
      <c r="J486" s="196"/>
      <c r="K486" s="196"/>
      <c r="L486" s="196"/>
      <c r="M486" s="196"/>
      <c r="N486" s="196"/>
      <c r="O486" s="196"/>
      <c r="P486" s="196"/>
      <c r="Q486" s="196"/>
      <c r="R486" s="196"/>
      <c r="S486" s="196"/>
      <c r="T486" s="196"/>
      <c r="U486" s="196"/>
      <c r="V486" s="196"/>
      <c r="W486" s="196"/>
      <c r="X486" s="196"/>
      <c r="Y486" s="196"/>
      <c r="Z486" s="196"/>
      <c r="AA486" s="196"/>
      <c r="AB486" s="196"/>
      <c r="AC486" s="196"/>
    </row>
    <row r="487" spans="1:29">
      <c r="A487" s="196"/>
      <c r="B487" s="196"/>
      <c r="C487" s="196"/>
      <c r="D487" s="196"/>
      <c r="E487" s="196"/>
      <c r="F487" s="196"/>
      <c r="G487" s="196"/>
      <c r="H487" s="196"/>
      <c r="I487" s="196"/>
      <c r="J487" s="196"/>
      <c r="K487" s="196"/>
      <c r="L487" s="196"/>
      <c r="M487" s="196"/>
      <c r="N487" s="196"/>
      <c r="O487" s="196"/>
      <c r="P487" s="196"/>
      <c r="Q487" s="196"/>
      <c r="R487" s="196"/>
      <c r="S487" s="196"/>
      <c r="T487" s="196"/>
      <c r="U487" s="196"/>
      <c r="V487" s="196"/>
      <c r="W487" s="196"/>
      <c r="X487" s="196"/>
      <c r="Y487" s="196"/>
      <c r="Z487" s="196"/>
      <c r="AA487" s="196"/>
      <c r="AB487" s="196"/>
      <c r="AC487" s="196"/>
    </row>
  </sheetData>
  <sheetProtection algorithmName="SHA-512" hashValue="GHk/Nc8aO3vXyaPh041CJHMX3koMd1E+38bZ0Aj2mcekFHPhjeD4FUmH/vDQUT4owHU0iqa8JWFtXm/xjl08WA==" saltValue="v/nWE9Nm07Fd1xGMmxAYPw==" spinCount="100000" sheet="1" objects="1" scenarios="1"/>
  <mergeCells count="11">
    <mergeCell ref="A1:D1"/>
    <mergeCell ref="E1:R1"/>
    <mergeCell ref="O3:Q3"/>
    <mergeCell ref="M3:N3"/>
    <mergeCell ref="B5:F5"/>
    <mergeCell ref="B3:C3"/>
    <mergeCell ref="D3:F3"/>
    <mergeCell ref="J3:K3"/>
    <mergeCell ref="H3:I3"/>
    <mergeCell ref="H5:K5"/>
    <mergeCell ref="M5:R6"/>
  </mergeCells>
  <conditionalFormatting sqref="B7:F163">
    <cfRule type="expression" dxfId="32" priority="3">
      <formula>MOD(ROW(),2)=0</formula>
    </cfRule>
    <cfRule type="expression" dxfId="31" priority="6">
      <formula>MOD(ROW(),2)=1</formula>
    </cfRule>
  </conditionalFormatting>
  <conditionalFormatting sqref="H7:K163">
    <cfRule type="expression" dxfId="30" priority="1">
      <formula>MOD(ROW(),2)=0</formula>
    </cfRule>
    <cfRule type="expression" dxfId="29" priority="2">
      <formula>MOD(ROW(),2)=1</formula>
    </cfRule>
  </conditionalFormatting>
  <hyperlinks>
    <hyperlink ref="A1" location="DASHBOARD!A1" display="Back to Dashboard" xr:uid="{00000000-0004-0000-1000-000000000000}"/>
  </hyperlinks>
  <printOptions horizontalCentered="1"/>
  <pageMargins left="0.25" right="0.25" top="0.75" bottom="0.75" header="0.3" footer="0.3"/>
  <pageSetup scale="7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R185"/>
  <sheetViews>
    <sheetView zoomScale="55" zoomScaleNormal="55" workbookViewId="0">
      <pane ySplit="9" topLeftCell="A10" activePane="bottomLeft" state="frozen"/>
      <selection pane="bottomLeft" activeCell="Q1" sqref="Q1:R1"/>
    </sheetView>
  </sheetViews>
  <sheetFormatPr defaultRowHeight="15"/>
  <cols>
    <col min="1" max="1" width="0.85546875" customWidth="1"/>
    <col min="2" max="2" width="10.140625" customWidth="1"/>
    <col min="3" max="5" width="9.28515625" bestFit="1" customWidth="1"/>
    <col min="6" max="6" width="9.42578125" bestFit="1" customWidth="1"/>
    <col min="7" max="7" width="13.42578125" bestFit="1" customWidth="1"/>
    <col min="8" max="8" width="7.7109375" bestFit="1" customWidth="1"/>
    <col min="9" max="10" width="7.28515625" bestFit="1" customWidth="1"/>
    <col min="11" max="11" width="6.85546875" bestFit="1" customWidth="1"/>
    <col min="12" max="12" width="6.140625" bestFit="1" customWidth="1"/>
    <col min="13" max="13" width="5.28515625" bestFit="1" customWidth="1"/>
    <col min="14" max="14" width="9.140625" bestFit="1" customWidth="1"/>
    <col min="15" max="15" width="9.5703125" bestFit="1" customWidth="1"/>
    <col min="16" max="16" width="16.5703125" customWidth="1"/>
    <col min="17" max="17" width="40.5703125" style="97" customWidth="1"/>
    <col min="18" max="18" width="1.140625" customWidth="1"/>
  </cols>
  <sheetData>
    <row r="1" spans="1:18" s="233" customFormat="1" ht="46.5">
      <c r="A1" s="791" t="s">
        <v>313</v>
      </c>
      <c r="B1" s="792"/>
      <c r="C1" s="792"/>
      <c r="D1" s="792"/>
      <c r="E1" s="792"/>
      <c r="F1" s="792"/>
      <c r="G1" s="793" t="s">
        <v>377</v>
      </c>
      <c r="H1" s="794"/>
      <c r="I1" s="794"/>
      <c r="J1" s="794"/>
      <c r="K1" s="794"/>
      <c r="L1" s="794"/>
      <c r="M1" s="794"/>
      <c r="N1" s="794"/>
      <c r="O1" s="794"/>
      <c r="P1" s="795"/>
      <c r="Q1" s="784" t="s">
        <v>361</v>
      </c>
      <c r="R1" s="785"/>
    </row>
    <row r="2" spans="1:18">
      <c r="A2" s="6"/>
      <c r="B2" s="790" t="s">
        <v>1160</v>
      </c>
      <c r="C2" s="790"/>
      <c r="D2" s="790"/>
      <c r="E2" s="790"/>
      <c r="F2" s="790"/>
      <c r="G2" s="790"/>
      <c r="H2" s="790"/>
      <c r="I2" s="790"/>
      <c r="J2" s="790"/>
      <c r="K2" s="790"/>
      <c r="L2" s="790"/>
      <c r="M2" s="790"/>
      <c r="N2" s="790"/>
      <c r="O2" s="790"/>
      <c r="P2" s="790"/>
      <c r="Q2" s="790"/>
      <c r="R2" s="6"/>
    </row>
    <row r="3" spans="1:18">
      <c r="A3" s="6"/>
      <c r="B3" s="799" t="s">
        <v>1157</v>
      </c>
      <c r="C3" s="799"/>
      <c r="D3" s="799"/>
      <c r="E3" s="799"/>
      <c r="F3" s="799"/>
      <c r="G3" s="799"/>
      <c r="H3" s="799"/>
      <c r="I3" s="799"/>
      <c r="J3" s="799"/>
      <c r="K3" s="799"/>
      <c r="L3" s="799"/>
      <c r="M3" s="799"/>
      <c r="N3" s="799"/>
      <c r="O3" s="799"/>
      <c r="P3" s="799"/>
      <c r="Q3" s="799"/>
      <c r="R3" s="6"/>
    </row>
    <row r="4" spans="1:18">
      <c r="A4" s="6"/>
      <c r="B4" s="800" t="s">
        <v>1158</v>
      </c>
      <c r="C4" s="800"/>
      <c r="D4" s="800"/>
      <c r="E4" s="800"/>
      <c r="F4" s="800"/>
      <c r="G4" s="800"/>
      <c r="H4" s="800"/>
      <c r="I4" s="800"/>
      <c r="J4" s="800"/>
      <c r="K4" s="800"/>
      <c r="L4" s="800"/>
      <c r="M4" s="800"/>
      <c r="N4" s="800"/>
      <c r="O4" s="800"/>
      <c r="P4" s="800"/>
      <c r="Q4" s="800"/>
      <c r="R4" s="6"/>
    </row>
    <row r="5" spans="1:18">
      <c r="A5" s="6"/>
      <c r="B5" s="801" t="s">
        <v>1159</v>
      </c>
      <c r="C5" s="801"/>
      <c r="D5" s="801"/>
      <c r="E5" s="801"/>
      <c r="F5" s="801"/>
      <c r="G5" s="801"/>
      <c r="H5" s="801"/>
      <c r="I5" s="801"/>
      <c r="J5" s="801"/>
      <c r="K5" s="801"/>
      <c r="L5" s="801"/>
      <c r="M5" s="801"/>
      <c r="N5" s="801"/>
      <c r="O5" s="801"/>
      <c r="P5" s="801"/>
      <c r="Q5" s="801"/>
      <c r="R5" s="6"/>
    </row>
    <row r="6" spans="1:18" ht="5.0999999999999996" customHeight="1" thickBot="1">
      <c r="A6" s="6"/>
      <c r="B6" s="118"/>
      <c r="C6" s="118"/>
      <c r="D6" s="118"/>
      <c r="E6" s="118"/>
      <c r="F6" s="118"/>
      <c r="G6" s="6"/>
      <c r="H6" s="6"/>
      <c r="I6" s="6"/>
      <c r="J6" s="6"/>
      <c r="K6" s="6"/>
      <c r="L6" s="6"/>
      <c r="M6" s="6"/>
      <c r="N6" s="6"/>
      <c r="O6" s="6"/>
      <c r="P6" s="6"/>
      <c r="Q6" s="112"/>
      <c r="R6" s="6"/>
    </row>
    <row r="7" spans="1:18" ht="42">
      <c r="A7" s="6"/>
      <c r="B7" s="224"/>
      <c r="C7" s="786" t="s">
        <v>81</v>
      </c>
      <c r="D7" s="787"/>
      <c r="E7" s="787"/>
      <c r="F7" s="787"/>
      <c r="G7" s="787"/>
      <c r="H7" s="787"/>
      <c r="I7" s="787"/>
      <c r="J7" s="787"/>
      <c r="K7" s="787"/>
      <c r="L7" s="787"/>
      <c r="M7" s="788"/>
      <c r="N7" s="802" t="s">
        <v>86</v>
      </c>
      <c r="O7" s="802"/>
      <c r="P7" s="212" t="s">
        <v>92</v>
      </c>
      <c r="Q7" s="225"/>
      <c r="R7" s="6"/>
    </row>
    <row r="8" spans="1:18" ht="15.75" thickBot="1">
      <c r="A8" s="6"/>
      <c r="B8" s="223"/>
      <c r="C8" s="789" t="s">
        <v>994</v>
      </c>
      <c r="D8" s="789"/>
      <c r="E8" s="796" t="s">
        <v>319</v>
      </c>
      <c r="F8" s="796"/>
      <c r="G8" s="796"/>
      <c r="H8" s="797"/>
      <c r="I8" s="798" t="s">
        <v>320</v>
      </c>
      <c r="J8" s="797"/>
      <c r="K8" s="798" t="s">
        <v>321</v>
      </c>
      <c r="L8" s="797"/>
      <c r="M8" s="219" t="s">
        <v>322</v>
      </c>
      <c r="N8" s="220" t="s">
        <v>321</v>
      </c>
      <c r="O8" s="220" t="s">
        <v>319</v>
      </c>
      <c r="P8" s="220" t="s">
        <v>319</v>
      </c>
      <c r="Q8" s="226"/>
      <c r="R8" s="6"/>
    </row>
    <row r="9" spans="1:18" ht="40.5" customHeight="1">
      <c r="A9" s="6"/>
      <c r="B9" s="221" t="s">
        <v>0</v>
      </c>
      <c r="C9" s="364" t="s">
        <v>992</v>
      </c>
      <c r="D9" s="364" t="s">
        <v>993</v>
      </c>
      <c r="E9" s="95" t="s">
        <v>82</v>
      </c>
      <c r="F9" s="95" t="s">
        <v>83</v>
      </c>
      <c r="G9" s="95" t="s">
        <v>84</v>
      </c>
      <c r="H9" s="95" t="s">
        <v>85</v>
      </c>
      <c r="I9" s="95" t="s">
        <v>87</v>
      </c>
      <c r="J9" s="95" t="s">
        <v>88</v>
      </c>
      <c r="K9" s="95" t="s">
        <v>89</v>
      </c>
      <c r="L9" s="95" t="s">
        <v>91</v>
      </c>
      <c r="M9" s="95" t="s">
        <v>90</v>
      </c>
      <c r="N9" s="95" t="s">
        <v>90</v>
      </c>
      <c r="O9" s="95" t="s">
        <v>93</v>
      </c>
      <c r="P9" s="95" t="s">
        <v>94</v>
      </c>
      <c r="Q9" s="214" t="s">
        <v>174</v>
      </c>
      <c r="R9" s="6"/>
    </row>
    <row r="10" spans="1:18">
      <c r="A10" s="6"/>
      <c r="B10" s="213">
        <v>44080</v>
      </c>
      <c r="C10" s="117">
        <v>1.1000000000000001</v>
      </c>
      <c r="D10" s="117">
        <v>2.6</v>
      </c>
      <c r="E10" s="117">
        <v>1.4</v>
      </c>
      <c r="F10" s="85">
        <v>1.5</v>
      </c>
      <c r="G10" s="117">
        <v>3.1</v>
      </c>
      <c r="H10" s="85">
        <v>4.2</v>
      </c>
      <c r="I10" s="117">
        <v>1.6</v>
      </c>
      <c r="J10" s="85">
        <v>1.5</v>
      </c>
      <c r="K10" s="117">
        <v>0</v>
      </c>
      <c r="L10" s="85">
        <v>0.2</v>
      </c>
      <c r="M10" s="117">
        <v>2.9</v>
      </c>
      <c r="N10" s="115">
        <v>0.9</v>
      </c>
      <c r="O10" s="115">
        <v>2.4</v>
      </c>
      <c r="P10" s="116">
        <v>1.3</v>
      </c>
      <c r="Q10" s="214"/>
      <c r="R10" s="6"/>
    </row>
    <row r="11" spans="1:18">
      <c r="A11" s="6"/>
      <c r="B11" s="213">
        <v>44079</v>
      </c>
      <c r="C11" s="117">
        <v>1.1000000000000001</v>
      </c>
      <c r="D11" s="117">
        <v>2.6</v>
      </c>
      <c r="E11" s="117">
        <v>1.1000000000000001</v>
      </c>
      <c r="F11" s="85">
        <v>1.4</v>
      </c>
      <c r="G11" s="117">
        <v>2.6</v>
      </c>
      <c r="H11" s="85">
        <v>4.0999999999999996</v>
      </c>
      <c r="I11" s="117">
        <v>1.9</v>
      </c>
      <c r="J11" s="85">
        <v>1.6</v>
      </c>
      <c r="K11" s="117">
        <v>0</v>
      </c>
      <c r="L11" s="85">
        <v>1</v>
      </c>
      <c r="M11" s="117">
        <v>2.6</v>
      </c>
      <c r="N11" s="115">
        <v>0.8</v>
      </c>
      <c r="O11" s="115">
        <v>2</v>
      </c>
      <c r="P11" s="116">
        <v>0.9</v>
      </c>
      <c r="Q11" s="214"/>
      <c r="R11" s="6"/>
    </row>
    <row r="12" spans="1:18">
      <c r="A12" s="6"/>
      <c r="B12" s="213">
        <v>44078</v>
      </c>
      <c r="C12" s="117">
        <v>0.9</v>
      </c>
      <c r="D12" s="117">
        <v>2.5</v>
      </c>
      <c r="E12" s="117">
        <v>1.5</v>
      </c>
      <c r="F12" s="85">
        <v>1.3</v>
      </c>
      <c r="G12" s="117">
        <v>2.5</v>
      </c>
      <c r="H12" s="85">
        <v>3.8</v>
      </c>
      <c r="I12" s="117">
        <v>1.4</v>
      </c>
      <c r="J12" s="85">
        <v>1.4</v>
      </c>
      <c r="K12" s="117">
        <v>0</v>
      </c>
      <c r="L12" s="85">
        <v>2</v>
      </c>
      <c r="M12" s="117">
        <v>2.8</v>
      </c>
      <c r="N12" s="115">
        <v>1.1000000000000001</v>
      </c>
      <c r="O12" s="115">
        <v>2.2999999999999998</v>
      </c>
      <c r="P12" s="116">
        <v>0.9</v>
      </c>
      <c r="Q12" s="214"/>
      <c r="R12" s="6"/>
    </row>
    <row r="13" spans="1:18">
      <c r="A13" s="6"/>
      <c r="B13" s="213">
        <v>44077</v>
      </c>
      <c r="C13" s="117">
        <v>1.8</v>
      </c>
      <c r="D13" s="117">
        <v>1.8</v>
      </c>
      <c r="E13" s="117">
        <v>1.7</v>
      </c>
      <c r="F13" s="85">
        <v>3</v>
      </c>
      <c r="G13" s="117">
        <v>2.7</v>
      </c>
      <c r="H13" s="85">
        <v>4.5</v>
      </c>
      <c r="I13" s="117">
        <v>1.5</v>
      </c>
      <c r="J13" s="85">
        <v>1</v>
      </c>
      <c r="K13" s="117">
        <v>0</v>
      </c>
      <c r="L13" s="85">
        <v>1.4</v>
      </c>
      <c r="M13" s="117">
        <v>0.6</v>
      </c>
      <c r="N13" s="115">
        <v>2.4</v>
      </c>
      <c r="O13" s="115">
        <v>2</v>
      </c>
      <c r="P13" s="116">
        <v>1.3</v>
      </c>
      <c r="Q13" s="214"/>
      <c r="R13" s="6"/>
    </row>
    <row r="14" spans="1:18">
      <c r="A14" s="6"/>
      <c r="B14" s="213">
        <v>44076</v>
      </c>
      <c r="C14" s="117">
        <v>1.8</v>
      </c>
      <c r="D14" s="117">
        <v>2.6</v>
      </c>
      <c r="E14" s="117">
        <v>1.7</v>
      </c>
      <c r="F14" s="85">
        <v>3</v>
      </c>
      <c r="G14" s="117">
        <v>2.8</v>
      </c>
      <c r="H14" s="85">
        <v>0</v>
      </c>
      <c r="I14" s="117">
        <v>0.6</v>
      </c>
      <c r="J14" s="85">
        <v>0.7</v>
      </c>
      <c r="K14" s="117">
        <v>0</v>
      </c>
      <c r="L14" s="85">
        <v>2</v>
      </c>
      <c r="M14" s="117">
        <v>1.3</v>
      </c>
      <c r="N14" s="115">
        <v>0.01</v>
      </c>
      <c r="O14" s="115">
        <v>1.6</v>
      </c>
      <c r="P14" s="116">
        <v>0.84</v>
      </c>
      <c r="Q14" s="214"/>
      <c r="R14" s="6"/>
    </row>
    <row r="15" spans="1:18">
      <c r="A15" s="6"/>
      <c r="B15" s="213">
        <v>44075</v>
      </c>
      <c r="C15" s="117">
        <v>1.1000000000000001</v>
      </c>
      <c r="D15" s="117">
        <v>2.6</v>
      </c>
      <c r="E15" s="117">
        <v>2.2000000000000002</v>
      </c>
      <c r="F15" s="85">
        <v>3.3</v>
      </c>
      <c r="G15" s="117">
        <v>3.3</v>
      </c>
      <c r="H15" s="85">
        <v>0.2</v>
      </c>
      <c r="I15" s="117">
        <v>1.8</v>
      </c>
      <c r="J15" s="85">
        <v>1.4</v>
      </c>
      <c r="K15" s="117">
        <v>0</v>
      </c>
      <c r="L15" s="85">
        <v>2</v>
      </c>
      <c r="M15" s="117">
        <v>2.1</v>
      </c>
      <c r="N15" s="115">
        <v>2.4</v>
      </c>
      <c r="O15" s="115">
        <v>2.6</v>
      </c>
      <c r="P15" s="116">
        <v>2.1</v>
      </c>
      <c r="Q15" s="214"/>
      <c r="R15" s="6"/>
    </row>
    <row r="16" spans="1:18">
      <c r="A16" s="6"/>
      <c r="B16" s="213">
        <v>44074</v>
      </c>
      <c r="C16" s="117">
        <v>1</v>
      </c>
      <c r="D16" s="117">
        <v>1.4</v>
      </c>
      <c r="E16" s="117">
        <v>2.4</v>
      </c>
      <c r="F16" s="85">
        <v>3.2</v>
      </c>
      <c r="G16" s="117">
        <v>2.7</v>
      </c>
      <c r="H16" s="85">
        <v>0.5</v>
      </c>
      <c r="I16" s="117">
        <v>1.9</v>
      </c>
      <c r="J16" s="85">
        <v>1.9</v>
      </c>
      <c r="K16" s="117">
        <v>0</v>
      </c>
      <c r="L16" s="85">
        <v>2.7</v>
      </c>
      <c r="M16" s="117">
        <v>2.4</v>
      </c>
      <c r="N16" s="115">
        <v>0.4</v>
      </c>
      <c r="O16" s="115">
        <v>2.8</v>
      </c>
      <c r="P16" s="116">
        <v>1.9</v>
      </c>
      <c r="Q16" s="214"/>
      <c r="R16" s="6"/>
    </row>
    <row r="17" spans="1:18">
      <c r="A17" s="6"/>
      <c r="B17" s="213">
        <v>44073</v>
      </c>
      <c r="C17" s="117">
        <v>1.1000000000000001</v>
      </c>
      <c r="D17" s="117">
        <v>1.4</v>
      </c>
      <c r="E17" s="117">
        <v>2.2000000000000002</v>
      </c>
      <c r="F17" s="85">
        <v>3.4</v>
      </c>
      <c r="G17" s="117">
        <v>2.7</v>
      </c>
      <c r="H17" s="85">
        <v>0.5</v>
      </c>
      <c r="I17" s="117">
        <v>1.6</v>
      </c>
      <c r="J17" s="85">
        <v>1.3</v>
      </c>
      <c r="K17" s="117">
        <v>0</v>
      </c>
      <c r="L17" s="85">
        <v>2.7</v>
      </c>
      <c r="M17" s="117">
        <v>1.7</v>
      </c>
      <c r="N17" s="115">
        <v>1.7</v>
      </c>
      <c r="O17" s="115">
        <v>2.8</v>
      </c>
      <c r="P17" s="116">
        <v>2.2999999999999998</v>
      </c>
      <c r="Q17" s="214"/>
      <c r="R17" s="6"/>
    </row>
    <row r="18" spans="1:18">
      <c r="A18" s="6"/>
      <c r="B18" s="213">
        <v>44072</v>
      </c>
      <c r="C18" s="117">
        <v>1.1000000000000001</v>
      </c>
      <c r="D18" s="117">
        <v>3.4</v>
      </c>
      <c r="E18" s="117">
        <v>1.7</v>
      </c>
      <c r="F18" s="85">
        <v>3.3</v>
      </c>
      <c r="G18" s="117">
        <v>2.2000000000000002</v>
      </c>
      <c r="H18" s="85">
        <v>0.5</v>
      </c>
      <c r="I18" s="117">
        <v>1.7</v>
      </c>
      <c r="J18" s="85">
        <v>1.6</v>
      </c>
      <c r="K18" s="117">
        <v>0</v>
      </c>
      <c r="L18" s="85">
        <v>2.6</v>
      </c>
      <c r="M18" s="117">
        <v>2.5</v>
      </c>
      <c r="N18" s="115">
        <v>1.4</v>
      </c>
      <c r="O18" s="115">
        <v>2.5</v>
      </c>
      <c r="P18" s="116">
        <v>2</v>
      </c>
      <c r="Q18" s="214"/>
      <c r="R18" s="6"/>
    </row>
    <row r="19" spans="1:18">
      <c r="A19" s="6"/>
      <c r="B19" s="213">
        <v>44071</v>
      </c>
      <c r="C19" s="117">
        <v>0.9</v>
      </c>
      <c r="D19" s="117">
        <v>3.3</v>
      </c>
      <c r="E19" s="117">
        <v>1.2</v>
      </c>
      <c r="F19" s="85">
        <v>4.0999999999999996</v>
      </c>
      <c r="G19" s="117">
        <v>2.5</v>
      </c>
      <c r="H19" s="85">
        <v>0.6</v>
      </c>
      <c r="I19" s="117">
        <v>1.3</v>
      </c>
      <c r="J19" s="85">
        <v>1.6</v>
      </c>
      <c r="K19" s="117">
        <v>0</v>
      </c>
      <c r="L19" s="85">
        <v>2.2000000000000002</v>
      </c>
      <c r="M19" s="117">
        <v>2.7</v>
      </c>
      <c r="N19" s="115">
        <v>1.2</v>
      </c>
      <c r="O19" s="115">
        <v>2.2000000000000002</v>
      </c>
      <c r="P19" s="116">
        <v>1.7</v>
      </c>
      <c r="Q19" s="214"/>
      <c r="R19" s="6"/>
    </row>
    <row r="20" spans="1:18">
      <c r="A20" s="6"/>
      <c r="B20" s="213">
        <v>44070</v>
      </c>
      <c r="C20" s="117">
        <v>1.8</v>
      </c>
      <c r="D20" s="117">
        <v>1.8</v>
      </c>
      <c r="E20" s="117">
        <v>1.7</v>
      </c>
      <c r="F20" s="85">
        <v>3</v>
      </c>
      <c r="G20" s="117">
        <v>2.7</v>
      </c>
      <c r="H20" s="85">
        <v>4.5</v>
      </c>
      <c r="I20" s="117">
        <v>1.5</v>
      </c>
      <c r="J20" s="85">
        <v>1</v>
      </c>
      <c r="K20" s="117">
        <v>0</v>
      </c>
      <c r="L20" s="85">
        <v>1.4</v>
      </c>
      <c r="M20" s="117">
        <v>0.6</v>
      </c>
      <c r="N20" s="115">
        <v>2.4</v>
      </c>
      <c r="O20" s="115">
        <v>2</v>
      </c>
      <c r="P20" s="116">
        <v>1.3</v>
      </c>
      <c r="Q20" s="214"/>
      <c r="R20" s="6"/>
    </row>
    <row r="21" spans="1:18">
      <c r="A21" s="6"/>
      <c r="B21" s="213">
        <v>44069</v>
      </c>
      <c r="C21" s="117">
        <v>1.8</v>
      </c>
      <c r="D21" s="117">
        <v>2.6</v>
      </c>
      <c r="E21" s="117">
        <v>1.7</v>
      </c>
      <c r="F21" s="85">
        <v>3</v>
      </c>
      <c r="G21" s="117">
        <v>2.8</v>
      </c>
      <c r="H21" s="85">
        <v>0</v>
      </c>
      <c r="I21" s="117">
        <v>0.6</v>
      </c>
      <c r="J21" s="85">
        <v>0.7</v>
      </c>
      <c r="K21" s="117">
        <v>0</v>
      </c>
      <c r="L21" s="85">
        <v>2</v>
      </c>
      <c r="M21" s="117">
        <v>1.3</v>
      </c>
      <c r="N21" s="115">
        <v>0.01</v>
      </c>
      <c r="O21" s="115">
        <v>1.6</v>
      </c>
      <c r="P21" s="116">
        <v>0.84</v>
      </c>
      <c r="Q21" s="214"/>
      <c r="R21" s="6"/>
    </row>
    <row r="22" spans="1:18">
      <c r="A22" s="6"/>
      <c r="B22" s="213">
        <v>44068</v>
      </c>
      <c r="C22" s="117">
        <v>1.1000000000000001</v>
      </c>
      <c r="D22" s="117">
        <v>2.6</v>
      </c>
      <c r="E22" s="117">
        <v>2.2000000000000002</v>
      </c>
      <c r="F22" s="85">
        <v>3.3</v>
      </c>
      <c r="G22" s="117">
        <v>3.3</v>
      </c>
      <c r="H22" s="85">
        <v>0.2</v>
      </c>
      <c r="I22" s="117">
        <v>1.8</v>
      </c>
      <c r="J22" s="85">
        <v>1.4</v>
      </c>
      <c r="K22" s="117">
        <v>0</v>
      </c>
      <c r="L22" s="85">
        <v>2</v>
      </c>
      <c r="M22" s="117">
        <v>2.1</v>
      </c>
      <c r="N22" s="115">
        <v>2.4</v>
      </c>
      <c r="O22" s="115">
        <v>2.6</v>
      </c>
      <c r="P22" s="116">
        <v>2.1</v>
      </c>
      <c r="Q22" s="214"/>
      <c r="R22" s="6"/>
    </row>
    <row r="23" spans="1:18">
      <c r="A23" s="6"/>
      <c r="B23" s="213">
        <v>44067</v>
      </c>
      <c r="C23" s="117">
        <v>1</v>
      </c>
      <c r="D23" s="117">
        <v>1.4</v>
      </c>
      <c r="E23" s="117">
        <v>2.4</v>
      </c>
      <c r="F23" s="85">
        <v>3.2</v>
      </c>
      <c r="G23" s="117">
        <v>2.7</v>
      </c>
      <c r="H23" s="85">
        <v>0.5</v>
      </c>
      <c r="I23" s="117">
        <v>1.9</v>
      </c>
      <c r="J23" s="85">
        <v>1.9</v>
      </c>
      <c r="K23" s="117">
        <v>0</v>
      </c>
      <c r="L23" s="85">
        <v>2.7</v>
      </c>
      <c r="M23" s="117">
        <v>2.4</v>
      </c>
      <c r="N23" s="115">
        <v>0.4</v>
      </c>
      <c r="O23" s="115">
        <v>2.8</v>
      </c>
      <c r="P23" s="116">
        <v>1.9</v>
      </c>
      <c r="Q23" s="214"/>
      <c r="R23" s="6"/>
    </row>
    <row r="24" spans="1:18">
      <c r="A24" s="6"/>
      <c r="B24" s="213">
        <v>44066</v>
      </c>
      <c r="C24" s="117">
        <v>1.1000000000000001</v>
      </c>
      <c r="D24" s="117">
        <v>1.4</v>
      </c>
      <c r="E24" s="117">
        <v>2.2000000000000002</v>
      </c>
      <c r="F24" s="85">
        <v>3.4</v>
      </c>
      <c r="G24" s="117">
        <v>2.7</v>
      </c>
      <c r="H24" s="85">
        <v>0.5</v>
      </c>
      <c r="I24" s="117">
        <v>1.6</v>
      </c>
      <c r="J24" s="85">
        <v>1.3</v>
      </c>
      <c r="K24" s="117">
        <v>0</v>
      </c>
      <c r="L24" s="85">
        <v>2.7</v>
      </c>
      <c r="M24" s="117">
        <v>1.7</v>
      </c>
      <c r="N24" s="115">
        <v>1.7</v>
      </c>
      <c r="O24" s="115">
        <v>2.8</v>
      </c>
      <c r="P24" s="116">
        <v>2.2999999999999998</v>
      </c>
      <c r="Q24" s="214"/>
      <c r="R24" s="6"/>
    </row>
    <row r="25" spans="1:18">
      <c r="A25" s="6"/>
      <c r="B25" s="213">
        <v>44065</v>
      </c>
      <c r="C25" s="117">
        <v>1.1000000000000001</v>
      </c>
      <c r="D25" s="117">
        <v>3.4</v>
      </c>
      <c r="E25" s="117">
        <v>1.7</v>
      </c>
      <c r="F25" s="85">
        <v>3.3</v>
      </c>
      <c r="G25" s="117">
        <v>2.2000000000000002</v>
      </c>
      <c r="H25" s="85">
        <v>0.5</v>
      </c>
      <c r="I25" s="117">
        <v>1.7</v>
      </c>
      <c r="J25" s="85">
        <v>1.6</v>
      </c>
      <c r="K25" s="117">
        <v>0</v>
      </c>
      <c r="L25" s="85">
        <v>2.6</v>
      </c>
      <c r="M25" s="117">
        <v>2.5</v>
      </c>
      <c r="N25" s="115">
        <v>1.4</v>
      </c>
      <c r="O25" s="115">
        <v>2.5</v>
      </c>
      <c r="P25" s="116">
        <v>2</v>
      </c>
      <c r="Q25" s="214"/>
      <c r="R25" s="6"/>
    </row>
    <row r="26" spans="1:18">
      <c r="A26" s="6"/>
      <c r="B26" s="213">
        <v>44064</v>
      </c>
      <c r="C26" s="117">
        <v>0.9</v>
      </c>
      <c r="D26" s="117">
        <v>3.3</v>
      </c>
      <c r="E26" s="117">
        <v>1.2</v>
      </c>
      <c r="F26" s="85">
        <v>4.0999999999999996</v>
      </c>
      <c r="G26" s="117">
        <v>2.5</v>
      </c>
      <c r="H26" s="85">
        <v>0.6</v>
      </c>
      <c r="I26" s="117">
        <v>1.3</v>
      </c>
      <c r="J26" s="85">
        <v>1.6</v>
      </c>
      <c r="K26" s="117">
        <v>0</v>
      </c>
      <c r="L26" s="85">
        <v>2.2000000000000002</v>
      </c>
      <c r="M26" s="117">
        <v>2.7</v>
      </c>
      <c r="N26" s="115">
        <v>1.2</v>
      </c>
      <c r="O26" s="115">
        <v>2.2000000000000002</v>
      </c>
      <c r="P26" s="116">
        <v>1.7</v>
      </c>
      <c r="Q26" s="214"/>
      <c r="R26" s="6"/>
    </row>
    <row r="27" spans="1:18">
      <c r="A27" s="6"/>
      <c r="B27" s="213">
        <v>44063</v>
      </c>
      <c r="C27" s="117">
        <v>1.8</v>
      </c>
      <c r="D27" s="117">
        <v>1.8</v>
      </c>
      <c r="E27" s="117">
        <v>1.7</v>
      </c>
      <c r="F27" s="85">
        <v>3</v>
      </c>
      <c r="G27" s="117">
        <v>2.7</v>
      </c>
      <c r="H27" s="85">
        <v>4.5</v>
      </c>
      <c r="I27" s="117">
        <v>1.5</v>
      </c>
      <c r="J27" s="85">
        <v>1</v>
      </c>
      <c r="K27" s="117">
        <v>0</v>
      </c>
      <c r="L27" s="85">
        <v>1.4</v>
      </c>
      <c r="M27" s="117">
        <v>0.6</v>
      </c>
      <c r="N27" s="115">
        <v>2.4</v>
      </c>
      <c r="O27" s="115">
        <v>2</v>
      </c>
      <c r="P27" s="116">
        <v>1.3</v>
      </c>
      <c r="Q27" s="214"/>
      <c r="R27" s="6"/>
    </row>
    <row r="28" spans="1:18">
      <c r="A28" s="6"/>
      <c r="B28" s="213">
        <v>44062</v>
      </c>
      <c r="C28" s="117">
        <v>1.8</v>
      </c>
      <c r="D28" s="117">
        <v>2.6</v>
      </c>
      <c r="E28" s="117">
        <v>1.7</v>
      </c>
      <c r="F28" s="85">
        <v>3</v>
      </c>
      <c r="G28" s="117">
        <v>2.8</v>
      </c>
      <c r="H28" s="85">
        <v>0</v>
      </c>
      <c r="I28" s="117">
        <v>0.6</v>
      </c>
      <c r="J28" s="85">
        <v>0.7</v>
      </c>
      <c r="K28" s="117">
        <v>0</v>
      </c>
      <c r="L28" s="85">
        <v>2</v>
      </c>
      <c r="M28" s="117">
        <v>1.3</v>
      </c>
      <c r="N28" s="115">
        <v>0.01</v>
      </c>
      <c r="O28" s="115">
        <v>1.6</v>
      </c>
      <c r="P28" s="116">
        <v>0.84</v>
      </c>
      <c r="Q28" s="214"/>
      <c r="R28" s="6"/>
    </row>
    <row r="29" spans="1:18">
      <c r="A29" s="6"/>
      <c r="B29" s="213">
        <v>44061</v>
      </c>
      <c r="C29" s="117">
        <v>1.1000000000000001</v>
      </c>
      <c r="D29" s="117">
        <v>2.6</v>
      </c>
      <c r="E29" s="117">
        <v>2.2000000000000002</v>
      </c>
      <c r="F29" s="85">
        <v>3.3</v>
      </c>
      <c r="G29" s="117">
        <v>3.3</v>
      </c>
      <c r="H29" s="85">
        <v>0.2</v>
      </c>
      <c r="I29" s="117">
        <v>1.8</v>
      </c>
      <c r="J29" s="85">
        <v>1.4</v>
      </c>
      <c r="K29" s="117">
        <v>0</v>
      </c>
      <c r="L29" s="85">
        <v>2</v>
      </c>
      <c r="M29" s="117">
        <v>2.1</v>
      </c>
      <c r="N29" s="115">
        <v>2.4</v>
      </c>
      <c r="O29" s="115">
        <v>2.6</v>
      </c>
      <c r="P29" s="116">
        <v>2.1</v>
      </c>
      <c r="Q29" s="214"/>
      <c r="R29" s="6"/>
    </row>
    <row r="30" spans="1:18">
      <c r="A30" s="6"/>
      <c r="B30" s="213">
        <v>44060</v>
      </c>
      <c r="C30" s="117">
        <v>1</v>
      </c>
      <c r="D30" s="117">
        <v>1.4</v>
      </c>
      <c r="E30" s="117">
        <v>2.4</v>
      </c>
      <c r="F30" s="85">
        <v>3.2</v>
      </c>
      <c r="G30" s="117">
        <v>2.7</v>
      </c>
      <c r="H30" s="85">
        <v>0.5</v>
      </c>
      <c r="I30" s="117">
        <v>1.9</v>
      </c>
      <c r="J30" s="85">
        <v>1.9</v>
      </c>
      <c r="K30" s="117">
        <v>0</v>
      </c>
      <c r="L30" s="85">
        <v>2.7</v>
      </c>
      <c r="M30" s="117">
        <v>2.4</v>
      </c>
      <c r="N30" s="115">
        <v>0.4</v>
      </c>
      <c r="O30" s="115">
        <v>2.8</v>
      </c>
      <c r="P30" s="116">
        <v>1.9</v>
      </c>
      <c r="Q30" s="214"/>
      <c r="R30" s="6"/>
    </row>
    <row r="31" spans="1:18">
      <c r="A31" s="6"/>
      <c r="B31" s="213">
        <v>44059</v>
      </c>
      <c r="C31" s="117">
        <v>1.1000000000000001</v>
      </c>
      <c r="D31" s="117">
        <v>1.4</v>
      </c>
      <c r="E31" s="117">
        <v>2.2000000000000002</v>
      </c>
      <c r="F31" s="85">
        <v>3.4</v>
      </c>
      <c r="G31" s="117">
        <v>2.7</v>
      </c>
      <c r="H31" s="85">
        <v>0.5</v>
      </c>
      <c r="I31" s="117">
        <v>1.6</v>
      </c>
      <c r="J31" s="85">
        <v>1.3</v>
      </c>
      <c r="K31" s="117">
        <v>0</v>
      </c>
      <c r="L31" s="85">
        <v>2.7</v>
      </c>
      <c r="M31" s="117">
        <v>1.7</v>
      </c>
      <c r="N31" s="115">
        <v>1.7</v>
      </c>
      <c r="O31" s="115">
        <v>2.8</v>
      </c>
      <c r="P31" s="116">
        <v>2.2999999999999998</v>
      </c>
      <c r="Q31" s="214"/>
      <c r="R31" s="6"/>
    </row>
    <row r="32" spans="1:18">
      <c r="A32" s="6"/>
      <c r="B32" s="213">
        <v>44058</v>
      </c>
      <c r="C32" s="117">
        <v>1.1000000000000001</v>
      </c>
      <c r="D32" s="117">
        <v>3.4</v>
      </c>
      <c r="E32" s="117">
        <v>1.7</v>
      </c>
      <c r="F32" s="85">
        <v>3.3</v>
      </c>
      <c r="G32" s="117">
        <v>2.2000000000000002</v>
      </c>
      <c r="H32" s="85">
        <v>0.5</v>
      </c>
      <c r="I32" s="117">
        <v>1.7</v>
      </c>
      <c r="J32" s="85">
        <v>1.6</v>
      </c>
      <c r="K32" s="117">
        <v>0</v>
      </c>
      <c r="L32" s="85">
        <v>2.6</v>
      </c>
      <c r="M32" s="117">
        <v>2.5</v>
      </c>
      <c r="N32" s="115">
        <v>1.4</v>
      </c>
      <c r="O32" s="115">
        <v>2.5</v>
      </c>
      <c r="P32" s="116">
        <v>2</v>
      </c>
      <c r="Q32" s="214"/>
      <c r="R32" s="6"/>
    </row>
    <row r="33" spans="1:18">
      <c r="A33" s="6"/>
      <c r="B33" s="213">
        <v>44057</v>
      </c>
      <c r="C33" s="117">
        <v>0.9</v>
      </c>
      <c r="D33" s="117">
        <v>3.3</v>
      </c>
      <c r="E33" s="117">
        <v>1.2</v>
      </c>
      <c r="F33" s="85">
        <v>4.0999999999999996</v>
      </c>
      <c r="G33" s="117">
        <v>2.5</v>
      </c>
      <c r="H33" s="85">
        <v>0.6</v>
      </c>
      <c r="I33" s="117">
        <v>1.3</v>
      </c>
      <c r="J33" s="85">
        <v>1.6</v>
      </c>
      <c r="K33" s="117">
        <v>0</v>
      </c>
      <c r="L33" s="85">
        <v>2.2000000000000002</v>
      </c>
      <c r="M33" s="117">
        <v>2.7</v>
      </c>
      <c r="N33" s="115">
        <v>1.2</v>
      </c>
      <c r="O33" s="115">
        <v>2.2000000000000002</v>
      </c>
      <c r="P33" s="116">
        <v>1.7</v>
      </c>
      <c r="Q33" s="214"/>
      <c r="R33" s="6"/>
    </row>
    <row r="34" spans="1:18">
      <c r="A34" s="6"/>
      <c r="B34" s="213">
        <v>44056</v>
      </c>
      <c r="C34" s="117">
        <v>1.1000000000000001</v>
      </c>
      <c r="D34" s="117">
        <v>2.6</v>
      </c>
      <c r="E34" s="117">
        <v>1.4</v>
      </c>
      <c r="F34" s="85">
        <v>1.5</v>
      </c>
      <c r="G34" s="117">
        <v>3.1</v>
      </c>
      <c r="H34" s="85">
        <v>4.2</v>
      </c>
      <c r="I34" s="117">
        <v>1.6</v>
      </c>
      <c r="J34" s="85">
        <v>1.5</v>
      </c>
      <c r="K34" s="117">
        <v>0</v>
      </c>
      <c r="L34" s="85">
        <v>0.2</v>
      </c>
      <c r="M34" s="117">
        <v>2.9</v>
      </c>
      <c r="N34" s="115">
        <v>0.9</v>
      </c>
      <c r="O34" s="115">
        <v>2.4</v>
      </c>
      <c r="P34" s="116">
        <v>1.3</v>
      </c>
      <c r="Q34" s="214"/>
      <c r="R34" s="6"/>
    </row>
    <row r="35" spans="1:18">
      <c r="A35" s="6"/>
      <c r="B35" s="213">
        <v>44055</v>
      </c>
      <c r="C35" s="117">
        <v>1.1000000000000001</v>
      </c>
      <c r="D35" s="117">
        <v>2.6</v>
      </c>
      <c r="E35" s="117">
        <v>1.1000000000000001</v>
      </c>
      <c r="F35" s="85">
        <v>1.4</v>
      </c>
      <c r="G35" s="117">
        <v>2.6</v>
      </c>
      <c r="H35" s="85">
        <v>4.0999999999999996</v>
      </c>
      <c r="I35" s="117">
        <v>1.9</v>
      </c>
      <c r="J35" s="85">
        <v>1.6</v>
      </c>
      <c r="K35" s="117">
        <v>0</v>
      </c>
      <c r="L35" s="85">
        <v>1</v>
      </c>
      <c r="M35" s="117">
        <v>2.6</v>
      </c>
      <c r="N35" s="115">
        <v>0.8</v>
      </c>
      <c r="O35" s="115">
        <v>2</v>
      </c>
      <c r="P35" s="116">
        <v>0.9</v>
      </c>
      <c r="Q35" s="214"/>
      <c r="R35" s="6"/>
    </row>
    <row r="36" spans="1:18">
      <c r="A36" s="6"/>
      <c r="B36" s="213">
        <v>44054</v>
      </c>
      <c r="C36" s="117">
        <v>0.9</v>
      </c>
      <c r="D36" s="117">
        <v>2.5</v>
      </c>
      <c r="E36" s="117">
        <v>1.5</v>
      </c>
      <c r="F36" s="85">
        <v>1.3</v>
      </c>
      <c r="G36" s="117">
        <v>2.5</v>
      </c>
      <c r="H36" s="85">
        <v>3.8</v>
      </c>
      <c r="I36" s="117">
        <v>1.4</v>
      </c>
      <c r="J36" s="85">
        <v>1.4</v>
      </c>
      <c r="K36" s="117">
        <v>0</v>
      </c>
      <c r="L36" s="85">
        <v>2</v>
      </c>
      <c r="M36" s="117">
        <v>2.8</v>
      </c>
      <c r="N36" s="115">
        <v>1.1000000000000001</v>
      </c>
      <c r="O36" s="115">
        <v>2.2999999999999998</v>
      </c>
      <c r="P36" s="116">
        <v>0.9</v>
      </c>
      <c r="Q36" s="214"/>
      <c r="R36" s="6"/>
    </row>
    <row r="37" spans="1:18">
      <c r="A37" s="6"/>
      <c r="B37" s="213">
        <v>44053</v>
      </c>
      <c r="C37" s="117">
        <v>1.8</v>
      </c>
      <c r="D37" s="117">
        <v>1.8</v>
      </c>
      <c r="E37" s="117">
        <v>1.7</v>
      </c>
      <c r="F37" s="85">
        <v>3</v>
      </c>
      <c r="G37" s="117">
        <v>2.7</v>
      </c>
      <c r="H37" s="85">
        <v>4.5</v>
      </c>
      <c r="I37" s="117">
        <v>1.5</v>
      </c>
      <c r="J37" s="85">
        <v>1</v>
      </c>
      <c r="K37" s="117">
        <v>0</v>
      </c>
      <c r="L37" s="85">
        <v>1.4</v>
      </c>
      <c r="M37" s="117">
        <v>0.6</v>
      </c>
      <c r="N37" s="115">
        <v>2.4</v>
      </c>
      <c r="O37" s="115">
        <v>2</v>
      </c>
      <c r="P37" s="116">
        <v>1.3</v>
      </c>
      <c r="Q37" s="214"/>
      <c r="R37" s="6"/>
    </row>
    <row r="38" spans="1:18">
      <c r="A38" s="6"/>
      <c r="B38" s="213">
        <v>44052</v>
      </c>
      <c r="C38" s="117">
        <v>1.8</v>
      </c>
      <c r="D38" s="117">
        <v>2.6</v>
      </c>
      <c r="E38" s="117">
        <v>1.7</v>
      </c>
      <c r="F38" s="85">
        <v>3</v>
      </c>
      <c r="G38" s="117">
        <v>2.8</v>
      </c>
      <c r="H38" s="85">
        <v>0</v>
      </c>
      <c r="I38" s="117">
        <v>0.6</v>
      </c>
      <c r="J38" s="85">
        <v>0.7</v>
      </c>
      <c r="K38" s="117">
        <v>0</v>
      </c>
      <c r="L38" s="85">
        <v>2</v>
      </c>
      <c r="M38" s="117">
        <v>1.3</v>
      </c>
      <c r="N38" s="115">
        <v>0.01</v>
      </c>
      <c r="O38" s="115">
        <v>1.6</v>
      </c>
      <c r="P38" s="116">
        <v>0.84</v>
      </c>
      <c r="Q38" s="214"/>
      <c r="R38" s="6"/>
    </row>
    <row r="39" spans="1:18">
      <c r="A39" s="6"/>
      <c r="B39" s="213">
        <v>44051</v>
      </c>
      <c r="C39" s="117">
        <v>1.1000000000000001</v>
      </c>
      <c r="D39" s="117">
        <v>2.6</v>
      </c>
      <c r="E39" s="117">
        <v>2.2000000000000002</v>
      </c>
      <c r="F39" s="85">
        <v>3.3</v>
      </c>
      <c r="G39" s="117">
        <v>3.3</v>
      </c>
      <c r="H39" s="85">
        <v>0.2</v>
      </c>
      <c r="I39" s="117">
        <v>1.8</v>
      </c>
      <c r="J39" s="85">
        <v>1.4</v>
      </c>
      <c r="K39" s="117">
        <v>0</v>
      </c>
      <c r="L39" s="85">
        <v>2</v>
      </c>
      <c r="M39" s="117">
        <v>2.1</v>
      </c>
      <c r="N39" s="115">
        <v>2.4</v>
      </c>
      <c r="O39" s="115">
        <v>2.6</v>
      </c>
      <c r="P39" s="116">
        <v>2.1</v>
      </c>
      <c r="Q39" s="214"/>
      <c r="R39" s="6"/>
    </row>
    <row r="40" spans="1:18">
      <c r="A40" s="6"/>
      <c r="B40" s="213">
        <v>44050</v>
      </c>
      <c r="C40" s="117">
        <v>1</v>
      </c>
      <c r="D40" s="117">
        <v>1.4</v>
      </c>
      <c r="E40" s="117">
        <v>2.4</v>
      </c>
      <c r="F40" s="85">
        <v>3.2</v>
      </c>
      <c r="G40" s="117">
        <v>2.7</v>
      </c>
      <c r="H40" s="85">
        <v>0.5</v>
      </c>
      <c r="I40" s="117">
        <v>1.9</v>
      </c>
      <c r="J40" s="85">
        <v>1.9</v>
      </c>
      <c r="K40" s="117">
        <v>0</v>
      </c>
      <c r="L40" s="85">
        <v>2.7</v>
      </c>
      <c r="M40" s="117">
        <v>2.4</v>
      </c>
      <c r="N40" s="115">
        <v>0.4</v>
      </c>
      <c r="O40" s="115">
        <v>2.8</v>
      </c>
      <c r="P40" s="116">
        <v>1.9</v>
      </c>
      <c r="Q40" s="214"/>
      <c r="R40" s="6"/>
    </row>
    <row r="41" spans="1:18">
      <c r="A41" s="6"/>
      <c r="B41" s="213">
        <v>44049</v>
      </c>
      <c r="C41" s="117">
        <v>1.1000000000000001</v>
      </c>
      <c r="D41" s="117">
        <v>1.4</v>
      </c>
      <c r="E41" s="117">
        <v>2.2000000000000002</v>
      </c>
      <c r="F41" s="85">
        <v>3.4</v>
      </c>
      <c r="G41" s="117">
        <v>2.7</v>
      </c>
      <c r="H41" s="85">
        <v>0.5</v>
      </c>
      <c r="I41" s="117">
        <v>1.6</v>
      </c>
      <c r="J41" s="85">
        <v>1.3</v>
      </c>
      <c r="K41" s="117">
        <v>0</v>
      </c>
      <c r="L41" s="85">
        <v>2.7</v>
      </c>
      <c r="M41" s="117">
        <v>1.7</v>
      </c>
      <c r="N41" s="115">
        <v>1.7</v>
      </c>
      <c r="O41" s="115">
        <v>2.8</v>
      </c>
      <c r="P41" s="116">
        <v>2.2999999999999998</v>
      </c>
      <c r="Q41" s="214"/>
      <c r="R41" s="6"/>
    </row>
    <row r="42" spans="1:18">
      <c r="A42" s="6"/>
      <c r="B42" s="213">
        <v>44048</v>
      </c>
      <c r="C42" s="117">
        <v>1.1000000000000001</v>
      </c>
      <c r="D42" s="117">
        <v>3.4</v>
      </c>
      <c r="E42" s="117">
        <v>1.7</v>
      </c>
      <c r="F42" s="85">
        <v>3.3</v>
      </c>
      <c r="G42" s="117">
        <v>2.2000000000000002</v>
      </c>
      <c r="H42" s="85">
        <v>0.5</v>
      </c>
      <c r="I42" s="117">
        <v>1.7</v>
      </c>
      <c r="J42" s="85">
        <v>1.6</v>
      </c>
      <c r="K42" s="117">
        <v>0</v>
      </c>
      <c r="L42" s="85">
        <v>2.6</v>
      </c>
      <c r="M42" s="117">
        <v>2.5</v>
      </c>
      <c r="N42" s="115">
        <v>1.4</v>
      </c>
      <c r="O42" s="115">
        <v>2.5</v>
      </c>
      <c r="P42" s="116">
        <v>2</v>
      </c>
      <c r="Q42" s="214"/>
      <c r="R42" s="6"/>
    </row>
    <row r="43" spans="1:18">
      <c r="A43" s="6"/>
      <c r="B43" s="213">
        <v>44047</v>
      </c>
      <c r="C43" s="117">
        <v>0.9</v>
      </c>
      <c r="D43" s="117">
        <v>3.3</v>
      </c>
      <c r="E43" s="117">
        <v>1.2</v>
      </c>
      <c r="F43" s="85">
        <v>4.0999999999999996</v>
      </c>
      <c r="G43" s="117">
        <v>2.5</v>
      </c>
      <c r="H43" s="85">
        <v>0.6</v>
      </c>
      <c r="I43" s="117">
        <v>1.3</v>
      </c>
      <c r="J43" s="85">
        <v>1.6</v>
      </c>
      <c r="K43" s="117">
        <v>0</v>
      </c>
      <c r="L43" s="85">
        <v>2.2000000000000002</v>
      </c>
      <c r="M43" s="117">
        <v>2.7</v>
      </c>
      <c r="N43" s="115">
        <v>1.2</v>
      </c>
      <c r="O43" s="115">
        <v>2.2000000000000002</v>
      </c>
      <c r="P43" s="116">
        <v>1.7</v>
      </c>
      <c r="Q43" s="214"/>
      <c r="R43" s="6"/>
    </row>
    <row r="44" spans="1:18">
      <c r="A44" s="6"/>
      <c r="B44" s="213">
        <v>44046</v>
      </c>
      <c r="C44" s="117">
        <v>1.1000000000000001</v>
      </c>
      <c r="D44" s="117">
        <v>2.6</v>
      </c>
      <c r="E44" s="117">
        <v>1.1000000000000001</v>
      </c>
      <c r="F44" s="85">
        <v>1.4</v>
      </c>
      <c r="G44" s="117">
        <v>2.6</v>
      </c>
      <c r="H44" s="85">
        <v>4.0999999999999996</v>
      </c>
      <c r="I44" s="117">
        <v>1.9</v>
      </c>
      <c r="J44" s="85">
        <v>1.6</v>
      </c>
      <c r="K44" s="117">
        <v>0</v>
      </c>
      <c r="L44" s="85">
        <v>1</v>
      </c>
      <c r="M44" s="117">
        <v>2.6</v>
      </c>
      <c r="N44" s="115">
        <v>0.8</v>
      </c>
      <c r="O44" s="115">
        <v>2</v>
      </c>
      <c r="P44" s="116">
        <v>0.9</v>
      </c>
      <c r="Q44" s="214"/>
      <c r="R44" s="6"/>
    </row>
    <row r="45" spans="1:18">
      <c r="A45" s="6"/>
      <c r="B45" s="213">
        <v>44045</v>
      </c>
      <c r="C45" s="117">
        <v>0.9</v>
      </c>
      <c r="D45" s="117">
        <v>2.5</v>
      </c>
      <c r="E45" s="117">
        <v>1.5</v>
      </c>
      <c r="F45" s="85">
        <v>1.3</v>
      </c>
      <c r="G45" s="117">
        <v>2.5</v>
      </c>
      <c r="H45" s="85">
        <v>3.8</v>
      </c>
      <c r="I45" s="117">
        <v>1.4</v>
      </c>
      <c r="J45" s="85">
        <v>1.4</v>
      </c>
      <c r="K45" s="117">
        <v>0</v>
      </c>
      <c r="L45" s="85">
        <v>2</v>
      </c>
      <c r="M45" s="117">
        <v>2.8</v>
      </c>
      <c r="N45" s="115">
        <v>1.1000000000000001</v>
      </c>
      <c r="O45" s="115">
        <v>2.2999999999999998</v>
      </c>
      <c r="P45" s="116">
        <v>0.9</v>
      </c>
      <c r="Q45" s="214"/>
      <c r="R45" s="6"/>
    </row>
    <row r="46" spans="1:18">
      <c r="A46" s="6"/>
      <c r="B46" s="213">
        <v>44044</v>
      </c>
      <c r="C46" s="117">
        <v>1.8</v>
      </c>
      <c r="D46" s="117">
        <v>1.8</v>
      </c>
      <c r="E46" s="117">
        <v>1.7</v>
      </c>
      <c r="F46" s="85">
        <v>3</v>
      </c>
      <c r="G46" s="117">
        <v>2.7</v>
      </c>
      <c r="H46" s="85">
        <v>4.5</v>
      </c>
      <c r="I46" s="117">
        <v>1.5</v>
      </c>
      <c r="J46" s="85">
        <v>1</v>
      </c>
      <c r="K46" s="117">
        <v>0</v>
      </c>
      <c r="L46" s="85">
        <v>1.4</v>
      </c>
      <c r="M46" s="117">
        <v>0.6</v>
      </c>
      <c r="N46" s="115">
        <v>2.4</v>
      </c>
      <c r="O46" s="115">
        <v>2</v>
      </c>
      <c r="P46" s="116">
        <v>1.3</v>
      </c>
      <c r="Q46" s="214"/>
      <c r="R46" s="6"/>
    </row>
    <row r="47" spans="1:18">
      <c r="A47" s="6"/>
      <c r="B47" s="213">
        <v>44043</v>
      </c>
      <c r="C47" s="117">
        <v>1.8</v>
      </c>
      <c r="D47" s="117">
        <v>2.6</v>
      </c>
      <c r="E47" s="117">
        <v>1.7</v>
      </c>
      <c r="F47" s="85">
        <v>3</v>
      </c>
      <c r="G47" s="117">
        <v>2.8</v>
      </c>
      <c r="H47" s="85">
        <v>0</v>
      </c>
      <c r="I47" s="117">
        <v>0.6</v>
      </c>
      <c r="J47" s="85">
        <v>0.7</v>
      </c>
      <c r="K47" s="117">
        <v>0</v>
      </c>
      <c r="L47" s="85">
        <v>2</v>
      </c>
      <c r="M47" s="117">
        <v>1.3</v>
      </c>
      <c r="N47" s="115">
        <v>0.01</v>
      </c>
      <c r="O47" s="115">
        <v>1.6</v>
      </c>
      <c r="P47" s="116">
        <v>0.84</v>
      </c>
      <c r="Q47" s="214"/>
      <c r="R47" s="6"/>
    </row>
    <row r="48" spans="1:18">
      <c r="A48" s="6"/>
      <c r="B48" s="213">
        <v>44042</v>
      </c>
      <c r="C48" s="117">
        <v>1.1000000000000001</v>
      </c>
      <c r="D48" s="117">
        <v>2.6</v>
      </c>
      <c r="E48" s="117">
        <v>2.2000000000000002</v>
      </c>
      <c r="F48" s="85">
        <v>3.3</v>
      </c>
      <c r="G48" s="117">
        <v>3.3</v>
      </c>
      <c r="H48" s="85">
        <v>0.2</v>
      </c>
      <c r="I48" s="117">
        <v>1.8</v>
      </c>
      <c r="J48" s="85">
        <v>1.4</v>
      </c>
      <c r="K48" s="117">
        <v>0</v>
      </c>
      <c r="L48" s="85">
        <v>2</v>
      </c>
      <c r="M48" s="117">
        <v>2.1</v>
      </c>
      <c r="N48" s="115">
        <v>2.4</v>
      </c>
      <c r="O48" s="115">
        <v>2.6</v>
      </c>
      <c r="P48" s="116">
        <v>2.1</v>
      </c>
      <c r="Q48" s="214"/>
      <c r="R48" s="6"/>
    </row>
    <row r="49" spans="1:18">
      <c r="A49" s="6"/>
      <c r="B49" s="213">
        <v>44041</v>
      </c>
      <c r="C49" s="117">
        <v>1</v>
      </c>
      <c r="D49" s="117">
        <v>1.4</v>
      </c>
      <c r="E49" s="117">
        <v>2.4</v>
      </c>
      <c r="F49" s="85">
        <v>3.2</v>
      </c>
      <c r="G49" s="117">
        <v>2.7</v>
      </c>
      <c r="H49" s="85">
        <v>0.5</v>
      </c>
      <c r="I49" s="117">
        <v>1.9</v>
      </c>
      <c r="J49" s="85">
        <v>1.9</v>
      </c>
      <c r="K49" s="117">
        <v>0</v>
      </c>
      <c r="L49" s="85">
        <v>2.7</v>
      </c>
      <c r="M49" s="117">
        <v>2.4</v>
      </c>
      <c r="N49" s="115">
        <v>0.4</v>
      </c>
      <c r="O49" s="115">
        <v>2.8</v>
      </c>
      <c r="P49" s="116">
        <v>1.9</v>
      </c>
      <c r="Q49" s="214"/>
      <c r="R49" s="6"/>
    </row>
    <row r="50" spans="1:18">
      <c r="A50" s="6"/>
      <c r="B50" s="213">
        <v>44040</v>
      </c>
      <c r="C50" s="117">
        <v>1.1000000000000001</v>
      </c>
      <c r="D50" s="117">
        <v>1.4</v>
      </c>
      <c r="E50" s="117">
        <v>2.2000000000000002</v>
      </c>
      <c r="F50" s="85">
        <v>3.4</v>
      </c>
      <c r="G50" s="117">
        <v>2.7</v>
      </c>
      <c r="H50" s="85">
        <v>0.5</v>
      </c>
      <c r="I50" s="117">
        <v>1.6</v>
      </c>
      <c r="J50" s="85">
        <v>1.3</v>
      </c>
      <c r="K50" s="117">
        <v>0</v>
      </c>
      <c r="L50" s="85">
        <v>2.7</v>
      </c>
      <c r="M50" s="117">
        <v>1.7</v>
      </c>
      <c r="N50" s="115">
        <v>1.7</v>
      </c>
      <c r="O50" s="115">
        <v>2.8</v>
      </c>
      <c r="P50" s="116">
        <v>2.2999999999999998</v>
      </c>
      <c r="Q50" s="214"/>
      <c r="R50" s="6"/>
    </row>
    <row r="51" spans="1:18">
      <c r="A51" s="6"/>
      <c r="B51" s="213">
        <v>44039</v>
      </c>
      <c r="C51" s="117">
        <v>1.1000000000000001</v>
      </c>
      <c r="D51" s="117">
        <v>3.4</v>
      </c>
      <c r="E51" s="117">
        <v>1.7</v>
      </c>
      <c r="F51" s="85">
        <v>3.3</v>
      </c>
      <c r="G51" s="117">
        <v>2.2000000000000002</v>
      </c>
      <c r="H51" s="85">
        <v>0.5</v>
      </c>
      <c r="I51" s="117">
        <v>1.7</v>
      </c>
      <c r="J51" s="85">
        <v>1.6</v>
      </c>
      <c r="K51" s="117">
        <v>0</v>
      </c>
      <c r="L51" s="85">
        <v>2.6</v>
      </c>
      <c r="M51" s="117">
        <v>2.5</v>
      </c>
      <c r="N51" s="115">
        <v>1.4</v>
      </c>
      <c r="O51" s="115">
        <v>2.5</v>
      </c>
      <c r="P51" s="116">
        <v>2</v>
      </c>
      <c r="Q51" s="214"/>
      <c r="R51" s="6"/>
    </row>
    <row r="52" spans="1:18">
      <c r="A52" s="6"/>
      <c r="B52" s="213">
        <v>44038</v>
      </c>
      <c r="C52" s="117">
        <v>0.9</v>
      </c>
      <c r="D52" s="117">
        <v>3.3</v>
      </c>
      <c r="E52" s="117">
        <v>1.2</v>
      </c>
      <c r="F52" s="85">
        <v>4.0999999999999996</v>
      </c>
      <c r="G52" s="117">
        <v>2.5</v>
      </c>
      <c r="H52" s="85">
        <v>0.6</v>
      </c>
      <c r="I52" s="117">
        <v>1.3</v>
      </c>
      <c r="J52" s="85">
        <v>1.6</v>
      </c>
      <c r="K52" s="117">
        <v>0</v>
      </c>
      <c r="L52" s="85">
        <v>2.2000000000000002</v>
      </c>
      <c r="M52" s="117">
        <v>2.7</v>
      </c>
      <c r="N52" s="115">
        <v>1.2</v>
      </c>
      <c r="O52" s="115">
        <v>2.2000000000000002</v>
      </c>
      <c r="P52" s="116">
        <v>1.7</v>
      </c>
      <c r="Q52" s="214"/>
      <c r="R52" s="6"/>
    </row>
    <row r="53" spans="1:18">
      <c r="A53" s="6"/>
      <c r="B53" s="213">
        <v>44037</v>
      </c>
      <c r="C53" s="117">
        <v>0.9</v>
      </c>
      <c r="D53" s="117">
        <v>2.5</v>
      </c>
      <c r="E53" s="117">
        <v>1.5</v>
      </c>
      <c r="F53" s="85">
        <v>1.3</v>
      </c>
      <c r="G53" s="117">
        <v>2.5</v>
      </c>
      <c r="H53" s="85">
        <v>3.8</v>
      </c>
      <c r="I53" s="117">
        <v>1.4</v>
      </c>
      <c r="J53" s="85">
        <v>1.4</v>
      </c>
      <c r="K53" s="117">
        <v>0</v>
      </c>
      <c r="L53" s="85">
        <v>2</v>
      </c>
      <c r="M53" s="117">
        <v>2.8</v>
      </c>
      <c r="N53" s="115">
        <v>1.1000000000000001</v>
      </c>
      <c r="O53" s="115">
        <v>2.2999999999999998</v>
      </c>
      <c r="P53" s="116">
        <v>0.9</v>
      </c>
      <c r="Q53" s="214"/>
      <c r="R53" s="6"/>
    </row>
    <row r="54" spans="1:18">
      <c r="A54" s="6"/>
      <c r="B54" s="213">
        <v>44036</v>
      </c>
      <c r="C54" s="117">
        <v>1.8</v>
      </c>
      <c r="D54" s="117">
        <v>1.8</v>
      </c>
      <c r="E54" s="117">
        <v>1.7</v>
      </c>
      <c r="F54" s="85">
        <v>3</v>
      </c>
      <c r="G54" s="117">
        <v>2.7</v>
      </c>
      <c r="H54" s="85">
        <v>4.5</v>
      </c>
      <c r="I54" s="117">
        <v>1.5</v>
      </c>
      <c r="J54" s="85">
        <v>1</v>
      </c>
      <c r="K54" s="117">
        <v>0</v>
      </c>
      <c r="L54" s="85">
        <v>1.4</v>
      </c>
      <c r="M54" s="117">
        <v>0.6</v>
      </c>
      <c r="N54" s="115">
        <v>2.4</v>
      </c>
      <c r="O54" s="115">
        <v>2</v>
      </c>
      <c r="P54" s="116">
        <v>1.3</v>
      </c>
      <c r="Q54" s="214"/>
      <c r="R54" s="6"/>
    </row>
    <row r="55" spans="1:18">
      <c r="A55" s="6"/>
      <c r="B55" s="213">
        <v>44035</v>
      </c>
      <c r="C55" s="117">
        <v>1.8</v>
      </c>
      <c r="D55" s="117">
        <v>2.6</v>
      </c>
      <c r="E55" s="117">
        <v>1.7</v>
      </c>
      <c r="F55" s="85">
        <v>3</v>
      </c>
      <c r="G55" s="117">
        <v>2.8</v>
      </c>
      <c r="H55" s="85">
        <v>0</v>
      </c>
      <c r="I55" s="117">
        <v>0.6</v>
      </c>
      <c r="J55" s="85">
        <v>0.7</v>
      </c>
      <c r="K55" s="117">
        <v>0</v>
      </c>
      <c r="L55" s="85">
        <v>2</v>
      </c>
      <c r="M55" s="117">
        <v>1.3</v>
      </c>
      <c r="N55" s="115">
        <v>0.01</v>
      </c>
      <c r="O55" s="115">
        <v>1.6</v>
      </c>
      <c r="P55" s="116">
        <v>0.84</v>
      </c>
      <c r="Q55" s="214"/>
      <c r="R55" s="6"/>
    </row>
    <row r="56" spans="1:18">
      <c r="A56" s="6"/>
      <c r="B56" s="213">
        <v>44034</v>
      </c>
      <c r="C56" s="117">
        <v>1.1000000000000001</v>
      </c>
      <c r="D56" s="117">
        <v>2.6</v>
      </c>
      <c r="E56" s="117">
        <v>2.2000000000000002</v>
      </c>
      <c r="F56" s="85">
        <v>3.3</v>
      </c>
      <c r="G56" s="117">
        <v>3.3</v>
      </c>
      <c r="H56" s="85">
        <v>0.2</v>
      </c>
      <c r="I56" s="117">
        <v>1.8</v>
      </c>
      <c r="J56" s="85">
        <v>1.4</v>
      </c>
      <c r="K56" s="117">
        <v>0</v>
      </c>
      <c r="L56" s="85">
        <v>2</v>
      </c>
      <c r="M56" s="117">
        <v>2.1</v>
      </c>
      <c r="N56" s="115">
        <v>2.4</v>
      </c>
      <c r="O56" s="115">
        <v>2.6</v>
      </c>
      <c r="P56" s="116">
        <v>2.1</v>
      </c>
      <c r="Q56" s="214"/>
      <c r="R56" s="6"/>
    </row>
    <row r="57" spans="1:18">
      <c r="A57" s="6"/>
      <c r="B57" s="213">
        <v>44033</v>
      </c>
      <c r="C57" s="117">
        <v>1</v>
      </c>
      <c r="D57" s="117">
        <v>1.4</v>
      </c>
      <c r="E57" s="117">
        <v>2.4</v>
      </c>
      <c r="F57" s="85">
        <v>3.2</v>
      </c>
      <c r="G57" s="117">
        <v>2.7</v>
      </c>
      <c r="H57" s="85">
        <v>0.5</v>
      </c>
      <c r="I57" s="117">
        <v>1.9</v>
      </c>
      <c r="J57" s="85">
        <v>1.9</v>
      </c>
      <c r="K57" s="117">
        <v>0</v>
      </c>
      <c r="L57" s="85">
        <v>2.7</v>
      </c>
      <c r="M57" s="117">
        <v>2.4</v>
      </c>
      <c r="N57" s="115">
        <v>0.4</v>
      </c>
      <c r="O57" s="115">
        <v>2.8</v>
      </c>
      <c r="P57" s="116">
        <v>1.9</v>
      </c>
      <c r="Q57" s="214"/>
      <c r="R57" s="6"/>
    </row>
    <row r="58" spans="1:18">
      <c r="A58" s="6"/>
      <c r="B58" s="213">
        <v>44032</v>
      </c>
      <c r="C58" s="117">
        <v>1.1000000000000001</v>
      </c>
      <c r="D58" s="117">
        <v>1.4</v>
      </c>
      <c r="E58" s="117">
        <v>2.2000000000000002</v>
      </c>
      <c r="F58" s="85">
        <v>3.4</v>
      </c>
      <c r="G58" s="117">
        <v>2.7</v>
      </c>
      <c r="H58" s="85">
        <v>0.5</v>
      </c>
      <c r="I58" s="117">
        <v>1.6</v>
      </c>
      <c r="J58" s="85">
        <v>1.3</v>
      </c>
      <c r="K58" s="117">
        <v>0</v>
      </c>
      <c r="L58" s="85">
        <v>2.7</v>
      </c>
      <c r="M58" s="117">
        <v>1.7</v>
      </c>
      <c r="N58" s="115">
        <v>1.7</v>
      </c>
      <c r="O58" s="115">
        <v>2.8</v>
      </c>
      <c r="P58" s="116">
        <v>2.2999999999999998</v>
      </c>
      <c r="Q58" s="214"/>
      <c r="R58" s="6"/>
    </row>
    <row r="59" spans="1:18">
      <c r="A59" s="6"/>
      <c r="B59" s="213">
        <v>44031</v>
      </c>
      <c r="C59" s="117">
        <v>1.1000000000000001</v>
      </c>
      <c r="D59" s="117">
        <v>3.4</v>
      </c>
      <c r="E59" s="117">
        <v>1.7</v>
      </c>
      <c r="F59" s="85">
        <v>3.3</v>
      </c>
      <c r="G59" s="117">
        <v>2.2000000000000002</v>
      </c>
      <c r="H59" s="85">
        <v>0.5</v>
      </c>
      <c r="I59" s="117">
        <v>1.7</v>
      </c>
      <c r="J59" s="85">
        <v>1.6</v>
      </c>
      <c r="K59" s="117">
        <v>0</v>
      </c>
      <c r="L59" s="85">
        <v>2.6</v>
      </c>
      <c r="M59" s="117">
        <v>2.5</v>
      </c>
      <c r="N59" s="115">
        <v>1.4</v>
      </c>
      <c r="O59" s="115">
        <v>2.5</v>
      </c>
      <c r="P59" s="116">
        <v>2</v>
      </c>
      <c r="Q59" s="214"/>
      <c r="R59" s="6"/>
    </row>
    <row r="60" spans="1:18">
      <c r="A60" s="6"/>
      <c r="B60" s="213">
        <v>44030</v>
      </c>
      <c r="C60" s="117">
        <v>0.9</v>
      </c>
      <c r="D60" s="117">
        <v>3.3</v>
      </c>
      <c r="E60" s="117">
        <v>1.2</v>
      </c>
      <c r="F60" s="85">
        <v>4.0999999999999996</v>
      </c>
      <c r="G60" s="117">
        <v>2.5</v>
      </c>
      <c r="H60" s="85">
        <v>0.6</v>
      </c>
      <c r="I60" s="117">
        <v>1.3</v>
      </c>
      <c r="J60" s="85">
        <v>1.6</v>
      </c>
      <c r="K60" s="117">
        <v>0</v>
      </c>
      <c r="L60" s="85">
        <v>2.2000000000000002</v>
      </c>
      <c r="M60" s="117">
        <v>2.7</v>
      </c>
      <c r="N60" s="115">
        <v>1.2</v>
      </c>
      <c r="O60" s="115">
        <v>2.2000000000000002</v>
      </c>
      <c r="P60" s="116">
        <v>1.7</v>
      </c>
      <c r="Q60" s="214"/>
      <c r="R60" s="6"/>
    </row>
    <row r="61" spans="1:18">
      <c r="A61" s="6"/>
      <c r="B61" s="213">
        <v>44029</v>
      </c>
      <c r="C61" s="117">
        <v>1.1000000000000001</v>
      </c>
      <c r="D61" s="117">
        <v>2.6</v>
      </c>
      <c r="E61" s="117">
        <v>2.2000000000000002</v>
      </c>
      <c r="F61" s="85">
        <v>3.3</v>
      </c>
      <c r="G61" s="117">
        <v>3.3</v>
      </c>
      <c r="H61" s="85">
        <v>0.2</v>
      </c>
      <c r="I61" s="117">
        <v>1.8</v>
      </c>
      <c r="J61" s="85">
        <v>1.4</v>
      </c>
      <c r="K61" s="117">
        <v>0</v>
      </c>
      <c r="L61" s="85">
        <v>2</v>
      </c>
      <c r="M61" s="117">
        <v>2.1</v>
      </c>
      <c r="N61" s="115">
        <v>2.4</v>
      </c>
      <c r="O61" s="115">
        <v>2.6</v>
      </c>
      <c r="P61" s="116">
        <v>2.1</v>
      </c>
      <c r="Q61" s="214"/>
      <c r="R61" s="6"/>
    </row>
    <row r="62" spans="1:18">
      <c r="A62" s="6"/>
      <c r="B62" s="213">
        <v>44028</v>
      </c>
      <c r="C62" s="117">
        <v>1</v>
      </c>
      <c r="D62" s="117">
        <v>1.4</v>
      </c>
      <c r="E62" s="117">
        <v>2.4</v>
      </c>
      <c r="F62" s="85">
        <v>3.2</v>
      </c>
      <c r="G62" s="117">
        <v>2.7</v>
      </c>
      <c r="H62" s="85">
        <v>0.5</v>
      </c>
      <c r="I62" s="117">
        <v>1.9</v>
      </c>
      <c r="J62" s="85">
        <v>1.9</v>
      </c>
      <c r="K62" s="117">
        <v>0</v>
      </c>
      <c r="L62" s="85">
        <v>2.7</v>
      </c>
      <c r="M62" s="117">
        <v>2.4</v>
      </c>
      <c r="N62" s="115">
        <v>0.4</v>
      </c>
      <c r="O62" s="115">
        <v>2.8</v>
      </c>
      <c r="P62" s="116">
        <v>1.9</v>
      </c>
      <c r="Q62" s="214"/>
      <c r="R62" s="6"/>
    </row>
    <row r="63" spans="1:18">
      <c r="A63" s="6"/>
      <c r="B63" s="213">
        <v>44027</v>
      </c>
      <c r="C63" s="117">
        <v>1.1000000000000001</v>
      </c>
      <c r="D63" s="117">
        <v>1.4</v>
      </c>
      <c r="E63" s="117">
        <v>2.2000000000000002</v>
      </c>
      <c r="F63" s="85">
        <v>3.4</v>
      </c>
      <c r="G63" s="117">
        <v>2.7</v>
      </c>
      <c r="H63" s="85">
        <v>0.5</v>
      </c>
      <c r="I63" s="117">
        <v>1.6</v>
      </c>
      <c r="J63" s="85">
        <v>1.3</v>
      </c>
      <c r="K63" s="117">
        <v>0</v>
      </c>
      <c r="L63" s="85">
        <v>2.7</v>
      </c>
      <c r="M63" s="117">
        <v>1.7</v>
      </c>
      <c r="N63" s="115">
        <v>1.7</v>
      </c>
      <c r="O63" s="115">
        <v>2.8</v>
      </c>
      <c r="P63" s="116">
        <v>2.2999999999999998</v>
      </c>
      <c r="Q63" s="214"/>
      <c r="R63" s="6"/>
    </row>
    <row r="64" spans="1:18">
      <c r="A64" s="6"/>
      <c r="B64" s="213">
        <v>44026</v>
      </c>
      <c r="C64" s="117">
        <v>1.1000000000000001</v>
      </c>
      <c r="D64" s="117">
        <v>3.4</v>
      </c>
      <c r="E64" s="117">
        <v>1.7</v>
      </c>
      <c r="F64" s="85">
        <v>3.3</v>
      </c>
      <c r="G64" s="117">
        <v>2.2000000000000002</v>
      </c>
      <c r="H64" s="85">
        <v>0.5</v>
      </c>
      <c r="I64" s="117">
        <v>1.7</v>
      </c>
      <c r="J64" s="85">
        <v>1.6</v>
      </c>
      <c r="K64" s="117">
        <v>0</v>
      </c>
      <c r="L64" s="85">
        <v>2.6</v>
      </c>
      <c r="M64" s="117">
        <v>2.5</v>
      </c>
      <c r="N64" s="115">
        <v>1.4</v>
      </c>
      <c r="O64" s="115">
        <v>2.5</v>
      </c>
      <c r="P64" s="116">
        <v>2</v>
      </c>
      <c r="Q64" s="214"/>
      <c r="R64" s="6"/>
    </row>
    <row r="65" spans="1:18">
      <c r="A65" s="6"/>
      <c r="B65" s="213">
        <v>44025</v>
      </c>
      <c r="C65" s="117">
        <v>0.9</v>
      </c>
      <c r="D65" s="117">
        <v>3.3</v>
      </c>
      <c r="E65" s="117">
        <v>1.2</v>
      </c>
      <c r="F65" s="85">
        <v>4.0999999999999996</v>
      </c>
      <c r="G65" s="117">
        <v>2.5</v>
      </c>
      <c r="H65" s="85">
        <v>0.6</v>
      </c>
      <c r="I65" s="117">
        <v>1.3</v>
      </c>
      <c r="J65" s="85">
        <v>1.6</v>
      </c>
      <c r="K65" s="117">
        <v>0</v>
      </c>
      <c r="L65" s="85">
        <v>2.2000000000000002</v>
      </c>
      <c r="M65" s="117">
        <v>2.7</v>
      </c>
      <c r="N65" s="115">
        <v>1.2</v>
      </c>
      <c r="O65" s="115">
        <v>2.2000000000000002</v>
      </c>
      <c r="P65" s="116">
        <v>1.7</v>
      </c>
      <c r="Q65" s="214"/>
      <c r="R65" s="6"/>
    </row>
    <row r="66" spans="1:18">
      <c r="A66" s="6"/>
      <c r="B66" s="213">
        <v>44024</v>
      </c>
      <c r="C66" s="117">
        <v>1</v>
      </c>
      <c r="D66" s="117">
        <v>1.4</v>
      </c>
      <c r="E66" s="117">
        <v>2.4</v>
      </c>
      <c r="F66" s="85">
        <v>3.2</v>
      </c>
      <c r="G66" s="117">
        <v>2.7</v>
      </c>
      <c r="H66" s="85">
        <v>0.5</v>
      </c>
      <c r="I66" s="117">
        <v>1.9</v>
      </c>
      <c r="J66" s="85">
        <v>1.9</v>
      </c>
      <c r="K66" s="117">
        <v>0</v>
      </c>
      <c r="L66" s="85">
        <v>2.7</v>
      </c>
      <c r="M66" s="117">
        <v>2.4</v>
      </c>
      <c r="N66" s="115">
        <v>0.4</v>
      </c>
      <c r="O66" s="115">
        <v>2.8</v>
      </c>
      <c r="P66" s="116">
        <v>1.9</v>
      </c>
      <c r="Q66" s="214"/>
      <c r="R66" s="6"/>
    </row>
    <row r="67" spans="1:18">
      <c r="A67" s="6"/>
      <c r="B67" s="213">
        <v>44023</v>
      </c>
      <c r="C67" s="117">
        <v>1.1000000000000001</v>
      </c>
      <c r="D67" s="117">
        <v>1.4</v>
      </c>
      <c r="E67" s="117">
        <v>2.2000000000000002</v>
      </c>
      <c r="F67" s="85">
        <v>3.4</v>
      </c>
      <c r="G67" s="117">
        <v>2.7</v>
      </c>
      <c r="H67" s="85">
        <v>0.5</v>
      </c>
      <c r="I67" s="117">
        <v>1.6</v>
      </c>
      <c r="J67" s="85">
        <v>1.3</v>
      </c>
      <c r="K67" s="117">
        <v>0</v>
      </c>
      <c r="L67" s="85">
        <v>2.7</v>
      </c>
      <c r="M67" s="117">
        <v>1.7</v>
      </c>
      <c r="N67" s="115">
        <v>1.7</v>
      </c>
      <c r="O67" s="115">
        <v>2.8</v>
      </c>
      <c r="P67" s="116">
        <v>2.2999999999999998</v>
      </c>
      <c r="Q67" s="214"/>
      <c r="R67" s="6"/>
    </row>
    <row r="68" spans="1:18">
      <c r="A68" s="6"/>
      <c r="B68" s="213">
        <v>44022</v>
      </c>
      <c r="C68" s="117">
        <v>1.1000000000000001</v>
      </c>
      <c r="D68" s="117">
        <v>3.4</v>
      </c>
      <c r="E68" s="117">
        <v>1.7</v>
      </c>
      <c r="F68" s="85">
        <v>3.3</v>
      </c>
      <c r="G68" s="117">
        <v>2.2000000000000002</v>
      </c>
      <c r="H68" s="85">
        <v>0.5</v>
      </c>
      <c r="I68" s="117">
        <v>1.7</v>
      </c>
      <c r="J68" s="85">
        <v>1.6</v>
      </c>
      <c r="K68" s="117">
        <v>0</v>
      </c>
      <c r="L68" s="85">
        <v>2.6</v>
      </c>
      <c r="M68" s="117">
        <v>2.5</v>
      </c>
      <c r="N68" s="115">
        <v>1.4</v>
      </c>
      <c r="O68" s="115">
        <v>2.5</v>
      </c>
      <c r="P68" s="116">
        <v>2</v>
      </c>
      <c r="Q68" s="214"/>
      <c r="R68" s="6"/>
    </row>
    <row r="69" spans="1:18">
      <c r="A69" s="6"/>
      <c r="B69" s="213">
        <v>44021</v>
      </c>
      <c r="C69" s="117">
        <v>0.9</v>
      </c>
      <c r="D69" s="117">
        <v>3.3</v>
      </c>
      <c r="E69" s="117">
        <v>1.2</v>
      </c>
      <c r="F69" s="85">
        <v>4.0999999999999996</v>
      </c>
      <c r="G69" s="117">
        <v>2.5</v>
      </c>
      <c r="H69" s="85">
        <v>0.6</v>
      </c>
      <c r="I69" s="117">
        <v>1.3</v>
      </c>
      <c r="J69" s="85">
        <v>1.6</v>
      </c>
      <c r="K69" s="117">
        <v>0</v>
      </c>
      <c r="L69" s="85">
        <v>2.2000000000000002</v>
      </c>
      <c r="M69" s="117">
        <v>2.7</v>
      </c>
      <c r="N69" s="115">
        <v>1.2</v>
      </c>
      <c r="O69" s="115">
        <v>2.2000000000000002</v>
      </c>
      <c r="P69" s="116">
        <v>1.7</v>
      </c>
      <c r="Q69" s="214"/>
      <c r="R69" s="6"/>
    </row>
    <row r="70" spans="1:18">
      <c r="A70" s="6"/>
      <c r="B70" s="213">
        <v>44020</v>
      </c>
      <c r="C70" s="117">
        <v>1.1000000000000001</v>
      </c>
      <c r="D70" s="117">
        <v>2.6</v>
      </c>
      <c r="E70" s="117">
        <v>2.2000000000000002</v>
      </c>
      <c r="F70" s="85">
        <v>3.3</v>
      </c>
      <c r="G70" s="117">
        <v>3.3</v>
      </c>
      <c r="H70" s="85">
        <v>0.2</v>
      </c>
      <c r="I70" s="117">
        <v>1.8</v>
      </c>
      <c r="J70" s="85">
        <v>1.4</v>
      </c>
      <c r="K70" s="117">
        <v>0</v>
      </c>
      <c r="L70" s="85">
        <v>2</v>
      </c>
      <c r="M70" s="117">
        <v>2.1</v>
      </c>
      <c r="N70" s="115">
        <v>2.4</v>
      </c>
      <c r="O70" s="115">
        <v>2.6</v>
      </c>
      <c r="P70" s="116">
        <v>2.1</v>
      </c>
      <c r="Q70" s="214"/>
      <c r="R70" s="6"/>
    </row>
    <row r="71" spans="1:18">
      <c r="A71" s="6"/>
      <c r="B71" s="213">
        <v>44019</v>
      </c>
      <c r="C71" s="117">
        <v>1</v>
      </c>
      <c r="D71" s="117">
        <v>1.4</v>
      </c>
      <c r="E71" s="117">
        <v>2.4</v>
      </c>
      <c r="F71" s="85">
        <v>3.2</v>
      </c>
      <c r="G71" s="117">
        <v>2.7</v>
      </c>
      <c r="H71" s="85">
        <v>0.5</v>
      </c>
      <c r="I71" s="117">
        <v>1.9</v>
      </c>
      <c r="J71" s="85">
        <v>1.9</v>
      </c>
      <c r="K71" s="117">
        <v>0</v>
      </c>
      <c r="L71" s="85">
        <v>2.7</v>
      </c>
      <c r="M71" s="117">
        <v>2.4</v>
      </c>
      <c r="N71" s="115">
        <v>0.4</v>
      </c>
      <c r="O71" s="115">
        <v>2.8</v>
      </c>
      <c r="P71" s="116">
        <v>1.9</v>
      </c>
      <c r="Q71" s="214"/>
      <c r="R71" s="6"/>
    </row>
    <row r="72" spans="1:18">
      <c r="A72" s="6"/>
      <c r="B72" s="213">
        <v>44018</v>
      </c>
      <c r="C72" s="117">
        <v>1.1000000000000001</v>
      </c>
      <c r="D72" s="117">
        <v>1.4</v>
      </c>
      <c r="E72" s="117">
        <v>2.2000000000000002</v>
      </c>
      <c r="F72" s="85">
        <v>3.4</v>
      </c>
      <c r="G72" s="117">
        <v>2.7</v>
      </c>
      <c r="H72" s="85">
        <v>0.5</v>
      </c>
      <c r="I72" s="117">
        <v>1.6</v>
      </c>
      <c r="J72" s="85">
        <v>1.3</v>
      </c>
      <c r="K72" s="117">
        <v>0</v>
      </c>
      <c r="L72" s="85">
        <v>2.7</v>
      </c>
      <c r="M72" s="117">
        <v>1.7</v>
      </c>
      <c r="N72" s="115">
        <v>1.7</v>
      </c>
      <c r="O72" s="115">
        <v>2.8</v>
      </c>
      <c r="P72" s="116">
        <v>2.2999999999999998</v>
      </c>
      <c r="Q72" s="214"/>
      <c r="R72" s="6"/>
    </row>
    <row r="73" spans="1:18">
      <c r="A73" s="6"/>
      <c r="B73" s="213">
        <v>44017</v>
      </c>
      <c r="C73" s="117">
        <v>1.1000000000000001</v>
      </c>
      <c r="D73" s="117">
        <v>3.4</v>
      </c>
      <c r="E73" s="117">
        <v>1.7</v>
      </c>
      <c r="F73" s="85">
        <v>3.3</v>
      </c>
      <c r="G73" s="117">
        <v>2.2000000000000002</v>
      </c>
      <c r="H73" s="85">
        <v>0.5</v>
      </c>
      <c r="I73" s="117">
        <v>1.7</v>
      </c>
      <c r="J73" s="85">
        <v>1.6</v>
      </c>
      <c r="K73" s="117">
        <v>0</v>
      </c>
      <c r="L73" s="85">
        <v>2.6</v>
      </c>
      <c r="M73" s="117">
        <v>2.5</v>
      </c>
      <c r="N73" s="115">
        <v>1.4</v>
      </c>
      <c r="O73" s="115">
        <v>2.5</v>
      </c>
      <c r="P73" s="116">
        <v>2</v>
      </c>
      <c r="Q73" s="214"/>
      <c r="R73" s="6"/>
    </row>
    <row r="74" spans="1:18">
      <c r="A74" s="6"/>
      <c r="B74" s="213">
        <v>44016</v>
      </c>
      <c r="C74" s="117">
        <v>0.9</v>
      </c>
      <c r="D74" s="117">
        <v>3.3</v>
      </c>
      <c r="E74" s="117">
        <v>1.2</v>
      </c>
      <c r="F74" s="85">
        <v>4.0999999999999996</v>
      </c>
      <c r="G74" s="117">
        <v>2.5</v>
      </c>
      <c r="H74" s="85">
        <v>0.6</v>
      </c>
      <c r="I74" s="117">
        <v>1.3</v>
      </c>
      <c r="J74" s="85">
        <v>1.6</v>
      </c>
      <c r="K74" s="117">
        <v>0</v>
      </c>
      <c r="L74" s="85">
        <v>2.2000000000000002</v>
      </c>
      <c r="M74" s="117">
        <v>2.7</v>
      </c>
      <c r="N74" s="115">
        <v>1.2</v>
      </c>
      <c r="O74" s="115">
        <v>2.2000000000000002</v>
      </c>
      <c r="P74" s="116">
        <v>1.7</v>
      </c>
      <c r="Q74" s="214"/>
      <c r="R74" s="6"/>
    </row>
    <row r="75" spans="1:18">
      <c r="A75" s="6"/>
      <c r="B75" s="213">
        <v>44015</v>
      </c>
      <c r="C75" s="117">
        <v>1.1000000000000001</v>
      </c>
      <c r="D75" s="117">
        <v>2.6</v>
      </c>
      <c r="E75" s="117">
        <v>1.1000000000000001</v>
      </c>
      <c r="F75" s="85">
        <v>1.4</v>
      </c>
      <c r="G75" s="117">
        <v>2.6</v>
      </c>
      <c r="H75" s="85">
        <v>4.0999999999999996</v>
      </c>
      <c r="I75" s="117">
        <v>1.9</v>
      </c>
      <c r="J75" s="85">
        <v>1.6</v>
      </c>
      <c r="K75" s="117">
        <v>0</v>
      </c>
      <c r="L75" s="85">
        <v>1</v>
      </c>
      <c r="M75" s="117">
        <v>2.6</v>
      </c>
      <c r="N75" s="115">
        <v>0.8</v>
      </c>
      <c r="O75" s="115">
        <v>2</v>
      </c>
      <c r="P75" s="116">
        <v>0.9</v>
      </c>
      <c r="Q75" s="214"/>
      <c r="R75" s="6"/>
    </row>
    <row r="76" spans="1:18">
      <c r="A76" s="6"/>
      <c r="B76" s="213">
        <v>44014</v>
      </c>
      <c r="C76" s="117">
        <v>0.9</v>
      </c>
      <c r="D76" s="117">
        <v>2.5</v>
      </c>
      <c r="E76" s="117">
        <v>1.5</v>
      </c>
      <c r="F76" s="85">
        <v>1.3</v>
      </c>
      <c r="G76" s="117">
        <v>2.5</v>
      </c>
      <c r="H76" s="85">
        <v>3.8</v>
      </c>
      <c r="I76" s="117">
        <v>1.4</v>
      </c>
      <c r="J76" s="85">
        <v>1.4</v>
      </c>
      <c r="K76" s="117">
        <v>0</v>
      </c>
      <c r="L76" s="85">
        <v>2</v>
      </c>
      <c r="M76" s="117">
        <v>2.8</v>
      </c>
      <c r="N76" s="115">
        <v>1.1000000000000001</v>
      </c>
      <c r="O76" s="115">
        <v>2.2999999999999998</v>
      </c>
      <c r="P76" s="116">
        <v>0.9</v>
      </c>
      <c r="Q76" s="214"/>
      <c r="R76" s="6"/>
    </row>
    <row r="77" spans="1:18">
      <c r="A77" s="6"/>
      <c r="B77" s="213">
        <v>44013</v>
      </c>
      <c r="C77" s="117">
        <v>1.8</v>
      </c>
      <c r="D77" s="117">
        <v>1.8</v>
      </c>
      <c r="E77" s="117">
        <v>1.7</v>
      </c>
      <c r="F77" s="85">
        <v>3</v>
      </c>
      <c r="G77" s="117">
        <v>2.7</v>
      </c>
      <c r="H77" s="85">
        <v>4.5</v>
      </c>
      <c r="I77" s="117">
        <v>1.5</v>
      </c>
      <c r="J77" s="85">
        <v>1</v>
      </c>
      <c r="K77" s="117">
        <v>0</v>
      </c>
      <c r="L77" s="85">
        <v>1.4</v>
      </c>
      <c r="M77" s="117">
        <v>0.6</v>
      </c>
      <c r="N77" s="115">
        <v>2.4</v>
      </c>
      <c r="O77" s="115">
        <v>2</v>
      </c>
      <c r="P77" s="116">
        <v>1.3</v>
      </c>
      <c r="Q77" s="214"/>
      <c r="R77" s="6"/>
    </row>
    <row r="78" spans="1:18">
      <c r="A78" s="6"/>
      <c r="B78" s="213">
        <v>44012</v>
      </c>
      <c r="C78" s="117">
        <v>1.8</v>
      </c>
      <c r="D78" s="117">
        <v>2.6</v>
      </c>
      <c r="E78" s="117">
        <v>1.7</v>
      </c>
      <c r="F78" s="85">
        <v>3</v>
      </c>
      <c r="G78" s="117">
        <v>2.8</v>
      </c>
      <c r="H78" s="85">
        <v>0</v>
      </c>
      <c r="I78" s="117">
        <v>0.6</v>
      </c>
      <c r="J78" s="85">
        <v>0.7</v>
      </c>
      <c r="K78" s="117">
        <v>0</v>
      </c>
      <c r="L78" s="85">
        <v>2</v>
      </c>
      <c r="M78" s="117">
        <v>1.3</v>
      </c>
      <c r="N78" s="115">
        <v>0.01</v>
      </c>
      <c r="O78" s="115">
        <v>1.6</v>
      </c>
      <c r="P78" s="116">
        <v>0.84</v>
      </c>
      <c r="Q78" s="214"/>
      <c r="R78" s="6"/>
    </row>
    <row r="79" spans="1:18">
      <c r="A79" s="6"/>
      <c r="B79" s="213">
        <v>44011</v>
      </c>
      <c r="C79" s="117">
        <v>1.1000000000000001</v>
      </c>
      <c r="D79" s="117">
        <v>2.6</v>
      </c>
      <c r="E79" s="117">
        <v>2.2000000000000002</v>
      </c>
      <c r="F79" s="85">
        <v>3.3</v>
      </c>
      <c r="G79" s="117">
        <v>3.3</v>
      </c>
      <c r="H79" s="85">
        <v>0.2</v>
      </c>
      <c r="I79" s="117">
        <v>1.8</v>
      </c>
      <c r="J79" s="85">
        <v>1.4</v>
      </c>
      <c r="K79" s="117">
        <v>0</v>
      </c>
      <c r="L79" s="85">
        <v>2</v>
      </c>
      <c r="M79" s="117">
        <v>2.1</v>
      </c>
      <c r="N79" s="115">
        <v>2.4</v>
      </c>
      <c r="O79" s="115">
        <v>2.6</v>
      </c>
      <c r="P79" s="116">
        <v>2.1</v>
      </c>
      <c r="Q79" s="214"/>
      <c r="R79" s="6"/>
    </row>
    <row r="80" spans="1:18">
      <c r="A80" s="6"/>
      <c r="B80" s="213">
        <v>44010</v>
      </c>
      <c r="C80" s="117">
        <v>1</v>
      </c>
      <c r="D80" s="117">
        <v>1.4</v>
      </c>
      <c r="E80" s="117">
        <v>2.4</v>
      </c>
      <c r="F80" s="85">
        <v>3.2</v>
      </c>
      <c r="G80" s="117">
        <v>2.7</v>
      </c>
      <c r="H80" s="85">
        <v>0.5</v>
      </c>
      <c r="I80" s="117">
        <v>1.9</v>
      </c>
      <c r="J80" s="85">
        <v>1.9</v>
      </c>
      <c r="K80" s="117">
        <v>0</v>
      </c>
      <c r="L80" s="85">
        <v>2.7</v>
      </c>
      <c r="M80" s="117">
        <v>2.4</v>
      </c>
      <c r="N80" s="115">
        <v>0.4</v>
      </c>
      <c r="O80" s="115">
        <v>2.8</v>
      </c>
      <c r="P80" s="116">
        <v>1.9</v>
      </c>
      <c r="Q80" s="214"/>
      <c r="R80" s="6"/>
    </row>
    <row r="81" spans="1:18">
      <c r="A81" s="6"/>
      <c r="B81" s="213">
        <v>44009</v>
      </c>
      <c r="C81" s="117">
        <v>1.1000000000000001</v>
      </c>
      <c r="D81" s="117">
        <v>1.4</v>
      </c>
      <c r="E81" s="117">
        <v>2.2000000000000002</v>
      </c>
      <c r="F81" s="85">
        <v>3.4</v>
      </c>
      <c r="G81" s="117">
        <v>2.7</v>
      </c>
      <c r="H81" s="85">
        <v>0.5</v>
      </c>
      <c r="I81" s="117">
        <v>1.6</v>
      </c>
      <c r="J81" s="85">
        <v>1.3</v>
      </c>
      <c r="K81" s="117">
        <v>0</v>
      </c>
      <c r="L81" s="85">
        <v>2.7</v>
      </c>
      <c r="M81" s="117">
        <v>1.7</v>
      </c>
      <c r="N81" s="115">
        <v>1.7</v>
      </c>
      <c r="O81" s="115">
        <v>2.8</v>
      </c>
      <c r="P81" s="116">
        <v>2.2999999999999998</v>
      </c>
      <c r="Q81" s="214"/>
      <c r="R81" s="6"/>
    </row>
    <row r="82" spans="1:18">
      <c r="A82" s="6"/>
      <c r="B82" s="213">
        <v>44008</v>
      </c>
      <c r="C82" s="117">
        <v>1.1000000000000001</v>
      </c>
      <c r="D82" s="117">
        <v>3.4</v>
      </c>
      <c r="E82" s="117">
        <v>1.7</v>
      </c>
      <c r="F82" s="85">
        <v>3.3</v>
      </c>
      <c r="G82" s="117">
        <v>2.2000000000000002</v>
      </c>
      <c r="H82" s="85">
        <v>0.5</v>
      </c>
      <c r="I82" s="117">
        <v>1.7</v>
      </c>
      <c r="J82" s="85">
        <v>1.6</v>
      </c>
      <c r="K82" s="117">
        <v>0</v>
      </c>
      <c r="L82" s="85">
        <v>2.6</v>
      </c>
      <c r="M82" s="117">
        <v>2.5</v>
      </c>
      <c r="N82" s="115">
        <v>1.4</v>
      </c>
      <c r="O82" s="115">
        <v>2.5</v>
      </c>
      <c r="P82" s="116">
        <v>2</v>
      </c>
      <c r="Q82" s="214"/>
      <c r="R82" s="6"/>
    </row>
    <row r="83" spans="1:18">
      <c r="A83" s="6"/>
      <c r="B83" s="213">
        <v>44007</v>
      </c>
      <c r="C83" s="117">
        <v>0.9</v>
      </c>
      <c r="D83" s="117">
        <v>3.3</v>
      </c>
      <c r="E83" s="117">
        <v>1.2</v>
      </c>
      <c r="F83" s="85">
        <v>4.0999999999999996</v>
      </c>
      <c r="G83" s="117">
        <v>2.5</v>
      </c>
      <c r="H83" s="85">
        <v>0.6</v>
      </c>
      <c r="I83" s="117">
        <v>1.3</v>
      </c>
      <c r="J83" s="85">
        <v>1.6</v>
      </c>
      <c r="K83" s="117">
        <v>0</v>
      </c>
      <c r="L83" s="85">
        <v>2.2000000000000002</v>
      </c>
      <c r="M83" s="117">
        <v>2.7</v>
      </c>
      <c r="N83" s="115">
        <v>1.2</v>
      </c>
      <c r="O83" s="115">
        <v>2.2000000000000002</v>
      </c>
      <c r="P83" s="116">
        <v>1.7</v>
      </c>
      <c r="Q83" s="214"/>
      <c r="R83" s="6"/>
    </row>
    <row r="84" spans="1:18">
      <c r="A84" s="6"/>
      <c r="B84" s="213">
        <v>44006</v>
      </c>
      <c r="C84" s="117">
        <v>1.1000000000000001</v>
      </c>
      <c r="D84" s="117">
        <v>2.6</v>
      </c>
      <c r="E84" s="117">
        <v>1.4</v>
      </c>
      <c r="F84" s="85">
        <v>1.5</v>
      </c>
      <c r="G84" s="117">
        <v>3.1</v>
      </c>
      <c r="H84" s="85">
        <v>4.2</v>
      </c>
      <c r="I84" s="117">
        <v>1.6</v>
      </c>
      <c r="J84" s="85">
        <v>1.5</v>
      </c>
      <c r="K84" s="117">
        <v>0</v>
      </c>
      <c r="L84" s="85">
        <v>0.2</v>
      </c>
      <c r="M84" s="117">
        <v>2.9</v>
      </c>
      <c r="N84" s="115">
        <v>0.9</v>
      </c>
      <c r="O84" s="115">
        <v>2.4</v>
      </c>
      <c r="P84" s="116">
        <v>1.3</v>
      </c>
      <c r="Q84" s="214"/>
      <c r="R84" s="6"/>
    </row>
    <row r="85" spans="1:18">
      <c r="A85" s="6"/>
      <c r="B85" s="213">
        <v>44005</v>
      </c>
      <c r="C85" s="117">
        <v>1.1000000000000001</v>
      </c>
      <c r="D85" s="117">
        <v>2.6</v>
      </c>
      <c r="E85" s="117">
        <v>1.1000000000000001</v>
      </c>
      <c r="F85" s="85">
        <v>1.4</v>
      </c>
      <c r="G85" s="117">
        <v>2.6</v>
      </c>
      <c r="H85" s="85">
        <v>4.0999999999999996</v>
      </c>
      <c r="I85" s="117">
        <v>1.9</v>
      </c>
      <c r="J85" s="85">
        <v>1.6</v>
      </c>
      <c r="K85" s="117">
        <v>0</v>
      </c>
      <c r="L85" s="85">
        <v>1</v>
      </c>
      <c r="M85" s="117">
        <v>2.6</v>
      </c>
      <c r="N85" s="115">
        <v>0.8</v>
      </c>
      <c r="O85" s="115">
        <v>2</v>
      </c>
      <c r="P85" s="116">
        <v>0.9</v>
      </c>
      <c r="Q85" s="214"/>
      <c r="R85" s="6"/>
    </row>
    <row r="86" spans="1:18">
      <c r="A86" s="6"/>
      <c r="B86" s="213">
        <v>44004</v>
      </c>
      <c r="C86" s="117">
        <v>0.9</v>
      </c>
      <c r="D86" s="117">
        <v>2.5</v>
      </c>
      <c r="E86" s="117">
        <v>1.5</v>
      </c>
      <c r="F86" s="85">
        <v>1.3</v>
      </c>
      <c r="G86" s="117">
        <v>2.5</v>
      </c>
      <c r="H86" s="85">
        <v>3.8</v>
      </c>
      <c r="I86" s="117">
        <v>1.4</v>
      </c>
      <c r="J86" s="85">
        <v>1.4</v>
      </c>
      <c r="K86" s="117">
        <v>0</v>
      </c>
      <c r="L86" s="85">
        <v>2</v>
      </c>
      <c r="M86" s="117">
        <v>2.8</v>
      </c>
      <c r="N86" s="115">
        <v>1.1000000000000001</v>
      </c>
      <c r="O86" s="115">
        <v>2.2999999999999998</v>
      </c>
      <c r="P86" s="116">
        <v>0.9</v>
      </c>
      <c r="Q86" s="214"/>
      <c r="R86" s="6"/>
    </row>
    <row r="87" spans="1:18">
      <c r="A87" s="6"/>
      <c r="B87" s="213">
        <v>44003</v>
      </c>
      <c r="C87" s="117">
        <v>1.8</v>
      </c>
      <c r="D87" s="117">
        <v>1.8</v>
      </c>
      <c r="E87" s="117">
        <v>1.7</v>
      </c>
      <c r="F87" s="85">
        <v>3</v>
      </c>
      <c r="G87" s="117">
        <v>2.7</v>
      </c>
      <c r="H87" s="85">
        <v>4.5</v>
      </c>
      <c r="I87" s="117">
        <v>1.5</v>
      </c>
      <c r="J87" s="85">
        <v>1</v>
      </c>
      <c r="K87" s="117">
        <v>0</v>
      </c>
      <c r="L87" s="85">
        <v>1.4</v>
      </c>
      <c r="M87" s="117">
        <v>0.6</v>
      </c>
      <c r="N87" s="115">
        <v>2.4</v>
      </c>
      <c r="O87" s="115">
        <v>2</v>
      </c>
      <c r="P87" s="116">
        <v>1.3</v>
      </c>
      <c r="Q87" s="214"/>
      <c r="R87" s="6"/>
    </row>
    <row r="88" spans="1:18">
      <c r="A88" s="6"/>
      <c r="B88" s="213">
        <v>44002</v>
      </c>
      <c r="C88" s="117">
        <v>1.8</v>
      </c>
      <c r="D88" s="117">
        <v>2.6</v>
      </c>
      <c r="E88" s="117">
        <v>1.7</v>
      </c>
      <c r="F88" s="85">
        <v>3</v>
      </c>
      <c r="G88" s="117">
        <v>2.8</v>
      </c>
      <c r="H88" s="85">
        <v>0</v>
      </c>
      <c r="I88" s="117">
        <v>0.6</v>
      </c>
      <c r="J88" s="85">
        <v>0.7</v>
      </c>
      <c r="K88" s="117">
        <v>0</v>
      </c>
      <c r="L88" s="85">
        <v>2</v>
      </c>
      <c r="M88" s="117">
        <v>1.3</v>
      </c>
      <c r="N88" s="115">
        <v>0.01</v>
      </c>
      <c r="O88" s="115">
        <v>1.6</v>
      </c>
      <c r="P88" s="116">
        <v>0.84</v>
      </c>
      <c r="Q88" s="214"/>
      <c r="R88" s="6"/>
    </row>
    <row r="89" spans="1:18">
      <c r="A89" s="6"/>
      <c r="B89" s="213">
        <v>44001</v>
      </c>
      <c r="C89" s="117">
        <v>1.1000000000000001</v>
      </c>
      <c r="D89" s="117">
        <v>2.6</v>
      </c>
      <c r="E89" s="117">
        <v>2.2000000000000002</v>
      </c>
      <c r="F89" s="85">
        <v>3.3</v>
      </c>
      <c r="G89" s="117">
        <v>3.3</v>
      </c>
      <c r="H89" s="85">
        <v>0.2</v>
      </c>
      <c r="I89" s="117">
        <v>1.8</v>
      </c>
      <c r="J89" s="85">
        <v>1.4</v>
      </c>
      <c r="K89" s="117">
        <v>0</v>
      </c>
      <c r="L89" s="85">
        <v>2</v>
      </c>
      <c r="M89" s="117">
        <v>2.1</v>
      </c>
      <c r="N89" s="115">
        <v>2.4</v>
      </c>
      <c r="O89" s="115">
        <v>2.6</v>
      </c>
      <c r="P89" s="116">
        <v>2.1</v>
      </c>
      <c r="Q89" s="214"/>
      <c r="R89" s="6"/>
    </row>
    <row r="90" spans="1:18">
      <c r="A90" s="6"/>
      <c r="B90" s="213">
        <v>44000</v>
      </c>
      <c r="C90" s="117">
        <v>1</v>
      </c>
      <c r="D90" s="117">
        <v>1.4</v>
      </c>
      <c r="E90" s="117">
        <v>2.4</v>
      </c>
      <c r="F90" s="85">
        <v>3.2</v>
      </c>
      <c r="G90" s="117">
        <v>2.7</v>
      </c>
      <c r="H90" s="85">
        <v>0.5</v>
      </c>
      <c r="I90" s="117">
        <v>1.9</v>
      </c>
      <c r="J90" s="85">
        <v>1.9</v>
      </c>
      <c r="K90" s="117">
        <v>0</v>
      </c>
      <c r="L90" s="85">
        <v>2.7</v>
      </c>
      <c r="M90" s="117">
        <v>2.4</v>
      </c>
      <c r="N90" s="115">
        <v>0.4</v>
      </c>
      <c r="O90" s="115">
        <v>2.8</v>
      </c>
      <c r="P90" s="116">
        <v>1.9</v>
      </c>
      <c r="Q90" s="214"/>
      <c r="R90" s="6"/>
    </row>
    <row r="91" spans="1:18">
      <c r="A91" s="6"/>
      <c r="B91" s="213">
        <v>43999</v>
      </c>
      <c r="C91" s="117">
        <v>1.1000000000000001</v>
      </c>
      <c r="D91" s="117">
        <v>1.4</v>
      </c>
      <c r="E91" s="117">
        <v>2.2000000000000002</v>
      </c>
      <c r="F91" s="85">
        <v>3.4</v>
      </c>
      <c r="G91" s="117">
        <v>2.7</v>
      </c>
      <c r="H91" s="85">
        <v>0.5</v>
      </c>
      <c r="I91" s="117">
        <v>1.6</v>
      </c>
      <c r="J91" s="85">
        <v>1.3</v>
      </c>
      <c r="K91" s="117">
        <v>0</v>
      </c>
      <c r="L91" s="85">
        <v>2.7</v>
      </c>
      <c r="M91" s="117">
        <v>1.7</v>
      </c>
      <c r="N91" s="115">
        <v>1.7</v>
      </c>
      <c r="O91" s="115">
        <v>2.8</v>
      </c>
      <c r="P91" s="116">
        <v>2.2999999999999998</v>
      </c>
      <c r="Q91" s="214"/>
      <c r="R91" s="6"/>
    </row>
    <row r="92" spans="1:18">
      <c r="A92" s="6"/>
      <c r="B92" s="213">
        <v>43998</v>
      </c>
      <c r="C92" s="117">
        <v>1.1000000000000001</v>
      </c>
      <c r="D92" s="117">
        <v>3.4</v>
      </c>
      <c r="E92" s="117">
        <v>1.7</v>
      </c>
      <c r="F92" s="85">
        <v>3.3</v>
      </c>
      <c r="G92" s="117">
        <v>2.2000000000000002</v>
      </c>
      <c r="H92" s="85">
        <v>0.5</v>
      </c>
      <c r="I92" s="117">
        <v>1.7</v>
      </c>
      <c r="J92" s="85">
        <v>1.6</v>
      </c>
      <c r="K92" s="117">
        <v>0</v>
      </c>
      <c r="L92" s="85">
        <v>2.6</v>
      </c>
      <c r="M92" s="117">
        <v>2.5</v>
      </c>
      <c r="N92" s="115">
        <v>1.4</v>
      </c>
      <c r="O92" s="115">
        <v>2.5</v>
      </c>
      <c r="P92" s="116">
        <v>2</v>
      </c>
      <c r="Q92" s="214"/>
      <c r="R92" s="6"/>
    </row>
    <row r="93" spans="1:18">
      <c r="A93" s="6"/>
      <c r="B93" s="213">
        <v>43997</v>
      </c>
      <c r="C93" s="117">
        <v>0.9</v>
      </c>
      <c r="D93" s="117">
        <v>3.3</v>
      </c>
      <c r="E93" s="117">
        <v>1.2</v>
      </c>
      <c r="F93" s="85">
        <v>4.0999999999999996</v>
      </c>
      <c r="G93" s="117">
        <v>2.5</v>
      </c>
      <c r="H93" s="85">
        <v>0.6</v>
      </c>
      <c r="I93" s="117">
        <v>1.3</v>
      </c>
      <c r="J93" s="85">
        <v>1.6</v>
      </c>
      <c r="K93" s="117">
        <v>0</v>
      </c>
      <c r="L93" s="85">
        <v>2.2000000000000002</v>
      </c>
      <c r="M93" s="117">
        <v>2.7</v>
      </c>
      <c r="N93" s="115">
        <v>1.2</v>
      </c>
      <c r="O93" s="115">
        <v>2.2000000000000002</v>
      </c>
      <c r="P93" s="116">
        <v>1.7</v>
      </c>
      <c r="Q93" s="214"/>
      <c r="R93" s="6"/>
    </row>
    <row r="94" spans="1:18">
      <c r="A94" s="6"/>
      <c r="B94" s="213">
        <v>43996</v>
      </c>
      <c r="C94" s="117">
        <v>0.8</v>
      </c>
      <c r="D94" s="117">
        <v>2.1</v>
      </c>
      <c r="E94" s="117" t="s">
        <v>99</v>
      </c>
      <c r="F94" s="85">
        <v>2.6</v>
      </c>
      <c r="G94" s="117">
        <v>1.7</v>
      </c>
      <c r="H94" s="85">
        <v>2.7</v>
      </c>
      <c r="I94" s="117">
        <v>1.3</v>
      </c>
      <c r="J94" s="85">
        <v>1.3</v>
      </c>
      <c r="K94" s="117">
        <v>2.6</v>
      </c>
      <c r="L94" s="85">
        <v>3.6</v>
      </c>
      <c r="M94" s="117">
        <v>2</v>
      </c>
      <c r="N94" s="115">
        <v>2.5</v>
      </c>
      <c r="O94" s="115">
        <v>2.6</v>
      </c>
      <c r="P94" s="116">
        <v>0.3</v>
      </c>
      <c r="Q94" s="214"/>
      <c r="R94" s="6"/>
    </row>
    <row r="95" spans="1:18">
      <c r="A95" s="6"/>
      <c r="B95" s="213">
        <v>43995</v>
      </c>
      <c r="C95" s="117">
        <v>0.4</v>
      </c>
      <c r="D95" s="117">
        <v>1.5</v>
      </c>
      <c r="E95" s="117" t="s">
        <v>99</v>
      </c>
      <c r="F95" s="85">
        <v>2.4</v>
      </c>
      <c r="G95" s="117">
        <v>1.4</v>
      </c>
      <c r="H95" s="85">
        <v>2.5</v>
      </c>
      <c r="I95" s="117">
        <v>1.2</v>
      </c>
      <c r="J95" s="85">
        <v>1.2</v>
      </c>
      <c r="K95" s="117">
        <v>5.3</v>
      </c>
      <c r="L95" s="85">
        <v>4</v>
      </c>
      <c r="M95" s="117">
        <v>1.6</v>
      </c>
      <c r="N95" s="115">
        <v>0.2</v>
      </c>
      <c r="O95" s="115">
        <v>2.6</v>
      </c>
      <c r="P95" s="116">
        <v>0.1</v>
      </c>
      <c r="Q95" s="214"/>
      <c r="R95" s="6"/>
    </row>
    <row r="96" spans="1:18">
      <c r="A96" s="6"/>
      <c r="B96" s="213">
        <v>43994</v>
      </c>
      <c r="C96" s="117">
        <v>0.8</v>
      </c>
      <c r="D96" s="117">
        <v>3.6</v>
      </c>
      <c r="E96" s="117" t="s">
        <v>99</v>
      </c>
      <c r="F96" s="85">
        <v>2.6</v>
      </c>
      <c r="G96" s="117">
        <v>2.4</v>
      </c>
      <c r="H96" s="85">
        <v>2.7</v>
      </c>
      <c r="I96" s="117">
        <v>1.2</v>
      </c>
      <c r="J96" s="85">
        <v>1.2</v>
      </c>
      <c r="K96" s="117">
        <v>5.4</v>
      </c>
      <c r="L96" s="85">
        <v>4</v>
      </c>
      <c r="M96" s="117">
        <v>2.7</v>
      </c>
      <c r="N96" s="115">
        <v>0.4</v>
      </c>
      <c r="O96" s="115">
        <v>2.9</v>
      </c>
      <c r="P96" s="116">
        <v>0.4</v>
      </c>
      <c r="Q96" s="214"/>
      <c r="R96" s="6"/>
    </row>
    <row r="97" spans="1:18">
      <c r="A97" s="6"/>
      <c r="B97" s="213">
        <v>43993</v>
      </c>
      <c r="C97" s="117">
        <v>0.3</v>
      </c>
      <c r="D97" s="117">
        <v>2</v>
      </c>
      <c r="E97" s="117" t="s">
        <v>99</v>
      </c>
      <c r="F97" s="85">
        <v>2.6</v>
      </c>
      <c r="G97" s="117">
        <v>1.9</v>
      </c>
      <c r="H97" s="85">
        <v>2.9</v>
      </c>
      <c r="I97" s="117">
        <v>1.2</v>
      </c>
      <c r="J97" s="85">
        <v>1.2</v>
      </c>
      <c r="K97" s="117">
        <v>6.4</v>
      </c>
      <c r="L97" s="85" t="s">
        <v>1956</v>
      </c>
      <c r="M97" s="117">
        <v>2.6</v>
      </c>
      <c r="N97" s="115">
        <v>0.4</v>
      </c>
      <c r="O97" s="115">
        <v>2.9</v>
      </c>
      <c r="P97" s="116">
        <v>0</v>
      </c>
      <c r="Q97" s="214"/>
      <c r="R97" s="6"/>
    </row>
    <row r="98" spans="1:18">
      <c r="A98" s="6"/>
      <c r="B98" s="213">
        <v>43992</v>
      </c>
      <c r="C98" s="117">
        <v>2</v>
      </c>
      <c r="D98" s="117">
        <v>8.1999999999999993</v>
      </c>
      <c r="E98" s="117" t="s">
        <v>99</v>
      </c>
      <c r="F98" s="85">
        <v>4.3</v>
      </c>
      <c r="G98" s="117">
        <v>-11.4</v>
      </c>
      <c r="H98" s="85">
        <v>-0.6</v>
      </c>
      <c r="I98" s="117">
        <v>4.5999999999999996</v>
      </c>
      <c r="J98" s="85">
        <v>1.3</v>
      </c>
      <c r="K98" s="117">
        <v>1.1000000000000001</v>
      </c>
      <c r="L98" s="85">
        <v>15.2</v>
      </c>
      <c r="M98" s="117">
        <v>-9</v>
      </c>
      <c r="N98" s="115">
        <v>-4.3</v>
      </c>
      <c r="O98" s="115">
        <v>1</v>
      </c>
      <c r="P98" s="116">
        <v>0.5</v>
      </c>
      <c r="Q98" s="214"/>
      <c r="R98" s="6"/>
    </row>
    <row r="99" spans="1:18">
      <c r="A99" s="6"/>
      <c r="B99" s="213">
        <v>43991</v>
      </c>
      <c r="C99" s="117">
        <v>1.4</v>
      </c>
      <c r="D99" s="117">
        <v>4.5999999999999996</v>
      </c>
      <c r="E99" s="117" t="s">
        <v>99</v>
      </c>
      <c r="F99" s="85">
        <v>3.1</v>
      </c>
      <c r="G99" s="117">
        <v>-4.2</v>
      </c>
      <c r="H99" s="85">
        <v>1.2</v>
      </c>
      <c r="I99" s="117">
        <v>2.8</v>
      </c>
      <c r="J99" s="85">
        <v>1.3</v>
      </c>
      <c r="K99" s="117">
        <v>1.7</v>
      </c>
      <c r="L99" s="85">
        <v>8.6</v>
      </c>
      <c r="M99" s="117">
        <v>-3</v>
      </c>
      <c r="N99" s="115">
        <v>-0.7</v>
      </c>
      <c r="O99" s="115">
        <v>1.6</v>
      </c>
      <c r="P99" s="116">
        <v>1.1000000000000001</v>
      </c>
      <c r="Q99" s="214"/>
      <c r="R99" s="6"/>
    </row>
    <row r="100" spans="1:18">
      <c r="A100" s="6"/>
      <c r="B100" s="213">
        <v>43990</v>
      </c>
      <c r="C100" s="117">
        <v>1.3</v>
      </c>
      <c r="D100" s="117">
        <v>4</v>
      </c>
      <c r="E100" s="117" t="s">
        <v>99</v>
      </c>
      <c r="F100" s="85">
        <v>2.9</v>
      </c>
      <c r="G100" s="117">
        <v>-3</v>
      </c>
      <c r="H100" s="85">
        <v>1.5</v>
      </c>
      <c r="I100" s="117">
        <v>2.5</v>
      </c>
      <c r="J100" s="85">
        <v>1.3</v>
      </c>
      <c r="K100" s="117">
        <v>1.8</v>
      </c>
      <c r="L100" s="85">
        <v>7.5</v>
      </c>
      <c r="M100" s="117">
        <v>-2</v>
      </c>
      <c r="N100" s="115">
        <v>-0.1</v>
      </c>
      <c r="O100" s="115">
        <v>1.7</v>
      </c>
      <c r="P100" s="116">
        <v>1.2</v>
      </c>
      <c r="Q100" s="214"/>
      <c r="R100" s="6"/>
    </row>
    <row r="101" spans="1:18">
      <c r="A101" s="6"/>
      <c r="B101" s="213">
        <v>43989</v>
      </c>
      <c r="C101" s="117">
        <v>1.2</v>
      </c>
      <c r="D101" s="117">
        <v>3.4</v>
      </c>
      <c r="E101" s="117" t="s">
        <v>99</v>
      </c>
      <c r="F101" s="85">
        <v>2.7</v>
      </c>
      <c r="G101" s="117">
        <v>-1.8</v>
      </c>
      <c r="H101" s="85">
        <v>1.8</v>
      </c>
      <c r="I101" s="117">
        <v>2.2000000000000002</v>
      </c>
      <c r="J101" s="85">
        <v>1.3</v>
      </c>
      <c r="K101" s="117">
        <v>1.9</v>
      </c>
      <c r="L101" s="85">
        <v>6.4</v>
      </c>
      <c r="M101" s="117">
        <v>-1</v>
      </c>
      <c r="N101" s="115">
        <v>0.5</v>
      </c>
      <c r="O101" s="115">
        <v>1.8</v>
      </c>
      <c r="P101" s="116">
        <v>1.3</v>
      </c>
      <c r="Q101" s="214"/>
      <c r="R101" s="6"/>
    </row>
    <row r="102" spans="1:18">
      <c r="A102" s="6"/>
      <c r="B102" s="213">
        <v>43988</v>
      </c>
      <c r="C102" s="117">
        <v>1.1000000000000001</v>
      </c>
      <c r="D102" s="117">
        <v>2.8</v>
      </c>
      <c r="E102" s="117" t="s">
        <v>99</v>
      </c>
      <c r="F102" s="85">
        <v>2.5</v>
      </c>
      <c r="G102" s="117">
        <v>-0.6</v>
      </c>
      <c r="H102" s="85">
        <v>2.1</v>
      </c>
      <c r="I102" s="117">
        <v>1.9</v>
      </c>
      <c r="J102" s="85">
        <v>1.3</v>
      </c>
      <c r="K102" s="117">
        <v>2</v>
      </c>
      <c r="L102" s="85">
        <v>5.3</v>
      </c>
      <c r="M102" s="117">
        <v>0</v>
      </c>
      <c r="N102" s="115">
        <v>1.1000000000000001</v>
      </c>
      <c r="O102" s="115">
        <v>1.9</v>
      </c>
      <c r="P102" s="116">
        <v>1.4</v>
      </c>
      <c r="Q102" s="214"/>
      <c r="R102" s="6"/>
    </row>
    <row r="103" spans="1:18">
      <c r="A103" s="6"/>
      <c r="B103" s="213">
        <v>43987</v>
      </c>
      <c r="C103" s="117">
        <v>1</v>
      </c>
      <c r="D103" s="117">
        <v>2.2000000000000002</v>
      </c>
      <c r="E103" s="117" t="s">
        <v>99</v>
      </c>
      <c r="F103" s="85">
        <v>2.2999999999999998</v>
      </c>
      <c r="G103" s="117">
        <v>0.6</v>
      </c>
      <c r="H103" s="85">
        <v>2.4</v>
      </c>
      <c r="I103" s="117">
        <v>1.6</v>
      </c>
      <c r="J103" s="85">
        <v>1.3</v>
      </c>
      <c r="K103" s="117">
        <v>2.1</v>
      </c>
      <c r="L103" s="85">
        <v>4.2</v>
      </c>
      <c r="M103" s="117">
        <v>1</v>
      </c>
      <c r="N103" s="115">
        <v>1.7</v>
      </c>
      <c r="O103" s="115">
        <v>2</v>
      </c>
      <c r="P103" s="116">
        <v>1.5</v>
      </c>
      <c r="Q103" s="214"/>
      <c r="R103" s="6"/>
    </row>
    <row r="104" spans="1:18">
      <c r="A104" s="6"/>
      <c r="B104" s="213">
        <v>43986</v>
      </c>
      <c r="C104" s="117">
        <v>0.9</v>
      </c>
      <c r="D104" s="117">
        <v>1.6</v>
      </c>
      <c r="E104" s="117" t="s">
        <v>99</v>
      </c>
      <c r="F104" s="85">
        <v>2.1</v>
      </c>
      <c r="G104" s="117">
        <v>1.8</v>
      </c>
      <c r="H104" s="85">
        <v>2.7</v>
      </c>
      <c r="I104" s="117">
        <v>1.3</v>
      </c>
      <c r="J104" s="85">
        <v>1.3</v>
      </c>
      <c r="K104" s="117">
        <v>2.2000000000000002</v>
      </c>
      <c r="L104" s="85">
        <v>3.1</v>
      </c>
      <c r="M104" s="117">
        <v>2</v>
      </c>
      <c r="N104" s="115">
        <v>2.2999999999999998</v>
      </c>
      <c r="O104" s="115">
        <v>2.1</v>
      </c>
      <c r="P104" s="116">
        <v>1.6</v>
      </c>
      <c r="Q104" s="214"/>
      <c r="R104" s="6"/>
    </row>
    <row r="105" spans="1:18">
      <c r="A105" s="6"/>
      <c r="B105" s="213">
        <v>43985</v>
      </c>
      <c r="C105" s="117">
        <v>0.8</v>
      </c>
      <c r="D105" s="117">
        <v>2.1</v>
      </c>
      <c r="E105" s="117" t="s">
        <v>99</v>
      </c>
      <c r="F105" s="85">
        <v>2.6</v>
      </c>
      <c r="G105" s="117">
        <v>1.7</v>
      </c>
      <c r="H105" s="85">
        <v>2.7</v>
      </c>
      <c r="I105" s="117">
        <v>1.3</v>
      </c>
      <c r="J105" s="85">
        <v>1.3</v>
      </c>
      <c r="K105" s="117">
        <v>2.6</v>
      </c>
      <c r="L105" s="85">
        <v>3.6</v>
      </c>
      <c r="M105" s="117">
        <v>2</v>
      </c>
      <c r="N105" s="115">
        <v>2.5</v>
      </c>
      <c r="O105" s="115">
        <v>2.6</v>
      </c>
      <c r="P105" s="116">
        <v>0.3</v>
      </c>
      <c r="Q105" s="214"/>
      <c r="R105" s="6"/>
    </row>
    <row r="106" spans="1:18">
      <c r="A106" s="6"/>
      <c r="B106" s="213">
        <v>43984</v>
      </c>
      <c r="C106" s="117">
        <v>0.4</v>
      </c>
      <c r="D106" s="117">
        <v>1.5</v>
      </c>
      <c r="E106" s="117" t="s">
        <v>99</v>
      </c>
      <c r="F106" s="85">
        <v>2.4</v>
      </c>
      <c r="G106" s="117">
        <v>1.4</v>
      </c>
      <c r="H106" s="85">
        <v>2.5</v>
      </c>
      <c r="I106" s="117">
        <v>1.2</v>
      </c>
      <c r="J106" s="85">
        <v>1.2</v>
      </c>
      <c r="K106" s="117">
        <v>5.3</v>
      </c>
      <c r="L106" s="85">
        <v>4</v>
      </c>
      <c r="M106" s="117">
        <v>1.6</v>
      </c>
      <c r="N106" s="115">
        <v>0.2</v>
      </c>
      <c r="O106" s="115">
        <v>2.6</v>
      </c>
      <c r="P106" s="116">
        <v>0.1</v>
      </c>
      <c r="Q106" s="214"/>
      <c r="R106" s="6"/>
    </row>
    <row r="107" spans="1:18">
      <c r="A107" s="6"/>
      <c r="B107" s="213">
        <v>43983</v>
      </c>
      <c r="C107" s="117">
        <v>0.8</v>
      </c>
      <c r="D107" s="117">
        <v>3.6</v>
      </c>
      <c r="E107" s="117" t="s">
        <v>99</v>
      </c>
      <c r="F107" s="85">
        <v>2.6</v>
      </c>
      <c r="G107" s="117">
        <v>2.4</v>
      </c>
      <c r="H107" s="85">
        <v>2.7</v>
      </c>
      <c r="I107" s="117">
        <v>1.2</v>
      </c>
      <c r="J107" s="85">
        <v>1.2</v>
      </c>
      <c r="K107" s="117">
        <v>5.4</v>
      </c>
      <c r="L107" s="85">
        <v>4</v>
      </c>
      <c r="M107" s="117">
        <v>2.7</v>
      </c>
      <c r="N107" s="115">
        <v>0.4</v>
      </c>
      <c r="O107" s="115">
        <v>2.9</v>
      </c>
      <c r="P107" s="116">
        <v>0.4</v>
      </c>
      <c r="Q107" s="214"/>
      <c r="R107" s="6"/>
    </row>
    <row r="108" spans="1:18">
      <c r="A108" s="6"/>
      <c r="B108" s="213">
        <v>43982</v>
      </c>
      <c r="C108" s="117">
        <v>0.3</v>
      </c>
      <c r="D108" s="117">
        <v>2</v>
      </c>
      <c r="E108" s="117" t="s">
        <v>99</v>
      </c>
      <c r="F108" s="85">
        <v>2.6</v>
      </c>
      <c r="G108" s="117">
        <v>1.9</v>
      </c>
      <c r="H108" s="85">
        <v>2.9</v>
      </c>
      <c r="I108" s="117">
        <v>1.2</v>
      </c>
      <c r="J108" s="85">
        <v>1.2</v>
      </c>
      <c r="K108" s="117">
        <v>6.4</v>
      </c>
      <c r="L108" s="85" t="s">
        <v>1956</v>
      </c>
      <c r="M108" s="117">
        <v>2.6</v>
      </c>
      <c r="N108" s="115">
        <v>0.4</v>
      </c>
      <c r="O108" s="115">
        <v>2.9</v>
      </c>
      <c r="P108" s="116">
        <v>0</v>
      </c>
      <c r="Q108" s="214"/>
      <c r="R108" s="6"/>
    </row>
    <row r="109" spans="1:18">
      <c r="A109" s="6"/>
      <c r="B109" s="213">
        <v>43981</v>
      </c>
      <c r="C109" s="117">
        <v>0.9</v>
      </c>
      <c r="D109" s="117">
        <v>1.6</v>
      </c>
      <c r="E109" s="117" t="s">
        <v>99</v>
      </c>
      <c r="F109" s="85">
        <v>2.1</v>
      </c>
      <c r="G109" s="117">
        <v>1.8</v>
      </c>
      <c r="H109" s="85">
        <v>2.7</v>
      </c>
      <c r="I109" s="117">
        <v>1.3</v>
      </c>
      <c r="J109" s="85">
        <v>1.3</v>
      </c>
      <c r="K109" s="117">
        <v>2.2000000000000002</v>
      </c>
      <c r="L109" s="85">
        <v>3.1</v>
      </c>
      <c r="M109" s="117">
        <v>2</v>
      </c>
      <c r="N109" s="115">
        <v>2.2999999999999998</v>
      </c>
      <c r="O109" s="115">
        <v>2.1</v>
      </c>
      <c r="P109" s="116">
        <v>1.6</v>
      </c>
      <c r="Q109" s="214"/>
      <c r="R109" s="6"/>
    </row>
    <row r="110" spans="1:18">
      <c r="A110" s="6"/>
      <c r="B110" s="213">
        <v>43980</v>
      </c>
      <c r="C110" s="117">
        <v>0.8</v>
      </c>
      <c r="D110" s="117">
        <v>2.1</v>
      </c>
      <c r="E110" s="117" t="s">
        <v>99</v>
      </c>
      <c r="F110" s="85">
        <v>2.6</v>
      </c>
      <c r="G110" s="117">
        <v>1.7</v>
      </c>
      <c r="H110" s="85">
        <v>2.7</v>
      </c>
      <c r="I110" s="117">
        <v>1.3</v>
      </c>
      <c r="J110" s="85">
        <v>1.3</v>
      </c>
      <c r="K110" s="117">
        <v>2.6</v>
      </c>
      <c r="L110" s="85">
        <v>3.6</v>
      </c>
      <c r="M110" s="117">
        <v>2</v>
      </c>
      <c r="N110" s="115">
        <v>2.5</v>
      </c>
      <c r="O110" s="115">
        <v>2.6</v>
      </c>
      <c r="P110" s="116">
        <v>0.3</v>
      </c>
      <c r="Q110" s="214"/>
      <c r="R110" s="6"/>
    </row>
    <row r="111" spans="1:18">
      <c r="A111" s="6"/>
      <c r="B111" s="213">
        <v>43979</v>
      </c>
      <c r="C111" s="117">
        <v>0.4</v>
      </c>
      <c r="D111" s="117">
        <v>1.5</v>
      </c>
      <c r="E111" s="117" t="s">
        <v>99</v>
      </c>
      <c r="F111" s="85">
        <v>2.4</v>
      </c>
      <c r="G111" s="117">
        <v>1.4</v>
      </c>
      <c r="H111" s="85">
        <v>2.5</v>
      </c>
      <c r="I111" s="117">
        <v>1.2</v>
      </c>
      <c r="J111" s="85">
        <v>1.2</v>
      </c>
      <c r="K111" s="117">
        <v>5.3</v>
      </c>
      <c r="L111" s="85">
        <v>4</v>
      </c>
      <c r="M111" s="117">
        <v>1.6</v>
      </c>
      <c r="N111" s="115">
        <v>0.2</v>
      </c>
      <c r="O111" s="115">
        <v>2.6</v>
      </c>
      <c r="P111" s="116">
        <v>0.1</v>
      </c>
      <c r="Q111" s="214"/>
      <c r="R111" s="6"/>
    </row>
    <row r="112" spans="1:18">
      <c r="A112" s="6"/>
      <c r="B112" s="213">
        <v>43978</v>
      </c>
      <c r="C112" s="117">
        <v>0.8</v>
      </c>
      <c r="D112" s="117">
        <v>3.6</v>
      </c>
      <c r="E112" s="117" t="s">
        <v>99</v>
      </c>
      <c r="F112" s="85">
        <v>2.6</v>
      </c>
      <c r="G112" s="117">
        <v>2.4</v>
      </c>
      <c r="H112" s="85">
        <v>2.7</v>
      </c>
      <c r="I112" s="117">
        <v>1.2</v>
      </c>
      <c r="J112" s="85">
        <v>1.2</v>
      </c>
      <c r="K112" s="117">
        <v>5.4</v>
      </c>
      <c r="L112" s="85">
        <v>4</v>
      </c>
      <c r="M112" s="117">
        <v>2.7</v>
      </c>
      <c r="N112" s="115">
        <v>0.4</v>
      </c>
      <c r="O112" s="115">
        <v>2.9</v>
      </c>
      <c r="P112" s="116">
        <v>0.4</v>
      </c>
      <c r="Q112" s="214"/>
      <c r="R112" s="6"/>
    </row>
    <row r="113" spans="1:18">
      <c r="A113" s="6"/>
      <c r="B113" s="213">
        <v>43977</v>
      </c>
      <c r="C113" s="117">
        <v>0.3</v>
      </c>
      <c r="D113" s="117">
        <v>2</v>
      </c>
      <c r="E113" s="117" t="s">
        <v>99</v>
      </c>
      <c r="F113" s="85">
        <v>2.6</v>
      </c>
      <c r="G113" s="117">
        <v>1.9</v>
      </c>
      <c r="H113" s="85">
        <v>2.9</v>
      </c>
      <c r="I113" s="117">
        <v>1.2</v>
      </c>
      <c r="J113" s="85">
        <v>1.2</v>
      </c>
      <c r="K113" s="117">
        <v>6.4</v>
      </c>
      <c r="L113" s="85" t="s">
        <v>1956</v>
      </c>
      <c r="M113" s="117">
        <v>2.6</v>
      </c>
      <c r="N113" s="115">
        <v>0.4</v>
      </c>
      <c r="O113" s="115">
        <v>2.9</v>
      </c>
      <c r="P113" s="116">
        <v>0</v>
      </c>
      <c r="Q113" s="214"/>
      <c r="R113" s="6"/>
    </row>
    <row r="114" spans="1:18">
      <c r="A114" s="6"/>
      <c r="B114" s="213">
        <v>43976</v>
      </c>
      <c r="C114" s="117">
        <v>1.3</v>
      </c>
      <c r="D114" s="117">
        <v>2.8</v>
      </c>
      <c r="E114" s="117" t="s">
        <v>99</v>
      </c>
      <c r="F114" s="85">
        <v>3.4</v>
      </c>
      <c r="G114" s="117">
        <v>1.7</v>
      </c>
      <c r="H114" s="85">
        <v>1.9</v>
      </c>
      <c r="I114" s="117">
        <v>1.2</v>
      </c>
      <c r="J114" s="85">
        <v>1.2</v>
      </c>
      <c r="K114" s="117">
        <v>7.4</v>
      </c>
      <c r="L114" s="85" t="s">
        <v>1956</v>
      </c>
      <c r="M114" s="117">
        <v>2.2999999999999998</v>
      </c>
      <c r="N114" s="115">
        <v>1.3</v>
      </c>
      <c r="O114" s="115">
        <v>3</v>
      </c>
      <c r="P114" s="116">
        <v>3.4</v>
      </c>
      <c r="Q114" s="214"/>
      <c r="R114" s="6"/>
    </row>
    <row r="115" spans="1:18">
      <c r="A115" s="6"/>
      <c r="B115" s="213">
        <v>43975</v>
      </c>
      <c r="C115" s="117">
        <v>1.1000000000000001</v>
      </c>
      <c r="D115" s="117">
        <v>2.2999999999999998</v>
      </c>
      <c r="E115" s="117" t="s">
        <v>99</v>
      </c>
      <c r="F115" s="85">
        <v>0.3</v>
      </c>
      <c r="G115" s="117">
        <v>1.8</v>
      </c>
      <c r="H115" s="85">
        <v>3.1</v>
      </c>
      <c r="I115" s="117">
        <v>1.3</v>
      </c>
      <c r="J115" s="85">
        <v>1.3</v>
      </c>
      <c r="K115" s="117">
        <v>6.6</v>
      </c>
      <c r="L115" s="85" t="s">
        <v>1956</v>
      </c>
      <c r="M115" s="117">
        <v>2.1</v>
      </c>
      <c r="N115" s="115">
        <v>0.6</v>
      </c>
      <c r="O115" s="115">
        <v>0.5</v>
      </c>
      <c r="P115" s="116">
        <v>0</v>
      </c>
      <c r="Q115" s="214"/>
      <c r="R115" s="6"/>
    </row>
    <row r="116" spans="1:18">
      <c r="A116" s="6"/>
      <c r="B116" s="213">
        <v>43974</v>
      </c>
      <c r="C116" s="117">
        <v>1.1000000000000001</v>
      </c>
      <c r="D116" s="117">
        <v>2.2999999999999998</v>
      </c>
      <c r="E116" s="117" t="s">
        <v>99</v>
      </c>
      <c r="F116" s="85">
        <v>0.5</v>
      </c>
      <c r="G116" s="117">
        <v>1.8</v>
      </c>
      <c r="H116" s="85">
        <v>3.2</v>
      </c>
      <c r="I116" s="117">
        <v>1.3</v>
      </c>
      <c r="J116" s="85">
        <v>1.3</v>
      </c>
      <c r="K116" s="117">
        <v>7.7</v>
      </c>
      <c r="L116" s="85" t="s">
        <v>1956</v>
      </c>
      <c r="M116" s="117">
        <v>2.1</v>
      </c>
      <c r="N116" s="115">
        <v>0.7</v>
      </c>
      <c r="O116" s="115">
        <v>0.5</v>
      </c>
      <c r="P116" s="116">
        <v>0.3</v>
      </c>
      <c r="Q116" s="214"/>
      <c r="R116" s="6"/>
    </row>
    <row r="117" spans="1:18">
      <c r="A117" s="6"/>
      <c r="B117" s="213">
        <v>43973</v>
      </c>
      <c r="C117" s="117">
        <v>0.8</v>
      </c>
      <c r="D117" s="117">
        <v>1.9</v>
      </c>
      <c r="E117" s="117" t="s">
        <v>99</v>
      </c>
      <c r="F117" s="85">
        <v>0.3</v>
      </c>
      <c r="G117" s="117">
        <v>1.2</v>
      </c>
      <c r="H117" s="85">
        <v>3.2</v>
      </c>
      <c r="I117" s="117">
        <v>1.3</v>
      </c>
      <c r="J117" s="85">
        <v>1.3</v>
      </c>
      <c r="K117" s="117">
        <v>6.1</v>
      </c>
      <c r="L117" s="85">
        <v>4.9000000000000004</v>
      </c>
      <c r="M117" s="117">
        <v>1.6</v>
      </c>
      <c r="N117" s="115">
        <v>0.9</v>
      </c>
      <c r="O117" s="115">
        <v>0.5</v>
      </c>
      <c r="P117" s="116">
        <v>0</v>
      </c>
      <c r="Q117" s="214"/>
      <c r="R117" s="6"/>
    </row>
    <row r="118" spans="1:18">
      <c r="A118" s="6"/>
      <c r="B118" s="213">
        <v>43972</v>
      </c>
      <c r="C118" s="117">
        <v>0.8</v>
      </c>
      <c r="D118" s="117">
        <v>2</v>
      </c>
      <c r="E118" s="117" t="s">
        <v>99</v>
      </c>
      <c r="F118" s="85">
        <v>0.7</v>
      </c>
      <c r="G118" s="117">
        <v>1.8</v>
      </c>
      <c r="H118" s="85">
        <v>3.4</v>
      </c>
      <c r="I118" s="117">
        <v>1.3</v>
      </c>
      <c r="J118" s="85">
        <v>1.1000000000000001</v>
      </c>
      <c r="K118" s="117" t="s">
        <v>99</v>
      </c>
      <c r="L118" s="85" t="s">
        <v>99</v>
      </c>
      <c r="M118" s="117">
        <v>1.9</v>
      </c>
      <c r="N118" s="115">
        <v>0.7</v>
      </c>
      <c r="O118" s="115">
        <v>0.7</v>
      </c>
      <c r="P118" s="116">
        <v>0.7</v>
      </c>
      <c r="Q118" s="214"/>
      <c r="R118" s="6"/>
    </row>
    <row r="119" spans="1:18">
      <c r="A119" s="6"/>
      <c r="B119" s="213">
        <v>43971</v>
      </c>
      <c r="C119" s="117">
        <v>0.8</v>
      </c>
      <c r="D119" s="117">
        <v>2.2000000000000002</v>
      </c>
      <c r="E119" s="117" t="s">
        <v>99</v>
      </c>
      <c r="F119" s="85">
        <v>0.5</v>
      </c>
      <c r="G119" s="117">
        <v>2</v>
      </c>
      <c r="H119" s="85">
        <v>3.7</v>
      </c>
      <c r="I119" s="117">
        <v>1.3</v>
      </c>
      <c r="J119" s="85">
        <v>1.3</v>
      </c>
      <c r="K119" s="117" t="s">
        <v>99</v>
      </c>
      <c r="L119" s="85" t="s">
        <v>99</v>
      </c>
      <c r="M119" s="117">
        <v>1.8</v>
      </c>
      <c r="N119" s="115">
        <v>0.1</v>
      </c>
      <c r="O119" s="115">
        <v>0.8</v>
      </c>
      <c r="P119" s="116">
        <v>0.4</v>
      </c>
      <c r="Q119" s="214"/>
      <c r="R119" s="6"/>
    </row>
    <row r="120" spans="1:18">
      <c r="A120" s="6"/>
      <c r="B120" s="213">
        <v>43970</v>
      </c>
      <c r="C120" s="117">
        <v>0.9</v>
      </c>
      <c r="D120" s="117">
        <v>1.4</v>
      </c>
      <c r="E120" s="117" t="s">
        <v>99</v>
      </c>
      <c r="F120" s="85">
        <v>0.5</v>
      </c>
      <c r="G120" s="117">
        <v>2.2000000000000002</v>
      </c>
      <c r="H120" s="85">
        <v>3.5</v>
      </c>
      <c r="I120" s="117">
        <v>1.1000000000000001</v>
      </c>
      <c r="J120" s="85">
        <v>1.1000000000000001</v>
      </c>
      <c r="K120" s="117">
        <v>8.3000000000000007</v>
      </c>
      <c r="L120" s="85">
        <v>7.7</v>
      </c>
      <c r="M120" s="117">
        <v>0.2</v>
      </c>
      <c r="N120" s="115">
        <v>0.3</v>
      </c>
      <c r="O120" s="115">
        <v>0.8</v>
      </c>
      <c r="P120" s="116">
        <v>0.5</v>
      </c>
      <c r="Q120" s="214"/>
      <c r="R120" s="6"/>
    </row>
    <row r="121" spans="1:18">
      <c r="A121" s="6"/>
      <c r="B121" s="213">
        <v>43969</v>
      </c>
      <c r="C121" s="117">
        <v>0.7</v>
      </c>
      <c r="D121" s="117">
        <v>0.8</v>
      </c>
      <c r="E121" s="117" t="s">
        <v>99</v>
      </c>
      <c r="F121" s="85">
        <v>0.9</v>
      </c>
      <c r="G121" s="117">
        <v>1.8</v>
      </c>
      <c r="H121" s="85">
        <v>2.8</v>
      </c>
      <c r="I121" s="117">
        <v>1.6</v>
      </c>
      <c r="J121" s="85">
        <v>1.6</v>
      </c>
      <c r="K121" s="117">
        <v>8.3000000000000007</v>
      </c>
      <c r="L121" s="85">
        <v>7.7</v>
      </c>
      <c r="M121" s="117">
        <v>1.5</v>
      </c>
      <c r="N121" s="115">
        <v>0.4</v>
      </c>
      <c r="O121" s="115">
        <v>1.1000000000000001</v>
      </c>
      <c r="P121" s="116">
        <v>0.5</v>
      </c>
      <c r="Q121" s="214"/>
      <c r="R121" s="6"/>
    </row>
    <row r="122" spans="1:18">
      <c r="A122" s="6"/>
      <c r="B122" s="213">
        <v>43968</v>
      </c>
      <c r="C122" s="117">
        <v>1.1000000000000001</v>
      </c>
      <c r="D122" s="117">
        <v>2.2000000000000002</v>
      </c>
      <c r="E122" s="117" t="s">
        <v>99</v>
      </c>
      <c r="F122" s="85">
        <v>1</v>
      </c>
      <c r="G122" s="117">
        <v>1.5</v>
      </c>
      <c r="H122" s="85">
        <v>3.3</v>
      </c>
      <c r="I122" s="117">
        <v>1</v>
      </c>
      <c r="J122" s="85">
        <v>1.1000000000000001</v>
      </c>
      <c r="K122" s="117" t="s">
        <v>99</v>
      </c>
      <c r="L122" s="85" t="s">
        <v>99</v>
      </c>
      <c r="M122" s="117">
        <v>1</v>
      </c>
      <c r="N122" s="115">
        <v>0.6</v>
      </c>
      <c r="O122" s="115">
        <v>1.3</v>
      </c>
      <c r="P122" s="116">
        <v>0.7</v>
      </c>
      <c r="Q122" s="214"/>
      <c r="R122" s="6"/>
    </row>
    <row r="123" spans="1:18">
      <c r="A123" s="6"/>
      <c r="B123" s="213">
        <v>43967</v>
      </c>
      <c r="C123" s="117">
        <v>0.8</v>
      </c>
      <c r="D123" s="117">
        <v>2.5</v>
      </c>
      <c r="E123" s="117" t="s">
        <v>99</v>
      </c>
      <c r="F123" s="85">
        <v>1.2</v>
      </c>
      <c r="G123" s="117">
        <v>2.6</v>
      </c>
      <c r="H123" s="85">
        <v>3.6</v>
      </c>
      <c r="I123" s="117">
        <v>1.6</v>
      </c>
      <c r="J123" s="85">
        <v>1.6</v>
      </c>
      <c r="K123" s="117" t="s">
        <v>99</v>
      </c>
      <c r="L123" s="85" t="s">
        <v>99</v>
      </c>
      <c r="M123" s="117">
        <v>1.9</v>
      </c>
      <c r="N123" s="115">
        <v>0.5</v>
      </c>
      <c r="O123" s="115">
        <v>1.2</v>
      </c>
      <c r="P123" s="116">
        <v>0.5</v>
      </c>
      <c r="Q123" s="214"/>
      <c r="R123" s="6"/>
    </row>
    <row r="124" spans="1:18">
      <c r="A124" s="6"/>
      <c r="B124" s="213">
        <v>43966</v>
      </c>
      <c r="C124" s="117">
        <v>1.5</v>
      </c>
      <c r="D124" s="117">
        <v>2.2999999999999998</v>
      </c>
      <c r="E124" s="117" t="s">
        <v>99</v>
      </c>
      <c r="F124" s="85">
        <v>1</v>
      </c>
      <c r="G124" s="117">
        <v>2.6</v>
      </c>
      <c r="H124" s="85">
        <v>4</v>
      </c>
      <c r="I124" s="117">
        <v>1.1000000000000001</v>
      </c>
      <c r="J124" s="85">
        <v>1.3</v>
      </c>
      <c r="K124" s="117" t="s">
        <v>99</v>
      </c>
      <c r="L124" s="85" t="s">
        <v>99</v>
      </c>
      <c r="M124" s="117">
        <v>2.4</v>
      </c>
      <c r="N124" s="115">
        <v>1</v>
      </c>
      <c r="O124" s="115">
        <v>1.6</v>
      </c>
      <c r="P124" s="116">
        <v>0.7</v>
      </c>
      <c r="Q124" s="214"/>
      <c r="R124" s="6"/>
    </row>
    <row r="125" spans="1:18">
      <c r="A125" s="6"/>
      <c r="B125" s="213">
        <v>43965</v>
      </c>
      <c r="C125" s="117"/>
      <c r="D125" s="117">
        <v>2.2000000000000002</v>
      </c>
      <c r="E125" s="117">
        <v>0</v>
      </c>
      <c r="F125" s="85">
        <v>1.3</v>
      </c>
      <c r="G125" s="117">
        <v>1.9</v>
      </c>
      <c r="H125" s="85">
        <v>3.6</v>
      </c>
      <c r="I125" s="117">
        <v>1.3</v>
      </c>
      <c r="J125" s="85">
        <v>1.6</v>
      </c>
      <c r="K125" s="117" t="s">
        <v>99</v>
      </c>
      <c r="L125" s="85" t="s">
        <v>99</v>
      </c>
      <c r="M125" s="117">
        <v>2.4</v>
      </c>
      <c r="N125" s="115">
        <v>0.8</v>
      </c>
      <c r="O125" s="115">
        <v>1.3</v>
      </c>
      <c r="P125" s="116">
        <v>0.6</v>
      </c>
      <c r="Q125" s="214"/>
      <c r="R125" s="6"/>
    </row>
    <row r="126" spans="1:18">
      <c r="A126" s="6"/>
      <c r="B126" s="213">
        <v>43964</v>
      </c>
      <c r="C126" s="117">
        <v>0.7</v>
      </c>
      <c r="D126" s="117">
        <v>2.2000000000000002</v>
      </c>
      <c r="E126" s="117" t="s">
        <v>99</v>
      </c>
      <c r="F126" s="85">
        <v>2.5</v>
      </c>
      <c r="G126" s="117">
        <v>1.8</v>
      </c>
      <c r="H126" s="85">
        <v>2.2999999999999998</v>
      </c>
      <c r="I126" s="117">
        <v>1.2</v>
      </c>
      <c r="J126" s="85">
        <v>1.2</v>
      </c>
      <c r="K126" s="117">
        <v>2</v>
      </c>
      <c r="L126" s="85">
        <v>3.7</v>
      </c>
      <c r="M126" s="117">
        <v>2.6</v>
      </c>
      <c r="N126" s="115">
        <v>2.2999999999999998</v>
      </c>
      <c r="O126" s="115">
        <v>2.7</v>
      </c>
      <c r="P126" s="116">
        <v>2.2999999999999998</v>
      </c>
      <c r="Q126" s="214"/>
      <c r="R126" s="6"/>
    </row>
    <row r="127" spans="1:18">
      <c r="A127" s="6"/>
      <c r="B127" s="213">
        <v>43963</v>
      </c>
      <c r="C127" s="117">
        <v>1</v>
      </c>
      <c r="D127" s="117">
        <v>2.2000000000000002</v>
      </c>
      <c r="E127" s="117" t="s">
        <v>99</v>
      </c>
      <c r="F127" s="85">
        <v>2.2999999999999998</v>
      </c>
      <c r="G127" s="117">
        <v>0.6</v>
      </c>
      <c r="H127" s="85">
        <v>2.4</v>
      </c>
      <c r="I127" s="117">
        <v>1.6</v>
      </c>
      <c r="J127" s="85">
        <v>1.3</v>
      </c>
      <c r="K127" s="117">
        <v>2.1</v>
      </c>
      <c r="L127" s="85">
        <v>4.2</v>
      </c>
      <c r="M127" s="117">
        <v>1</v>
      </c>
      <c r="N127" s="115">
        <v>1.7</v>
      </c>
      <c r="O127" s="115">
        <v>2</v>
      </c>
      <c r="P127" s="116">
        <v>1.5</v>
      </c>
      <c r="Q127" s="214" t="s">
        <v>2029</v>
      </c>
      <c r="R127" s="6"/>
    </row>
    <row r="128" spans="1:18">
      <c r="A128" s="6"/>
      <c r="B128" s="213">
        <v>43962</v>
      </c>
      <c r="C128" s="117">
        <v>0.9</v>
      </c>
      <c r="D128" s="117">
        <v>1.6</v>
      </c>
      <c r="E128" s="117" t="s">
        <v>99</v>
      </c>
      <c r="F128" s="85">
        <v>2.1</v>
      </c>
      <c r="G128" s="117">
        <v>1.8</v>
      </c>
      <c r="H128" s="85">
        <v>2.7</v>
      </c>
      <c r="I128" s="117">
        <v>1.3</v>
      </c>
      <c r="J128" s="85">
        <v>1.3</v>
      </c>
      <c r="K128" s="117">
        <v>2.2000000000000002</v>
      </c>
      <c r="L128" s="85">
        <v>3.1</v>
      </c>
      <c r="M128" s="117">
        <v>2</v>
      </c>
      <c r="N128" s="115">
        <v>2.2999999999999998</v>
      </c>
      <c r="O128" s="115">
        <v>2.1</v>
      </c>
      <c r="P128" s="116">
        <v>1.6</v>
      </c>
      <c r="Q128" s="214"/>
      <c r="R128" s="6"/>
    </row>
    <row r="129" spans="1:18" ht="30">
      <c r="A129" s="6"/>
      <c r="B129" s="213">
        <v>43961</v>
      </c>
      <c r="C129" s="117">
        <v>0.8</v>
      </c>
      <c r="D129" s="117">
        <v>2.1</v>
      </c>
      <c r="E129" s="117" t="s">
        <v>99</v>
      </c>
      <c r="F129" s="85">
        <v>2.6</v>
      </c>
      <c r="G129" s="117">
        <v>1.7</v>
      </c>
      <c r="H129" s="85">
        <v>2.7</v>
      </c>
      <c r="I129" s="117">
        <v>1.3</v>
      </c>
      <c r="J129" s="85">
        <v>1.3</v>
      </c>
      <c r="K129" s="117">
        <v>2.6</v>
      </c>
      <c r="L129" s="85">
        <v>3.6</v>
      </c>
      <c r="M129" s="117">
        <v>2</v>
      </c>
      <c r="N129" s="115">
        <v>2.5</v>
      </c>
      <c r="O129" s="115">
        <v>2.6</v>
      </c>
      <c r="P129" s="116">
        <v>0.3</v>
      </c>
      <c r="Q129" s="214" t="s">
        <v>1961</v>
      </c>
      <c r="R129" s="6"/>
    </row>
    <row r="130" spans="1:18">
      <c r="A130" s="6"/>
      <c r="B130" s="213">
        <v>43960</v>
      </c>
      <c r="C130" s="117">
        <v>0.4</v>
      </c>
      <c r="D130" s="117">
        <v>1.5</v>
      </c>
      <c r="E130" s="117" t="s">
        <v>99</v>
      </c>
      <c r="F130" s="85">
        <v>2.4</v>
      </c>
      <c r="G130" s="117">
        <v>1.4</v>
      </c>
      <c r="H130" s="85">
        <v>2.5</v>
      </c>
      <c r="I130" s="117">
        <v>1.2</v>
      </c>
      <c r="J130" s="85">
        <v>1.2</v>
      </c>
      <c r="K130" s="117">
        <v>5.3</v>
      </c>
      <c r="L130" s="85">
        <v>4</v>
      </c>
      <c r="M130" s="117">
        <v>1.6</v>
      </c>
      <c r="N130" s="115">
        <v>0.2</v>
      </c>
      <c r="O130" s="115">
        <v>2.6</v>
      </c>
      <c r="P130" s="116">
        <v>0.1</v>
      </c>
      <c r="Q130" s="214"/>
      <c r="R130" s="6"/>
    </row>
    <row r="131" spans="1:18">
      <c r="A131" s="6"/>
      <c r="B131" s="213">
        <v>43959</v>
      </c>
      <c r="C131" s="117">
        <v>0.8</v>
      </c>
      <c r="D131" s="117">
        <v>3.6</v>
      </c>
      <c r="E131" s="117" t="s">
        <v>99</v>
      </c>
      <c r="F131" s="85">
        <v>2.6</v>
      </c>
      <c r="G131" s="117">
        <v>2.4</v>
      </c>
      <c r="H131" s="85">
        <v>2.7</v>
      </c>
      <c r="I131" s="117">
        <v>1.2</v>
      </c>
      <c r="J131" s="85">
        <v>1.2</v>
      </c>
      <c r="K131" s="117">
        <v>5.4</v>
      </c>
      <c r="L131" s="85">
        <v>4</v>
      </c>
      <c r="M131" s="117">
        <v>2.7</v>
      </c>
      <c r="N131" s="115">
        <v>0.4</v>
      </c>
      <c r="O131" s="115">
        <v>2.9</v>
      </c>
      <c r="P131" s="116">
        <v>0.4</v>
      </c>
      <c r="Q131" s="214"/>
      <c r="R131" s="6"/>
    </row>
    <row r="132" spans="1:18">
      <c r="A132" s="6"/>
      <c r="B132" s="213">
        <v>43958</v>
      </c>
      <c r="C132" s="117">
        <v>0.3</v>
      </c>
      <c r="D132" s="117">
        <v>2</v>
      </c>
      <c r="E132" s="117" t="s">
        <v>99</v>
      </c>
      <c r="F132" s="85">
        <v>2.6</v>
      </c>
      <c r="G132" s="117">
        <v>1.9</v>
      </c>
      <c r="H132" s="85">
        <v>2.9</v>
      </c>
      <c r="I132" s="117">
        <v>1.2</v>
      </c>
      <c r="J132" s="85">
        <v>1.2</v>
      </c>
      <c r="K132" s="117">
        <v>6.4</v>
      </c>
      <c r="L132" s="85" t="s">
        <v>1956</v>
      </c>
      <c r="M132" s="117">
        <v>2.6</v>
      </c>
      <c r="N132" s="115">
        <v>0.4</v>
      </c>
      <c r="O132" s="115">
        <v>2.9</v>
      </c>
      <c r="P132" s="116">
        <v>0</v>
      </c>
      <c r="Q132" s="214"/>
      <c r="R132" s="6"/>
    </row>
    <row r="133" spans="1:18">
      <c r="A133" s="6"/>
      <c r="B133" s="213">
        <v>43957</v>
      </c>
      <c r="C133" s="117">
        <v>1.3</v>
      </c>
      <c r="D133" s="117">
        <v>2.8</v>
      </c>
      <c r="E133" s="117" t="s">
        <v>99</v>
      </c>
      <c r="F133" s="85">
        <v>3.4</v>
      </c>
      <c r="G133" s="117">
        <v>1.7</v>
      </c>
      <c r="H133" s="85">
        <v>1.9</v>
      </c>
      <c r="I133" s="117">
        <v>1.2</v>
      </c>
      <c r="J133" s="85">
        <v>1.2</v>
      </c>
      <c r="K133" s="117">
        <v>7.4</v>
      </c>
      <c r="L133" s="85" t="s">
        <v>1956</v>
      </c>
      <c r="M133" s="117">
        <v>2.2999999999999998</v>
      </c>
      <c r="N133" s="115">
        <v>1.3</v>
      </c>
      <c r="O133" s="115">
        <v>3</v>
      </c>
      <c r="P133" s="116">
        <v>3.4</v>
      </c>
      <c r="Q133" s="214"/>
      <c r="R133" s="6"/>
    </row>
    <row r="134" spans="1:18">
      <c r="A134" s="6"/>
      <c r="B134" s="213">
        <v>43956</v>
      </c>
      <c r="C134" s="117">
        <v>1.1000000000000001</v>
      </c>
      <c r="D134" s="117">
        <v>2.2999999999999998</v>
      </c>
      <c r="E134" s="117" t="s">
        <v>99</v>
      </c>
      <c r="F134" s="85">
        <v>0.3</v>
      </c>
      <c r="G134" s="117">
        <v>1.8</v>
      </c>
      <c r="H134" s="85">
        <v>3.1</v>
      </c>
      <c r="I134" s="117">
        <v>1.3</v>
      </c>
      <c r="J134" s="85">
        <v>1.3</v>
      </c>
      <c r="K134" s="117">
        <v>6.6</v>
      </c>
      <c r="L134" s="85" t="s">
        <v>1956</v>
      </c>
      <c r="M134" s="117">
        <v>2.1</v>
      </c>
      <c r="N134" s="115">
        <v>0.6</v>
      </c>
      <c r="O134" s="115">
        <v>0.5</v>
      </c>
      <c r="P134" s="116">
        <v>0</v>
      </c>
      <c r="Q134" s="214"/>
      <c r="R134" s="6"/>
    </row>
    <row r="135" spans="1:18">
      <c r="A135" s="6"/>
      <c r="B135" s="213">
        <v>43955</v>
      </c>
      <c r="C135" s="117">
        <v>1.1000000000000001</v>
      </c>
      <c r="D135" s="117">
        <v>2.2999999999999998</v>
      </c>
      <c r="E135" s="117" t="s">
        <v>99</v>
      </c>
      <c r="F135" s="85">
        <v>0.5</v>
      </c>
      <c r="G135" s="117">
        <v>1.8</v>
      </c>
      <c r="H135" s="85">
        <v>3.2</v>
      </c>
      <c r="I135" s="117">
        <v>1.3</v>
      </c>
      <c r="J135" s="85">
        <v>1.3</v>
      </c>
      <c r="K135" s="117">
        <v>7.7</v>
      </c>
      <c r="L135" s="85" t="s">
        <v>1956</v>
      </c>
      <c r="M135" s="117">
        <v>2.1</v>
      </c>
      <c r="N135" s="115">
        <v>0.7</v>
      </c>
      <c r="O135" s="115">
        <v>0.5</v>
      </c>
      <c r="P135" s="116">
        <v>0.3</v>
      </c>
      <c r="Q135" s="214"/>
      <c r="R135" s="6"/>
    </row>
    <row r="136" spans="1:18">
      <c r="A136" s="6"/>
      <c r="B136" s="213">
        <v>43954</v>
      </c>
      <c r="C136" s="117">
        <v>0.8</v>
      </c>
      <c r="D136" s="117">
        <v>1.9</v>
      </c>
      <c r="E136" s="117" t="s">
        <v>99</v>
      </c>
      <c r="F136" s="85">
        <v>0.3</v>
      </c>
      <c r="G136" s="117">
        <v>1.2</v>
      </c>
      <c r="H136" s="85">
        <v>3.2</v>
      </c>
      <c r="I136" s="117">
        <v>1.3</v>
      </c>
      <c r="J136" s="85">
        <v>1.3</v>
      </c>
      <c r="K136" s="117">
        <v>6.1</v>
      </c>
      <c r="L136" s="85">
        <v>4.9000000000000004</v>
      </c>
      <c r="M136" s="117">
        <v>1.6</v>
      </c>
      <c r="N136" s="115">
        <v>0.9</v>
      </c>
      <c r="O136" s="115">
        <v>0.5</v>
      </c>
      <c r="P136" s="116">
        <v>0</v>
      </c>
      <c r="Q136" s="214"/>
      <c r="R136" s="6"/>
    </row>
    <row r="137" spans="1:18" ht="30">
      <c r="A137" s="6"/>
      <c r="B137" s="213">
        <v>43953</v>
      </c>
      <c r="C137" s="117">
        <v>0.8</v>
      </c>
      <c r="D137" s="117">
        <v>2</v>
      </c>
      <c r="E137" s="117" t="s">
        <v>99</v>
      </c>
      <c r="F137" s="85">
        <v>0.7</v>
      </c>
      <c r="G137" s="117">
        <v>1.8</v>
      </c>
      <c r="H137" s="85">
        <v>3.4</v>
      </c>
      <c r="I137" s="117">
        <v>1.3</v>
      </c>
      <c r="J137" s="85">
        <v>1.1000000000000001</v>
      </c>
      <c r="K137" s="117" t="s">
        <v>99</v>
      </c>
      <c r="L137" s="85" t="s">
        <v>99</v>
      </c>
      <c r="M137" s="117">
        <v>1.9</v>
      </c>
      <c r="N137" s="115">
        <v>0.7</v>
      </c>
      <c r="O137" s="115">
        <v>0.7</v>
      </c>
      <c r="P137" s="116">
        <v>0.7</v>
      </c>
      <c r="Q137" s="214" t="s">
        <v>1823</v>
      </c>
      <c r="R137" s="6"/>
    </row>
    <row r="138" spans="1:18">
      <c r="A138" s="6"/>
      <c r="B138" s="213">
        <v>43952</v>
      </c>
      <c r="C138" s="117">
        <v>0.8</v>
      </c>
      <c r="D138" s="117">
        <v>2.2000000000000002</v>
      </c>
      <c r="E138" s="117" t="s">
        <v>99</v>
      </c>
      <c r="F138" s="85">
        <v>0.5</v>
      </c>
      <c r="G138" s="117">
        <v>2</v>
      </c>
      <c r="H138" s="85">
        <v>3.7</v>
      </c>
      <c r="I138" s="117">
        <v>1.3</v>
      </c>
      <c r="J138" s="85">
        <v>1.3</v>
      </c>
      <c r="K138" s="117" t="s">
        <v>99</v>
      </c>
      <c r="L138" s="85" t="s">
        <v>99</v>
      </c>
      <c r="M138" s="117">
        <v>1.8</v>
      </c>
      <c r="N138" s="115">
        <v>0.1</v>
      </c>
      <c r="O138" s="115">
        <v>0.8</v>
      </c>
      <c r="P138" s="116">
        <v>0.4</v>
      </c>
      <c r="Q138" s="214"/>
      <c r="R138" s="6"/>
    </row>
    <row r="139" spans="1:18">
      <c r="A139" s="6"/>
      <c r="B139" s="213">
        <v>43951</v>
      </c>
      <c r="C139" s="117">
        <v>0.9</v>
      </c>
      <c r="D139" s="117">
        <v>1.4</v>
      </c>
      <c r="E139" s="117" t="s">
        <v>99</v>
      </c>
      <c r="F139" s="85">
        <v>0.5</v>
      </c>
      <c r="G139" s="117">
        <v>2.2000000000000002</v>
      </c>
      <c r="H139" s="85">
        <v>3.5</v>
      </c>
      <c r="I139" s="117">
        <v>1.1000000000000001</v>
      </c>
      <c r="J139" s="85">
        <v>1.1000000000000001</v>
      </c>
      <c r="K139" s="117">
        <v>8.3000000000000007</v>
      </c>
      <c r="L139" s="85">
        <v>7.7</v>
      </c>
      <c r="M139" s="117">
        <v>0.2</v>
      </c>
      <c r="N139" s="115">
        <v>0.3</v>
      </c>
      <c r="O139" s="115">
        <v>0.8</v>
      </c>
      <c r="P139" s="116">
        <v>0.5</v>
      </c>
      <c r="Q139" s="214"/>
      <c r="R139" s="6"/>
    </row>
    <row r="140" spans="1:18">
      <c r="A140" s="6"/>
      <c r="B140" s="213">
        <v>43950</v>
      </c>
      <c r="C140" s="117">
        <v>0.7</v>
      </c>
      <c r="D140" s="117">
        <v>0.8</v>
      </c>
      <c r="E140" s="117" t="s">
        <v>99</v>
      </c>
      <c r="F140" s="85">
        <v>0.9</v>
      </c>
      <c r="G140" s="117">
        <v>1.8</v>
      </c>
      <c r="H140" s="85">
        <v>2.8</v>
      </c>
      <c r="I140" s="117">
        <v>1.6</v>
      </c>
      <c r="J140" s="85">
        <v>1.6</v>
      </c>
      <c r="K140" s="117">
        <v>8.3000000000000007</v>
      </c>
      <c r="L140" s="85">
        <v>7.7</v>
      </c>
      <c r="M140" s="117">
        <v>1.5</v>
      </c>
      <c r="N140" s="115">
        <v>0.4</v>
      </c>
      <c r="O140" s="115">
        <v>1.1000000000000001</v>
      </c>
      <c r="P140" s="116">
        <v>0.5</v>
      </c>
      <c r="Q140" s="214" t="s">
        <v>1761</v>
      </c>
      <c r="R140" s="6"/>
    </row>
    <row r="141" spans="1:18">
      <c r="A141" s="6"/>
      <c r="B141" s="213">
        <v>43949</v>
      </c>
      <c r="C141" s="117">
        <v>1.1000000000000001</v>
      </c>
      <c r="D141" s="117">
        <v>2.2000000000000002</v>
      </c>
      <c r="E141" s="117" t="s">
        <v>99</v>
      </c>
      <c r="F141" s="85">
        <v>1</v>
      </c>
      <c r="G141" s="117">
        <v>1.5</v>
      </c>
      <c r="H141" s="85">
        <v>3.3</v>
      </c>
      <c r="I141" s="117">
        <v>1</v>
      </c>
      <c r="J141" s="85">
        <v>1.1000000000000001</v>
      </c>
      <c r="K141" s="117" t="s">
        <v>99</v>
      </c>
      <c r="L141" s="85" t="s">
        <v>99</v>
      </c>
      <c r="M141" s="117">
        <v>1</v>
      </c>
      <c r="N141" s="115">
        <v>0.6</v>
      </c>
      <c r="O141" s="115">
        <v>1.3</v>
      </c>
      <c r="P141" s="116">
        <v>0.7</v>
      </c>
      <c r="Q141" s="214" t="s">
        <v>1737</v>
      </c>
      <c r="R141" s="6"/>
    </row>
    <row r="142" spans="1:18">
      <c r="A142" s="6"/>
      <c r="B142" s="213">
        <v>43948</v>
      </c>
      <c r="C142" s="117">
        <v>0.8</v>
      </c>
      <c r="D142" s="117">
        <v>2.5</v>
      </c>
      <c r="E142" s="117" t="s">
        <v>99</v>
      </c>
      <c r="F142" s="85">
        <v>1.2</v>
      </c>
      <c r="G142" s="117">
        <v>2.6</v>
      </c>
      <c r="H142" s="85">
        <v>3.6</v>
      </c>
      <c r="I142" s="117">
        <v>1.6</v>
      </c>
      <c r="J142" s="85">
        <v>1.6</v>
      </c>
      <c r="K142" s="117" t="s">
        <v>99</v>
      </c>
      <c r="L142" s="85" t="s">
        <v>99</v>
      </c>
      <c r="M142" s="117">
        <v>1.9</v>
      </c>
      <c r="N142" s="115">
        <v>0.5</v>
      </c>
      <c r="O142" s="115">
        <v>1.2</v>
      </c>
      <c r="P142" s="116">
        <v>0.5</v>
      </c>
      <c r="Q142" s="214"/>
      <c r="R142" s="6"/>
    </row>
    <row r="143" spans="1:18">
      <c r="A143" s="6"/>
      <c r="B143" s="213">
        <v>43947</v>
      </c>
      <c r="C143" s="117">
        <v>1.5</v>
      </c>
      <c r="D143" s="117">
        <v>2.2999999999999998</v>
      </c>
      <c r="E143" s="117" t="s">
        <v>99</v>
      </c>
      <c r="F143" s="85">
        <v>1</v>
      </c>
      <c r="G143" s="117">
        <v>2.6</v>
      </c>
      <c r="H143" s="85">
        <v>4</v>
      </c>
      <c r="I143" s="117">
        <v>1.1000000000000001</v>
      </c>
      <c r="J143" s="85">
        <v>1.3</v>
      </c>
      <c r="K143" s="117" t="s">
        <v>99</v>
      </c>
      <c r="L143" s="85" t="s">
        <v>99</v>
      </c>
      <c r="M143" s="117">
        <v>2.4</v>
      </c>
      <c r="N143" s="115">
        <v>1</v>
      </c>
      <c r="O143" s="115">
        <v>1.6</v>
      </c>
      <c r="P143" s="116">
        <v>0.7</v>
      </c>
      <c r="Q143" s="214" t="s">
        <v>1621</v>
      </c>
      <c r="R143" s="6"/>
    </row>
    <row r="144" spans="1:18">
      <c r="A144" s="6"/>
      <c r="B144" s="213">
        <v>43946</v>
      </c>
      <c r="C144" s="117"/>
      <c r="D144" s="117">
        <v>2.2000000000000002</v>
      </c>
      <c r="E144" s="117">
        <v>0</v>
      </c>
      <c r="F144" s="85">
        <v>1.3</v>
      </c>
      <c r="G144" s="117">
        <v>1.9</v>
      </c>
      <c r="H144" s="85">
        <v>3.6</v>
      </c>
      <c r="I144" s="117">
        <v>1.3</v>
      </c>
      <c r="J144" s="85">
        <v>1.6</v>
      </c>
      <c r="K144" s="117" t="s">
        <v>99</v>
      </c>
      <c r="L144" s="85" t="s">
        <v>99</v>
      </c>
      <c r="M144" s="117">
        <v>2.4</v>
      </c>
      <c r="N144" s="115">
        <v>0.8</v>
      </c>
      <c r="O144" s="115">
        <v>1.3</v>
      </c>
      <c r="P144" s="116">
        <v>0.6</v>
      </c>
      <c r="Q144" s="214"/>
      <c r="R144" s="6"/>
    </row>
    <row r="145" spans="1:18">
      <c r="A145" s="6"/>
      <c r="B145" s="213">
        <v>43945</v>
      </c>
      <c r="C145" s="117">
        <v>1.1000000000000001</v>
      </c>
      <c r="D145" s="117">
        <v>3.4</v>
      </c>
      <c r="E145" s="117">
        <v>1.2</v>
      </c>
      <c r="F145" s="85">
        <v>1.5</v>
      </c>
      <c r="G145" s="117">
        <v>2.8</v>
      </c>
      <c r="H145" s="85">
        <v>4.5</v>
      </c>
      <c r="I145" s="117">
        <v>1.7</v>
      </c>
      <c r="J145" s="85">
        <v>0.9</v>
      </c>
      <c r="K145" s="117" t="s">
        <v>99</v>
      </c>
      <c r="L145" s="117" t="s">
        <v>99</v>
      </c>
      <c r="M145" s="117">
        <v>3.3</v>
      </c>
      <c r="N145" s="115">
        <v>1.9</v>
      </c>
      <c r="O145" s="115">
        <v>1.4</v>
      </c>
      <c r="P145" s="116">
        <v>1.9</v>
      </c>
      <c r="Q145" s="214"/>
      <c r="R145" s="6"/>
    </row>
    <row r="146" spans="1:18" ht="30">
      <c r="A146" s="6"/>
      <c r="B146" s="213">
        <v>43944</v>
      </c>
      <c r="C146" s="117">
        <v>0.9</v>
      </c>
      <c r="D146" s="117">
        <v>3</v>
      </c>
      <c r="E146" s="117">
        <v>1.3</v>
      </c>
      <c r="F146" s="85">
        <v>1.4</v>
      </c>
      <c r="G146" s="117">
        <v>2.9</v>
      </c>
      <c r="H146" s="85">
        <v>4.4000000000000004</v>
      </c>
      <c r="I146" s="117">
        <v>1.5</v>
      </c>
      <c r="J146" s="85">
        <v>2.5</v>
      </c>
      <c r="K146" s="117">
        <v>0</v>
      </c>
      <c r="L146" s="85">
        <v>0</v>
      </c>
      <c r="M146" s="117">
        <v>3</v>
      </c>
      <c r="N146" s="115">
        <v>2.2999999999999998</v>
      </c>
      <c r="O146" s="115">
        <v>2.9</v>
      </c>
      <c r="P146" s="116">
        <v>1.6</v>
      </c>
      <c r="Q146" s="214" t="s">
        <v>1254</v>
      </c>
      <c r="R146" s="6"/>
    </row>
    <row r="147" spans="1:18" ht="30">
      <c r="A147" s="6"/>
      <c r="B147" s="213">
        <v>43943</v>
      </c>
      <c r="C147" s="117">
        <v>1.1000000000000001</v>
      </c>
      <c r="D147" s="117">
        <v>2.6</v>
      </c>
      <c r="E147" s="117">
        <v>1.4</v>
      </c>
      <c r="F147" s="85">
        <v>1.5</v>
      </c>
      <c r="G147" s="117">
        <v>3.1</v>
      </c>
      <c r="H147" s="85">
        <v>4.2</v>
      </c>
      <c r="I147" s="117">
        <v>1.6</v>
      </c>
      <c r="J147" s="85">
        <v>1.5</v>
      </c>
      <c r="K147" s="117">
        <v>0</v>
      </c>
      <c r="L147" s="85">
        <v>0.2</v>
      </c>
      <c r="M147" s="117">
        <v>2.9</v>
      </c>
      <c r="N147" s="115">
        <v>0.9</v>
      </c>
      <c r="O147" s="115">
        <v>2.4</v>
      </c>
      <c r="P147" s="116">
        <v>1.3</v>
      </c>
      <c r="Q147" s="214" t="s">
        <v>1245</v>
      </c>
      <c r="R147" s="6"/>
    </row>
    <row r="148" spans="1:18" ht="45">
      <c r="A148" s="6"/>
      <c r="B148" s="213">
        <v>43942</v>
      </c>
      <c r="C148" s="117">
        <v>1.1000000000000001</v>
      </c>
      <c r="D148" s="117">
        <v>2.6</v>
      </c>
      <c r="E148" s="117">
        <v>1.1000000000000001</v>
      </c>
      <c r="F148" s="85">
        <v>1.4</v>
      </c>
      <c r="G148" s="117">
        <v>2.6</v>
      </c>
      <c r="H148" s="85">
        <v>4.0999999999999996</v>
      </c>
      <c r="I148" s="117">
        <v>1.9</v>
      </c>
      <c r="J148" s="85">
        <v>1.6</v>
      </c>
      <c r="K148" s="117">
        <v>0</v>
      </c>
      <c r="L148" s="85">
        <v>1</v>
      </c>
      <c r="M148" s="117">
        <v>2.6</v>
      </c>
      <c r="N148" s="115">
        <v>0.8</v>
      </c>
      <c r="O148" s="115">
        <v>2</v>
      </c>
      <c r="P148" s="116">
        <v>0.9</v>
      </c>
      <c r="Q148" s="214" t="s">
        <v>1244</v>
      </c>
      <c r="R148" s="6"/>
    </row>
    <row r="149" spans="1:18">
      <c r="A149" s="6"/>
      <c r="B149" s="213">
        <v>43941</v>
      </c>
      <c r="C149" s="117">
        <v>0.9</v>
      </c>
      <c r="D149" s="117">
        <v>2.5</v>
      </c>
      <c r="E149" s="117">
        <v>1.5</v>
      </c>
      <c r="F149" s="85">
        <v>1.3</v>
      </c>
      <c r="G149" s="117">
        <v>2.5</v>
      </c>
      <c r="H149" s="85">
        <v>3.8</v>
      </c>
      <c r="I149" s="117">
        <v>1.4</v>
      </c>
      <c r="J149" s="85">
        <v>1.4</v>
      </c>
      <c r="K149" s="117">
        <v>0</v>
      </c>
      <c r="L149" s="85">
        <v>2</v>
      </c>
      <c r="M149" s="117">
        <v>2.8</v>
      </c>
      <c r="N149" s="115">
        <v>1.1000000000000001</v>
      </c>
      <c r="O149" s="115">
        <v>2.2999999999999998</v>
      </c>
      <c r="P149" s="116">
        <v>0.9</v>
      </c>
      <c r="Q149" s="214"/>
      <c r="R149" s="6"/>
    </row>
    <row r="150" spans="1:18">
      <c r="A150" s="6"/>
      <c r="B150" s="213">
        <v>43940</v>
      </c>
      <c r="C150" s="117">
        <v>1.8</v>
      </c>
      <c r="D150" s="117">
        <v>1.8</v>
      </c>
      <c r="E150" s="117">
        <v>1.7</v>
      </c>
      <c r="F150" s="85">
        <v>3</v>
      </c>
      <c r="G150" s="117">
        <v>2.7</v>
      </c>
      <c r="H150" s="85">
        <v>4.5</v>
      </c>
      <c r="I150" s="117">
        <v>1.5</v>
      </c>
      <c r="J150" s="85">
        <v>1</v>
      </c>
      <c r="K150" s="117">
        <v>0</v>
      </c>
      <c r="L150" s="85">
        <v>1.4</v>
      </c>
      <c r="M150" s="117">
        <v>0.6</v>
      </c>
      <c r="N150" s="115">
        <v>2.4</v>
      </c>
      <c r="O150" s="115">
        <v>2</v>
      </c>
      <c r="P150" s="116">
        <v>1.3</v>
      </c>
      <c r="Q150" s="214" t="s">
        <v>1232</v>
      </c>
      <c r="R150" s="6"/>
    </row>
    <row r="151" spans="1:18">
      <c r="A151" s="6"/>
      <c r="B151" s="213">
        <v>43939</v>
      </c>
      <c r="C151" s="117">
        <v>1.8</v>
      </c>
      <c r="D151" s="117">
        <v>2.6</v>
      </c>
      <c r="E151" s="117">
        <v>1.7</v>
      </c>
      <c r="F151" s="85">
        <v>3</v>
      </c>
      <c r="G151" s="117">
        <v>2.8</v>
      </c>
      <c r="H151" s="85">
        <v>0</v>
      </c>
      <c r="I151" s="117">
        <v>0.6</v>
      </c>
      <c r="J151" s="85">
        <v>0.7</v>
      </c>
      <c r="K151" s="117">
        <v>0</v>
      </c>
      <c r="L151" s="85">
        <v>2</v>
      </c>
      <c r="M151" s="117">
        <v>1.3</v>
      </c>
      <c r="N151" s="115">
        <v>0.01</v>
      </c>
      <c r="O151" s="115">
        <v>1.6</v>
      </c>
      <c r="P151" s="116">
        <v>0.84</v>
      </c>
      <c r="Q151" s="214"/>
      <c r="R151" s="6"/>
    </row>
    <row r="152" spans="1:18">
      <c r="A152" s="6"/>
      <c r="B152" s="213">
        <v>43938</v>
      </c>
      <c r="C152" s="117">
        <v>1.1000000000000001</v>
      </c>
      <c r="D152" s="117">
        <v>2.6</v>
      </c>
      <c r="E152" s="117">
        <v>2.2000000000000002</v>
      </c>
      <c r="F152" s="85">
        <v>3.3</v>
      </c>
      <c r="G152" s="117">
        <v>3.3</v>
      </c>
      <c r="H152" s="85">
        <v>0.2</v>
      </c>
      <c r="I152" s="117">
        <v>1.8</v>
      </c>
      <c r="J152" s="85">
        <v>1.4</v>
      </c>
      <c r="K152" s="117">
        <v>0</v>
      </c>
      <c r="L152" s="85">
        <v>2</v>
      </c>
      <c r="M152" s="117">
        <v>2.1</v>
      </c>
      <c r="N152" s="115">
        <v>2.4</v>
      </c>
      <c r="O152" s="115">
        <v>2.6</v>
      </c>
      <c r="P152" s="116">
        <v>2.1</v>
      </c>
      <c r="Q152" s="214" t="s">
        <v>1224</v>
      </c>
      <c r="R152" s="6"/>
    </row>
    <row r="153" spans="1:18" ht="30">
      <c r="A153" s="6"/>
      <c r="B153" s="213">
        <v>43937</v>
      </c>
      <c r="C153" s="117">
        <v>1</v>
      </c>
      <c r="D153" s="117">
        <v>1.4</v>
      </c>
      <c r="E153" s="117">
        <v>2.4</v>
      </c>
      <c r="F153" s="85">
        <v>3.2</v>
      </c>
      <c r="G153" s="117">
        <v>2.7</v>
      </c>
      <c r="H153" s="85">
        <v>0.5</v>
      </c>
      <c r="I153" s="117">
        <v>1.9</v>
      </c>
      <c r="J153" s="85">
        <v>1.9</v>
      </c>
      <c r="K153" s="117">
        <v>0</v>
      </c>
      <c r="L153" s="85">
        <v>2.7</v>
      </c>
      <c r="M153" s="117">
        <v>2.4</v>
      </c>
      <c r="N153" s="115">
        <v>0.4</v>
      </c>
      <c r="O153" s="115">
        <v>2.8</v>
      </c>
      <c r="P153" s="116">
        <v>1.9</v>
      </c>
      <c r="Q153" s="214" t="s">
        <v>1218</v>
      </c>
      <c r="R153" s="6"/>
    </row>
    <row r="154" spans="1:18" ht="30">
      <c r="A154" s="6"/>
      <c r="B154" s="213">
        <v>43936</v>
      </c>
      <c r="C154" s="117">
        <v>1.1000000000000001</v>
      </c>
      <c r="D154" s="117">
        <v>1.4</v>
      </c>
      <c r="E154" s="117">
        <v>2.2000000000000002</v>
      </c>
      <c r="F154" s="85">
        <v>3.4</v>
      </c>
      <c r="G154" s="117">
        <v>2.7</v>
      </c>
      <c r="H154" s="85">
        <v>0.5</v>
      </c>
      <c r="I154" s="117">
        <v>1.6</v>
      </c>
      <c r="J154" s="85">
        <v>1.3</v>
      </c>
      <c r="K154" s="117">
        <v>0</v>
      </c>
      <c r="L154" s="85">
        <v>2.7</v>
      </c>
      <c r="M154" s="117">
        <v>1.7</v>
      </c>
      <c r="N154" s="115">
        <v>1.7</v>
      </c>
      <c r="O154" s="115">
        <v>2.8</v>
      </c>
      <c r="P154" s="116">
        <v>2.2999999999999998</v>
      </c>
      <c r="Q154" s="214" t="s">
        <v>1188</v>
      </c>
      <c r="R154" s="6"/>
    </row>
    <row r="155" spans="1:18" ht="30">
      <c r="A155" s="6"/>
      <c r="B155" s="213">
        <v>43935</v>
      </c>
      <c r="C155" s="117">
        <v>1.1000000000000001</v>
      </c>
      <c r="D155" s="117">
        <v>3.4</v>
      </c>
      <c r="E155" s="117">
        <v>1.7</v>
      </c>
      <c r="F155" s="85">
        <v>3.3</v>
      </c>
      <c r="G155" s="117">
        <v>2.2000000000000002</v>
      </c>
      <c r="H155" s="85">
        <v>0.5</v>
      </c>
      <c r="I155" s="117">
        <v>1.7</v>
      </c>
      <c r="J155" s="85">
        <v>1.6</v>
      </c>
      <c r="K155" s="117">
        <v>0</v>
      </c>
      <c r="L155" s="85">
        <v>2.6</v>
      </c>
      <c r="M155" s="117">
        <v>2.5</v>
      </c>
      <c r="N155" s="115">
        <v>1.4</v>
      </c>
      <c r="O155" s="115">
        <v>2.5</v>
      </c>
      <c r="P155" s="116">
        <v>2</v>
      </c>
      <c r="Q155" s="214" t="s">
        <v>1168</v>
      </c>
      <c r="R155" s="6"/>
    </row>
    <row r="156" spans="1:18" ht="45">
      <c r="A156" s="6"/>
      <c r="B156" s="213">
        <v>43934</v>
      </c>
      <c r="C156" s="117">
        <v>0.9</v>
      </c>
      <c r="D156" s="117">
        <v>3.3</v>
      </c>
      <c r="E156" s="117">
        <v>1.2</v>
      </c>
      <c r="F156" s="85">
        <v>4.0999999999999996</v>
      </c>
      <c r="G156" s="117">
        <v>2.5</v>
      </c>
      <c r="H156" s="85">
        <v>0.6</v>
      </c>
      <c r="I156" s="117">
        <v>1.3</v>
      </c>
      <c r="J156" s="85">
        <v>1.6</v>
      </c>
      <c r="K156" s="117">
        <v>0</v>
      </c>
      <c r="L156" s="85">
        <v>2.2000000000000002</v>
      </c>
      <c r="M156" s="117">
        <v>2.7</v>
      </c>
      <c r="N156" s="115">
        <v>1.2</v>
      </c>
      <c r="O156" s="115">
        <v>2.2000000000000002</v>
      </c>
      <c r="P156" s="116">
        <v>1.7</v>
      </c>
      <c r="Q156" s="214" t="s">
        <v>1152</v>
      </c>
      <c r="R156" s="6"/>
    </row>
    <row r="157" spans="1:18" ht="90">
      <c r="A157" s="6"/>
      <c r="B157" s="213">
        <v>43933</v>
      </c>
      <c r="C157" s="117">
        <v>1.1000000000000001</v>
      </c>
      <c r="D157" s="117">
        <v>2.6</v>
      </c>
      <c r="E157" s="117">
        <v>1.5</v>
      </c>
      <c r="F157" s="85">
        <v>3.8</v>
      </c>
      <c r="G157" s="117">
        <v>2.7</v>
      </c>
      <c r="H157" s="85">
        <v>3.1</v>
      </c>
      <c r="I157" s="117">
        <v>0.9</v>
      </c>
      <c r="J157" s="85">
        <v>0.9</v>
      </c>
      <c r="K157" s="117">
        <v>0.3</v>
      </c>
      <c r="L157" s="85">
        <v>1.9</v>
      </c>
      <c r="M157" s="117">
        <v>2.7</v>
      </c>
      <c r="N157" s="115">
        <v>0.3</v>
      </c>
      <c r="O157" s="115">
        <v>1.7</v>
      </c>
      <c r="P157" s="116">
        <v>1.6</v>
      </c>
      <c r="Q157" s="214" t="s">
        <v>1127</v>
      </c>
      <c r="R157" s="6"/>
    </row>
    <row r="158" spans="1:18">
      <c r="A158" s="6"/>
      <c r="B158" s="213">
        <v>43932</v>
      </c>
      <c r="C158" s="117">
        <v>0.7</v>
      </c>
      <c r="D158" s="117">
        <v>3</v>
      </c>
      <c r="E158" s="117">
        <v>1</v>
      </c>
      <c r="F158" s="85">
        <v>2.7</v>
      </c>
      <c r="G158" s="117">
        <v>1.4</v>
      </c>
      <c r="H158" s="85">
        <v>0.3</v>
      </c>
      <c r="I158" s="117">
        <v>0.5</v>
      </c>
      <c r="J158" s="85">
        <v>0.5</v>
      </c>
      <c r="K158" s="117">
        <v>0.3</v>
      </c>
      <c r="L158" s="85">
        <v>1.9</v>
      </c>
      <c r="M158" s="117">
        <v>2</v>
      </c>
      <c r="N158" s="115">
        <v>0.3</v>
      </c>
      <c r="O158" s="115">
        <v>2.4</v>
      </c>
      <c r="P158" s="116">
        <v>1.7</v>
      </c>
      <c r="Q158" s="214"/>
      <c r="R158" s="6"/>
    </row>
    <row r="159" spans="1:18">
      <c r="A159" s="6"/>
      <c r="B159" s="213">
        <v>43931</v>
      </c>
      <c r="C159" s="117"/>
      <c r="D159" s="117"/>
      <c r="E159" s="117"/>
      <c r="F159" s="85"/>
      <c r="G159" s="117"/>
      <c r="H159" s="85"/>
      <c r="I159" s="117"/>
      <c r="J159" s="85"/>
      <c r="K159" s="117"/>
      <c r="L159" s="85"/>
      <c r="M159" s="117"/>
      <c r="N159" s="115"/>
      <c r="O159" s="115"/>
      <c r="P159" s="116"/>
      <c r="Q159" s="214"/>
      <c r="R159" s="6"/>
    </row>
    <row r="160" spans="1:18" ht="60">
      <c r="A160" s="6"/>
      <c r="B160" s="213">
        <v>43930</v>
      </c>
      <c r="C160" s="117">
        <v>0.42</v>
      </c>
      <c r="D160" s="117">
        <v>1.59</v>
      </c>
      <c r="E160" s="117">
        <v>0.6</v>
      </c>
      <c r="F160" s="85">
        <v>1.7</v>
      </c>
      <c r="G160" s="117" t="s">
        <v>99</v>
      </c>
      <c r="H160" s="85">
        <v>0.61</v>
      </c>
      <c r="I160" s="117">
        <v>0.4</v>
      </c>
      <c r="J160" s="85">
        <v>0.5</v>
      </c>
      <c r="K160" s="117">
        <v>0</v>
      </c>
      <c r="L160" s="85">
        <v>0.09</v>
      </c>
      <c r="M160" s="117">
        <v>0.1</v>
      </c>
      <c r="N160" s="115">
        <v>0.05</v>
      </c>
      <c r="O160" s="115">
        <v>1.05</v>
      </c>
      <c r="P160" s="116">
        <v>0.44</v>
      </c>
      <c r="Q160" s="214" t="s">
        <v>1097</v>
      </c>
      <c r="R160" s="6"/>
    </row>
    <row r="161" spans="1:18">
      <c r="A161" s="6"/>
      <c r="B161" s="213">
        <v>43929</v>
      </c>
      <c r="C161" s="117">
        <v>0.44</v>
      </c>
      <c r="D161" s="117">
        <v>1.41</v>
      </c>
      <c r="E161" s="117">
        <v>0.92</v>
      </c>
      <c r="F161" s="85">
        <v>0.2</v>
      </c>
      <c r="G161" s="117">
        <v>0.56000000000000005</v>
      </c>
      <c r="H161" s="85">
        <v>0.04</v>
      </c>
      <c r="I161" s="117">
        <v>0.49</v>
      </c>
      <c r="J161" s="85">
        <v>0.49</v>
      </c>
      <c r="K161" s="117">
        <v>0.04</v>
      </c>
      <c r="L161" s="85">
        <v>0.83</v>
      </c>
      <c r="M161" s="117">
        <v>0.3</v>
      </c>
      <c r="N161" s="115">
        <v>0.26</v>
      </c>
      <c r="O161" s="115">
        <v>0.38</v>
      </c>
      <c r="P161" s="116">
        <v>0.84</v>
      </c>
      <c r="Q161" s="214" t="s">
        <v>1022</v>
      </c>
      <c r="R161" s="6"/>
    </row>
    <row r="162" spans="1:18" ht="90">
      <c r="A162" s="6"/>
      <c r="B162" s="213">
        <v>43928</v>
      </c>
      <c r="C162" s="117" t="s">
        <v>99</v>
      </c>
      <c r="D162" s="117" t="s">
        <v>99</v>
      </c>
      <c r="E162" s="117">
        <v>0.39</v>
      </c>
      <c r="F162" s="85">
        <v>0.8</v>
      </c>
      <c r="G162" s="117">
        <v>0.52</v>
      </c>
      <c r="H162" s="85" t="s">
        <v>99</v>
      </c>
      <c r="I162" s="117">
        <v>0.75</v>
      </c>
      <c r="J162" s="85">
        <v>0.72</v>
      </c>
      <c r="K162" s="117" t="s">
        <v>266</v>
      </c>
      <c r="L162" s="85">
        <v>0.65</v>
      </c>
      <c r="M162" s="117">
        <v>0.11</v>
      </c>
      <c r="N162" s="115">
        <v>0.22</v>
      </c>
      <c r="O162" s="115">
        <v>0.44</v>
      </c>
      <c r="P162" s="116" t="s">
        <v>266</v>
      </c>
      <c r="Q162" s="214" t="s">
        <v>991</v>
      </c>
      <c r="R162" s="6"/>
    </row>
    <row r="163" spans="1:18" ht="45">
      <c r="A163" s="6"/>
      <c r="B163" s="213">
        <v>43927</v>
      </c>
      <c r="C163" s="117" t="s">
        <v>99</v>
      </c>
      <c r="D163" s="117" t="s">
        <v>99</v>
      </c>
      <c r="E163" s="117">
        <v>0.54</v>
      </c>
      <c r="F163" s="85" t="s">
        <v>99</v>
      </c>
      <c r="G163" s="117">
        <v>0.9</v>
      </c>
      <c r="H163" s="85" t="s">
        <v>99</v>
      </c>
      <c r="I163" s="117">
        <v>0.5</v>
      </c>
      <c r="J163" s="85" t="s">
        <v>99</v>
      </c>
      <c r="K163" s="117" t="s">
        <v>99</v>
      </c>
      <c r="L163" s="85">
        <v>0.8</v>
      </c>
      <c r="M163" s="117">
        <v>0.3</v>
      </c>
      <c r="N163" s="115">
        <v>7.0000000000000007E-2</v>
      </c>
      <c r="O163" s="115">
        <v>0.7</v>
      </c>
      <c r="P163" s="116" t="s">
        <v>99</v>
      </c>
      <c r="Q163" s="214" t="s">
        <v>513</v>
      </c>
      <c r="R163" s="6"/>
    </row>
    <row r="164" spans="1:18">
      <c r="A164" s="6"/>
      <c r="B164" s="213">
        <v>43926</v>
      </c>
      <c r="C164" s="117" t="s">
        <v>99</v>
      </c>
      <c r="D164" s="117" t="s">
        <v>99</v>
      </c>
      <c r="E164" s="117">
        <v>1.4</v>
      </c>
      <c r="F164" s="85">
        <v>1.2</v>
      </c>
      <c r="G164" s="117">
        <v>1.4</v>
      </c>
      <c r="H164" s="85" t="s">
        <v>99</v>
      </c>
      <c r="I164" s="117">
        <v>0.8</v>
      </c>
      <c r="J164" s="85" t="s">
        <v>99</v>
      </c>
      <c r="K164" s="117" t="s">
        <v>99</v>
      </c>
      <c r="L164" s="85">
        <v>1.8</v>
      </c>
      <c r="M164" s="117">
        <v>0.1</v>
      </c>
      <c r="N164" s="115">
        <v>0.1</v>
      </c>
      <c r="O164" s="115">
        <v>1.4</v>
      </c>
      <c r="P164" s="116" t="s">
        <v>99</v>
      </c>
      <c r="Q164" s="214"/>
      <c r="R164" s="6"/>
    </row>
    <row r="165" spans="1:18" ht="60">
      <c r="A165" s="6"/>
      <c r="B165" s="213">
        <v>43925</v>
      </c>
      <c r="C165" s="117" t="s">
        <v>99</v>
      </c>
      <c r="D165" s="117" t="s">
        <v>99</v>
      </c>
      <c r="E165" s="117">
        <v>1.1000000000000001</v>
      </c>
      <c r="F165" s="85" t="s">
        <v>99</v>
      </c>
      <c r="G165" s="117">
        <v>0.8</v>
      </c>
      <c r="H165" s="85" t="s">
        <v>99</v>
      </c>
      <c r="I165" s="117" t="s">
        <v>99</v>
      </c>
      <c r="J165" s="85">
        <v>0.6</v>
      </c>
      <c r="K165" s="117" t="s">
        <v>99</v>
      </c>
      <c r="L165" s="85">
        <v>1.9</v>
      </c>
      <c r="M165" s="117">
        <v>0.5</v>
      </c>
      <c r="N165" s="115">
        <v>0.6</v>
      </c>
      <c r="O165" s="115">
        <v>1.7</v>
      </c>
      <c r="P165" s="116" t="s">
        <v>99</v>
      </c>
      <c r="Q165" s="214" t="s">
        <v>543</v>
      </c>
      <c r="R165" s="6"/>
    </row>
    <row r="166" spans="1:18" ht="45">
      <c r="A166" s="6"/>
      <c r="B166" s="213">
        <v>43924</v>
      </c>
      <c r="C166" s="117" t="s">
        <v>99</v>
      </c>
      <c r="D166" s="117" t="s">
        <v>99</v>
      </c>
      <c r="E166" s="117">
        <v>0.6</v>
      </c>
      <c r="F166" s="85" t="s">
        <v>99</v>
      </c>
      <c r="G166" s="117" t="s">
        <v>99</v>
      </c>
      <c r="H166" s="85" t="s">
        <v>99</v>
      </c>
      <c r="I166" s="117">
        <v>0.61</v>
      </c>
      <c r="J166" s="85" t="s">
        <v>99</v>
      </c>
      <c r="K166" s="117" t="s">
        <v>99</v>
      </c>
      <c r="L166" s="85">
        <v>0.5</v>
      </c>
      <c r="M166" s="117">
        <v>0.5</v>
      </c>
      <c r="N166" s="115">
        <v>0.1</v>
      </c>
      <c r="O166" s="115" t="s">
        <v>99</v>
      </c>
      <c r="P166" s="116" t="s">
        <v>99</v>
      </c>
      <c r="Q166" s="214" t="s">
        <v>245</v>
      </c>
      <c r="R166" s="6"/>
    </row>
    <row r="167" spans="1:18">
      <c r="A167" s="6"/>
      <c r="B167" s="213">
        <v>43923</v>
      </c>
      <c r="C167" s="117" t="s">
        <v>99</v>
      </c>
      <c r="D167" s="117" t="s">
        <v>99</v>
      </c>
      <c r="E167" s="117" t="s">
        <v>99</v>
      </c>
      <c r="F167" s="85" t="s">
        <v>99</v>
      </c>
      <c r="G167" s="117" t="s">
        <v>99</v>
      </c>
      <c r="H167" s="85" t="s">
        <v>99</v>
      </c>
      <c r="I167" s="117" t="s">
        <v>99</v>
      </c>
      <c r="J167" s="85" t="s">
        <v>99</v>
      </c>
      <c r="K167" s="117" t="s">
        <v>99</v>
      </c>
      <c r="L167" s="85" t="s">
        <v>99</v>
      </c>
      <c r="M167" s="117" t="s">
        <v>99</v>
      </c>
      <c r="N167" s="115" t="s">
        <v>99</v>
      </c>
      <c r="O167" s="115" t="s">
        <v>99</v>
      </c>
      <c r="P167" s="116" t="s">
        <v>99</v>
      </c>
      <c r="Q167" s="214" t="s">
        <v>241</v>
      </c>
      <c r="R167" s="6"/>
    </row>
    <row r="168" spans="1:18" ht="51.95" customHeight="1">
      <c r="A168" s="6"/>
      <c r="B168" s="213">
        <v>43922</v>
      </c>
      <c r="C168" s="117" t="s">
        <v>99</v>
      </c>
      <c r="D168" s="117" t="s">
        <v>99</v>
      </c>
      <c r="E168" s="117" t="s">
        <v>99</v>
      </c>
      <c r="F168" s="85" t="s">
        <v>99</v>
      </c>
      <c r="G168" s="117" t="s">
        <v>99</v>
      </c>
      <c r="H168" s="85" t="s">
        <v>99</v>
      </c>
      <c r="I168" s="117" t="s">
        <v>99</v>
      </c>
      <c r="J168" s="85" t="s">
        <v>99</v>
      </c>
      <c r="K168" s="117" t="s">
        <v>99</v>
      </c>
      <c r="L168" s="85" t="s">
        <v>99</v>
      </c>
      <c r="M168" s="117" t="s">
        <v>99</v>
      </c>
      <c r="N168" s="115" t="s">
        <v>99</v>
      </c>
      <c r="O168" s="115" t="s">
        <v>99</v>
      </c>
      <c r="P168" s="116" t="s">
        <v>99</v>
      </c>
      <c r="Q168" s="214" t="s">
        <v>194</v>
      </c>
      <c r="R168" s="6"/>
    </row>
    <row r="169" spans="1:18">
      <c r="A169" s="6"/>
      <c r="B169" s="213">
        <v>43921</v>
      </c>
      <c r="C169" s="117" t="s">
        <v>99</v>
      </c>
      <c r="D169" s="117" t="s">
        <v>99</v>
      </c>
      <c r="E169" s="117">
        <v>0.2</v>
      </c>
      <c r="F169" s="85" t="s">
        <v>99</v>
      </c>
      <c r="G169" s="117" t="s">
        <v>99</v>
      </c>
      <c r="H169" s="85" t="s">
        <v>99</v>
      </c>
      <c r="I169" s="117" t="s">
        <v>99</v>
      </c>
      <c r="J169" s="85">
        <v>0.9</v>
      </c>
      <c r="K169" s="117" t="s">
        <v>99</v>
      </c>
      <c r="L169" s="85">
        <v>0.7</v>
      </c>
      <c r="M169" s="117">
        <v>0.4</v>
      </c>
      <c r="N169" s="115">
        <v>0.4</v>
      </c>
      <c r="O169" s="115" t="s">
        <v>99</v>
      </c>
      <c r="P169" s="116" t="s">
        <v>99</v>
      </c>
      <c r="Q169" s="214" t="s">
        <v>129</v>
      </c>
      <c r="R169" s="6"/>
    </row>
    <row r="170" spans="1:18">
      <c r="A170" s="6"/>
      <c r="B170" s="213">
        <v>43920</v>
      </c>
      <c r="C170" s="117" t="s">
        <v>99</v>
      </c>
      <c r="D170" s="117" t="s">
        <v>99</v>
      </c>
      <c r="E170" s="117">
        <v>9.6</v>
      </c>
      <c r="F170" s="85" t="s">
        <v>99</v>
      </c>
      <c r="G170" s="117" t="s">
        <v>99</v>
      </c>
      <c r="H170" s="85" t="s">
        <v>99</v>
      </c>
      <c r="I170" s="117">
        <v>1.6</v>
      </c>
      <c r="J170" s="85">
        <v>1.4</v>
      </c>
      <c r="K170" s="117" t="s">
        <v>99</v>
      </c>
      <c r="L170" s="85" t="s">
        <v>99</v>
      </c>
      <c r="M170" s="117">
        <v>0.8</v>
      </c>
      <c r="N170" s="115">
        <v>0.8</v>
      </c>
      <c r="O170" s="115" t="s">
        <v>99</v>
      </c>
      <c r="P170" s="116" t="s">
        <v>99</v>
      </c>
      <c r="Q170" s="214"/>
      <c r="R170" s="6"/>
    </row>
    <row r="171" spans="1:18">
      <c r="A171" s="6"/>
      <c r="B171" s="213">
        <v>43919</v>
      </c>
      <c r="C171" s="117" t="s">
        <v>99</v>
      </c>
      <c r="D171" s="117" t="s">
        <v>99</v>
      </c>
      <c r="E171" s="117">
        <v>11.6</v>
      </c>
      <c r="F171" s="85" t="s">
        <v>99</v>
      </c>
      <c r="G171" s="117" t="s">
        <v>99</v>
      </c>
      <c r="H171" s="85" t="s">
        <v>99</v>
      </c>
      <c r="I171" s="117">
        <v>1.6</v>
      </c>
      <c r="J171" s="85">
        <v>1.6</v>
      </c>
      <c r="K171" s="117" t="s">
        <v>99</v>
      </c>
      <c r="L171" s="85">
        <v>1.6</v>
      </c>
      <c r="M171" s="117">
        <v>1.9</v>
      </c>
      <c r="N171" s="115">
        <v>0.8</v>
      </c>
      <c r="O171" s="115" t="s">
        <v>99</v>
      </c>
      <c r="P171" s="116" t="s">
        <v>99</v>
      </c>
      <c r="Q171" s="214"/>
      <c r="R171" s="6"/>
    </row>
    <row r="172" spans="1:18">
      <c r="A172" s="6"/>
      <c r="B172" s="213">
        <v>43918</v>
      </c>
      <c r="C172" s="117" t="s">
        <v>99</v>
      </c>
      <c r="D172" s="117" t="s">
        <v>99</v>
      </c>
      <c r="E172" s="117">
        <v>11.6</v>
      </c>
      <c r="F172" s="85" t="s">
        <v>99</v>
      </c>
      <c r="G172" s="117" t="s">
        <v>99</v>
      </c>
      <c r="H172" s="85" t="s">
        <v>99</v>
      </c>
      <c r="I172" s="117">
        <v>1.5</v>
      </c>
      <c r="J172" s="85" t="s">
        <v>99</v>
      </c>
      <c r="K172" s="117" t="s">
        <v>99</v>
      </c>
      <c r="L172" s="85">
        <v>0.6</v>
      </c>
      <c r="M172" s="117">
        <v>1.7</v>
      </c>
      <c r="N172" s="115">
        <v>0.8</v>
      </c>
      <c r="O172" s="115" t="s">
        <v>99</v>
      </c>
      <c r="P172" s="116" t="s">
        <v>99</v>
      </c>
      <c r="Q172" s="214"/>
      <c r="R172" s="6"/>
    </row>
    <row r="173" spans="1:18">
      <c r="A173" s="6"/>
      <c r="B173" s="213">
        <v>43917</v>
      </c>
      <c r="C173" s="117" t="s">
        <v>99</v>
      </c>
      <c r="D173" s="117" t="s">
        <v>99</v>
      </c>
      <c r="E173" s="117">
        <v>0.1</v>
      </c>
      <c r="F173" s="85" t="s">
        <v>99</v>
      </c>
      <c r="G173" s="117" t="s">
        <v>99</v>
      </c>
      <c r="H173" s="85" t="s">
        <v>99</v>
      </c>
      <c r="I173" s="117">
        <v>1</v>
      </c>
      <c r="J173" s="85" t="s">
        <v>99</v>
      </c>
      <c r="K173" s="117" t="s">
        <v>99</v>
      </c>
      <c r="L173" s="85">
        <v>1.9</v>
      </c>
      <c r="M173" s="117">
        <v>0.8</v>
      </c>
      <c r="N173" s="115">
        <v>0.8</v>
      </c>
      <c r="O173" s="115" t="s">
        <v>99</v>
      </c>
      <c r="P173" s="116" t="s">
        <v>99</v>
      </c>
      <c r="Q173" s="214"/>
      <c r="R173" s="6"/>
    </row>
    <row r="174" spans="1:18">
      <c r="A174" s="6"/>
      <c r="B174" s="213">
        <v>43916</v>
      </c>
      <c r="C174" s="117" t="s">
        <v>99</v>
      </c>
      <c r="D174" s="117" t="s">
        <v>99</v>
      </c>
      <c r="E174" s="117" t="s">
        <v>99</v>
      </c>
      <c r="F174" s="85" t="s">
        <v>99</v>
      </c>
      <c r="G174" s="117" t="s">
        <v>99</v>
      </c>
      <c r="H174" s="85" t="s">
        <v>99</v>
      </c>
      <c r="I174" s="117">
        <v>1.9</v>
      </c>
      <c r="J174" s="85" t="s">
        <v>99</v>
      </c>
      <c r="K174" s="117" t="s">
        <v>99</v>
      </c>
      <c r="L174" s="85">
        <v>2</v>
      </c>
      <c r="M174" s="117">
        <v>2.2000000000000002</v>
      </c>
      <c r="N174" s="115">
        <v>1.2</v>
      </c>
      <c r="O174" s="115" t="s">
        <v>99</v>
      </c>
      <c r="P174" s="116" t="s">
        <v>99</v>
      </c>
      <c r="Q174" s="214"/>
      <c r="R174" s="6"/>
    </row>
    <row r="175" spans="1:18">
      <c r="A175" s="6"/>
      <c r="B175" s="213">
        <v>43915</v>
      </c>
      <c r="C175" s="117" t="s">
        <v>99</v>
      </c>
      <c r="D175" s="117" t="s">
        <v>99</v>
      </c>
      <c r="E175" s="117" t="s">
        <v>99</v>
      </c>
      <c r="F175" s="85" t="s">
        <v>99</v>
      </c>
      <c r="G175" s="117" t="s">
        <v>99</v>
      </c>
      <c r="H175" s="85" t="s">
        <v>99</v>
      </c>
      <c r="I175" s="117">
        <v>1.4</v>
      </c>
      <c r="J175" s="85" t="s">
        <v>99</v>
      </c>
      <c r="K175" s="117" t="s">
        <v>99</v>
      </c>
      <c r="L175" s="85">
        <v>2.1</v>
      </c>
      <c r="M175" s="117">
        <v>2.2999999999999998</v>
      </c>
      <c r="N175" s="115">
        <v>1.8</v>
      </c>
      <c r="O175" s="115" t="s">
        <v>99</v>
      </c>
      <c r="P175" s="116" t="s">
        <v>99</v>
      </c>
      <c r="Q175" s="214"/>
      <c r="R175" s="6"/>
    </row>
    <row r="176" spans="1:18">
      <c r="A176" s="6"/>
      <c r="B176" s="213">
        <v>43914</v>
      </c>
      <c r="C176" s="117" t="s">
        <v>99</v>
      </c>
      <c r="D176" s="117" t="s">
        <v>99</v>
      </c>
      <c r="E176" s="117" t="s">
        <v>99</v>
      </c>
      <c r="F176" s="85" t="s">
        <v>99</v>
      </c>
      <c r="G176" s="117" t="s">
        <v>99</v>
      </c>
      <c r="H176" s="85" t="s">
        <v>99</v>
      </c>
      <c r="I176" s="117">
        <v>1.8</v>
      </c>
      <c r="J176" s="85" t="s">
        <v>99</v>
      </c>
      <c r="K176" s="117" t="s">
        <v>99</v>
      </c>
      <c r="L176" s="85">
        <v>1.9</v>
      </c>
      <c r="M176" s="117">
        <v>2.2000000000000002</v>
      </c>
      <c r="N176" s="115" t="s">
        <v>99</v>
      </c>
      <c r="O176" s="115" t="s">
        <v>99</v>
      </c>
      <c r="P176" s="116" t="s">
        <v>99</v>
      </c>
      <c r="Q176" s="214"/>
      <c r="R176" s="6"/>
    </row>
    <row r="177" spans="1:18">
      <c r="A177" s="6"/>
      <c r="B177" s="213">
        <v>43913</v>
      </c>
      <c r="C177" s="117" t="s">
        <v>99</v>
      </c>
      <c r="D177" s="117" t="s">
        <v>99</v>
      </c>
      <c r="E177" s="117" t="s">
        <v>99</v>
      </c>
      <c r="F177" s="85" t="s">
        <v>99</v>
      </c>
      <c r="G177" s="117" t="s">
        <v>99</v>
      </c>
      <c r="H177" s="85" t="s">
        <v>99</v>
      </c>
      <c r="I177" s="117">
        <v>1.7</v>
      </c>
      <c r="J177" s="85" t="s">
        <v>99</v>
      </c>
      <c r="K177" s="117" t="s">
        <v>99</v>
      </c>
      <c r="L177" s="85">
        <v>2.1</v>
      </c>
      <c r="M177" s="117">
        <v>2.1</v>
      </c>
      <c r="N177" s="115">
        <v>1.2</v>
      </c>
      <c r="O177" s="115" t="s">
        <v>99</v>
      </c>
      <c r="P177" s="116" t="s">
        <v>99</v>
      </c>
      <c r="Q177" s="214"/>
      <c r="R177" s="6"/>
    </row>
    <row r="178" spans="1:18">
      <c r="A178" s="6"/>
      <c r="B178" s="213">
        <v>43912</v>
      </c>
      <c r="C178" s="117" t="s">
        <v>99</v>
      </c>
      <c r="D178" s="117" t="s">
        <v>99</v>
      </c>
      <c r="E178" s="117" t="s">
        <v>99</v>
      </c>
      <c r="F178" s="85" t="s">
        <v>99</v>
      </c>
      <c r="G178" s="117" t="s">
        <v>99</v>
      </c>
      <c r="H178" s="85" t="s">
        <v>99</v>
      </c>
      <c r="I178" s="117">
        <v>1.7</v>
      </c>
      <c r="J178" s="85" t="s">
        <v>99</v>
      </c>
      <c r="K178" s="117" t="s">
        <v>99</v>
      </c>
      <c r="L178" s="85">
        <v>2.1</v>
      </c>
      <c r="M178" s="117">
        <v>2</v>
      </c>
      <c r="N178" s="115">
        <v>1.1000000000000001</v>
      </c>
      <c r="O178" s="115" t="s">
        <v>99</v>
      </c>
      <c r="P178" s="116" t="s">
        <v>99</v>
      </c>
      <c r="Q178" s="214"/>
      <c r="R178" s="6"/>
    </row>
    <row r="179" spans="1:18">
      <c r="A179" s="6"/>
      <c r="B179" s="213">
        <v>43911</v>
      </c>
      <c r="C179" s="117" t="s">
        <v>99</v>
      </c>
      <c r="D179" s="117" t="s">
        <v>99</v>
      </c>
      <c r="E179" s="117" t="s">
        <v>99</v>
      </c>
      <c r="F179" s="85" t="s">
        <v>99</v>
      </c>
      <c r="G179" s="117" t="s">
        <v>99</v>
      </c>
      <c r="H179" s="85" t="s">
        <v>99</v>
      </c>
      <c r="I179" s="117">
        <v>1.7</v>
      </c>
      <c r="J179" s="85" t="s">
        <v>99</v>
      </c>
      <c r="K179" s="117" t="s">
        <v>99</v>
      </c>
      <c r="L179" s="85">
        <v>2.2000000000000002</v>
      </c>
      <c r="M179" s="117">
        <v>2.2000000000000002</v>
      </c>
      <c r="N179" s="115">
        <v>2.4</v>
      </c>
      <c r="O179" s="115" t="s">
        <v>99</v>
      </c>
      <c r="P179" s="116" t="s">
        <v>99</v>
      </c>
      <c r="Q179" s="214"/>
      <c r="R179" s="6"/>
    </row>
    <row r="180" spans="1:18">
      <c r="A180" s="6"/>
      <c r="B180" s="213">
        <v>43910</v>
      </c>
      <c r="C180" s="117" t="s">
        <v>99</v>
      </c>
      <c r="D180" s="117" t="s">
        <v>99</v>
      </c>
      <c r="E180" s="117" t="s">
        <v>99</v>
      </c>
      <c r="F180" s="85" t="s">
        <v>99</v>
      </c>
      <c r="G180" s="117" t="s">
        <v>99</v>
      </c>
      <c r="H180" s="85" t="s">
        <v>99</v>
      </c>
      <c r="I180" s="117">
        <v>1.6</v>
      </c>
      <c r="J180" s="85" t="s">
        <v>99</v>
      </c>
      <c r="K180" s="117" t="s">
        <v>99</v>
      </c>
      <c r="L180" s="85">
        <v>2.4</v>
      </c>
      <c r="M180" s="117" t="s">
        <v>99</v>
      </c>
      <c r="N180" s="115">
        <v>2.4</v>
      </c>
      <c r="O180" s="115" t="s">
        <v>99</v>
      </c>
      <c r="P180" s="116" t="s">
        <v>99</v>
      </c>
      <c r="Q180" s="214"/>
      <c r="R180" s="6"/>
    </row>
    <row r="181" spans="1:18">
      <c r="A181" s="6"/>
      <c r="B181" s="213">
        <v>43909</v>
      </c>
      <c r="C181" s="117" t="s">
        <v>99</v>
      </c>
      <c r="D181" s="117" t="s">
        <v>99</v>
      </c>
      <c r="E181" s="117" t="s">
        <v>99</v>
      </c>
      <c r="F181" s="85" t="s">
        <v>99</v>
      </c>
      <c r="G181" s="117" t="s">
        <v>99</v>
      </c>
      <c r="H181" s="85" t="s">
        <v>99</v>
      </c>
      <c r="I181" s="117" t="s">
        <v>99</v>
      </c>
      <c r="J181" s="85" t="s">
        <v>99</v>
      </c>
      <c r="K181" s="117" t="s">
        <v>99</v>
      </c>
      <c r="L181" s="85" t="s">
        <v>99</v>
      </c>
      <c r="M181" s="117" t="s">
        <v>99</v>
      </c>
      <c r="N181" s="115" t="s">
        <v>99</v>
      </c>
      <c r="O181" s="115" t="s">
        <v>99</v>
      </c>
      <c r="P181" s="116" t="s">
        <v>99</v>
      </c>
      <c r="Q181" s="214"/>
      <c r="R181" s="6"/>
    </row>
    <row r="182" spans="1:18">
      <c r="A182" s="6"/>
      <c r="B182" s="213">
        <v>43908</v>
      </c>
      <c r="C182" s="117" t="s">
        <v>99</v>
      </c>
      <c r="D182" s="117" t="s">
        <v>99</v>
      </c>
      <c r="E182" s="117" t="s">
        <v>99</v>
      </c>
      <c r="F182" s="85" t="s">
        <v>99</v>
      </c>
      <c r="G182" s="117" t="s">
        <v>99</v>
      </c>
      <c r="H182" s="85" t="s">
        <v>99</v>
      </c>
      <c r="I182" s="117" t="s">
        <v>99</v>
      </c>
      <c r="J182" s="85" t="s">
        <v>99</v>
      </c>
      <c r="K182" s="117" t="s">
        <v>99</v>
      </c>
      <c r="L182" s="85" t="s">
        <v>99</v>
      </c>
      <c r="M182" s="117" t="s">
        <v>99</v>
      </c>
      <c r="N182" s="115" t="s">
        <v>99</v>
      </c>
      <c r="O182" s="115" t="s">
        <v>99</v>
      </c>
      <c r="P182" s="116" t="s">
        <v>99</v>
      </c>
      <c r="Q182" s="214"/>
      <c r="R182" s="6"/>
    </row>
    <row r="183" spans="1:18">
      <c r="A183" s="6"/>
      <c r="B183" s="213">
        <v>43907</v>
      </c>
      <c r="C183" s="117" t="s">
        <v>99</v>
      </c>
      <c r="D183" s="117" t="s">
        <v>99</v>
      </c>
      <c r="E183" s="117" t="s">
        <v>99</v>
      </c>
      <c r="F183" s="85" t="s">
        <v>99</v>
      </c>
      <c r="G183" s="117" t="s">
        <v>99</v>
      </c>
      <c r="H183" s="85" t="s">
        <v>99</v>
      </c>
      <c r="I183" s="117">
        <v>1.7</v>
      </c>
      <c r="J183" s="85">
        <v>1.7</v>
      </c>
      <c r="K183" s="117">
        <v>1.8</v>
      </c>
      <c r="L183" s="85">
        <v>1.9</v>
      </c>
      <c r="M183" s="117">
        <v>2.2999999999999998</v>
      </c>
      <c r="N183" s="115" t="s">
        <v>99</v>
      </c>
      <c r="O183" s="115" t="s">
        <v>99</v>
      </c>
      <c r="P183" s="116" t="s">
        <v>99</v>
      </c>
      <c r="Q183" s="214"/>
      <c r="R183" s="6"/>
    </row>
    <row r="184" spans="1:18">
      <c r="A184" s="6"/>
      <c r="B184" s="213">
        <v>43906</v>
      </c>
      <c r="C184" s="117" t="s">
        <v>99</v>
      </c>
      <c r="D184" s="117" t="s">
        <v>99</v>
      </c>
      <c r="E184" s="117" t="s">
        <v>99</v>
      </c>
      <c r="F184" s="85" t="s">
        <v>99</v>
      </c>
      <c r="G184" s="117" t="s">
        <v>99</v>
      </c>
      <c r="H184" s="85" t="s">
        <v>99</v>
      </c>
      <c r="I184" s="117">
        <v>1.8</v>
      </c>
      <c r="J184" s="85">
        <v>1.8</v>
      </c>
      <c r="K184" s="117">
        <v>1.9</v>
      </c>
      <c r="L184" s="85" t="s">
        <v>99</v>
      </c>
      <c r="M184" s="117">
        <v>2.2999999999999998</v>
      </c>
      <c r="N184" s="115">
        <v>2.2999999999999998</v>
      </c>
      <c r="O184" s="115" t="s">
        <v>99</v>
      </c>
      <c r="P184" s="116" t="s">
        <v>99</v>
      </c>
      <c r="Q184" s="214"/>
      <c r="R184" s="6"/>
    </row>
    <row r="185" spans="1:18" ht="6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12"/>
      <c r="R185" s="6"/>
    </row>
  </sheetData>
  <mergeCells count="13">
    <mergeCell ref="Q1:R1"/>
    <mergeCell ref="C7:M7"/>
    <mergeCell ref="C8:D8"/>
    <mergeCell ref="B2:Q2"/>
    <mergeCell ref="A1:F1"/>
    <mergeCell ref="G1:P1"/>
    <mergeCell ref="E8:H8"/>
    <mergeCell ref="I8:J8"/>
    <mergeCell ref="K8:L8"/>
    <mergeCell ref="B3:Q3"/>
    <mergeCell ref="B4:Q4"/>
    <mergeCell ref="B5:Q5"/>
    <mergeCell ref="N7:O7"/>
  </mergeCells>
  <conditionalFormatting sqref="E167:P184 C145:D161 E145:P163 C10:P125">
    <cfRule type="cellIs" dxfId="28" priority="46" operator="between">
      <formula>0.5</formula>
      <formula>2</formula>
    </cfRule>
    <cfRule type="cellIs" dxfId="27" priority="47" operator="between">
      <formula>0</formula>
      <formula>0.49</formula>
    </cfRule>
    <cfRule type="containsText" dxfId="26" priority="48" operator="containsText" text="n/a">
      <formula>NOT(ISERROR(SEARCH("n/a",C10)))</formula>
    </cfRule>
    <cfRule type="cellIs" dxfId="25" priority="49" operator="between">
      <formula>2.01</formula>
      <formula>100</formula>
    </cfRule>
  </conditionalFormatting>
  <conditionalFormatting sqref="E166:P166">
    <cfRule type="cellIs" dxfId="24" priority="41" operator="between">
      <formula>0.5</formula>
      <formula>2</formula>
    </cfRule>
    <cfRule type="cellIs" dxfId="23" priority="42" operator="between">
      <formula>0</formula>
      <formula>0.49</formula>
    </cfRule>
    <cfRule type="containsText" dxfId="22" priority="43" operator="containsText" text="n/a">
      <formula>NOT(ISERROR(SEARCH("n/a",E166)))</formula>
    </cfRule>
    <cfRule type="cellIs" dxfId="21" priority="44" operator="between">
      <formula>2.01</formula>
      <formula>100</formula>
    </cfRule>
  </conditionalFormatting>
  <conditionalFormatting sqref="E164:P165">
    <cfRule type="cellIs" dxfId="20" priority="37" operator="between">
      <formula>0.5</formula>
      <formula>2</formula>
    </cfRule>
    <cfRule type="cellIs" dxfId="19" priority="38" operator="between">
      <formula>0</formula>
      <formula>0.49</formula>
    </cfRule>
    <cfRule type="containsText" dxfId="18" priority="39" operator="containsText" text="n/a">
      <formula>NOT(ISERROR(SEARCH("n/a",E164)))</formula>
    </cfRule>
    <cfRule type="cellIs" dxfId="17" priority="40" operator="between">
      <formula>2.01</formula>
      <formula>100</formula>
    </cfRule>
  </conditionalFormatting>
  <conditionalFormatting sqref="C162:D184">
    <cfRule type="containsText" dxfId="16" priority="8" operator="containsText" text="n/a">
      <formula>NOT(ISERROR(SEARCH("n/a",C162)))</formula>
    </cfRule>
    <cfRule type="cellIs" dxfId="15" priority="9" operator="between">
      <formula>0.5</formula>
      <formula>2</formula>
    </cfRule>
    <cfRule type="cellIs" dxfId="14" priority="10" operator="between">
      <formula>0</formula>
      <formula>0.49</formula>
    </cfRule>
    <cfRule type="cellIs" dxfId="13" priority="11" operator="between">
      <formula>2.01</formula>
      <formula>100</formula>
    </cfRule>
  </conditionalFormatting>
  <conditionalFormatting sqref="C145:P184 C10:P125">
    <cfRule type="containsText" dxfId="12" priority="7" operator="containsText" text="N/A">
      <formula>NOT(ISERROR(SEARCH("N/A",C10)))</formula>
    </cfRule>
    <cfRule type="cellIs" dxfId="11" priority="12" operator="greaterThan">
      <formula>5</formula>
    </cfRule>
  </conditionalFormatting>
  <conditionalFormatting sqref="C126:P144">
    <cfRule type="cellIs" dxfId="10" priority="3" operator="between">
      <formula>0.5</formula>
      <formula>2</formula>
    </cfRule>
    <cfRule type="cellIs" dxfId="9" priority="4" operator="between">
      <formula>0</formula>
      <formula>0.49</formula>
    </cfRule>
    <cfRule type="containsText" dxfId="8" priority="5" operator="containsText" text="n/a">
      <formula>NOT(ISERROR(SEARCH("n/a",C126)))</formula>
    </cfRule>
    <cfRule type="cellIs" dxfId="7" priority="6" operator="between">
      <formula>2.01</formula>
      <formula>100</formula>
    </cfRule>
  </conditionalFormatting>
  <conditionalFormatting sqref="C126:P144">
    <cfRule type="containsText" dxfId="6" priority="1" operator="containsText" text="N/A">
      <formula>NOT(ISERROR(SEARCH("N/A",C126)))</formula>
    </cfRule>
    <cfRule type="cellIs" dxfId="5" priority="2" operator="greaterThan">
      <formula>5</formula>
    </cfRule>
  </conditionalFormatting>
  <hyperlinks>
    <hyperlink ref="Q1:R1" location="Chlorine_Graph!A1" display="Chlorine_Graph!A1" xr:uid="{00000000-0004-0000-1100-000000000000}"/>
    <hyperlink ref="A1" location="DASHBOARD!A1" display="Back to Dashboard" xr:uid="{00000000-0004-0000-1100-000001000000}"/>
  </hyperlinks>
  <printOptions horizontalCentered="1"/>
  <pageMargins left="0.25" right="0.25" top="0.75" bottom="0.75" header="0.3" footer="0.3"/>
  <pageSetup scale="7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AO192"/>
  <sheetViews>
    <sheetView tabSelected="1" zoomScale="147" zoomScaleNormal="147" workbookViewId="0">
      <selection sqref="A1:C1"/>
    </sheetView>
  </sheetViews>
  <sheetFormatPr defaultRowHeight="15"/>
  <cols>
    <col min="1" max="13" width="12.140625" customWidth="1"/>
    <col min="14" max="14" width="8.42578125" customWidth="1"/>
    <col min="15" max="15" width="12.140625" style="97" customWidth="1"/>
    <col min="16" max="17" width="12.140625" customWidth="1"/>
  </cols>
  <sheetData>
    <row r="1" spans="1:41" ht="33.75" thickBot="1">
      <c r="A1" s="803" t="s">
        <v>313</v>
      </c>
      <c r="B1" s="804"/>
      <c r="C1" s="805"/>
      <c r="D1" s="806" t="s">
        <v>996</v>
      </c>
      <c r="E1" s="807"/>
      <c r="F1" s="807"/>
      <c r="G1" s="807"/>
      <c r="H1" s="807"/>
      <c r="I1" s="807"/>
      <c r="J1" s="807"/>
      <c r="K1" s="808" t="s">
        <v>377</v>
      </c>
      <c r="L1" s="809"/>
      <c r="M1" s="809"/>
      <c r="N1" s="809"/>
      <c r="O1" s="228"/>
      <c r="P1" s="227"/>
      <c r="Q1" s="227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</row>
    <row r="2" spans="1:41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</row>
    <row r="3" spans="1:41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P3" s="229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29"/>
      <c r="AM3" s="229"/>
      <c r="AN3" s="229"/>
      <c r="AO3" s="229"/>
    </row>
    <row r="4" spans="1:41">
      <c r="A4" s="229"/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0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29"/>
      <c r="AO4" s="229"/>
    </row>
    <row r="5" spans="1:41">
      <c r="A5" s="229"/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30"/>
      <c r="P5" s="229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</row>
    <row r="6" spans="1:41">
      <c r="A6" s="229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30"/>
      <c r="P6" s="229"/>
      <c r="Q6" s="229"/>
      <c r="R6" s="229"/>
      <c r="S6" s="229"/>
      <c r="T6" s="229"/>
      <c r="U6" s="229"/>
      <c r="V6" s="229"/>
      <c r="W6" s="229"/>
      <c r="X6" s="229"/>
      <c r="Y6" s="229"/>
      <c r="Z6" s="229"/>
      <c r="AA6" s="229"/>
      <c r="AB6" s="229"/>
      <c r="AC6" s="229"/>
      <c r="AD6" s="229"/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</row>
    <row r="7" spans="1:41">
      <c r="A7" s="229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  <c r="AI7" s="229"/>
      <c r="AJ7" s="229"/>
      <c r="AK7" s="229"/>
      <c r="AL7" s="229"/>
      <c r="AM7" s="229"/>
      <c r="AN7" s="229"/>
      <c r="AO7" s="229"/>
    </row>
    <row r="8" spans="1:41">
      <c r="A8" s="229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30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  <c r="AI8" s="229"/>
      <c r="AJ8" s="229"/>
      <c r="AK8" s="229"/>
      <c r="AL8" s="229"/>
      <c r="AM8" s="229"/>
      <c r="AN8" s="229"/>
      <c r="AO8" s="229"/>
    </row>
    <row r="9" spans="1:41">
      <c r="A9" s="229"/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30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  <c r="AI9" s="229"/>
      <c r="AJ9" s="229"/>
      <c r="AK9" s="229"/>
      <c r="AL9" s="229"/>
      <c r="AM9" s="229"/>
      <c r="AN9" s="229"/>
      <c r="AO9" s="229"/>
    </row>
    <row r="10" spans="1:41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30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  <c r="AI10" s="229"/>
      <c r="AJ10" s="229"/>
      <c r="AK10" s="229"/>
      <c r="AL10" s="229"/>
      <c r="AM10" s="229"/>
      <c r="AN10" s="229"/>
      <c r="AO10" s="229"/>
    </row>
    <row r="11" spans="1:41">
      <c r="A11" s="229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30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  <c r="AI11" s="229"/>
      <c r="AJ11" s="229"/>
      <c r="AK11" s="229"/>
      <c r="AL11" s="229"/>
      <c r="AM11" s="229"/>
      <c r="AN11" s="229"/>
      <c r="AO11" s="229"/>
    </row>
    <row r="12" spans="1:41">
      <c r="A12" s="229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30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</row>
    <row r="13" spans="1:41">
      <c r="A13" s="229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29"/>
      <c r="AL13" s="229"/>
      <c r="AM13" s="229"/>
      <c r="AN13" s="229"/>
      <c r="AO13" s="229"/>
    </row>
    <row r="14" spans="1:41">
      <c r="A14" s="229"/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30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  <c r="AI14" s="229"/>
      <c r="AJ14" s="229"/>
      <c r="AK14" s="229"/>
      <c r="AL14" s="229"/>
      <c r="AM14" s="229"/>
      <c r="AN14" s="229"/>
      <c r="AO14" s="229"/>
    </row>
    <row r="15" spans="1:41">
      <c r="A15" s="229"/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30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  <c r="AD15" s="229"/>
      <c r="AE15" s="229"/>
      <c r="AF15" s="229"/>
      <c r="AG15" s="229"/>
      <c r="AH15" s="229"/>
      <c r="AI15" s="229"/>
      <c r="AJ15" s="229"/>
      <c r="AK15" s="229"/>
      <c r="AL15" s="229"/>
      <c r="AM15" s="229"/>
      <c r="AN15" s="229"/>
      <c r="AO15" s="229"/>
    </row>
    <row r="16" spans="1:41">
      <c r="A16" s="229"/>
      <c r="B16" s="229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30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  <c r="AD16" s="229"/>
      <c r="AE16" s="229"/>
      <c r="AF16" s="229"/>
      <c r="AG16" s="229"/>
      <c r="AH16" s="229"/>
      <c r="AI16" s="229"/>
      <c r="AJ16" s="229"/>
      <c r="AK16" s="229"/>
      <c r="AL16" s="229"/>
      <c r="AM16" s="229"/>
      <c r="AN16" s="229"/>
      <c r="AO16" s="229"/>
    </row>
    <row r="17" spans="1:41">
      <c r="A17" s="229"/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30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9"/>
      <c r="AG17" s="229"/>
      <c r="AH17" s="229"/>
      <c r="AI17" s="229"/>
      <c r="AJ17" s="229"/>
      <c r="AK17" s="229"/>
      <c r="AL17" s="229"/>
      <c r="AM17" s="229"/>
      <c r="AN17" s="229"/>
      <c r="AO17" s="229"/>
    </row>
    <row r="18" spans="1:41">
      <c r="A18" s="229"/>
      <c r="B18" s="229"/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30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  <c r="AB18" s="229"/>
      <c r="AC18" s="229"/>
      <c r="AD18" s="229"/>
      <c r="AE18" s="229"/>
      <c r="AF18" s="229"/>
      <c r="AG18" s="229"/>
      <c r="AH18" s="229"/>
      <c r="AI18" s="229"/>
      <c r="AJ18" s="229"/>
      <c r="AK18" s="229"/>
      <c r="AL18" s="229"/>
      <c r="AM18" s="229"/>
      <c r="AN18" s="229"/>
      <c r="AO18" s="229"/>
    </row>
    <row r="19" spans="1:41">
      <c r="A19" s="229"/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30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229"/>
      <c r="AA19" s="229"/>
      <c r="AB19" s="229"/>
      <c r="AC19" s="229"/>
      <c r="AD19" s="229"/>
      <c r="AE19" s="229"/>
      <c r="AF19" s="229"/>
      <c r="AG19" s="229"/>
      <c r="AH19" s="229"/>
      <c r="AI19" s="229"/>
      <c r="AJ19" s="229"/>
      <c r="AK19" s="229"/>
      <c r="AL19" s="229"/>
      <c r="AM19" s="229"/>
      <c r="AN19" s="229"/>
      <c r="AO19" s="229"/>
    </row>
    <row r="20" spans="1:41">
      <c r="A20" s="229"/>
      <c r="B20" s="229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30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229"/>
      <c r="AA20" s="229"/>
      <c r="AB20" s="229"/>
      <c r="AC20" s="229"/>
      <c r="AD20" s="229"/>
      <c r="AE20" s="229"/>
      <c r="AF20" s="229"/>
      <c r="AG20" s="229"/>
      <c r="AH20" s="229"/>
      <c r="AI20" s="229"/>
      <c r="AJ20" s="229"/>
      <c r="AK20" s="229"/>
      <c r="AL20" s="229"/>
      <c r="AM20" s="229"/>
      <c r="AN20" s="229"/>
      <c r="AO20" s="229"/>
    </row>
    <row r="21" spans="1:41">
      <c r="A21" s="229"/>
      <c r="B21" s="229"/>
      <c r="C21" s="229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30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</row>
    <row r="22" spans="1:41">
      <c r="A22" s="229"/>
      <c r="B22" s="229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30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</row>
    <row r="23" spans="1:41">
      <c r="A23" s="229"/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30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  <c r="AB23" s="229"/>
      <c r="AC23" s="229"/>
      <c r="AD23" s="229"/>
      <c r="AE23" s="229"/>
      <c r="AF23" s="229"/>
      <c r="AG23" s="229"/>
      <c r="AH23" s="229"/>
      <c r="AI23" s="229"/>
      <c r="AJ23" s="229"/>
      <c r="AK23" s="229"/>
      <c r="AL23" s="229"/>
      <c r="AM23" s="229"/>
      <c r="AN23" s="229"/>
      <c r="AO23" s="229"/>
    </row>
    <row r="24" spans="1:41">
      <c r="A24" s="229"/>
      <c r="B24" s="229"/>
      <c r="C24" s="229"/>
      <c r="D24" s="229"/>
      <c r="E24" s="229"/>
      <c r="F24" s="229" t="s">
        <v>2</v>
      </c>
      <c r="G24" s="229"/>
      <c r="H24" s="229"/>
      <c r="I24" s="229"/>
      <c r="J24" s="229"/>
      <c r="K24" s="229"/>
      <c r="L24" s="229"/>
      <c r="M24" s="229"/>
      <c r="N24" s="229"/>
      <c r="O24" s="230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</row>
    <row r="25" spans="1:41">
      <c r="A25" s="229"/>
      <c r="B25" s="229"/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30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</row>
    <row r="26" spans="1:41">
      <c r="A26" s="229"/>
      <c r="B26" s="229"/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30"/>
      <c r="P26" s="229"/>
      <c r="Q26" s="229"/>
      <c r="R26" s="229"/>
      <c r="S26" s="229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29"/>
    </row>
    <row r="27" spans="1:41">
      <c r="A27" s="229"/>
      <c r="B27" s="229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30"/>
      <c r="P27" s="229"/>
      <c r="Q27" s="229"/>
      <c r="R27" s="229"/>
      <c r="S27" s="229"/>
      <c r="T27" s="229"/>
      <c r="U27" s="229"/>
      <c r="V27" s="229"/>
      <c r="W27" s="229"/>
      <c r="X27" s="229"/>
      <c r="Y27" s="229"/>
      <c r="Z27" s="229"/>
      <c r="AA27" s="229"/>
      <c r="AB27" s="229"/>
      <c r="AC27" s="229"/>
      <c r="AD27" s="229"/>
      <c r="AE27" s="229"/>
      <c r="AF27" s="229"/>
      <c r="AG27" s="229"/>
      <c r="AH27" s="229"/>
      <c r="AI27" s="229"/>
      <c r="AJ27" s="229"/>
      <c r="AK27" s="229"/>
      <c r="AL27" s="229"/>
      <c r="AM27" s="229"/>
      <c r="AN27" s="229"/>
      <c r="AO27" s="229"/>
    </row>
    <row r="28" spans="1:41">
      <c r="A28" s="229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30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29"/>
      <c r="AI28" s="229"/>
      <c r="AJ28" s="229"/>
      <c r="AK28" s="229"/>
      <c r="AL28" s="229"/>
      <c r="AM28" s="229"/>
      <c r="AN28" s="229"/>
      <c r="AO28" s="229"/>
    </row>
    <row r="29" spans="1:41">
      <c r="A29" s="229"/>
      <c r="B29" s="229"/>
      <c r="C29" s="229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30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29"/>
      <c r="AI29" s="229"/>
      <c r="AJ29" s="229"/>
      <c r="AK29" s="229"/>
      <c r="AL29" s="229"/>
      <c r="AM29" s="229"/>
      <c r="AN29" s="229"/>
      <c r="AO29" s="229"/>
    </row>
    <row r="30" spans="1:41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29"/>
      <c r="AI30" s="229"/>
      <c r="AJ30" s="229"/>
      <c r="AK30" s="229"/>
      <c r="AL30" s="229"/>
      <c r="AM30" s="229"/>
      <c r="AN30" s="229"/>
      <c r="AO30" s="229"/>
    </row>
    <row r="31" spans="1:41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30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29"/>
      <c r="AL31" s="229"/>
      <c r="AM31" s="229"/>
      <c r="AN31" s="229"/>
      <c r="AO31" s="229"/>
    </row>
    <row r="32" spans="1:41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30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29"/>
      <c r="AL32" s="229"/>
      <c r="AM32" s="229"/>
      <c r="AN32" s="229"/>
      <c r="AO32" s="229"/>
    </row>
    <row r="33" spans="1:41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30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29"/>
      <c r="AL33" s="229"/>
      <c r="AM33" s="229"/>
      <c r="AN33" s="229"/>
      <c r="AO33" s="229"/>
    </row>
    <row r="34" spans="1:41">
      <c r="A34" s="229"/>
      <c r="B34" s="229"/>
      <c r="C34" s="229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30"/>
      <c r="P34" s="229"/>
      <c r="Q34" s="229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29"/>
      <c r="AL34" s="229"/>
      <c r="AM34" s="229"/>
      <c r="AN34" s="229"/>
      <c r="AO34" s="229"/>
    </row>
    <row r="35" spans="1:41">
      <c r="A35" s="229"/>
      <c r="B35" s="229"/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30"/>
      <c r="P35" s="229"/>
      <c r="Q35" s="229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29"/>
      <c r="AL35" s="229"/>
      <c r="AM35" s="229"/>
      <c r="AN35" s="229"/>
      <c r="AO35" s="229"/>
    </row>
    <row r="36" spans="1:41">
      <c r="A36" s="229"/>
      <c r="B36" s="229"/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30"/>
      <c r="P36" s="229"/>
      <c r="Q36" s="229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29"/>
      <c r="AL36" s="229"/>
      <c r="AM36" s="229"/>
      <c r="AN36" s="229"/>
      <c r="AO36" s="229"/>
    </row>
    <row r="37" spans="1:41">
      <c r="A37" s="229"/>
      <c r="B37" s="229"/>
      <c r="C37" s="229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30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</row>
    <row r="38" spans="1:41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30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29"/>
      <c r="AL38" s="229"/>
      <c r="AM38" s="229"/>
      <c r="AN38" s="229"/>
      <c r="AO38" s="229"/>
    </row>
    <row r="39" spans="1:41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30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</row>
    <row r="40" spans="1:41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29"/>
      <c r="AL40" s="229"/>
      <c r="AM40" s="229"/>
      <c r="AN40" s="229"/>
      <c r="AO40" s="229"/>
    </row>
    <row r="41" spans="1:41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30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29"/>
      <c r="AL41" s="229"/>
      <c r="AM41" s="229"/>
      <c r="AN41" s="229"/>
      <c r="AO41" s="229"/>
    </row>
    <row r="42" spans="1:41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30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29"/>
      <c r="AL42" s="229"/>
      <c r="AM42" s="229"/>
      <c r="AN42" s="229"/>
      <c r="AO42" s="229"/>
    </row>
    <row r="43" spans="1:41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30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29"/>
      <c r="AL43" s="229"/>
      <c r="AM43" s="229"/>
      <c r="AN43" s="229"/>
      <c r="AO43" s="229"/>
    </row>
    <row r="44" spans="1:41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29"/>
      <c r="AL44" s="229"/>
      <c r="AM44" s="229"/>
      <c r="AN44" s="229"/>
      <c r="AO44" s="229"/>
    </row>
    <row r="45" spans="1:41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29"/>
      <c r="AL45" s="229"/>
      <c r="AM45" s="229"/>
      <c r="AN45" s="229"/>
      <c r="AO45" s="229"/>
    </row>
    <row r="46" spans="1:41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30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29"/>
      <c r="AL46" s="229"/>
      <c r="AM46" s="229"/>
      <c r="AN46" s="229"/>
      <c r="AO46" s="229"/>
    </row>
    <row r="47" spans="1:41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29"/>
      <c r="AL47" s="229"/>
      <c r="AM47" s="229"/>
      <c r="AN47" s="229"/>
      <c r="AO47" s="229"/>
    </row>
    <row r="48" spans="1:41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30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29"/>
      <c r="AL48" s="229"/>
      <c r="AM48" s="229"/>
      <c r="AN48" s="229"/>
      <c r="AO48" s="229"/>
    </row>
    <row r="49" spans="1:41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30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</row>
    <row r="50" spans="1:41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30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29"/>
      <c r="AL50" s="229"/>
      <c r="AM50" s="229"/>
      <c r="AN50" s="229"/>
      <c r="AO50" s="229"/>
    </row>
    <row r="51" spans="1:41">
      <c r="A51" s="229"/>
      <c r="B51" s="229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30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29"/>
      <c r="AL51" s="229"/>
      <c r="AM51" s="229"/>
      <c r="AN51" s="229"/>
      <c r="AO51" s="229"/>
    </row>
    <row r="52" spans="1:41">
      <c r="A52" s="229"/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30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29"/>
      <c r="AL52" s="229"/>
      <c r="AM52" s="229"/>
      <c r="AN52" s="229"/>
      <c r="AO52" s="229"/>
    </row>
    <row r="53" spans="1:41">
      <c r="A53" s="229"/>
      <c r="B53" s="229"/>
      <c r="C53" s="229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30"/>
      <c r="P53" s="229"/>
      <c r="Q53" s="229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29"/>
      <c r="AL53" s="229"/>
      <c r="AM53" s="229"/>
      <c r="AN53" s="229"/>
      <c r="AO53" s="229"/>
    </row>
    <row r="54" spans="1:41">
      <c r="A54" s="229"/>
      <c r="B54" s="229"/>
      <c r="C54" s="229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30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29"/>
      <c r="AL54" s="229"/>
      <c r="AM54" s="229"/>
      <c r="AN54" s="229"/>
      <c r="AO54" s="229"/>
    </row>
    <row r="55" spans="1:41">
      <c r="A55" s="229"/>
      <c r="B55" s="229"/>
      <c r="C55" s="229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30"/>
      <c r="P55" s="229"/>
      <c r="Q55" s="229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29"/>
      <c r="AL55" s="229"/>
      <c r="AM55" s="229"/>
      <c r="AN55" s="229"/>
      <c r="AO55" s="229"/>
    </row>
    <row r="56" spans="1:41">
      <c r="A56" s="229"/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30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29"/>
      <c r="AL56" s="229"/>
      <c r="AM56" s="229"/>
      <c r="AN56" s="229"/>
      <c r="AO56" s="229"/>
    </row>
    <row r="57" spans="1:41">
      <c r="A57" s="229"/>
      <c r="B57" s="229"/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30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29"/>
      <c r="AL57" s="229"/>
      <c r="AM57" s="229"/>
      <c r="AN57" s="229"/>
      <c r="AO57" s="229"/>
    </row>
    <row r="58" spans="1:41">
      <c r="A58" s="229"/>
      <c r="B58" s="229"/>
      <c r="C58" s="229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30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29"/>
      <c r="AL58" s="229"/>
      <c r="AM58" s="229"/>
      <c r="AN58" s="229"/>
      <c r="AO58" s="229"/>
    </row>
    <row r="59" spans="1:41">
      <c r="A59" s="229"/>
      <c r="B59" s="229"/>
      <c r="C59" s="229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30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29"/>
      <c r="AL59" s="229"/>
      <c r="AM59" s="229"/>
      <c r="AN59" s="229"/>
      <c r="AO59" s="229"/>
    </row>
    <row r="60" spans="1:41">
      <c r="A60" s="229"/>
      <c r="B60" s="229"/>
      <c r="C60" s="229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30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29"/>
      <c r="AL60" s="229"/>
      <c r="AM60" s="229"/>
      <c r="AN60" s="229"/>
      <c r="AO60" s="229"/>
    </row>
    <row r="61" spans="1:41">
      <c r="A61" s="229"/>
      <c r="B61" s="229"/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30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</row>
    <row r="62" spans="1:41">
      <c r="A62" s="229"/>
      <c r="B62" s="229"/>
      <c r="C62" s="229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30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29"/>
      <c r="AL62" s="229"/>
      <c r="AM62" s="229"/>
      <c r="AN62" s="229"/>
      <c r="AO62" s="229"/>
    </row>
    <row r="63" spans="1:41">
      <c r="A63" s="229"/>
      <c r="B63" s="229"/>
      <c r="C63" s="229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30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29"/>
      <c r="AL63" s="229"/>
      <c r="AM63" s="229"/>
      <c r="AN63" s="229"/>
      <c r="AO63" s="229"/>
    </row>
    <row r="64" spans="1:41">
      <c r="A64" s="229"/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29"/>
      <c r="AL64" s="229"/>
      <c r="AM64" s="229"/>
      <c r="AN64" s="229"/>
      <c r="AO64" s="229"/>
    </row>
    <row r="65" spans="1:41">
      <c r="A65" s="229"/>
      <c r="B65" s="229"/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30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29"/>
      <c r="AL65" s="229"/>
      <c r="AM65" s="229"/>
      <c r="AN65" s="229"/>
      <c r="AO65" s="229"/>
    </row>
    <row r="66" spans="1:41">
      <c r="A66" s="229"/>
      <c r="B66" s="229"/>
      <c r="C66" s="229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30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29"/>
      <c r="AL66" s="229"/>
      <c r="AM66" s="229"/>
      <c r="AN66" s="229"/>
      <c r="AO66" s="229"/>
    </row>
    <row r="67" spans="1:41">
      <c r="A67" s="229"/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29"/>
      <c r="AL67" s="229"/>
      <c r="AM67" s="229"/>
      <c r="AN67" s="229"/>
      <c r="AO67" s="229"/>
    </row>
    <row r="68" spans="1:41">
      <c r="A68" s="229"/>
      <c r="B68" s="229"/>
      <c r="C68" s="229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30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29"/>
      <c r="AL68" s="229"/>
      <c r="AM68" s="229"/>
      <c r="AN68" s="229"/>
      <c r="AO68" s="229"/>
    </row>
    <row r="69" spans="1:41">
      <c r="A69" s="229"/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30"/>
      <c r="P69" s="229"/>
      <c r="Q69" s="229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29"/>
      <c r="AL69" s="229"/>
      <c r="AM69" s="229"/>
      <c r="AN69" s="229"/>
      <c r="AO69" s="229"/>
    </row>
    <row r="70" spans="1:41">
      <c r="A70" s="229"/>
      <c r="B70" s="229"/>
      <c r="C70" s="229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30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  <c r="AB70" s="229"/>
      <c r="AC70" s="229"/>
      <c r="AD70" s="229"/>
      <c r="AE70" s="229"/>
      <c r="AF70" s="229"/>
      <c r="AG70" s="229"/>
      <c r="AH70" s="229"/>
      <c r="AI70" s="229"/>
      <c r="AJ70" s="229"/>
      <c r="AK70" s="229"/>
      <c r="AL70" s="229"/>
      <c r="AM70" s="229"/>
      <c r="AN70" s="229"/>
      <c r="AO70" s="229"/>
    </row>
    <row r="71" spans="1:41">
      <c r="A71" s="229"/>
      <c r="B71" s="229"/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30"/>
      <c r="P71" s="229"/>
      <c r="Q71" s="229"/>
      <c r="R71" s="229"/>
      <c r="S71" s="229"/>
      <c r="T71" s="229"/>
      <c r="U71" s="229"/>
      <c r="V71" s="229"/>
      <c r="W71" s="229"/>
      <c r="X71" s="229"/>
      <c r="Y71" s="229"/>
      <c r="Z71" s="229"/>
      <c r="AA71" s="229"/>
      <c r="AB71" s="229"/>
      <c r="AC71" s="229"/>
      <c r="AD71" s="229"/>
      <c r="AE71" s="229"/>
      <c r="AF71" s="229"/>
      <c r="AG71" s="229"/>
      <c r="AH71" s="229"/>
      <c r="AI71" s="229"/>
      <c r="AJ71" s="229"/>
      <c r="AK71" s="229"/>
      <c r="AL71" s="229"/>
      <c r="AM71" s="229"/>
      <c r="AN71" s="229"/>
      <c r="AO71" s="229"/>
    </row>
    <row r="72" spans="1:41">
      <c r="A72" s="229"/>
      <c r="B72" s="229"/>
      <c r="C72" s="229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30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29"/>
      <c r="AG72" s="229"/>
      <c r="AH72" s="229"/>
      <c r="AI72" s="229"/>
      <c r="AJ72" s="229"/>
      <c r="AK72" s="229"/>
      <c r="AL72" s="229"/>
      <c r="AM72" s="229"/>
      <c r="AN72" s="229"/>
      <c r="AO72" s="229"/>
    </row>
    <row r="73" spans="1:41">
      <c r="A73" s="229"/>
      <c r="B73" s="229"/>
      <c r="C73" s="229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30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</row>
    <row r="74" spans="1:41">
      <c r="A74" s="229"/>
      <c r="B74" s="229"/>
      <c r="C74" s="229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30"/>
      <c r="P74" s="229"/>
      <c r="Q74" s="229"/>
      <c r="R74" s="229"/>
      <c r="S74" s="229"/>
      <c r="T74" s="229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29"/>
      <c r="AG74" s="229"/>
      <c r="AH74" s="229"/>
      <c r="AI74" s="229"/>
      <c r="AJ74" s="229"/>
      <c r="AK74" s="229"/>
      <c r="AL74" s="229"/>
      <c r="AM74" s="229"/>
      <c r="AN74" s="229"/>
      <c r="AO74" s="229"/>
    </row>
    <row r="75" spans="1:41">
      <c r="A75" s="229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30"/>
      <c r="P75" s="229"/>
      <c r="Q75" s="229"/>
      <c r="R75" s="229"/>
      <c r="S75" s="229"/>
      <c r="T75" s="229"/>
      <c r="U75" s="229"/>
      <c r="V75" s="229"/>
      <c r="W75" s="229"/>
      <c r="X75" s="229"/>
      <c r="Y75" s="229"/>
      <c r="Z75" s="229"/>
      <c r="AA75" s="229"/>
      <c r="AB75" s="229"/>
      <c r="AC75" s="229"/>
      <c r="AD75" s="229"/>
      <c r="AE75" s="229"/>
      <c r="AF75" s="229"/>
      <c r="AG75" s="229"/>
      <c r="AH75" s="229"/>
      <c r="AI75" s="229"/>
      <c r="AJ75" s="229"/>
      <c r="AK75" s="229"/>
      <c r="AL75" s="229"/>
      <c r="AM75" s="229"/>
      <c r="AN75" s="229"/>
      <c r="AO75" s="229"/>
    </row>
    <row r="76" spans="1:41">
      <c r="A76" s="229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30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29"/>
      <c r="AG76" s="229"/>
      <c r="AH76" s="229"/>
      <c r="AI76" s="229"/>
      <c r="AJ76" s="229"/>
      <c r="AK76" s="229"/>
      <c r="AL76" s="229"/>
      <c r="AM76" s="229"/>
      <c r="AN76" s="229"/>
      <c r="AO76" s="229"/>
    </row>
    <row r="77" spans="1:41">
      <c r="A77" s="229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30"/>
      <c r="P77" s="229"/>
      <c r="Q77" s="229"/>
      <c r="R77" s="229"/>
      <c r="S77" s="229"/>
      <c r="T77" s="229"/>
      <c r="U77" s="229"/>
      <c r="V77" s="229"/>
      <c r="W77" s="229"/>
      <c r="X77" s="229"/>
      <c r="Y77" s="229"/>
      <c r="Z77" s="229"/>
      <c r="AA77" s="229"/>
      <c r="AB77" s="229"/>
      <c r="AC77" s="229"/>
      <c r="AD77" s="229"/>
      <c r="AE77" s="229"/>
      <c r="AF77" s="229"/>
      <c r="AG77" s="229"/>
      <c r="AH77" s="229"/>
      <c r="AI77" s="229"/>
      <c r="AJ77" s="229"/>
      <c r="AK77" s="229"/>
      <c r="AL77" s="229"/>
      <c r="AM77" s="229"/>
      <c r="AN77" s="229"/>
      <c r="AO77" s="229"/>
    </row>
    <row r="78" spans="1:41">
      <c r="A78" s="229"/>
      <c r="B78" s="229"/>
      <c r="C78" s="229"/>
      <c r="D78" s="229"/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30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29"/>
      <c r="AG78" s="229"/>
      <c r="AH78" s="229"/>
      <c r="AI78" s="229"/>
      <c r="AJ78" s="229"/>
      <c r="AK78" s="229"/>
      <c r="AL78" s="229"/>
      <c r="AM78" s="229"/>
      <c r="AN78" s="229"/>
      <c r="AO78" s="229"/>
    </row>
    <row r="79" spans="1:41">
      <c r="A79" s="229"/>
      <c r="B79" s="229"/>
      <c r="C79" s="229"/>
      <c r="D79" s="229"/>
      <c r="E79" s="229"/>
      <c r="F79" s="229"/>
      <c r="G79" s="229"/>
      <c r="H79" s="229"/>
      <c r="I79" s="229"/>
      <c r="J79" s="229"/>
      <c r="K79" s="229"/>
      <c r="L79" s="229"/>
      <c r="M79" s="229"/>
      <c r="N79" s="229"/>
      <c r="O79" s="230"/>
      <c r="P79" s="229"/>
      <c r="Q79" s="229"/>
      <c r="R79" s="229"/>
      <c r="S79" s="229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29"/>
      <c r="AH79" s="229"/>
      <c r="AI79" s="229"/>
      <c r="AJ79" s="229"/>
      <c r="AK79" s="229"/>
      <c r="AL79" s="229"/>
      <c r="AM79" s="229"/>
      <c r="AN79" s="229"/>
      <c r="AO79" s="229"/>
    </row>
    <row r="80" spans="1:41">
      <c r="A80" s="229"/>
      <c r="B80" s="229"/>
      <c r="C80" s="229"/>
      <c r="D80" s="229"/>
      <c r="E80" s="229"/>
      <c r="F80" s="229"/>
      <c r="G80" s="229"/>
      <c r="H80" s="229"/>
      <c r="I80" s="229"/>
      <c r="J80" s="229"/>
      <c r="K80" s="229"/>
      <c r="L80" s="229"/>
      <c r="M80" s="229"/>
      <c r="N80" s="229"/>
      <c r="O80" s="230"/>
      <c r="P80" s="229"/>
      <c r="Q80" s="229"/>
      <c r="R80" s="229"/>
      <c r="S80" s="229"/>
      <c r="T80" s="229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29"/>
      <c r="AG80" s="229"/>
      <c r="AH80" s="229"/>
      <c r="AI80" s="229"/>
      <c r="AJ80" s="229"/>
      <c r="AK80" s="229"/>
      <c r="AL80" s="229"/>
      <c r="AM80" s="229"/>
      <c r="AN80" s="229"/>
      <c r="AO80" s="229"/>
    </row>
    <row r="81" spans="1:41">
      <c r="A81" s="229"/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/>
      <c r="AB81" s="229"/>
      <c r="AC81" s="229"/>
      <c r="AD81" s="229"/>
      <c r="AE81" s="229"/>
      <c r="AF81" s="229"/>
      <c r="AG81" s="229"/>
      <c r="AH81" s="229"/>
      <c r="AI81" s="229"/>
      <c r="AJ81" s="229"/>
      <c r="AK81" s="229"/>
      <c r="AL81" s="229"/>
      <c r="AM81" s="229"/>
      <c r="AN81" s="229"/>
      <c r="AO81" s="229"/>
    </row>
    <row r="82" spans="1:41">
      <c r="A82" s="229"/>
      <c r="B82" s="229"/>
      <c r="C82" s="229"/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30"/>
      <c r="P82" s="229"/>
      <c r="Q82" s="229"/>
      <c r="R82" s="229"/>
      <c r="S82" s="229"/>
      <c r="T82" s="229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29"/>
      <c r="AG82" s="229"/>
      <c r="AH82" s="229"/>
      <c r="AI82" s="229"/>
      <c r="AJ82" s="229"/>
      <c r="AK82" s="229"/>
      <c r="AL82" s="229"/>
      <c r="AM82" s="229"/>
      <c r="AN82" s="229"/>
      <c r="AO82" s="229"/>
    </row>
    <row r="83" spans="1:41">
      <c r="A83" s="229"/>
      <c r="B83" s="229"/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30"/>
      <c r="P83" s="229"/>
      <c r="Q83" s="229"/>
      <c r="R83" s="229"/>
      <c r="S83" s="229"/>
      <c r="T83" s="229"/>
      <c r="U83" s="229"/>
      <c r="V83" s="229"/>
      <c r="W83" s="229"/>
      <c r="X83" s="229"/>
      <c r="Y83" s="229"/>
      <c r="Z83" s="229"/>
      <c r="AA83" s="229"/>
      <c r="AB83" s="229"/>
      <c r="AC83" s="229"/>
      <c r="AD83" s="229"/>
      <c r="AE83" s="229"/>
      <c r="AF83" s="229"/>
      <c r="AG83" s="229"/>
      <c r="AH83" s="229"/>
      <c r="AI83" s="229"/>
      <c r="AJ83" s="229"/>
      <c r="AK83" s="229"/>
      <c r="AL83" s="229"/>
      <c r="AM83" s="229"/>
      <c r="AN83" s="229"/>
      <c r="AO83" s="229"/>
    </row>
    <row r="84" spans="1:41">
      <c r="A84" s="229"/>
      <c r="B84" s="229"/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30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29"/>
      <c r="AH84" s="229"/>
      <c r="AI84" s="229"/>
      <c r="AJ84" s="229"/>
      <c r="AK84" s="229"/>
      <c r="AL84" s="229"/>
      <c r="AM84" s="229"/>
      <c r="AN84" s="229"/>
      <c r="AO84" s="229"/>
    </row>
    <row r="85" spans="1:41">
      <c r="A85" s="229"/>
      <c r="B85" s="229"/>
      <c r="C85" s="229"/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30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  <c r="AB85" s="229"/>
      <c r="AC85" s="229"/>
      <c r="AD85" s="229"/>
      <c r="AE85" s="229"/>
      <c r="AF85" s="229"/>
      <c r="AG85" s="229"/>
      <c r="AH85" s="229"/>
      <c r="AI85" s="229"/>
      <c r="AJ85" s="229"/>
      <c r="AK85" s="229"/>
      <c r="AL85" s="229"/>
      <c r="AM85" s="229"/>
      <c r="AN85" s="229"/>
      <c r="AO85" s="229"/>
    </row>
    <row r="86" spans="1:41">
      <c r="A86" s="229"/>
      <c r="B86" s="229"/>
      <c r="C86" s="229"/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30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  <c r="AB86" s="229"/>
      <c r="AC86" s="229"/>
      <c r="AD86" s="229"/>
      <c r="AE86" s="229"/>
      <c r="AF86" s="229"/>
      <c r="AG86" s="229"/>
      <c r="AH86" s="229"/>
      <c r="AI86" s="229"/>
      <c r="AJ86" s="229"/>
      <c r="AK86" s="229"/>
      <c r="AL86" s="229"/>
      <c r="AM86" s="229"/>
      <c r="AN86" s="229"/>
      <c r="AO86" s="229"/>
    </row>
    <row r="87" spans="1:41">
      <c r="A87" s="229"/>
      <c r="B87" s="229"/>
      <c r="C87" s="229"/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29"/>
      <c r="Q87" s="229"/>
      <c r="R87" s="229"/>
      <c r="S87" s="229"/>
      <c r="T87" s="229"/>
      <c r="U87" s="229"/>
      <c r="V87" s="229"/>
      <c r="W87" s="229"/>
      <c r="X87" s="229"/>
      <c r="Y87" s="229"/>
      <c r="Z87" s="229"/>
      <c r="AA87" s="229"/>
      <c r="AB87" s="229"/>
      <c r="AC87" s="229"/>
      <c r="AD87" s="229"/>
      <c r="AE87" s="229"/>
      <c r="AF87" s="229"/>
      <c r="AG87" s="229"/>
      <c r="AH87" s="229"/>
      <c r="AI87" s="229"/>
      <c r="AJ87" s="229"/>
      <c r="AK87" s="229"/>
      <c r="AL87" s="229"/>
      <c r="AM87" s="229"/>
      <c r="AN87" s="229"/>
      <c r="AO87" s="229"/>
    </row>
    <row r="88" spans="1:41">
      <c r="A88" s="229"/>
      <c r="B88" s="229"/>
      <c r="C88" s="229"/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30"/>
      <c r="P88" s="229"/>
      <c r="Q88" s="229"/>
      <c r="R88" s="229"/>
      <c r="S88" s="229"/>
      <c r="T88" s="229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29"/>
      <c r="AG88" s="229"/>
      <c r="AH88" s="229"/>
      <c r="AI88" s="229"/>
      <c r="AJ88" s="229"/>
      <c r="AK88" s="229"/>
      <c r="AL88" s="229"/>
      <c r="AM88" s="229"/>
      <c r="AN88" s="229"/>
      <c r="AO88" s="229"/>
    </row>
    <row r="89" spans="1:41">
      <c r="A89" s="229"/>
      <c r="B89" s="229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30"/>
      <c r="P89" s="229"/>
      <c r="Q89" s="229"/>
      <c r="R89" s="229"/>
      <c r="S89" s="229"/>
      <c r="T89" s="229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229"/>
      <c r="AI89" s="229"/>
      <c r="AJ89" s="229"/>
      <c r="AK89" s="229"/>
      <c r="AL89" s="229"/>
      <c r="AM89" s="229"/>
      <c r="AN89" s="229"/>
      <c r="AO89" s="229"/>
    </row>
    <row r="90" spans="1:41">
      <c r="A90" s="229"/>
      <c r="B90" s="229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30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229"/>
      <c r="AI90" s="229"/>
      <c r="AJ90" s="229"/>
      <c r="AK90" s="229"/>
      <c r="AL90" s="229"/>
      <c r="AM90" s="229"/>
      <c r="AN90" s="229"/>
      <c r="AO90" s="229"/>
    </row>
    <row r="91" spans="1:41">
      <c r="A91" s="229"/>
      <c r="B91" s="229"/>
      <c r="C91" s="229"/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30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  <c r="AB91" s="229"/>
      <c r="AC91" s="229"/>
      <c r="AD91" s="229"/>
      <c r="AE91" s="229"/>
      <c r="AF91" s="229"/>
      <c r="AG91" s="229"/>
      <c r="AH91" s="229"/>
      <c r="AI91" s="229"/>
      <c r="AJ91" s="229"/>
      <c r="AK91" s="229"/>
      <c r="AL91" s="229"/>
      <c r="AM91" s="229"/>
      <c r="AN91" s="229"/>
      <c r="AO91" s="229"/>
    </row>
    <row r="92" spans="1:41">
      <c r="A92" s="229"/>
      <c r="B92" s="229"/>
      <c r="C92" s="229"/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30"/>
      <c r="P92" s="229"/>
      <c r="Q92" s="229"/>
      <c r="R92" s="229"/>
      <c r="S92" s="229"/>
      <c r="T92" s="229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29"/>
      <c r="AG92" s="229"/>
      <c r="AH92" s="229"/>
      <c r="AI92" s="229"/>
      <c r="AJ92" s="229"/>
      <c r="AK92" s="229"/>
      <c r="AL92" s="229"/>
      <c r="AM92" s="229"/>
      <c r="AN92" s="229"/>
      <c r="AO92" s="229"/>
    </row>
    <row r="93" spans="1:41">
      <c r="A93" s="229"/>
      <c r="B93" s="229"/>
      <c r="C93" s="229"/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30"/>
      <c r="P93" s="229"/>
      <c r="Q93" s="229"/>
      <c r="R93" s="229"/>
      <c r="S93" s="229"/>
      <c r="T93" s="229"/>
      <c r="U93" s="229"/>
      <c r="V93" s="229"/>
      <c r="W93" s="229"/>
      <c r="X93" s="229"/>
      <c r="Y93" s="229"/>
      <c r="Z93" s="229"/>
      <c r="AA93" s="229"/>
      <c r="AB93" s="229"/>
      <c r="AC93" s="229"/>
      <c r="AD93" s="229"/>
      <c r="AE93" s="229"/>
      <c r="AF93" s="229"/>
      <c r="AG93" s="229"/>
      <c r="AH93" s="229"/>
      <c r="AI93" s="229"/>
      <c r="AJ93" s="229"/>
      <c r="AK93" s="229"/>
      <c r="AL93" s="229"/>
      <c r="AM93" s="229"/>
      <c r="AN93" s="229"/>
      <c r="AO93" s="229"/>
    </row>
    <row r="94" spans="1:41">
      <c r="A94" s="229"/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P94" s="229"/>
      <c r="Q94" s="229"/>
      <c r="R94" s="229"/>
      <c r="S94" s="229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29"/>
      <c r="AH94" s="229"/>
      <c r="AI94" s="229"/>
      <c r="AJ94" s="229"/>
      <c r="AK94" s="229"/>
      <c r="AL94" s="229"/>
      <c r="AM94" s="229"/>
      <c r="AN94" s="229"/>
      <c r="AO94" s="229"/>
    </row>
    <row r="95" spans="1:41">
      <c r="A95" s="229"/>
      <c r="B95" s="229"/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30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229"/>
      <c r="AA95" s="229"/>
      <c r="AB95" s="229"/>
      <c r="AC95" s="229"/>
      <c r="AD95" s="229"/>
      <c r="AE95" s="229"/>
      <c r="AF95" s="229"/>
      <c r="AG95" s="229"/>
      <c r="AH95" s="229"/>
      <c r="AI95" s="229"/>
      <c r="AJ95" s="229"/>
      <c r="AK95" s="229"/>
      <c r="AL95" s="229"/>
      <c r="AM95" s="229"/>
      <c r="AN95" s="229"/>
      <c r="AO95" s="229"/>
    </row>
    <row r="96" spans="1:41">
      <c r="A96" s="229"/>
      <c r="B96" s="229"/>
      <c r="C96" s="229"/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30"/>
      <c r="P96" s="229"/>
      <c r="Q96" s="229"/>
      <c r="R96" s="229"/>
      <c r="S96" s="229"/>
      <c r="T96" s="229"/>
      <c r="U96" s="229"/>
      <c r="V96" s="229"/>
      <c r="W96" s="229"/>
      <c r="X96" s="229"/>
      <c r="Y96" s="229"/>
      <c r="Z96" s="229"/>
      <c r="AA96" s="229"/>
      <c r="AB96" s="229"/>
      <c r="AC96" s="229"/>
      <c r="AD96" s="229"/>
      <c r="AE96" s="229"/>
      <c r="AF96" s="229"/>
      <c r="AG96" s="229"/>
      <c r="AH96" s="229"/>
      <c r="AI96" s="229"/>
      <c r="AJ96" s="229"/>
      <c r="AK96" s="229"/>
      <c r="AL96" s="229"/>
      <c r="AM96" s="229"/>
      <c r="AN96" s="229"/>
      <c r="AO96" s="229"/>
    </row>
    <row r="97" spans="1:41">
      <c r="A97" s="229"/>
      <c r="B97" s="229"/>
      <c r="C97" s="229"/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30"/>
      <c r="P97" s="229"/>
      <c r="Q97" s="229"/>
      <c r="R97" s="229"/>
      <c r="S97" s="229"/>
      <c r="T97" s="229"/>
      <c r="U97" s="229"/>
      <c r="V97" s="229"/>
      <c r="W97" s="229"/>
      <c r="X97" s="229"/>
      <c r="Y97" s="229"/>
      <c r="Z97" s="229"/>
      <c r="AA97" s="229"/>
      <c r="AB97" s="229"/>
      <c r="AC97" s="229"/>
      <c r="AD97" s="229"/>
      <c r="AE97" s="229"/>
      <c r="AF97" s="229"/>
      <c r="AG97" s="229"/>
      <c r="AH97" s="229"/>
      <c r="AI97" s="229"/>
      <c r="AJ97" s="229"/>
      <c r="AK97" s="229"/>
      <c r="AL97" s="229"/>
      <c r="AM97" s="229"/>
      <c r="AN97" s="229"/>
      <c r="AO97" s="229"/>
    </row>
    <row r="98" spans="1:41">
      <c r="A98" s="229"/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P98" s="229"/>
      <c r="Q98" s="229"/>
      <c r="R98" s="229"/>
      <c r="S98" s="229"/>
      <c r="T98" s="229"/>
      <c r="U98" s="229"/>
      <c r="V98" s="229"/>
      <c r="W98" s="229"/>
      <c r="X98" s="229"/>
      <c r="Y98" s="229"/>
      <c r="Z98" s="229"/>
      <c r="AA98" s="229"/>
      <c r="AB98" s="229"/>
      <c r="AC98" s="229"/>
      <c r="AD98" s="229"/>
      <c r="AE98" s="229"/>
      <c r="AF98" s="229"/>
      <c r="AG98" s="229"/>
      <c r="AH98" s="229"/>
      <c r="AI98" s="229"/>
      <c r="AJ98" s="229"/>
      <c r="AK98" s="229"/>
      <c r="AL98" s="229"/>
      <c r="AM98" s="229"/>
      <c r="AN98" s="229"/>
      <c r="AO98" s="229"/>
    </row>
    <row r="99" spans="1:41">
      <c r="A99" s="229"/>
      <c r="B99" s="229"/>
      <c r="C99" s="229"/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30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29"/>
      <c r="AC99" s="229"/>
      <c r="AD99" s="229"/>
      <c r="AE99" s="229"/>
      <c r="AF99" s="229"/>
      <c r="AG99" s="229"/>
      <c r="AH99" s="229"/>
      <c r="AI99" s="229"/>
      <c r="AJ99" s="229"/>
      <c r="AK99" s="229"/>
      <c r="AL99" s="229"/>
      <c r="AM99" s="229"/>
      <c r="AN99" s="229"/>
      <c r="AO99" s="229"/>
    </row>
    <row r="100" spans="1:41">
      <c r="A100" s="229"/>
      <c r="B100" s="229"/>
      <c r="C100" s="229"/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30"/>
      <c r="P100" s="229"/>
      <c r="Q100" s="229"/>
      <c r="R100" s="229"/>
      <c r="S100" s="229"/>
      <c r="T100" s="229"/>
      <c r="U100" s="229"/>
      <c r="V100" s="229"/>
      <c r="W100" s="229"/>
      <c r="X100" s="229"/>
      <c r="Y100" s="229"/>
      <c r="Z100" s="229"/>
      <c r="AA100" s="229"/>
      <c r="AB100" s="229"/>
      <c r="AC100" s="229"/>
      <c r="AD100" s="229"/>
      <c r="AE100" s="229"/>
      <c r="AF100" s="229"/>
      <c r="AG100" s="229"/>
      <c r="AH100" s="229"/>
      <c r="AI100" s="229"/>
      <c r="AJ100" s="229"/>
      <c r="AK100" s="229"/>
      <c r="AL100" s="229"/>
      <c r="AM100" s="229"/>
      <c r="AN100" s="229"/>
      <c r="AO100" s="229"/>
    </row>
    <row r="101" spans="1:41">
      <c r="A101" s="229"/>
      <c r="B101" s="229"/>
      <c r="C101" s="229"/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30"/>
      <c r="P101" s="229"/>
      <c r="Q101" s="229"/>
      <c r="R101" s="229"/>
      <c r="S101" s="229"/>
      <c r="T101" s="229"/>
      <c r="U101" s="229"/>
      <c r="V101" s="229"/>
      <c r="W101" s="229"/>
      <c r="X101" s="229"/>
      <c r="Y101" s="229"/>
      <c r="Z101" s="229"/>
      <c r="AA101" s="229"/>
      <c r="AB101" s="229"/>
      <c r="AC101" s="229"/>
      <c r="AD101" s="229"/>
      <c r="AE101" s="229"/>
      <c r="AF101" s="229"/>
      <c r="AG101" s="229"/>
      <c r="AH101" s="229"/>
      <c r="AI101" s="229"/>
      <c r="AJ101" s="229"/>
      <c r="AK101" s="229"/>
      <c r="AL101" s="229"/>
      <c r="AM101" s="229"/>
      <c r="AN101" s="229"/>
      <c r="AO101" s="229"/>
    </row>
    <row r="102" spans="1:41">
      <c r="A102" s="229"/>
      <c r="B102" s="229"/>
      <c r="C102" s="229"/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30"/>
      <c r="P102" s="229"/>
      <c r="Q102" s="229"/>
      <c r="R102" s="229"/>
      <c r="S102" s="229"/>
      <c r="T102" s="229"/>
      <c r="U102" s="229"/>
      <c r="V102" s="229"/>
      <c r="W102" s="229"/>
      <c r="X102" s="229"/>
      <c r="Y102" s="229"/>
      <c r="Z102" s="229"/>
      <c r="AA102" s="229"/>
      <c r="AB102" s="229"/>
      <c r="AC102" s="229"/>
      <c r="AD102" s="229"/>
      <c r="AE102" s="229"/>
      <c r="AF102" s="229"/>
      <c r="AG102" s="229"/>
      <c r="AH102" s="229"/>
      <c r="AI102" s="229"/>
      <c r="AJ102" s="229"/>
      <c r="AK102" s="229"/>
      <c r="AL102" s="229"/>
      <c r="AM102" s="229"/>
      <c r="AN102" s="229"/>
      <c r="AO102" s="229"/>
    </row>
    <row r="103" spans="1:41">
      <c r="A103" s="229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30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</row>
    <row r="104" spans="1:41">
      <c r="A104" s="229"/>
      <c r="B104" s="229"/>
      <c r="C104" s="229"/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30"/>
      <c r="P104" s="229"/>
      <c r="Q104" s="229"/>
      <c r="R104" s="229"/>
      <c r="S104" s="229"/>
      <c r="T104" s="229"/>
      <c r="U104" s="229"/>
      <c r="V104" s="229"/>
      <c r="W104" s="229"/>
      <c r="X104" s="229"/>
      <c r="Y104" s="229"/>
      <c r="Z104" s="229"/>
      <c r="AA104" s="229"/>
      <c r="AB104" s="229"/>
      <c r="AC104" s="229"/>
      <c r="AD104" s="229"/>
      <c r="AE104" s="229"/>
      <c r="AF104" s="229"/>
      <c r="AG104" s="229"/>
      <c r="AH104" s="229"/>
      <c r="AI104" s="229"/>
      <c r="AJ104" s="229"/>
      <c r="AK104" s="229"/>
      <c r="AL104" s="229"/>
      <c r="AM104" s="229"/>
      <c r="AN104" s="229"/>
      <c r="AO104" s="229"/>
    </row>
    <row r="105" spans="1:41">
      <c r="A105" s="229"/>
      <c r="B105" s="229"/>
      <c r="C105" s="229"/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30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229"/>
      <c r="AA105" s="229"/>
      <c r="AB105" s="229"/>
      <c r="AC105" s="229"/>
      <c r="AD105" s="229"/>
      <c r="AE105" s="229"/>
      <c r="AF105" s="229"/>
      <c r="AG105" s="229"/>
      <c r="AH105" s="229"/>
      <c r="AI105" s="229"/>
      <c r="AJ105" s="229"/>
      <c r="AK105" s="229"/>
      <c r="AL105" s="229"/>
      <c r="AM105" s="229"/>
      <c r="AN105" s="229"/>
      <c r="AO105" s="229"/>
    </row>
    <row r="106" spans="1:41">
      <c r="A106" s="229"/>
      <c r="B106" s="229"/>
      <c r="C106" s="229"/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30"/>
      <c r="P106" s="229"/>
      <c r="Q106" s="229"/>
      <c r="R106" s="229"/>
      <c r="S106" s="229"/>
      <c r="T106" s="229"/>
      <c r="U106" s="229"/>
      <c r="V106" s="229"/>
      <c r="W106" s="229"/>
      <c r="X106" s="229"/>
      <c r="Y106" s="229"/>
      <c r="Z106" s="229"/>
      <c r="AA106" s="229"/>
      <c r="AB106" s="229"/>
      <c r="AC106" s="229"/>
      <c r="AD106" s="229"/>
      <c r="AE106" s="229"/>
      <c r="AF106" s="229"/>
      <c r="AG106" s="229"/>
      <c r="AH106" s="229"/>
      <c r="AI106" s="229"/>
      <c r="AJ106" s="229"/>
      <c r="AK106" s="229"/>
      <c r="AL106" s="229"/>
      <c r="AM106" s="229"/>
      <c r="AN106" s="229"/>
      <c r="AO106" s="229"/>
    </row>
    <row r="107" spans="1:41">
      <c r="A107" s="229"/>
      <c r="B107" s="229"/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30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</row>
    <row r="108" spans="1:41">
      <c r="A108" s="229"/>
      <c r="B108" s="229"/>
      <c r="C108" s="229"/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30"/>
      <c r="P108" s="229"/>
      <c r="Q108" s="229"/>
      <c r="R108" s="229"/>
      <c r="S108" s="229"/>
      <c r="T108" s="229"/>
      <c r="U108" s="229"/>
      <c r="V108" s="229"/>
      <c r="W108" s="229"/>
      <c r="X108" s="229"/>
      <c r="Y108" s="229"/>
      <c r="Z108" s="229"/>
      <c r="AA108" s="229"/>
      <c r="AB108" s="229"/>
      <c r="AC108" s="229"/>
      <c r="AD108" s="229"/>
      <c r="AE108" s="229"/>
      <c r="AF108" s="229"/>
      <c r="AG108" s="229"/>
      <c r="AH108" s="229"/>
      <c r="AI108" s="229"/>
      <c r="AJ108" s="229"/>
      <c r="AK108" s="229"/>
      <c r="AL108" s="229"/>
      <c r="AM108" s="229"/>
      <c r="AN108" s="229"/>
      <c r="AO108" s="229"/>
    </row>
    <row r="109" spans="1:41">
      <c r="A109" s="229"/>
      <c r="B109" s="229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30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29"/>
      <c r="AI109" s="229"/>
      <c r="AJ109" s="229"/>
      <c r="AK109" s="229"/>
      <c r="AL109" s="229"/>
      <c r="AM109" s="229"/>
      <c r="AN109" s="229"/>
      <c r="AO109" s="229"/>
    </row>
    <row r="110" spans="1:41">
      <c r="A110" s="229"/>
      <c r="B110" s="229"/>
      <c r="C110" s="229"/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30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</row>
    <row r="111" spans="1:41">
      <c r="A111" s="229"/>
      <c r="B111" s="229"/>
      <c r="C111" s="229"/>
      <c r="D111" s="229"/>
      <c r="E111" s="229"/>
      <c r="F111" s="229"/>
      <c r="G111" s="229"/>
      <c r="H111" s="229"/>
      <c r="I111" s="229"/>
      <c r="J111" s="229"/>
      <c r="K111" s="229"/>
      <c r="L111" s="229"/>
      <c r="M111" s="229"/>
      <c r="N111" s="229"/>
      <c r="O111" s="230"/>
      <c r="P111" s="229"/>
      <c r="Q111" s="229"/>
      <c r="R111" s="229"/>
      <c r="S111" s="229"/>
      <c r="T111" s="229"/>
      <c r="U111" s="229"/>
      <c r="V111" s="229"/>
      <c r="W111" s="229"/>
      <c r="X111" s="229"/>
      <c r="Y111" s="229"/>
      <c r="Z111" s="229"/>
      <c r="AA111" s="229"/>
      <c r="AB111" s="229"/>
      <c r="AC111" s="229"/>
      <c r="AD111" s="229"/>
      <c r="AE111" s="229"/>
      <c r="AF111" s="229"/>
      <c r="AG111" s="229"/>
      <c r="AH111" s="229"/>
      <c r="AI111" s="229"/>
      <c r="AJ111" s="229"/>
      <c r="AK111" s="229"/>
      <c r="AL111" s="229"/>
      <c r="AM111" s="229"/>
      <c r="AN111" s="229"/>
      <c r="AO111" s="229"/>
    </row>
    <row r="112" spans="1:41">
      <c r="A112" s="229"/>
      <c r="B112" s="229"/>
      <c r="C112" s="229"/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30"/>
      <c r="P112" s="229"/>
      <c r="Q112" s="229"/>
      <c r="R112" s="229"/>
      <c r="S112" s="229"/>
      <c r="T112" s="229"/>
      <c r="U112" s="229"/>
      <c r="V112" s="229"/>
      <c r="W112" s="229"/>
      <c r="X112" s="229"/>
      <c r="Y112" s="229"/>
      <c r="Z112" s="229"/>
      <c r="AA112" s="229"/>
      <c r="AB112" s="229"/>
      <c r="AC112" s="229"/>
      <c r="AD112" s="229"/>
      <c r="AE112" s="229"/>
      <c r="AF112" s="229"/>
      <c r="AG112" s="229"/>
      <c r="AH112" s="229"/>
      <c r="AI112" s="229"/>
      <c r="AJ112" s="229"/>
      <c r="AK112" s="229"/>
      <c r="AL112" s="229"/>
      <c r="AM112" s="229"/>
      <c r="AN112" s="229"/>
      <c r="AO112" s="229"/>
    </row>
    <row r="113" spans="1:41">
      <c r="A113" s="229"/>
      <c r="B113" s="229"/>
      <c r="C113" s="229"/>
      <c r="D113" s="229"/>
      <c r="E113" s="229"/>
      <c r="F113" s="229"/>
      <c r="G113" s="229"/>
      <c r="H113" s="229"/>
      <c r="I113" s="229"/>
      <c r="J113" s="229"/>
      <c r="K113" s="229"/>
      <c r="L113" s="229"/>
      <c r="M113" s="229"/>
      <c r="N113" s="229"/>
      <c r="O113" s="230"/>
      <c r="P113" s="229"/>
      <c r="Q113" s="229"/>
      <c r="R113" s="229"/>
      <c r="S113" s="229"/>
      <c r="T113" s="229"/>
      <c r="U113" s="229"/>
      <c r="V113" s="229"/>
      <c r="W113" s="229"/>
      <c r="X113" s="229"/>
      <c r="Y113" s="229"/>
      <c r="Z113" s="229"/>
      <c r="AA113" s="229"/>
      <c r="AB113" s="229"/>
      <c r="AC113" s="229"/>
      <c r="AD113" s="229"/>
      <c r="AE113" s="229"/>
      <c r="AF113" s="229"/>
      <c r="AG113" s="229"/>
      <c r="AH113" s="229"/>
      <c r="AI113" s="229"/>
      <c r="AJ113" s="229"/>
      <c r="AK113" s="229"/>
      <c r="AL113" s="229"/>
      <c r="AM113" s="229"/>
      <c r="AN113" s="229"/>
      <c r="AO113" s="229"/>
    </row>
    <row r="114" spans="1:41">
      <c r="A114" s="229"/>
      <c r="B114" s="229"/>
      <c r="C114" s="229"/>
      <c r="D114" s="229"/>
      <c r="E114" s="229"/>
      <c r="F114" s="229"/>
      <c r="G114" s="229"/>
      <c r="H114" s="229"/>
      <c r="I114" s="229"/>
      <c r="J114" s="229"/>
      <c r="K114" s="229"/>
      <c r="L114" s="229"/>
      <c r="M114" s="229"/>
      <c r="N114" s="229"/>
      <c r="O114" s="230"/>
      <c r="P114" s="229"/>
      <c r="Q114" s="229"/>
      <c r="R114" s="229"/>
      <c r="S114" s="229"/>
      <c r="T114" s="229"/>
      <c r="U114" s="229"/>
      <c r="V114" s="229"/>
      <c r="W114" s="229"/>
      <c r="X114" s="229"/>
      <c r="Y114" s="229"/>
      <c r="Z114" s="229"/>
      <c r="AA114" s="229"/>
      <c r="AB114" s="229"/>
      <c r="AC114" s="229"/>
      <c r="AD114" s="229"/>
      <c r="AE114" s="229"/>
      <c r="AF114" s="229"/>
      <c r="AG114" s="229"/>
      <c r="AH114" s="229"/>
      <c r="AI114" s="229"/>
      <c r="AJ114" s="229"/>
      <c r="AK114" s="229"/>
      <c r="AL114" s="229"/>
      <c r="AM114" s="229"/>
      <c r="AN114" s="229"/>
      <c r="AO114" s="229"/>
    </row>
    <row r="115" spans="1:41">
      <c r="A115" s="229"/>
      <c r="B115" s="229"/>
      <c r="C115" s="229"/>
      <c r="D115" s="229"/>
      <c r="E115" s="229"/>
      <c r="F115" s="229"/>
      <c r="G115" s="229"/>
      <c r="H115" s="229"/>
      <c r="I115" s="229"/>
      <c r="J115" s="229"/>
      <c r="K115" s="229"/>
      <c r="L115" s="229"/>
      <c r="M115" s="229"/>
      <c r="N115" s="229"/>
      <c r="O115" s="230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229"/>
      <c r="AA115" s="229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</row>
    <row r="116" spans="1:41">
      <c r="A116" s="229"/>
      <c r="B116" s="229"/>
      <c r="C116" s="229"/>
      <c r="D116" s="229"/>
      <c r="E116" s="229"/>
      <c r="F116" s="229"/>
      <c r="G116" s="229"/>
      <c r="H116" s="229"/>
      <c r="I116" s="229"/>
      <c r="J116" s="229"/>
      <c r="K116" s="229"/>
      <c r="L116" s="229"/>
      <c r="M116" s="229"/>
      <c r="N116" s="229"/>
      <c r="O116" s="230"/>
      <c r="P116" s="229"/>
      <c r="Q116" s="229"/>
      <c r="R116" s="229"/>
      <c r="S116" s="229"/>
      <c r="T116" s="229"/>
      <c r="U116" s="229"/>
      <c r="V116" s="229"/>
      <c r="W116" s="229"/>
      <c r="X116" s="229"/>
      <c r="Y116" s="229"/>
      <c r="Z116" s="229"/>
      <c r="AA116" s="229"/>
      <c r="AB116" s="229"/>
      <c r="AC116" s="229"/>
      <c r="AD116" s="229"/>
      <c r="AE116" s="229"/>
      <c r="AF116" s="229"/>
      <c r="AG116" s="229"/>
      <c r="AH116" s="229"/>
      <c r="AI116" s="229"/>
      <c r="AJ116" s="229"/>
      <c r="AK116" s="229"/>
      <c r="AL116" s="229"/>
      <c r="AM116" s="229"/>
      <c r="AN116" s="229"/>
      <c r="AO116" s="229"/>
    </row>
    <row r="117" spans="1:41">
      <c r="A117" s="229"/>
      <c r="B117" s="229"/>
      <c r="C117" s="229"/>
      <c r="D117" s="229"/>
      <c r="E117" s="229"/>
      <c r="F117" s="229"/>
      <c r="G117" s="229"/>
      <c r="H117" s="229"/>
      <c r="I117" s="229"/>
      <c r="J117" s="229"/>
      <c r="K117" s="229"/>
      <c r="L117" s="229"/>
      <c r="M117" s="229"/>
      <c r="N117" s="229"/>
      <c r="O117" s="230"/>
      <c r="P117" s="229"/>
      <c r="Q117" s="229"/>
      <c r="R117" s="229"/>
      <c r="S117" s="229"/>
      <c r="T117" s="229"/>
      <c r="U117" s="229"/>
      <c r="V117" s="229"/>
      <c r="W117" s="229"/>
      <c r="X117" s="229"/>
      <c r="Y117" s="229"/>
      <c r="Z117" s="229"/>
      <c r="AA117" s="229"/>
      <c r="AB117" s="229"/>
      <c r="AC117" s="229"/>
      <c r="AD117" s="229"/>
      <c r="AE117" s="229"/>
      <c r="AF117" s="229"/>
      <c r="AG117" s="229"/>
      <c r="AH117" s="229"/>
      <c r="AI117" s="229"/>
      <c r="AJ117" s="229"/>
      <c r="AK117" s="229"/>
      <c r="AL117" s="229"/>
      <c r="AM117" s="229"/>
      <c r="AN117" s="229"/>
      <c r="AO117" s="229"/>
    </row>
    <row r="118" spans="1:41">
      <c r="A118" s="229"/>
      <c r="B118" s="229"/>
      <c r="C118" s="229"/>
      <c r="D118" s="229"/>
      <c r="E118" s="229"/>
      <c r="F118" s="229"/>
      <c r="G118" s="229"/>
      <c r="H118" s="229"/>
      <c r="I118" s="229"/>
      <c r="J118" s="229"/>
      <c r="K118" s="229"/>
      <c r="L118" s="229"/>
      <c r="M118" s="229"/>
      <c r="N118" s="229"/>
      <c r="O118" s="230"/>
      <c r="P118" s="229"/>
      <c r="Q118" s="229"/>
      <c r="R118" s="229"/>
      <c r="S118" s="229"/>
      <c r="T118" s="229"/>
      <c r="U118" s="229"/>
      <c r="V118" s="229"/>
      <c r="W118" s="229"/>
      <c r="X118" s="229"/>
      <c r="Y118" s="229"/>
      <c r="Z118" s="229"/>
      <c r="AA118" s="229"/>
      <c r="AB118" s="229"/>
      <c r="AC118" s="229"/>
      <c r="AD118" s="229"/>
      <c r="AE118" s="229"/>
      <c r="AF118" s="229"/>
      <c r="AG118" s="229"/>
      <c r="AH118" s="229"/>
      <c r="AI118" s="229"/>
      <c r="AJ118" s="229"/>
      <c r="AK118" s="229"/>
      <c r="AL118" s="229"/>
      <c r="AM118" s="229"/>
      <c r="AN118" s="229"/>
      <c r="AO118" s="229"/>
    </row>
    <row r="119" spans="1:41">
      <c r="A119" s="229"/>
      <c r="B119" s="229"/>
      <c r="C119" s="229"/>
      <c r="D119" s="229"/>
      <c r="E119" s="229"/>
      <c r="F119" s="229"/>
      <c r="G119" s="229"/>
      <c r="H119" s="229"/>
      <c r="I119" s="229"/>
      <c r="J119" s="229"/>
      <c r="K119" s="229"/>
      <c r="L119" s="229"/>
      <c r="M119" s="229"/>
      <c r="N119" s="229"/>
      <c r="O119" s="230"/>
      <c r="P119" s="229"/>
      <c r="Q119" s="229"/>
      <c r="R119" s="229"/>
      <c r="S119" s="229"/>
      <c r="T119" s="229"/>
      <c r="U119" s="229"/>
      <c r="V119" s="229"/>
      <c r="W119" s="229"/>
      <c r="X119" s="229"/>
      <c r="Y119" s="229"/>
      <c r="Z119" s="229"/>
      <c r="AA119" s="229"/>
      <c r="AB119" s="229"/>
      <c r="AC119" s="229"/>
      <c r="AD119" s="229"/>
      <c r="AE119" s="229"/>
      <c r="AF119" s="229"/>
      <c r="AG119" s="229"/>
      <c r="AH119" s="229"/>
      <c r="AI119" s="229"/>
      <c r="AJ119" s="229"/>
      <c r="AK119" s="229"/>
      <c r="AL119" s="229"/>
      <c r="AM119" s="229"/>
      <c r="AN119" s="229"/>
      <c r="AO119" s="229"/>
    </row>
    <row r="120" spans="1:41">
      <c r="A120" s="229"/>
      <c r="B120" s="229"/>
      <c r="C120" s="229"/>
      <c r="D120" s="229"/>
      <c r="E120" s="229"/>
      <c r="F120" s="229"/>
      <c r="G120" s="229"/>
      <c r="H120" s="229"/>
      <c r="I120" s="229"/>
      <c r="J120" s="229"/>
      <c r="K120" s="229"/>
      <c r="L120" s="229"/>
      <c r="M120" s="229"/>
      <c r="N120" s="229"/>
      <c r="O120" s="230"/>
      <c r="P120" s="229"/>
      <c r="Q120" s="229"/>
      <c r="R120" s="229"/>
      <c r="S120" s="229"/>
      <c r="T120" s="229"/>
      <c r="U120" s="229"/>
      <c r="V120" s="229"/>
      <c r="W120" s="229"/>
      <c r="X120" s="229"/>
      <c r="Y120" s="229"/>
      <c r="Z120" s="229"/>
      <c r="AA120" s="229"/>
      <c r="AB120" s="229"/>
      <c r="AC120" s="229"/>
      <c r="AD120" s="229"/>
      <c r="AE120" s="229"/>
      <c r="AF120" s="229"/>
      <c r="AG120" s="229"/>
      <c r="AH120" s="229"/>
      <c r="AI120" s="229"/>
      <c r="AJ120" s="229"/>
      <c r="AK120" s="229"/>
      <c r="AL120" s="229"/>
      <c r="AM120" s="229"/>
      <c r="AN120" s="229"/>
      <c r="AO120" s="229"/>
    </row>
    <row r="121" spans="1:41">
      <c r="A121" s="229"/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P121" s="229"/>
      <c r="Q121" s="229"/>
      <c r="R121" s="229"/>
      <c r="S121" s="229"/>
      <c r="T121" s="229"/>
      <c r="U121" s="229"/>
      <c r="V121" s="229"/>
      <c r="W121" s="229"/>
      <c r="X121" s="229"/>
      <c r="Y121" s="229"/>
      <c r="Z121" s="229"/>
      <c r="AA121" s="229"/>
      <c r="AB121" s="229"/>
      <c r="AC121" s="229"/>
      <c r="AD121" s="229"/>
      <c r="AE121" s="229"/>
      <c r="AF121" s="229"/>
      <c r="AG121" s="229"/>
      <c r="AH121" s="229"/>
      <c r="AI121" s="229"/>
      <c r="AJ121" s="229"/>
      <c r="AK121" s="229"/>
      <c r="AL121" s="229"/>
      <c r="AM121" s="229"/>
      <c r="AN121" s="229"/>
      <c r="AO121" s="229"/>
    </row>
    <row r="122" spans="1:41">
      <c r="A122" s="229"/>
      <c r="B122" s="229"/>
      <c r="C122" s="229"/>
      <c r="D122" s="229"/>
      <c r="E122" s="229"/>
      <c r="F122" s="229"/>
      <c r="G122" s="229"/>
      <c r="H122" s="229"/>
      <c r="I122" s="229"/>
      <c r="J122" s="229"/>
      <c r="K122" s="229"/>
      <c r="L122" s="229"/>
      <c r="M122" s="229"/>
      <c r="N122" s="229"/>
      <c r="O122" s="230"/>
      <c r="P122" s="229"/>
      <c r="Q122" s="229"/>
      <c r="R122" s="229"/>
      <c r="S122" s="229"/>
      <c r="T122" s="229"/>
      <c r="U122" s="229"/>
      <c r="V122" s="229"/>
      <c r="W122" s="229"/>
      <c r="X122" s="229"/>
      <c r="Y122" s="229"/>
      <c r="Z122" s="229"/>
      <c r="AA122" s="229"/>
      <c r="AB122" s="229"/>
      <c r="AC122" s="229"/>
      <c r="AD122" s="229"/>
      <c r="AE122" s="229"/>
      <c r="AF122" s="229"/>
      <c r="AG122" s="229"/>
      <c r="AH122" s="229"/>
      <c r="AI122" s="229"/>
      <c r="AJ122" s="229"/>
      <c r="AK122" s="229"/>
      <c r="AL122" s="229"/>
      <c r="AM122" s="229"/>
      <c r="AN122" s="229"/>
      <c r="AO122" s="229"/>
    </row>
    <row r="123" spans="1:41">
      <c r="A123" s="229"/>
      <c r="B123" s="229"/>
      <c r="C123" s="229"/>
      <c r="D123" s="229"/>
      <c r="E123" s="229"/>
      <c r="F123" s="229"/>
      <c r="G123" s="229"/>
      <c r="H123" s="229"/>
      <c r="I123" s="229"/>
      <c r="J123" s="229"/>
      <c r="K123" s="229"/>
      <c r="L123" s="229"/>
      <c r="M123" s="229"/>
      <c r="N123" s="229"/>
      <c r="O123" s="230"/>
      <c r="P123" s="229"/>
      <c r="Q123" s="229"/>
      <c r="R123" s="229"/>
      <c r="S123" s="229"/>
      <c r="T123" s="229"/>
      <c r="U123" s="229"/>
      <c r="V123" s="229"/>
      <c r="W123" s="229"/>
      <c r="X123" s="229"/>
      <c r="Y123" s="229"/>
      <c r="Z123" s="229"/>
      <c r="AA123" s="229"/>
      <c r="AB123" s="229"/>
      <c r="AC123" s="229"/>
      <c r="AD123" s="229"/>
      <c r="AE123" s="229"/>
      <c r="AF123" s="229"/>
      <c r="AG123" s="229"/>
      <c r="AH123" s="229"/>
      <c r="AI123" s="229"/>
      <c r="AJ123" s="229"/>
      <c r="AK123" s="229"/>
      <c r="AL123" s="229"/>
      <c r="AM123" s="229"/>
      <c r="AN123" s="229"/>
      <c r="AO123" s="229"/>
    </row>
    <row r="124" spans="1:41">
      <c r="A124" s="229"/>
      <c r="B124" s="229"/>
      <c r="C124" s="229"/>
      <c r="D124" s="229"/>
      <c r="E124" s="229"/>
      <c r="F124" s="229"/>
      <c r="G124" s="229"/>
      <c r="H124" s="229"/>
      <c r="I124" s="229"/>
      <c r="J124" s="229"/>
      <c r="K124" s="229"/>
      <c r="L124" s="229"/>
      <c r="M124" s="229"/>
      <c r="N124" s="229"/>
      <c r="O124" s="230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229"/>
      <c r="AA124" s="229"/>
      <c r="AB124" s="229"/>
      <c r="AC124" s="229"/>
      <c r="AD124" s="229"/>
      <c r="AE124" s="229"/>
      <c r="AF124" s="229"/>
      <c r="AG124" s="229"/>
      <c r="AH124" s="229"/>
      <c r="AI124" s="229"/>
      <c r="AJ124" s="229"/>
      <c r="AK124" s="229"/>
      <c r="AL124" s="229"/>
      <c r="AM124" s="229"/>
      <c r="AN124" s="229"/>
      <c r="AO124" s="229"/>
    </row>
    <row r="125" spans="1:41">
      <c r="A125" s="229"/>
      <c r="B125" s="229"/>
      <c r="C125" s="229"/>
      <c r="D125" s="229"/>
      <c r="E125" s="229"/>
      <c r="F125" s="229"/>
      <c r="G125" s="229"/>
      <c r="H125" s="229"/>
      <c r="I125" s="229"/>
      <c r="J125" s="229"/>
      <c r="K125" s="229"/>
      <c r="L125" s="229"/>
      <c r="M125" s="229"/>
      <c r="N125" s="229"/>
      <c r="O125" s="230"/>
      <c r="P125" s="229"/>
      <c r="Q125" s="229"/>
      <c r="R125" s="229"/>
      <c r="S125" s="229"/>
      <c r="T125" s="229"/>
      <c r="U125" s="229"/>
      <c r="V125" s="229"/>
      <c r="W125" s="229"/>
      <c r="X125" s="229"/>
      <c r="Y125" s="229"/>
      <c r="Z125" s="229"/>
      <c r="AA125" s="229"/>
      <c r="AB125" s="229"/>
      <c r="AC125" s="229"/>
      <c r="AD125" s="229"/>
      <c r="AE125" s="229"/>
      <c r="AF125" s="229"/>
      <c r="AG125" s="229"/>
      <c r="AH125" s="229"/>
      <c r="AI125" s="229"/>
      <c r="AJ125" s="229"/>
      <c r="AK125" s="229"/>
      <c r="AL125" s="229"/>
      <c r="AM125" s="229"/>
      <c r="AN125" s="229"/>
      <c r="AO125" s="229"/>
    </row>
    <row r="126" spans="1:41">
      <c r="A126" s="229"/>
      <c r="B126" s="229"/>
      <c r="C126" s="229"/>
      <c r="D126" s="229"/>
      <c r="E126" s="229"/>
      <c r="F126" s="229"/>
      <c r="G126" s="229"/>
      <c r="H126" s="229"/>
      <c r="I126" s="229"/>
      <c r="J126" s="229"/>
      <c r="K126" s="229"/>
      <c r="L126" s="229"/>
      <c r="M126" s="229"/>
      <c r="N126" s="229"/>
      <c r="O126" s="230"/>
      <c r="P126" s="229"/>
      <c r="Q126" s="229"/>
      <c r="R126" s="229"/>
      <c r="S126" s="229"/>
      <c r="T126" s="229"/>
      <c r="U126" s="229"/>
      <c r="V126" s="229"/>
      <c r="W126" s="229"/>
      <c r="X126" s="229"/>
      <c r="Y126" s="229"/>
      <c r="Z126" s="229"/>
      <c r="AA126" s="229"/>
      <c r="AB126" s="229"/>
      <c r="AC126" s="229"/>
      <c r="AD126" s="229"/>
      <c r="AE126" s="229"/>
      <c r="AF126" s="229"/>
      <c r="AG126" s="229"/>
      <c r="AH126" s="229"/>
      <c r="AI126" s="229"/>
      <c r="AJ126" s="229"/>
      <c r="AK126" s="229"/>
      <c r="AL126" s="229"/>
      <c r="AM126" s="229"/>
      <c r="AN126" s="229"/>
      <c r="AO126" s="229"/>
    </row>
    <row r="127" spans="1:41">
      <c r="A127" s="229"/>
      <c r="B127" s="229"/>
      <c r="C127" s="229"/>
      <c r="D127" s="229"/>
      <c r="E127" s="229"/>
      <c r="F127" s="229"/>
      <c r="G127" s="229"/>
      <c r="H127" s="229"/>
      <c r="I127" s="229"/>
      <c r="J127" s="229"/>
      <c r="K127" s="229"/>
      <c r="L127" s="229"/>
      <c r="M127" s="229"/>
      <c r="N127" s="229"/>
      <c r="O127" s="230"/>
      <c r="P127" s="229"/>
      <c r="Q127" s="229"/>
      <c r="R127" s="229"/>
      <c r="S127" s="229"/>
      <c r="T127" s="229"/>
      <c r="U127" s="229"/>
      <c r="V127" s="229"/>
      <c r="W127" s="229"/>
      <c r="X127" s="229"/>
      <c r="Y127" s="229"/>
      <c r="Z127" s="229"/>
      <c r="AA127" s="229"/>
      <c r="AB127" s="229"/>
      <c r="AC127" s="229"/>
      <c r="AD127" s="229"/>
      <c r="AE127" s="229"/>
      <c r="AF127" s="229"/>
      <c r="AG127" s="229"/>
      <c r="AH127" s="229"/>
      <c r="AI127" s="229"/>
      <c r="AJ127" s="229"/>
      <c r="AK127" s="229"/>
      <c r="AL127" s="229"/>
      <c r="AM127" s="229"/>
      <c r="AN127" s="229"/>
      <c r="AO127" s="229"/>
    </row>
    <row r="128" spans="1:41">
      <c r="A128" s="229"/>
      <c r="B128" s="229"/>
      <c r="C128" s="229"/>
      <c r="D128" s="229"/>
      <c r="E128" s="229"/>
      <c r="F128" s="229"/>
      <c r="G128" s="229"/>
      <c r="H128" s="229"/>
      <c r="I128" s="229"/>
      <c r="J128" s="229"/>
      <c r="K128" s="229"/>
      <c r="L128" s="229"/>
      <c r="M128" s="229"/>
      <c r="N128" s="229"/>
      <c r="O128" s="230"/>
      <c r="P128" s="229"/>
      <c r="Q128" s="229"/>
      <c r="R128" s="229"/>
      <c r="S128" s="229"/>
      <c r="T128" s="229"/>
      <c r="U128" s="229"/>
      <c r="V128" s="229"/>
      <c r="W128" s="229"/>
      <c r="X128" s="229"/>
      <c r="Y128" s="229"/>
      <c r="Z128" s="229"/>
      <c r="AA128" s="229"/>
      <c r="AB128" s="229"/>
      <c r="AC128" s="229"/>
      <c r="AD128" s="229"/>
      <c r="AE128" s="229"/>
      <c r="AF128" s="229"/>
      <c r="AG128" s="229"/>
      <c r="AH128" s="229"/>
      <c r="AI128" s="229"/>
      <c r="AJ128" s="229"/>
      <c r="AK128" s="229"/>
      <c r="AL128" s="229"/>
      <c r="AM128" s="229"/>
      <c r="AN128" s="229"/>
      <c r="AO128" s="229"/>
    </row>
    <row r="129" spans="1:41">
      <c r="A129" s="229"/>
      <c r="B129" s="229"/>
      <c r="C129" s="229"/>
      <c r="D129" s="229"/>
      <c r="E129" s="229"/>
      <c r="F129" s="229"/>
      <c r="G129" s="229"/>
      <c r="H129" s="229"/>
      <c r="I129" s="229"/>
      <c r="J129" s="229"/>
      <c r="K129" s="229"/>
      <c r="L129" s="229"/>
      <c r="M129" s="229"/>
      <c r="N129" s="229"/>
      <c r="O129" s="230"/>
      <c r="P129" s="229"/>
      <c r="Q129" s="229"/>
      <c r="R129" s="229"/>
      <c r="S129" s="229"/>
      <c r="T129" s="229"/>
      <c r="U129" s="229"/>
      <c r="V129" s="229"/>
      <c r="W129" s="229"/>
      <c r="X129" s="229"/>
      <c r="Y129" s="229"/>
      <c r="Z129" s="229"/>
      <c r="AA129" s="229"/>
      <c r="AB129" s="229"/>
      <c r="AC129" s="229"/>
      <c r="AD129" s="229"/>
      <c r="AE129" s="229"/>
      <c r="AF129" s="229"/>
      <c r="AG129" s="229"/>
      <c r="AH129" s="229"/>
      <c r="AI129" s="229"/>
      <c r="AJ129" s="229"/>
      <c r="AK129" s="229"/>
      <c r="AL129" s="229"/>
      <c r="AM129" s="229"/>
      <c r="AN129" s="229"/>
      <c r="AO129" s="229"/>
    </row>
    <row r="130" spans="1:41">
      <c r="A130" s="229"/>
      <c r="B130" s="229"/>
      <c r="C130" s="229"/>
      <c r="D130" s="229"/>
      <c r="E130" s="229"/>
      <c r="F130" s="229"/>
      <c r="G130" s="229"/>
      <c r="H130" s="229"/>
      <c r="I130" s="229"/>
      <c r="J130" s="229"/>
      <c r="K130" s="229"/>
      <c r="L130" s="229"/>
      <c r="M130" s="229"/>
      <c r="N130" s="229"/>
      <c r="O130" s="230"/>
      <c r="P130" s="229"/>
      <c r="Q130" s="229"/>
      <c r="R130" s="229"/>
      <c r="S130" s="229"/>
      <c r="T130" s="229"/>
      <c r="U130" s="229"/>
      <c r="V130" s="229"/>
      <c r="W130" s="229"/>
      <c r="X130" s="229"/>
      <c r="Y130" s="229"/>
      <c r="Z130" s="229"/>
      <c r="AA130" s="229"/>
      <c r="AB130" s="229"/>
      <c r="AC130" s="229"/>
      <c r="AD130" s="229"/>
      <c r="AE130" s="229"/>
      <c r="AF130" s="229"/>
      <c r="AG130" s="229"/>
      <c r="AH130" s="229"/>
      <c r="AI130" s="229"/>
      <c r="AJ130" s="229"/>
      <c r="AK130" s="229"/>
      <c r="AL130" s="229"/>
      <c r="AM130" s="229"/>
      <c r="AN130" s="229"/>
      <c r="AO130" s="229"/>
    </row>
    <row r="131" spans="1:41">
      <c r="A131" s="229"/>
      <c r="B131" s="229"/>
      <c r="C131" s="229"/>
      <c r="D131" s="229"/>
      <c r="E131" s="229"/>
      <c r="F131" s="229"/>
      <c r="G131" s="229"/>
      <c r="H131" s="229"/>
      <c r="I131" s="229"/>
      <c r="J131" s="229"/>
      <c r="K131" s="229"/>
      <c r="L131" s="229"/>
      <c r="M131" s="229"/>
      <c r="N131" s="229"/>
      <c r="O131" s="230"/>
      <c r="P131" s="229"/>
      <c r="Q131" s="229"/>
      <c r="R131" s="229"/>
      <c r="S131" s="229"/>
      <c r="T131" s="229"/>
      <c r="U131" s="229"/>
      <c r="V131" s="229"/>
      <c r="W131" s="229"/>
      <c r="X131" s="229"/>
      <c r="Y131" s="229"/>
      <c r="Z131" s="229"/>
      <c r="AA131" s="229"/>
      <c r="AB131" s="229"/>
      <c r="AC131" s="229"/>
      <c r="AD131" s="229"/>
      <c r="AE131" s="229"/>
      <c r="AF131" s="229"/>
      <c r="AG131" s="229"/>
      <c r="AH131" s="229"/>
      <c r="AI131" s="229"/>
      <c r="AJ131" s="229"/>
      <c r="AK131" s="229"/>
      <c r="AL131" s="229"/>
      <c r="AM131" s="229"/>
      <c r="AN131" s="229"/>
      <c r="AO131" s="229"/>
    </row>
    <row r="132" spans="1:41">
      <c r="A132" s="229"/>
      <c r="B132" s="229"/>
      <c r="C132" s="229"/>
      <c r="D132" s="229"/>
      <c r="E132" s="229"/>
      <c r="F132" s="229"/>
      <c r="G132" s="229"/>
      <c r="H132" s="229"/>
      <c r="I132" s="229"/>
      <c r="J132" s="229"/>
      <c r="K132" s="229"/>
      <c r="L132" s="229"/>
      <c r="M132" s="229"/>
      <c r="N132" s="229"/>
      <c r="O132" s="230"/>
      <c r="P132" s="229"/>
      <c r="Q132" s="229"/>
      <c r="R132" s="229"/>
      <c r="S132" s="229"/>
      <c r="T132" s="229"/>
      <c r="U132" s="229"/>
      <c r="V132" s="229"/>
      <c r="W132" s="229"/>
      <c r="X132" s="229"/>
      <c r="Y132" s="229"/>
      <c r="Z132" s="229"/>
      <c r="AA132" s="229"/>
      <c r="AB132" s="229"/>
      <c r="AC132" s="229"/>
      <c r="AD132" s="229"/>
      <c r="AE132" s="229"/>
      <c r="AF132" s="229"/>
      <c r="AG132" s="229"/>
      <c r="AH132" s="229"/>
      <c r="AI132" s="229"/>
      <c r="AJ132" s="229"/>
      <c r="AK132" s="229"/>
      <c r="AL132" s="229"/>
      <c r="AM132" s="229"/>
      <c r="AN132" s="229"/>
      <c r="AO132" s="229"/>
    </row>
    <row r="133" spans="1:41">
      <c r="A133" s="229"/>
      <c r="B133" s="229"/>
      <c r="C133" s="229"/>
      <c r="D133" s="229"/>
      <c r="E133" s="229"/>
      <c r="F133" s="229"/>
      <c r="G133" s="229"/>
      <c r="H133" s="229"/>
      <c r="I133" s="229"/>
      <c r="J133" s="229"/>
      <c r="K133" s="229"/>
      <c r="L133" s="229"/>
      <c r="M133" s="229"/>
      <c r="N133" s="229"/>
      <c r="O133" s="230"/>
      <c r="P133" s="229"/>
      <c r="Q133" s="229"/>
      <c r="R133" s="229"/>
      <c r="S133" s="229"/>
      <c r="T133" s="229"/>
      <c r="U133" s="229"/>
      <c r="V133" s="229"/>
      <c r="W133" s="229"/>
      <c r="X133" s="229"/>
      <c r="Y133" s="229"/>
      <c r="Z133" s="229"/>
      <c r="AA133" s="229"/>
      <c r="AB133" s="229"/>
      <c r="AC133" s="229"/>
      <c r="AD133" s="229"/>
      <c r="AE133" s="229"/>
      <c r="AF133" s="229"/>
      <c r="AG133" s="229"/>
      <c r="AH133" s="229"/>
      <c r="AI133" s="229"/>
      <c r="AJ133" s="229"/>
      <c r="AK133" s="229"/>
      <c r="AL133" s="229"/>
      <c r="AM133" s="229"/>
      <c r="AN133" s="229"/>
      <c r="AO133" s="229"/>
    </row>
    <row r="134" spans="1:41">
      <c r="A134" s="229"/>
      <c r="B134" s="229"/>
      <c r="C134" s="229"/>
      <c r="D134" s="229"/>
      <c r="E134" s="229"/>
      <c r="F134" s="229"/>
      <c r="G134" s="229"/>
      <c r="H134" s="229"/>
      <c r="I134" s="229"/>
      <c r="J134" s="229"/>
      <c r="K134" s="229"/>
      <c r="L134" s="229"/>
      <c r="M134" s="229"/>
      <c r="N134" s="229"/>
      <c r="O134" s="230"/>
      <c r="P134" s="229"/>
      <c r="Q134" s="229"/>
      <c r="R134" s="229"/>
      <c r="S134" s="229"/>
      <c r="T134" s="229"/>
      <c r="U134" s="229"/>
      <c r="V134" s="229"/>
      <c r="W134" s="229"/>
      <c r="X134" s="229"/>
      <c r="Y134" s="229"/>
      <c r="Z134" s="229"/>
      <c r="AA134" s="229"/>
      <c r="AB134" s="229"/>
      <c r="AC134" s="229"/>
      <c r="AD134" s="229"/>
      <c r="AE134" s="229"/>
      <c r="AF134" s="229"/>
      <c r="AG134" s="229"/>
      <c r="AH134" s="229"/>
      <c r="AI134" s="229"/>
      <c r="AJ134" s="229"/>
      <c r="AK134" s="229"/>
      <c r="AL134" s="229"/>
      <c r="AM134" s="229"/>
      <c r="AN134" s="229"/>
      <c r="AO134" s="229"/>
    </row>
    <row r="135" spans="1:41">
      <c r="A135" s="229"/>
      <c r="B135" s="229"/>
      <c r="C135" s="229"/>
      <c r="D135" s="229"/>
      <c r="E135" s="229"/>
      <c r="F135" s="229"/>
      <c r="G135" s="229"/>
      <c r="H135" s="229"/>
      <c r="I135" s="229"/>
      <c r="J135" s="229"/>
      <c r="K135" s="229"/>
      <c r="L135" s="229"/>
      <c r="M135" s="229"/>
      <c r="N135" s="229"/>
      <c r="O135" s="230"/>
      <c r="P135" s="229"/>
      <c r="Q135" s="229"/>
      <c r="R135" s="229"/>
      <c r="S135" s="229"/>
      <c r="T135" s="229"/>
      <c r="U135" s="229"/>
      <c r="V135" s="229"/>
      <c r="W135" s="229"/>
      <c r="X135" s="229"/>
      <c r="Y135" s="229"/>
      <c r="Z135" s="229"/>
      <c r="AA135" s="229"/>
      <c r="AB135" s="229"/>
      <c r="AC135" s="229"/>
      <c r="AD135" s="229"/>
      <c r="AE135" s="229"/>
      <c r="AF135" s="229"/>
      <c r="AG135" s="229"/>
      <c r="AH135" s="229"/>
      <c r="AI135" s="229"/>
      <c r="AJ135" s="229"/>
      <c r="AK135" s="229"/>
      <c r="AL135" s="229"/>
      <c r="AM135" s="229"/>
      <c r="AN135" s="229"/>
      <c r="AO135" s="229"/>
    </row>
    <row r="136" spans="1:41">
      <c r="A136" s="229"/>
      <c r="B136" s="229"/>
      <c r="C136" s="229"/>
      <c r="D136" s="229"/>
      <c r="E136" s="229"/>
      <c r="F136" s="229"/>
      <c r="G136" s="229"/>
      <c r="H136" s="229"/>
      <c r="I136" s="229"/>
      <c r="J136" s="229"/>
      <c r="K136" s="229"/>
      <c r="L136" s="229"/>
      <c r="M136" s="229"/>
      <c r="N136" s="229"/>
      <c r="O136" s="230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229"/>
      <c r="AA136" s="229"/>
      <c r="AB136" s="229"/>
      <c r="AC136" s="229"/>
      <c r="AD136" s="229"/>
      <c r="AE136" s="229"/>
      <c r="AF136" s="229"/>
      <c r="AG136" s="229"/>
      <c r="AH136" s="229"/>
      <c r="AI136" s="229"/>
      <c r="AJ136" s="229"/>
      <c r="AK136" s="229"/>
      <c r="AL136" s="229"/>
      <c r="AM136" s="229"/>
      <c r="AN136" s="229"/>
      <c r="AO136" s="229"/>
    </row>
    <row r="137" spans="1:41">
      <c r="A137" s="229"/>
      <c r="B137" s="229"/>
      <c r="C137" s="229"/>
      <c r="D137" s="229"/>
      <c r="E137" s="229"/>
      <c r="F137" s="229"/>
      <c r="G137" s="229"/>
      <c r="H137" s="229"/>
      <c r="I137" s="229"/>
      <c r="J137" s="229"/>
      <c r="K137" s="229"/>
      <c r="L137" s="229"/>
      <c r="M137" s="229"/>
      <c r="N137" s="229"/>
      <c r="O137" s="230"/>
      <c r="P137" s="229"/>
      <c r="Q137" s="229"/>
      <c r="R137" s="229"/>
      <c r="S137" s="229"/>
      <c r="T137" s="229"/>
      <c r="U137" s="229"/>
      <c r="V137" s="229"/>
      <c r="W137" s="229"/>
      <c r="X137" s="229"/>
      <c r="Y137" s="229"/>
      <c r="Z137" s="229"/>
      <c r="AA137" s="229"/>
      <c r="AB137" s="229"/>
      <c r="AC137" s="229"/>
      <c r="AD137" s="229"/>
      <c r="AE137" s="229"/>
      <c r="AF137" s="229"/>
      <c r="AG137" s="229"/>
      <c r="AH137" s="229"/>
      <c r="AI137" s="229"/>
      <c r="AJ137" s="229"/>
      <c r="AK137" s="229"/>
      <c r="AL137" s="229"/>
      <c r="AM137" s="229"/>
      <c r="AN137" s="229"/>
      <c r="AO137" s="229"/>
    </row>
    <row r="138" spans="1:41">
      <c r="A138" s="229"/>
      <c r="B138" s="229"/>
      <c r="C138" s="229"/>
      <c r="D138" s="229"/>
      <c r="E138" s="229"/>
      <c r="F138" s="229"/>
      <c r="G138" s="229"/>
      <c r="H138" s="229"/>
      <c r="I138" s="229"/>
      <c r="J138" s="229"/>
      <c r="K138" s="229"/>
      <c r="L138" s="229"/>
      <c r="M138" s="229"/>
      <c r="N138" s="229"/>
      <c r="O138" s="230"/>
      <c r="P138" s="229"/>
      <c r="Q138" s="229"/>
      <c r="R138" s="229"/>
      <c r="S138" s="229"/>
      <c r="T138" s="229"/>
      <c r="U138" s="229"/>
      <c r="V138" s="229"/>
      <c r="W138" s="229"/>
      <c r="X138" s="229"/>
      <c r="Y138" s="229"/>
      <c r="Z138" s="229"/>
      <c r="AA138" s="229"/>
      <c r="AB138" s="229"/>
      <c r="AC138" s="229"/>
      <c r="AD138" s="229"/>
      <c r="AE138" s="229"/>
      <c r="AF138" s="229"/>
      <c r="AG138" s="229"/>
      <c r="AH138" s="229"/>
      <c r="AI138" s="229"/>
      <c r="AJ138" s="229"/>
      <c r="AK138" s="229"/>
      <c r="AL138" s="229"/>
      <c r="AM138" s="229"/>
      <c r="AN138" s="229"/>
      <c r="AO138" s="229"/>
    </row>
    <row r="139" spans="1:41">
      <c r="A139" s="229"/>
      <c r="B139" s="229"/>
      <c r="C139" s="229"/>
      <c r="D139" s="229"/>
      <c r="E139" s="229"/>
      <c r="F139" s="229"/>
      <c r="G139" s="229"/>
      <c r="H139" s="229"/>
      <c r="I139" s="229"/>
      <c r="J139" s="229"/>
      <c r="K139" s="229"/>
      <c r="L139" s="229"/>
      <c r="M139" s="229"/>
      <c r="N139" s="229"/>
      <c r="O139" s="230"/>
      <c r="P139" s="229"/>
      <c r="Q139" s="229"/>
      <c r="R139" s="229"/>
      <c r="S139" s="229"/>
      <c r="T139" s="229"/>
      <c r="U139" s="229"/>
      <c r="V139" s="229"/>
      <c r="W139" s="229"/>
      <c r="X139" s="229"/>
      <c r="Y139" s="229"/>
      <c r="Z139" s="229"/>
      <c r="AA139" s="229"/>
      <c r="AB139" s="229"/>
      <c r="AC139" s="229"/>
      <c r="AD139" s="229"/>
      <c r="AE139" s="229"/>
      <c r="AF139" s="229"/>
      <c r="AG139" s="229"/>
      <c r="AH139" s="229"/>
      <c r="AI139" s="229"/>
      <c r="AJ139" s="229"/>
      <c r="AK139" s="229"/>
      <c r="AL139" s="229"/>
      <c r="AM139" s="229"/>
      <c r="AN139" s="229"/>
      <c r="AO139" s="229"/>
    </row>
    <row r="140" spans="1:41">
      <c r="A140" s="229"/>
      <c r="B140" s="229"/>
      <c r="C140" s="229"/>
      <c r="D140" s="229"/>
      <c r="E140" s="229"/>
      <c r="F140" s="229"/>
      <c r="G140" s="229"/>
      <c r="H140" s="229"/>
      <c r="I140" s="229"/>
      <c r="J140" s="229"/>
      <c r="K140" s="229"/>
      <c r="L140" s="229"/>
      <c r="M140" s="229"/>
      <c r="N140" s="229"/>
      <c r="O140" s="230"/>
      <c r="P140" s="229"/>
      <c r="Q140" s="229"/>
      <c r="R140" s="229"/>
      <c r="S140" s="229"/>
      <c r="T140" s="229"/>
      <c r="U140" s="229"/>
      <c r="V140" s="229"/>
      <c r="W140" s="229"/>
      <c r="X140" s="229"/>
      <c r="Y140" s="229"/>
      <c r="Z140" s="229"/>
      <c r="AA140" s="229"/>
      <c r="AB140" s="229"/>
      <c r="AC140" s="229"/>
      <c r="AD140" s="229"/>
      <c r="AE140" s="229"/>
      <c r="AF140" s="229"/>
      <c r="AG140" s="229"/>
      <c r="AH140" s="229"/>
      <c r="AI140" s="229"/>
      <c r="AJ140" s="229"/>
      <c r="AK140" s="229"/>
      <c r="AL140" s="229"/>
      <c r="AM140" s="229"/>
      <c r="AN140" s="229"/>
      <c r="AO140" s="229"/>
    </row>
    <row r="141" spans="1:41">
      <c r="A141" s="229"/>
      <c r="B141" s="229"/>
      <c r="C141" s="229"/>
      <c r="D141" s="229"/>
      <c r="E141" s="229"/>
      <c r="F141" s="229"/>
      <c r="G141" s="229"/>
      <c r="H141" s="229"/>
      <c r="I141" s="229"/>
      <c r="J141" s="229"/>
      <c r="K141" s="229"/>
      <c r="L141" s="229"/>
      <c r="M141" s="229"/>
      <c r="N141" s="229"/>
      <c r="O141" s="230"/>
      <c r="P141" s="229"/>
      <c r="Q141" s="229"/>
      <c r="R141" s="229"/>
      <c r="S141" s="229"/>
      <c r="T141" s="229"/>
      <c r="U141" s="229"/>
      <c r="V141" s="229"/>
      <c r="W141" s="229"/>
      <c r="X141" s="229"/>
      <c r="Y141" s="229"/>
      <c r="Z141" s="229"/>
      <c r="AA141" s="229"/>
      <c r="AB141" s="229"/>
      <c r="AC141" s="229"/>
      <c r="AD141" s="229"/>
      <c r="AE141" s="229"/>
      <c r="AF141" s="229"/>
      <c r="AG141" s="229"/>
      <c r="AH141" s="229"/>
      <c r="AI141" s="229"/>
      <c r="AJ141" s="229"/>
      <c r="AK141" s="229"/>
      <c r="AL141" s="229"/>
      <c r="AM141" s="229"/>
      <c r="AN141" s="229"/>
      <c r="AO141" s="229"/>
    </row>
    <row r="142" spans="1:41">
      <c r="A142" s="229"/>
      <c r="B142" s="229"/>
      <c r="C142" s="229"/>
      <c r="D142" s="229"/>
      <c r="E142" s="229"/>
      <c r="F142" s="229"/>
      <c r="G142" s="229"/>
      <c r="H142" s="229"/>
      <c r="I142" s="229"/>
      <c r="J142" s="229"/>
      <c r="K142" s="229"/>
      <c r="L142" s="229"/>
      <c r="M142" s="229"/>
      <c r="N142" s="229"/>
      <c r="O142" s="230"/>
      <c r="P142" s="229"/>
      <c r="Q142" s="229"/>
      <c r="R142" s="229"/>
      <c r="S142" s="229"/>
      <c r="T142" s="229"/>
      <c r="U142" s="229"/>
      <c r="V142" s="229"/>
      <c r="W142" s="229"/>
      <c r="X142" s="229"/>
      <c r="Y142" s="229"/>
      <c r="Z142" s="229"/>
      <c r="AA142" s="229"/>
      <c r="AB142" s="229"/>
      <c r="AC142" s="229"/>
      <c r="AD142" s="229"/>
      <c r="AE142" s="229"/>
      <c r="AF142" s="229"/>
      <c r="AG142" s="229"/>
      <c r="AH142" s="229"/>
      <c r="AI142" s="229"/>
      <c r="AJ142" s="229"/>
      <c r="AK142" s="229"/>
      <c r="AL142" s="229"/>
      <c r="AM142" s="229"/>
      <c r="AN142" s="229"/>
      <c r="AO142" s="229"/>
    </row>
    <row r="143" spans="1:41">
      <c r="A143" s="229"/>
      <c r="B143" s="229"/>
      <c r="C143" s="229"/>
      <c r="D143" s="229"/>
      <c r="E143" s="229"/>
      <c r="F143" s="229"/>
      <c r="G143" s="229"/>
      <c r="H143" s="229"/>
      <c r="I143" s="229"/>
      <c r="J143" s="229"/>
      <c r="K143" s="229"/>
      <c r="L143" s="229"/>
      <c r="M143" s="229"/>
      <c r="N143" s="229"/>
      <c r="O143" s="230"/>
      <c r="P143" s="229"/>
      <c r="Q143" s="229"/>
      <c r="R143" s="229"/>
      <c r="S143" s="229"/>
      <c r="T143" s="229"/>
      <c r="U143" s="229"/>
      <c r="V143" s="229"/>
      <c r="W143" s="229"/>
      <c r="X143" s="229"/>
      <c r="Y143" s="229"/>
      <c r="Z143" s="229"/>
      <c r="AA143" s="229"/>
      <c r="AB143" s="229"/>
      <c r="AC143" s="229"/>
      <c r="AD143" s="229"/>
      <c r="AE143" s="229"/>
      <c r="AF143" s="229"/>
      <c r="AG143" s="229"/>
      <c r="AH143" s="229"/>
      <c r="AI143" s="229"/>
      <c r="AJ143" s="229"/>
      <c r="AK143" s="229"/>
      <c r="AL143" s="229"/>
      <c r="AM143" s="229"/>
      <c r="AN143" s="229"/>
      <c r="AO143" s="229"/>
    </row>
    <row r="144" spans="1:41">
      <c r="A144" s="229"/>
      <c r="B144" s="229"/>
      <c r="C144" s="229"/>
      <c r="D144" s="229"/>
      <c r="E144" s="229"/>
      <c r="F144" s="229"/>
      <c r="G144" s="229"/>
      <c r="H144" s="229"/>
      <c r="I144" s="229"/>
      <c r="J144" s="229"/>
      <c r="K144" s="229"/>
      <c r="L144" s="229"/>
      <c r="M144" s="229"/>
      <c r="N144" s="229"/>
      <c r="O144" s="230"/>
      <c r="P144" s="229"/>
      <c r="Q144" s="229"/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29"/>
      <c r="AD144" s="229"/>
      <c r="AE144" s="229"/>
      <c r="AF144" s="229"/>
      <c r="AG144" s="229"/>
      <c r="AH144" s="229"/>
      <c r="AI144" s="229"/>
      <c r="AJ144" s="229"/>
      <c r="AK144" s="229"/>
      <c r="AL144" s="229"/>
      <c r="AM144" s="229"/>
      <c r="AN144" s="229"/>
      <c r="AO144" s="229"/>
    </row>
    <row r="145" spans="1:41">
      <c r="A145" s="229"/>
      <c r="B145" s="229"/>
      <c r="C145" s="229"/>
      <c r="D145" s="229"/>
      <c r="E145" s="229"/>
      <c r="F145" s="229"/>
      <c r="G145" s="229"/>
      <c r="H145" s="229"/>
      <c r="I145" s="229"/>
      <c r="J145" s="229"/>
      <c r="K145" s="229"/>
      <c r="L145" s="229"/>
      <c r="M145" s="229"/>
      <c r="N145" s="229"/>
      <c r="O145" s="230"/>
      <c r="P145" s="229"/>
      <c r="Q145" s="229"/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29"/>
      <c r="AD145" s="229"/>
      <c r="AE145" s="229"/>
      <c r="AF145" s="229"/>
      <c r="AG145" s="229"/>
      <c r="AH145" s="229"/>
      <c r="AI145" s="229"/>
      <c r="AJ145" s="229"/>
      <c r="AK145" s="229"/>
      <c r="AL145" s="229"/>
      <c r="AM145" s="229"/>
      <c r="AN145" s="229"/>
      <c r="AO145" s="229"/>
    </row>
    <row r="146" spans="1:41">
      <c r="A146" s="229"/>
      <c r="B146" s="229"/>
      <c r="C146" s="229"/>
      <c r="D146" s="229"/>
      <c r="E146" s="229"/>
      <c r="F146" s="229"/>
      <c r="G146" s="229"/>
      <c r="H146" s="229"/>
      <c r="I146" s="229"/>
      <c r="J146" s="229"/>
      <c r="K146" s="229"/>
      <c r="L146" s="229"/>
      <c r="M146" s="229"/>
      <c r="N146" s="229"/>
      <c r="O146" s="230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29"/>
      <c r="AD146" s="229"/>
      <c r="AE146" s="229"/>
      <c r="AF146" s="229"/>
      <c r="AG146" s="229"/>
      <c r="AH146" s="229"/>
      <c r="AI146" s="229"/>
      <c r="AJ146" s="229"/>
      <c r="AK146" s="229"/>
      <c r="AL146" s="229"/>
      <c r="AM146" s="229"/>
      <c r="AN146" s="229"/>
      <c r="AO146" s="229"/>
    </row>
    <row r="147" spans="1:41">
      <c r="A147" s="229"/>
      <c r="B147" s="229"/>
      <c r="C147" s="229"/>
      <c r="D147" s="229"/>
      <c r="E147" s="229"/>
      <c r="F147" s="229"/>
      <c r="G147" s="229"/>
      <c r="H147" s="229"/>
      <c r="I147" s="229"/>
      <c r="J147" s="229"/>
      <c r="K147" s="229"/>
      <c r="L147" s="229"/>
      <c r="M147" s="229"/>
      <c r="N147" s="229"/>
      <c r="O147" s="230"/>
      <c r="P147" s="229"/>
      <c r="Q147" s="229"/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29"/>
      <c r="AD147" s="229"/>
      <c r="AE147" s="229"/>
      <c r="AF147" s="229"/>
      <c r="AG147" s="229"/>
      <c r="AH147" s="229"/>
      <c r="AI147" s="229"/>
      <c r="AJ147" s="229"/>
      <c r="AK147" s="229"/>
      <c r="AL147" s="229"/>
      <c r="AM147" s="229"/>
      <c r="AN147" s="229"/>
      <c r="AO147" s="229"/>
    </row>
    <row r="148" spans="1:41">
      <c r="A148" s="229"/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29"/>
      <c r="AD148" s="229"/>
      <c r="AE148" s="229"/>
      <c r="AF148" s="229"/>
      <c r="AG148" s="229"/>
      <c r="AH148" s="229"/>
      <c r="AI148" s="229"/>
      <c r="AJ148" s="229"/>
      <c r="AK148" s="229"/>
      <c r="AL148" s="229"/>
      <c r="AM148" s="229"/>
      <c r="AN148" s="229"/>
      <c r="AO148" s="229"/>
    </row>
    <row r="149" spans="1:41">
      <c r="A149" s="229"/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L149" s="229"/>
      <c r="M149" s="229"/>
      <c r="N149" s="229"/>
      <c r="O149" s="230"/>
      <c r="P149" s="229"/>
      <c r="Q149" s="229"/>
      <c r="R149" s="229"/>
      <c r="S149" s="229"/>
      <c r="T149" s="229"/>
      <c r="U149" s="229"/>
      <c r="V149" s="229"/>
      <c r="W149" s="229"/>
      <c r="X149" s="229"/>
      <c r="Y149" s="229"/>
      <c r="Z149" s="229"/>
      <c r="AA149" s="229"/>
      <c r="AB149" s="229"/>
      <c r="AC149" s="229"/>
      <c r="AD149" s="229"/>
      <c r="AE149" s="229"/>
      <c r="AF149" s="229"/>
      <c r="AG149" s="229"/>
      <c r="AH149" s="229"/>
      <c r="AI149" s="229"/>
      <c r="AJ149" s="229"/>
      <c r="AK149" s="229"/>
      <c r="AL149" s="229"/>
      <c r="AM149" s="229"/>
      <c r="AN149" s="229"/>
      <c r="AO149" s="229"/>
    </row>
    <row r="150" spans="1:41">
      <c r="A150" s="229"/>
      <c r="B150" s="229"/>
      <c r="C150" s="229"/>
      <c r="D150" s="229"/>
      <c r="E150" s="229"/>
      <c r="F150" s="229"/>
      <c r="G150" s="229"/>
      <c r="H150" s="229"/>
      <c r="I150" s="229"/>
      <c r="J150" s="229"/>
      <c r="K150" s="229"/>
      <c r="L150" s="229"/>
      <c r="M150" s="229"/>
      <c r="N150" s="229"/>
      <c r="O150" s="230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</row>
    <row r="151" spans="1:41">
      <c r="A151" s="229"/>
      <c r="B151" s="229"/>
      <c r="C151" s="229"/>
      <c r="D151" s="229"/>
      <c r="E151" s="229"/>
      <c r="F151" s="229"/>
      <c r="G151" s="229"/>
      <c r="H151" s="229"/>
      <c r="I151" s="229"/>
      <c r="J151" s="229"/>
      <c r="K151" s="229"/>
      <c r="L151" s="229"/>
      <c r="M151" s="229"/>
      <c r="N151" s="229"/>
      <c r="O151" s="230"/>
      <c r="P151" s="229"/>
      <c r="Q151" s="229"/>
      <c r="R151" s="229"/>
      <c r="S151" s="229"/>
      <c r="T151" s="229"/>
      <c r="U151" s="229"/>
      <c r="V151" s="229"/>
      <c r="W151" s="229"/>
      <c r="X151" s="229"/>
      <c r="Y151" s="229"/>
      <c r="Z151" s="229"/>
      <c r="AA151" s="229"/>
      <c r="AB151" s="229"/>
      <c r="AC151" s="229"/>
      <c r="AD151" s="229"/>
      <c r="AE151" s="229"/>
      <c r="AF151" s="229"/>
      <c r="AG151" s="229"/>
      <c r="AH151" s="229"/>
      <c r="AI151" s="229"/>
      <c r="AJ151" s="229"/>
      <c r="AK151" s="229"/>
      <c r="AL151" s="229"/>
      <c r="AM151" s="229"/>
      <c r="AN151" s="229"/>
      <c r="AO151" s="229"/>
    </row>
    <row r="152" spans="1:41">
      <c r="A152" s="229"/>
      <c r="B152" s="229"/>
      <c r="C152" s="229"/>
      <c r="D152" s="229"/>
      <c r="E152" s="229"/>
      <c r="F152" s="229"/>
      <c r="G152" s="229"/>
      <c r="H152" s="229"/>
      <c r="I152" s="229"/>
      <c r="J152" s="229"/>
      <c r="K152" s="229"/>
      <c r="L152" s="229"/>
      <c r="M152" s="229"/>
      <c r="N152" s="229"/>
      <c r="O152" s="230"/>
      <c r="P152" s="229"/>
      <c r="Q152" s="229"/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29"/>
      <c r="AD152" s="229"/>
      <c r="AE152" s="229"/>
      <c r="AF152" s="229"/>
      <c r="AG152" s="229"/>
      <c r="AH152" s="229"/>
      <c r="AI152" s="229"/>
      <c r="AJ152" s="229"/>
      <c r="AK152" s="229"/>
      <c r="AL152" s="229"/>
      <c r="AM152" s="229"/>
      <c r="AN152" s="229"/>
      <c r="AO152" s="229"/>
    </row>
    <row r="153" spans="1:41">
      <c r="A153" s="229"/>
      <c r="B153" s="229"/>
      <c r="C153" s="229"/>
      <c r="D153" s="229"/>
      <c r="E153" s="229"/>
      <c r="F153" s="229"/>
      <c r="G153" s="229"/>
      <c r="H153" s="229"/>
      <c r="I153" s="229"/>
      <c r="J153" s="229"/>
      <c r="K153" s="229"/>
      <c r="L153" s="229"/>
      <c r="M153" s="229"/>
      <c r="N153" s="229"/>
      <c r="O153" s="230"/>
      <c r="P153" s="229"/>
      <c r="Q153" s="229"/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29"/>
      <c r="AD153" s="229"/>
      <c r="AE153" s="229"/>
      <c r="AF153" s="229"/>
      <c r="AG153" s="229"/>
      <c r="AH153" s="229"/>
      <c r="AI153" s="229"/>
      <c r="AJ153" s="229"/>
      <c r="AK153" s="229"/>
      <c r="AL153" s="229"/>
      <c r="AM153" s="229"/>
      <c r="AN153" s="229"/>
      <c r="AO153" s="229"/>
    </row>
    <row r="154" spans="1:41">
      <c r="A154" s="229"/>
      <c r="B154" s="229"/>
      <c r="C154" s="229"/>
      <c r="D154" s="229"/>
      <c r="E154" s="229"/>
      <c r="F154" s="229"/>
      <c r="G154" s="229"/>
      <c r="H154" s="229"/>
      <c r="I154" s="229"/>
      <c r="J154" s="229"/>
      <c r="K154" s="229"/>
      <c r="L154" s="229"/>
      <c r="M154" s="229"/>
      <c r="N154" s="229"/>
      <c r="O154" s="230"/>
      <c r="P154" s="229"/>
      <c r="Q154" s="229"/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29"/>
      <c r="AD154" s="229"/>
      <c r="AE154" s="229"/>
      <c r="AF154" s="229"/>
      <c r="AG154" s="229"/>
      <c r="AH154" s="229"/>
      <c r="AI154" s="229"/>
      <c r="AJ154" s="229"/>
      <c r="AK154" s="229"/>
      <c r="AL154" s="229"/>
      <c r="AM154" s="229"/>
      <c r="AN154" s="229"/>
      <c r="AO154" s="229"/>
    </row>
    <row r="155" spans="1:41">
      <c r="A155" s="229"/>
      <c r="B155" s="229"/>
      <c r="C155" s="229"/>
      <c r="D155" s="229"/>
      <c r="E155" s="229"/>
      <c r="F155" s="229"/>
      <c r="G155" s="229"/>
      <c r="H155" s="229"/>
      <c r="I155" s="229"/>
      <c r="J155" s="229"/>
      <c r="K155" s="229"/>
      <c r="L155" s="229"/>
      <c r="M155" s="229"/>
      <c r="N155" s="229"/>
      <c r="O155" s="230"/>
      <c r="P155" s="229"/>
      <c r="Q155" s="229"/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29"/>
      <c r="AD155" s="229"/>
      <c r="AE155" s="229"/>
      <c r="AF155" s="229"/>
      <c r="AG155" s="229"/>
      <c r="AH155" s="229"/>
      <c r="AI155" s="229"/>
      <c r="AJ155" s="229"/>
      <c r="AK155" s="229"/>
      <c r="AL155" s="229"/>
      <c r="AM155" s="229"/>
      <c r="AN155" s="229"/>
      <c r="AO155" s="229"/>
    </row>
    <row r="156" spans="1:41">
      <c r="A156" s="229"/>
      <c r="B156" s="229"/>
      <c r="C156" s="229"/>
      <c r="D156" s="229"/>
      <c r="E156" s="229"/>
      <c r="F156" s="229"/>
      <c r="G156" s="229"/>
      <c r="H156" s="229"/>
      <c r="I156" s="229"/>
      <c r="J156" s="229"/>
      <c r="K156" s="229"/>
      <c r="L156" s="229"/>
      <c r="M156" s="229"/>
      <c r="N156" s="229"/>
      <c r="O156" s="230"/>
      <c r="P156" s="229"/>
      <c r="Q156" s="229"/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29"/>
      <c r="AD156" s="229"/>
      <c r="AE156" s="229"/>
      <c r="AF156" s="229"/>
      <c r="AG156" s="229"/>
      <c r="AH156" s="229"/>
      <c r="AI156" s="229"/>
      <c r="AJ156" s="229"/>
      <c r="AK156" s="229"/>
      <c r="AL156" s="229"/>
      <c r="AM156" s="229"/>
      <c r="AN156" s="229"/>
      <c r="AO156" s="229"/>
    </row>
    <row r="157" spans="1:41">
      <c r="A157" s="229"/>
      <c r="B157" s="229"/>
      <c r="C157" s="229"/>
      <c r="D157" s="229"/>
      <c r="E157" s="229"/>
      <c r="F157" s="229"/>
      <c r="G157" s="229"/>
      <c r="H157" s="229"/>
      <c r="I157" s="229"/>
      <c r="J157" s="229"/>
      <c r="K157" s="229"/>
      <c r="L157" s="229"/>
      <c r="M157" s="229"/>
      <c r="N157" s="229"/>
      <c r="O157" s="230"/>
      <c r="P157" s="229"/>
      <c r="Q157" s="229"/>
      <c r="R157" s="229"/>
      <c r="S157" s="229"/>
      <c r="T157" s="229"/>
      <c r="U157" s="229"/>
      <c r="V157" s="229"/>
      <c r="W157" s="229"/>
      <c r="X157" s="229"/>
      <c r="Y157" s="229"/>
      <c r="Z157" s="229"/>
      <c r="AA157" s="229"/>
      <c r="AB157" s="229"/>
      <c r="AC157" s="229"/>
      <c r="AD157" s="229"/>
      <c r="AE157" s="229"/>
      <c r="AF157" s="229"/>
      <c r="AG157" s="229"/>
      <c r="AH157" s="229"/>
      <c r="AI157" s="229"/>
      <c r="AJ157" s="229"/>
      <c r="AK157" s="229"/>
      <c r="AL157" s="229"/>
      <c r="AM157" s="229"/>
      <c r="AN157" s="229"/>
      <c r="AO157" s="229"/>
    </row>
    <row r="158" spans="1:41">
      <c r="A158" s="229"/>
      <c r="B158" s="229"/>
      <c r="C158" s="229"/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30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</row>
    <row r="159" spans="1:41">
      <c r="A159" s="229"/>
      <c r="B159" s="229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30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</row>
    <row r="160" spans="1:41">
      <c r="A160" s="229"/>
      <c r="B160" s="229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30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</row>
    <row r="161" spans="1:41">
      <c r="A161" s="229"/>
      <c r="B161" s="229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30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</row>
    <row r="162" spans="1:41">
      <c r="A162" s="229"/>
      <c r="B162" s="229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30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</row>
    <row r="163" spans="1:41">
      <c r="A163" s="229"/>
      <c r="B163" s="229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30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</row>
    <row r="164" spans="1:41">
      <c r="A164" s="229"/>
      <c r="B164" s="229"/>
      <c r="C164" s="229"/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30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</row>
    <row r="165" spans="1:41">
      <c r="A165" s="229"/>
      <c r="B165" s="229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30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</row>
    <row r="166" spans="1:41">
      <c r="A166" s="229"/>
      <c r="B166" s="229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30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</row>
    <row r="167" spans="1:41">
      <c r="A167" s="229"/>
      <c r="B167" s="229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30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</row>
    <row r="168" spans="1:41">
      <c r="A168" s="229"/>
      <c r="B168" s="229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30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</row>
    <row r="169" spans="1:41">
      <c r="A169" s="229"/>
      <c r="B169" s="229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30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</row>
    <row r="170" spans="1:41">
      <c r="A170" s="229"/>
      <c r="B170" s="229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30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</row>
    <row r="171" spans="1:41">
      <c r="A171" s="229"/>
      <c r="B171" s="229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30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</row>
    <row r="172" spans="1:41">
      <c r="A172" s="229"/>
      <c r="B172" s="229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30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</row>
    <row r="173" spans="1:41">
      <c r="A173" s="229"/>
      <c r="B173" s="229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30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</row>
    <row r="174" spans="1:41">
      <c r="A174" s="229"/>
      <c r="B174" s="229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30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</row>
    <row r="175" spans="1:41">
      <c r="A175" s="229"/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</row>
    <row r="176" spans="1:41">
      <c r="A176" s="229"/>
      <c r="B176" s="229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30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</row>
    <row r="177" spans="1:41">
      <c r="A177" s="229"/>
      <c r="B177" s="229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30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</row>
    <row r="178" spans="1:41">
      <c r="A178" s="229"/>
      <c r="B178" s="229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30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</row>
    <row r="179" spans="1:41">
      <c r="A179" s="229"/>
      <c r="B179" s="229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30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</row>
    <row r="180" spans="1:41">
      <c r="A180" s="229"/>
      <c r="B180" s="229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30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</row>
    <row r="181" spans="1:41">
      <c r="A181" s="229"/>
      <c r="B181" s="229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30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</row>
    <row r="182" spans="1:41">
      <c r="A182" s="229"/>
      <c r="B182" s="229"/>
      <c r="C182" s="229"/>
      <c r="D182" s="229"/>
      <c r="E182" s="229"/>
      <c r="F182" s="229"/>
      <c r="G182" s="229"/>
      <c r="H182" s="229"/>
      <c r="I182" s="229"/>
      <c r="J182" s="229"/>
      <c r="K182" s="229"/>
      <c r="L182" s="229"/>
      <c r="M182" s="229"/>
      <c r="N182" s="229"/>
      <c r="O182" s="230"/>
      <c r="P182" s="229"/>
      <c r="Q182" s="229"/>
      <c r="R182" s="229"/>
      <c r="S182" s="229"/>
      <c r="T182" s="229"/>
      <c r="U182" s="229"/>
      <c r="V182" s="229"/>
      <c r="W182" s="229"/>
      <c r="X182" s="229"/>
      <c r="Y182" s="229"/>
      <c r="Z182" s="229"/>
      <c r="AA182" s="229"/>
      <c r="AB182" s="229"/>
      <c r="AC182" s="229"/>
      <c r="AD182" s="229"/>
      <c r="AE182" s="229"/>
      <c r="AF182" s="229"/>
      <c r="AG182" s="229"/>
      <c r="AH182" s="229"/>
      <c r="AI182" s="229"/>
      <c r="AJ182" s="229"/>
      <c r="AK182" s="229"/>
      <c r="AL182" s="229"/>
      <c r="AM182" s="229"/>
      <c r="AN182" s="229"/>
      <c r="AO182" s="229"/>
    </row>
    <row r="183" spans="1:41">
      <c r="A183" s="229"/>
      <c r="B183" s="229"/>
      <c r="C183" s="229"/>
      <c r="D183" s="229"/>
      <c r="E183" s="229"/>
      <c r="F183" s="229"/>
      <c r="G183" s="229"/>
      <c r="H183" s="229"/>
      <c r="I183" s="229"/>
      <c r="J183" s="229"/>
      <c r="K183" s="229"/>
      <c r="L183" s="229"/>
      <c r="M183" s="229"/>
      <c r="N183" s="229"/>
      <c r="O183" s="230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229"/>
      <c r="AA183" s="229"/>
      <c r="AB183" s="229"/>
      <c r="AC183" s="229"/>
      <c r="AD183" s="229"/>
      <c r="AE183" s="229"/>
      <c r="AF183" s="229"/>
      <c r="AG183" s="229"/>
      <c r="AH183" s="229"/>
      <c r="AI183" s="229"/>
      <c r="AJ183" s="229"/>
      <c r="AK183" s="229"/>
      <c r="AL183" s="229"/>
      <c r="AM183" s="229"/>
      <c r="AN183" s="229"/>
      <c r="AO183" s="229"/>
    </row>
    <row r="184" spans="1:41">
      <c r="A184" s="229"/>
      <c r="B184" s="229"/>
      <c r="C184" s="229"/>
      <c r="D184" s="229"/>
      <c r="E184" s="229"/>
      <c r="F184" s="229"/>
      <c r="G184" s="229"/>
      <c r="H184" s="229"/>
      <c r="I184" s="229"/>
      <c r="J184" s="229"/>
      <c r="K184" s="229"/>
      <c r="L184" s="229"/>
      <c r="M184" s="229"/>
      <c r="N184" s="229"/>
      <c r="O184" s="230"/>
      <c r="P184" s="229"/>
      <c r="Q184" s="229"/>
      <c r="R184" s="229"/>
      <c r="S184" s="229"/>
      <c r="T184" s="229"/>
      <c r="U184" s="229"/>
      <c r="V184" s="229"/>
      <c r="W184" s="229"/>
      <c r="X184" s="229"/>
      <c r="Y184" s="229"/>
      <c r="Z184" s="229"/>
      <c r="AA184" s="229"/>
      <c r="AB184" s="229"/>
      <c r="AC184" s="229"/>
      <c r="AD184" s="229"/>
      <c r="AE184" s="229"/>
      <c r="AF184" s="229"/>
      <c r="AG184" s="229"/>
      <c r="AH184" s="229"/>
      <c r="AI184" s="229"/>
      <c r="AJ184" s="229"/>
      <c r="AK184" s="229"/>
      <c r="AL184" s="229"/>
      <c r="AM184" s="229"/>
      <c r="AN184" s="229"/>
      <c r="AO184" s="229"/>
    </row>
    <row r="185" spans="1:41">
      <c r="A185" s="229"/>
      <c r="B185" s="229"/>
      <c r="C185" s="229"/>
      <c r="D185" s="229"/>
      <c r="E185" s="229"/>
      <c r="F185" s="229"/>
      <c r="G185" s="229"/>
      <c r="H185" s="229"/>
      <c r="I185" s="229"/>
      <c r="J185" s="229"/>
      <c r="K185" s="229"/>
      <c r="L185" s="229"/>
      <c r="M185" s="229"/>
      <c r="N185" s="229"/>
      <c r="O185" s="230"/>
      <c r="P185" s="229"/>
      <c r="Q185" s="229"/>
      <c r="R185" s="229"/>
      <c r="S185" s="229"/>
      <c r="T185" s="229"/>
      <c r="U185" s="229"/>
      <c r="V185" s="229"/>
      <c r="W185" s="229"/>
      <c r="X185" s="229"/>
      <c r="Y185" s="229"/>
      <c r="Z185" s="229"/>
      <c r="AA185" s="229"/>
      <c r="AB185" s="229"/>
      <c r="AC185" s="229"/>
      <c r="AD185" s="229"/>
      <c r="AE185" s="229"/>
      <c r="AF185" s="229"/>
      <c r="AG185" s="229"/>
      <c r="AH185" s="229"/>
      <c r="AI185" s="229"/>
      <c r="AJ185" s="229"/>
      <c r="AK185" s="229"/>
      <c r="AL185" s="229"/>
      <c r="AM185" s="229"/>
      <c r="AN185" s="229"/>
      <c r="AO185" s="229"/>
    </row>
    <row r="186" spans="1:41">
      <c r="A186" s="229"/>
      <c r="B186" s="229"/>
      <c r="C186" s="229"/>
      <c r="D186" s="229"/>
      <c r="E186" s="229"/>
      <c r="F186" s="229"/>
      <c r="G186" s="229"/>
      <c r="H186" s="229"/>
      <c r="I186" s="229"/>
      <c r="J186" s="229"/>
      <c r="K186" s="229"/>
      <c r="L186" s="229"/>
      <c r="M186" s="229"/>
      <c r="N186" s="229"/>
      <c r="O186" s="230"/>
      <c r="P186" s="229"/>
      <c r="Q186" s="229"/>
      <c r="R186" s="229"/>
      <c r="S186" s="229"/>
      <c r="T186" s="229"/>
      <c r="U186" s="229"/>
      <c r="V186" s="229"/>
      <c r="W186" s="229"/>
      <c r="X186" s="229"/>
      <c r="Y186" s="229"/>
      <c r="Z186" s="229"/>
      <c r="AA186" s="229"/>
      <c r="AB186" s="229"/>
      <c r="AC186" s="229"/>
      <c r="AD186" s="229"/>
      <c r="AE186" s="229"/>
      <c r="AF186" s="229"/>
      <c r="AG186" s="229"/>
      <c r="AH186" s="229"/>
      <c r="AI186" s="229"/>
      <c r="AJ186" s="229"/>
      <c r="AK186" s="229"/>
      <c r="AL186" s="229"/>
      <c r="AM186" s="229"/>
      <c r="AN186" s="229"/>
      <c r="AO186" s="229"/>
    </row>
    <row r="187" spans="1:41">
      <c r="A187" s="229"/>
      <c r="B187" s="229"/>
      <c r="C187" s="229"/>
      <c r="D187" s="229"/>
      <c r="E187" s="229"/>
      <c r="F187" s="229"/>
      <c r="G187" s="229"/>
      <c r="H187" s="229"/>
      <c r="I187" s="229"/>
      <c r="J187" s="229"/>
      <c r="K187" s="229"/>
      <c r="L187" s="229"/>
      <c r="M187" s="229"/>
      <c r="N187" s="229"/>
      <c r="O187" s="230"/>
      <c r="P187" s="229"/>
      <c r="Q187" s="229"/>
      <c r="R187" s="229"/>
      <c r="S187" s="229"/>
      <c r="T187" s="229"/>
      <c r="U187" s="229"/>
      <c r="V187" s="229"/>
      <c r="W187" s="229"/>
      <c r="X187" s="229"/>
      <c r="Y187" s="229"/>
      <c r="Z187" s="229"/>
      <c r="AA187" s="229"/>
      <c r="AB187" s="229"/>
      <c r="AC187" s="229"/>
      <c r="AD187" s="229"/>
      <c r="AE187" s="229"/>
      <c r="AF187" s="229"/>
      <c r="AG187" s="229"/>
      <c r="AH187" s="229"/>
      <c r="AI187" s="229"/>
      <c r="AJ187" s="229"/>
      <c r="AK187" s="229"/>
      <c r="AL187" s="229"/>
      <c r="AM187" s="229"/>
      <c r="AN187" s="229"/>
      <c r="AO187" s="229"/>
    </row>
    <row r="188" spans="1:41">
      <c r="A188" s="229"/>
      <c r="B188" s="229"/>
      <c r="C188" s="229"/>
      <c r="D188" s="229"/>
      <c r="E188" s="229"/>
      <c r="F188" s="229"/>
      <c r="G188" s="229"/>
      <c r="H188" s="229"/>
      <c r="I188" s="229"/>
      <c r="J188" s="229"/>
      <c r="K188" s="229"/>
      <c r="L188" s="229"/>
      <c r="M188" s="229"/>
      <c r="N188" s="229"/>
      <c r="O188" s="230"/>
      <c r="P188" s="229"/>
      <c r="Q188" s="229"/>
      <c r="R188" s="229"/>
      <c r="S188" s="229"/>
      <c r="T188" s="229"/>
      <c r="U188" s="229"/>
      <c r="V188" s="229"/>
      <c r="W188" s="229"/>
      <c r="X188" s="229"/>
      <c r="Y188" s="229"/>
      <c r="Z188" s="229"/>
      <c r="AA188" s="229"/>
      <c r="AB188" s="229"/>
      <c r="AC188" s="229"/>
      <c r="AD188" s="229"/>
      <c r="AE188" s="229"/>
      <c r="AF188" s="229"/>
      <c r="AG188" s="229"/>
      <c r="AH188" s="229"/>
      <c r="AI188" s="229"/>
      <c r="AJ188" s="229"/>
      <c r="AK188" s="229"/>
      <c r="AL188" s="229"/>
      <c r="AM188" s="229"/>
      <c r="AN188" s="229"/>
      <c r="AO188" s="229"/>
    </row>
    <row r="189" spans="1:41">
      <c r="A189" s="229"/>
      <c r="B189" s="229"/>
      <c r="C189" s="229"/>
      <c r="D189" s="229"/>
      <c r="E189" s="229"/>
      <c r="F189" s="229"/>
      <c r="G189" s="229"/>
      <c r="H189" s="229"/>
      <c r="I189" s="229"/>
      <c r="J189" s="229"/>
      <c r="K189" s="229"/>
      <c r="L189" s="229"/>
      <c r="M189" s="229"/>
      <c r="N189" s="229"/>
      <c r="O189" s="230"/>
      <c r="P189" s="229"/>
      <c r="Q189" s="229"/>
      <c r="R189" s="229"/>
      <c r="S189" s="229"/>
      <c r="T189" s="229"/>
      <c r="U189" s="229"/>
      <c r="V189" s="229"/>
      <c r="W189" s="229"/>
      <c r="X189" s="229"/>
      <c r="Y189" s="229"/>
      <c r="Z189" s="229"/>
      <c r="AA189" s="229"/>
      <c r="AB189" s="229"/>
      <c r="AC189" s="229"/>
      <c r="AD189" s="229"/>
      <c r="AE189" s="229"/>
      <c r="AF189" s="229"/>
      <c r="AG189" s="229"/>
      <c r="AH189" s="229"/>
      <c r="AI189" s="229"/>
      <c r="AJ189" s="229"/>
      <c r="AK189" s="229"/>
      <c r="AL189" s="229"/>
      <c r="AM189" s="229"/>
      <c r="AN189" s="229"/>
      <c r="AO189" s="229"/>
    </row>
    <row r="190" spans="1:41">
      <c r="A190" s="229"/>
      <c r="B190" s="229"/>
      <c r="C190" s="229"/>
      <c r="D190" s="229"/>
      <c r="E190" s="229"/>
      <c r="F190" s="229"/>
      <c r="G190" s="229"/>
      <c r="H190" s="229"/>
      <c r="I190" s="229"/>
      <c r="J190" s="229"/>
      <c r="K190" s="229"/>
      <c r="L190" s="229"/>
      <c r="M190" s="229"/>
      <c r="N190" s="229"/>
      <c r="O190" s="230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Z190" s="229"/>
      <c r="AA190" s="229"/>
      <c r="AB190" s="229"/>
      <c r="AC190" s="229"/>
      <c r="AD190" s="229"/>
      <c r="AE190" s="229"/>
      <c r="AF190" s="229"/>
      <c r="AG190" s="229"/>
      <c r="AH190" s="229"/>
      <c r="AI190" s="229"/>
      <c r="AJ190" s="229"/>
      <c r="AK190" s="229"/>
      <c r="AL190" s="229"/>
      <c r="AM190" s="229"/>
      <c r="AN190" s="229"/>
      <c r="AO190" s="229"/>
    </row>
    <row r="191" spans="1:41">
      <c r="A191" s="229"/>
      <c r="B191" s="229"/>
      <c r="C191" s="229"/>
      <c r="D191" s="229"/>
      <c r="E191" s="229"/>
      <c r="F191" s="229"/>
      <c r="G191" s="229"/>
      <c r="H191" s="229"/>
      <c r="I191" s="229"/>
      <c r="J191" s="229"/>
      <c r="K191" s="229"/>
      <c r="L191" s="229"/>
      <c r="M191" s="229"/>
      <c r="N191" s="229"/>
      <c r="O191" s="230"/>
      <c r="P191" s="229"/>
      <c r="Q191" s="229"/>
      <c r="R191" s="229"/>
      <c r="S191" s="229"/>
      <c r="T191" s="229"/>
      <c r="U191" s="229"/>
      <c r="V191" s="229"/>
      <c r="W191" s="229"/>
      <c r="X191" s="229"/>
      <c r="Y191" s="229"/>
      <c r="Z191" s="229"/>
      <c r="AA191" s="229"/>
      <c r="AB191" s="229"/>
      <c r="AC191" s="229"/>
      <c r="AD191" s="229"/>
      <c r="AE191" s="229"/>
      <c r="AF191" s="229"/>
      <c r="AG191" s="229"/>
      <c r="AH191" s="229"/>
      <c r="AI191" s="229"/>
      <c r="AJ191" s="229"/>
      <c r="AK191" s="229"/>
      <c r="AL191" s="229"/>
      <c r="AM191" s="229"/>
      <c r="AN191" s="229"/>
      <c r="AO191" s="229"/>
    </row>
    <row r="192" spans="1:41">
      <c r="A192" s="229"/>
      <c r="B192" s="229"/>
      <c r="C192" s="229"/>
      <c r="D192" s="229"/>
      <c r="E192" s="229"/>
      <c r="F192" s="229"/>
      <c r="G192" s="229"/>
      <c r="H192" s="229"/>
      <c r="I192" s="229"/>
      <c r="J192" s="229"/>
      <c r="K192" s="229"/>
      <c r="L192" s="229"/>
      <c r="M192" s="229"/>
      <c r="N192" s="229"/>
      <c r="O192" s="230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229"/>
      <c r="AA192" s="229"/>
      <c r="AB192" s="229"/>
      <c r="AC192" s="229"/>
      <c r="AD192" s="229"/>
      <c r="AE192" s="229"/>
      <c r="AF192" s="229"/>
      <c r="AG192" s="229"/>
      <c r="AH192" s="229"/>
      <c r="AI192" s="229"/>
      <c r="AJ192" s="229"/>
      <c r="AK192" s="229"/>
      <c r="AL192" s="229"/>
      <c r="AM192" s="229"/>
      <c r="AN192" s="229"/>
      <c r="AO192" s="229"/>
    </row>
  </sheetData>
  <mergeCells count="3">
    <mergeCell ref="A1:C1"/>
    <mergeCell ref="D1:J1"/>
    <mergeCell ref="K1:N1"/>
  </mergeCells>
  <hyperlinks>
    <hyperlink ref="A1" location="DASHBOARD!A1" display="Back to Dashboard" xr:uid="{00000000-0004-0000-1200-000000000000}"/>
    <hyperlink ref="K1" location="DASHBOARD!A1" display="Back to Dashboard" xr:uid="{00000000-0004-0000-1200-000001000000}"/>
    <hyperlink ref="K1:M1" location="Chlorine_Readings!A1" display="Back to Dashboard" xr:uid="{00000000-0004-0000-1200-000002000000}"/>
  </hyperlinks>
  <printOptions horizontalCentered="1"/>
  <pageMargins left="0.25" right="0.25" top="0.75" bottom="0.75" header="0.3" footer="0.3"/>
  <pageSetup scale="75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J26"/>
  <sheetViews>
    <sheetView zoomScale="154" zoomScaleNormal="154" workbookViewId="0">
      <selection sqref="A1:C1"/>
    </sheetView>
  </sheetViews>
  <sheetFormatPr defaultRowHeight="15"/>
  <cols>
    <col min="1" max="1" width="11" bestFit="1" customWidth="1"/>
    <col min="2" max="2" width="17.85546875" bestFit="1" customWidth="1"/>
    <col min="3" max="3" width="40.7109375" style="109" bestFit="1" customWidth="1"/>
    <col min="4" max="6" width="13" style="97" customWidth="1"/>
    <col min="7" max="7" width="16" bestFit="1" customWidth="1"/>
    <col min="8" max="9" width="16" customWidth="1"/>
    <col min="10" max="10" width="14.42578125" bestFit="1" customWidth="1"/>
  </cols>
  <sheetData>
    <row r="1" spans="1:10" s="233" customFormat="1" ht="46.5">
      <c r="A1" s="619" t="s">
        <v>313</v>
      </c>
      <c r="B1" s="620"/>
      <c r="C1" s="620"/>
      <c r="D1" s="810" t="s">
        <v>378</v>
      </c>
      <c r="E1" s="810"/>
      <c r="F1" s="810"/>
      <c r="G1" s="810"/>
      <c r="H1" s="810"/>
      <c r="I1" s="810"/>
      <c r="J1" s="810"/>
    </row>
    <row r="2" spans="1:10" ht="45">
      <c r="A2" s="103" t="s">
        <v>0</v>
      </c>
      <c r="B2" s="103" t="s">
        <v>69</v>
      </c>
      <c r="C2" s="110" t="s">
        <v>149</v>
      </c>
      <c r="D2" s="104" t="s">
        <v>153</v>
      </c>
      <c r="E2" s="104" t="s">
        <v>152</v>
      </c>
      <c r="F2" s="104" t="s">
        <v>223</v>
      </c>
      <c r="G2" s="104" t="s">
        <v>150</v>
      </c>
      <c r="H2" s="104" t="s">
        <v>154</v>
      </c>
      <c r="I2" s="104" t="s">
        <v>155</v>
      </c>
      <c r="J2" s="104" t="s">
        <v>151</v>
      </c>
    </row>
    <row r="3" spans="1:10" ht="30">
      <c r="A3" s="105">
        <v>43921</v>
      </c>
      <c r="B3" s="106" t="s">
        <v>156</v>
      </c>
      <c r="C3" s="108" t="s">
        <v>157</v>
      </c>
      <c r="D3" s="107" t="s">
        <v>158</v>
      </c>
      <c r="E3" s="107" t="s">
        <v>158</v>
      </c>
      <c r="F3" s="107" t="s">
        <v>99</v>
      </c>
      <c r="G3" s="105">
        <v>43922</v>
      </c>
      <c r="H3" s="106">
        <v>4</v>
      </c>
      <c r="I3" s="106">
        <v>4</v>
      </c>
      <c r="J3" s="105">
        <v>43922</v>
      </c>
    </row>
    <row r="4" spans="1:10" ht="23.1" customHeight="1">
      <c r="A4" s="105">
        <v>43925</v>
      </c>
      <c r="B4" s="106" t="s">
        <v>341</v>
      </c>
      <c r="C4" s="108" t="s">
        <v>349</v>
      </c>
      <c r="D4" s="107" t="s">
        <v>225</v>
      </c>
      <c r="E4" s="107" t="s">
        <v>158</v>
      </c>
      <c r="F4" s="107" t="s">
        <v>266</v>
      </c>
      <c r="G4" s="105">
        <v>43925</v>
      </c>
      <c r="H4" s="106">
        <v>2</v>
      </c>
      <c r="I4" s="106">
        <v>1.5</v>
      </c>
      <c r="J4" s="105">
        <v>43925</v>
      </c>
    </row>
    <row r="5" spans="1:10" ht="23.1" customHeight="1">
      <c r="A5" s="105">
        <v>43926</v>
      </c>
      <c r="B5" s="106" t="s">
        <v>384</v>
      </c>
      <c r="C5" s="108" t="s">
        <v>387</v>
      </c>
      <c r="D5" s="107" t="s">
        <v>158</v>
      </c>
      <c r="E5" s="107" t="s">
        <v>158</v>
      </c>
      <c r="F5" s="107" t="s">
        <v>99</v>
      </c>
      <c r="G5" s="106"/>
      <c r="H5" s="106"/>
      <c r="I5" s="106"/>
      <c r="J5" s="106"/>
    </row>
    <row r="6" spans="1:10" ht="23.1" customHeight="1">
      <c r="A6" s="105">
        <v>43926</v>
      </c>
      <c r="B6" s="106" t="s">
        <v>384</v>
      </c>
      <c r="C6" s="108" t="s">
        <v>385</v>
      </c>
      <c r="D6" s="107" t="s">
        <v>158</v>
      </c>
      <c r="E6" s="107" t="s">
        <v>158</v>
      </c>
      <c r="F6" s="107" t="s">
        <v>99</v>
      </c>
      <c r="G6" s="106"/>
      <c r="H6" s="106"/>
      <c r="I6" s="106"/>
      <c r="J6" s="106"/>
    </row>
    <row r="7" spans="1:10" ht="31.5" customHeight="1">
      <c r="A7" s="105">
        <v>43926</v>
      </c>
      <c r="B7" s="106" t="s">
        <v>384</v>
      </c>
      <c r="C7" s="108" t="s">
        <v>386</v>
      </c>
      <c r="D7" s="107" t="s">
        <v>158</v>
      </c>
      <c r="E7" s="107" t="s">
        <v>158</v>
      </c>
      <c r="F7" s="107" t="s">
        <v>99</v>
      </c>
      <c r="G7" s="106"/>
      <c r="H7" s="106"/>
      <c r="I7" s="106"/>
      <c r="J7" s="106"/>
    </row>
    <row r="8" spans="1:10" ht="23.1" customHeight="1">
      <c r="A8" s="105">
        <v>43934</v>
      </c>
      <c r="B8" s="106" t="s">
        <v>341</v>
      </c>
      <c r="C8" s="108" t="s">
        <v>1161</v>
      </c>
      <c r="D8" s="107" t="s">
        <v>158</v>
      </c>
      <c r="E8" s="107" t="s">
        <v>158</v>
      </c>
      <c r="F8" s="107"/>
      <c r="G8" s="106"/>
      <c r="H8" s="106">
        <v>2</v>
      </c>
      <c r="I8" s="106">
        <v>2</v>
      </c>
      <c r="J8" s="106"/>
    </row>
    <row r="9" spans="1:10" ht="23.1" customHeight="1">
      <c r="A9" s="105">
        <v>43934</v>
      </c>
      <c r="B9" s="106" t="s">
        <v>341</v>
      </c>
      <c r="C9" s="108" t="s">
        <v>1162</v>
      </c>
      <c r="D9" s="107" t="s">
        <v>158</v>
      </c>
      <c r="E9" s="107" t="s">
        <v>158</v>
      </c>
      <c r="F9" s="107"/>
      <c r="G9" s="106"/>
      <c r="H9" s="106"/>
      <c r="I9" s="106"/>
      <c r="J9" s="106"/>
    </row>
    <row r="10" spans="1:10" ht="23.1" customHeight="1">
      <c r="A10" s="105">
        <v>43934</v>
      </c>
      <c r="B10" s="106" t="s">
        <v>1682</v>
      </c>
      <c r="C10" s="108" t="s">
        <v>1683</v>
      </c>
      <c r="D10" s="107"/>
      <c r="E10" s="107"/>
      <c r="F10" s="107"/>
      <c r="G10" s="106"/>
      <c r="H10" s="106"/>
      <c r="I10" s="106"/>
      <c r="J10" s="106"/>
    </row>
    <row r="11" spans="1:10" ht="23.1" customHeight="1">
      <c r="A11" s="105">
        <v>43934</v>
      </c>
      <c r="B11" s="106" t="s">
        <v>91</v>
      </c>
      <c r="C11" s="108" t="s">
        <v>1684</v>
      </c>
      <c r="D11" s="107"/>
      <c r="E11" s="107"/>
      <c r="F11" s="107"/>
      <c r="G11" s="106"/>
      <c r="H11" s="106"/>
      <c r="I11" s="106"/>
      <c r="J11" s="106"/>
    </row>
    <row r="12" spans="1:10" ht="23.1" customHeight="1">
      <c r="A12" s="105">
        <v>43934</v>
      </c>
      <c r="B12" s="106" t="s">
        <v>1685</v>
      </c>
      <c r="C12" s="108" t="s">
        <v>1686</v>
      </c>
      <c r="D12" s="107"/>
      <c r="E12" s="107"/>
      <c r="F12" s="107"/>
      <c r="G12" s="106"/>
      <c r="H12" s="106"/>
      <c r="I12" s="106"/>
      <c r="J12" s="106"/>
    </row>
    <row r="13" spans="1:10" ht="23.1" customHeight="1">
      <c r="A13" s="105">
        <v>43951</v>
      </c>
      <c r="B13" s="106" t="s">
        <v>1821</v>
      </c>
      <c r="C13" s="108" t="s">
        <v>1822</v>
      </c>
      <c r="D13" s="107"/>
      <c r="E13" s="107"/>
      <c r="F13" s="107"/>
      <c r="G13" s="106"/>
      <c r="H13" s="106"/>
      <c r="I13" s="106"/>
      <c r="J13" s="106"/>
    </row>
    <row r="14" spans="1:10" ht="23.1" customHeight="1">
      <c r="A14" s="105">
        <v>43954</v>
      </c>
      <c r="B14" s="106" t="s">
        <v>1825</v>
      </c>
      <c r="C14" s="108" t="s">
        <v>1826</v>
      </c>
      <c r="D14" s="107"/>
      <c r="E14" s="107"/>
      <c r="F14" s="107"/>
      <c r="G14" s="106"/>
      <c r="H14" s="106"/>
      <c r="I14" s="106"/>
      <c r="J14" s="106"/>
    </row>
    <row r="15" spans="1:10" ht="23.1" customHeight="1">
      <c r="A15" s="105">
        <v>43954</v>
      </c>
      <c r="B15" s="106" t="s">
        <v>341</v>
      </c>
      <c r="C15" s="108" t="s">
        <v>1827</v>
      </c>
      <c r="D15" s="107"/>
      <c r="E15" s="107"/>
      <c r="F15" s="107"/>
      <c r="G15" s="106"/>
      <c r="H15" s="106"/>
      <c r="I15" s="106"/>
      <c r="J15" s="106"/>
    </row>
    <row r="16" spans="1:10" ht="23.1" customHeight="1">
      <c r="A16" s="106"/>
      <c r="B16" s="106"/>
      <c r="C16" s="108"/>
      <c r="D16" s="107"/>
      <c r="E16" s="107"/>
      <c r="F16" s="107"/>
      <c r="G16" s="106"/>
      <c r="H16" s="106"/>
      <c r="I16" s="106"/>
      <c r="J16" s="106"/>
    </row>
    <row r="17" spans="1:10" ht="23.1" customHeight="1">
      <c r="A17" s="106"/>
      <c r="B17" s="106"/>
      <c r="C17" s="108"/>
      <c r="D17" s="107"/>
      <c r="E17" s="107"/>
      <c r="F17" s="107"/>
      <c r="G17" s="106"/>
      <c r="H17" s="106"/>
      <c r="I17" s="106"/>
      <c r="J17" s="106"/>
    </row>
    <row r="18" spans="1:10" ht="23.1" customHeight="1">
      <c r="A18" s="106"/>
      <c r="B18" s="106"/>
      <c r="C18" s="108"/>
      <c r="D18" s="107"/>
      <c r="E18" s="107"/>
      <c r="F18" s="107"/>
      <c r="G18" s="106"/>
      <c r="H18" s="106"/>
      <c r="I18" s="106"/>
      <c r="J18" s="106"/>
    </row>
    <row r="19" spans="1:10" ht="23.1" customHeight="1">
      <c r="A19" s="106"/>
      <c r="B19" s="106"/>
      <c r="C19" s="108"/>
      <c r="D19" s="107"/>
      <c r="E19" s="107"/>
      <c r="F19" s="107"/>
      <c r="G19" s="106"/>
      <c r="H19" s="106"/>
      <c r="I19" s="106"/>
      <c r="J19" s="106"/>
    </row>
    <row r="20" spans="1:10" ht="23.1" customHeight="1">
      <c r="A20" s="106"/>
      <c r="B20" s="106"/>
      <c r="C20" s="108"/>
      <c r="D20" s="107"/>
      <c r="E20" s="107"/>
      <c r="F20" s="107"/>
      <c r="G20" s="106"/>
      <c r="H20" s="106"/>
      <c r="I20" s="106"/>
      <c r="J20" s="106"/>
    </row>
    <row r="21" spans="1:10" ht="23.1" customHeight="1">
      <c r="A21" s="106"/>
      <c r="B21" s="106"/>
      <c r="C21" s="108"/>
      <c r="D21" s="107"/>
      <c r="E21" s="107"/>
      <c r="F21" s="107"/>
      <c r="G21" s="106"/>
      <c r="H21" s="106"/>
      <c r="I21" s="106"/>
      <c r="J21" s="106"/>
    </row>
    <row r="22" spans="1:10" ht="23.1" customHeight="1">
      <c r="A22" s="106"/>
      <c r="B22" s="106"/>
      <c r="C22" s="108"/>
      <c r="D22" s="107"/>
      <c r="E22" s="107"/>
      <c r="F22" s="107"/>
      <c r="G22" s="106"/>
      <c r="H22" s="106"/>
      <c r="I22" s="106"/>
      <c r="J22" s="106"/>
    </row>
    <row r="23" spans="1:10" ht="23.1" customHeight="1">
      <c r="A23" s="106"/>
      <c r="B23" s="106"/>
      <c r="C23" s="108"/>
      <c r="D23" s="107"/>
      <c r="E23" s="107"/>
      <c r="F23" s="107"/>
      <c r="G23" s="106"/>
      <c r="H23" s="106"/>
      <c r="I23" s="106"/>
      <c r="J23" s="106"/>
    </row>
    <row r="24" spans="1:10" ht="23.1" customHeight="1">
      <c r="A24" s="106"/>
      <c r="B24" s="106"/>
      <c r="C24" s="108"/>
      <c r="D24" s="107"/>
      <c r="E24" s="107"/>
      <c r="F24" s="107"/>
      <c r="G24" s="106"/>
      <c r="H24" s="106"/>
      <c r="I24" s="106"/>
      <c r="J24" s="106"/>
    </row>
    <row r="25" spans="1:10" ht="23.1" customHeight="1"/>
    <row r="26" spans="1:10" ht="23.1" customHeight="1"/>
  </sheetData>
  <mergeCells count="2">
    <mergeCell ref="A1:C1"/>
    <mergeCell ref="D1:J1"/>
  </mergeCells>
  <hyperlinks>
    <hyperlink ref="A1" location="DASHBOARD!A1" display="Back to Dashboard" xr:uid="{00000000-0004-0000-1300-000000000000}"/>
  </hyperlinks>
  <pageMargins left="0.7" right="0.7" top="0.75" bottom="0.75" header="0.3" footer="0.3"/>
  <pageSetup scale="54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A1:M130"/>
  <sheetViews>
    <sheetView zoomScale="217" zoomScaleNormal="217" workbookViewId="0">
      <pane xSplit="1" ySplit="5" topLeftCell="B61" activePane="bottomRight" state="frozen"/>
      <selection pane="topRight" activeCell="B1" sqref="B1"/>
      <selection pane="bottomLeft" activeCell="A6" sqref="A6"/>
      <selection pane="bottomRight" sqref="A1:E1"/>
    </sheetView>
  </sheetViews>
  <sheetFormatPr defaultRowHeight="15"/>
  <cols>
    <col min="1" max="1" width="1.140625" customWidth="1"/>
    <col min="3" max="3" width="13.85546875" customWidth="1"/>
    <col min="4" max="4" width="16.85546875" customWidth="1"/>
    <col min="5" max="5" width="1" customWidth="1"/>
    <col min="7" max="7" width="14.28515625" customWidth="1"/>
    <col min="8" max="8" width="18.5703125" customWidth="1"/>
    <col min="9" max="9" width="1.140625" customWidth="1"/>
    <col min="12" max="12" width="16.85546875" customWidth="1"/>
    <col min="13" max="13" width="1" customWidth="1"/>
  </cols>
  <sheetData>
    <row r="1" spans="1:13" s="233" customFormat="1" ht="34.5" customHeight="1">
      <c r="A1" s="745" t="s">
        <v>313</v>
      </c>
      <c r="B1" s="746"/>
      <c r="C1" s="746"/>
      <c r="D1" s="746"/>
      <c r="E1" s="747"/>
      <c r="F1" s="811" t="s">
        <v>379</v>
      </c>
      <c r="G1" s="811"/>
      <c r="H1" s="811"/>
      <c r="I1" s="811"/>
      <c r="J1" s="811"/>
      <c r="K1" s="811"/>
      <c r="L1" s="811"/>
      <c r="M1" s="811"/>
    </row>
    <row r="2" spans="1:13" ht="6.95" customHeight="1" thickBo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7"/>
    </row>
    <row r="3" spans="1:13" ht="57.95" customHeight="1" thickBot="1">
      <c r="A3" s="6"/>
      <c r="B3" s="812" t="s">
        <v>75</v>
      </c>
      <c r="C3" s="813"/>
      <c r="D3" s="78" t="s">
        <v>71</v>
      </c>
      <c r="E3" s="6"/>
      <c r="F3" s="812" t="s">
        <v>72</v>
      </c>
      <c r="G3" s="813"/>
      <c r="H3" s="547">
        <f>D129</f>
        <v>40360</v>
      </c>
      <c r="I3" s="6"/>
      <c r="J3" s="812" t="s">
        <v>73</v>
      </c>
      <c r="K3" s="813"/>
      <c r="L3" s="79">
        <f>C129</f>
        <v>1271</v>
      </c>
      <c r="M3" s="67"/>
    </row>
    <row r="4" spans="1:13" ht="6" customHeight="1">
      <c r="A4" s="6"/>
      <c r="B4" s="68"/>
      <c r="C4" s="67"/>
      <c r="D4" s="67"/>
      <c r="E4" s="67"/>
      <c r="F4" s="67"/>
      <c r="G4" s="67"/>
      <c r="H4" s="67"/>
      <c r="I4" s="67"/>
      <c r="J4" s="67"/>
      <c r="K4" s="6"/>
      <c r="L4" s="6"/>
      <c r="M4" s="67"/>
    </row>
    <row r="5" spans="1:13" ht="30">
      <c r="A5" s="6"/>
      <c r="B5" s="86" t="s">
        <v>0</v>
      </c>
      <c r="C5" s="87" t="s">
        <v>74</v>
      </c>
      <c r="D5" s="87" t="s">
        <v>76</v>
      </c>
      <c r="E5" s="6"/>
      <c r="F5" s="546" t="s">
        <v>2031</v>
      </c>
    </row>
    <row r="6" spans="1:13">
      <c r="A6" s="6"/>
      <c r="B6" s="82">
        <v>44013</v>
      </c>
      <c r="C6" s="83"/>
      <c r="D6" s="83"/>
      <c r="E6" s="6"/>
      <c r="F6" s="83"/>
    </row>
    <row r="7" spans="1:13">
      <c r="A7" s="6"/>
      <c r="B7" s="84">
        <v>44012</v>
      </c>
      <c r="C7" s="85"/>
      <c r="D7" s="85"/>
      <c r="E7" s="6"/>
      <c r="F7" s="85"/>
    </row>
    <row r="8" spans="1:13">
      <c r="A8" s="6"/>
      <c r="B8" s="82">
        <v>44011</v>
      </c>
      <c r="C8" s="83"/>
      <c r="D8" s="83"/>
      <c r="E8" s="6"/>
      <c r="F8" s="83"/>
    </row>
    <row r="9" spans="1:13">
      <c r="A9" s="6"/>
      <c r="B9" s="84">
        <v>44010</v>
      </c>
      <c r="C9" s="85"/>
      <c r="D9" s="85"/>
      <c r="E9" s="6"/>
      <c r="F9" s="85"/>
    </row>
    <row r="10" spans="1:13">
      <c r="A10" s="6"/>
      <c r="B10" s="82">
        <v>44009</v>
      </c>
      <c r="C10" s="83"/>
      <c r="D10" s="83"/>
      <c r="E10" s="6"/>
      <c r="F10" s="83"/>
    </row>
    <row r="11" spans="1:13">
      <c r="A11" s="6"/>
      <c r="B11" s="84">
        <v>44008</v>
      </c>
      <c r="C11" s="85"/>
      <c r="D11" s="85"/>
      <c r="E11" s="6"/>
      <c r="F11" s="85"/>
    </row>
    <row r="12" spans="1:13">
      <c r="A12" s="6"/>
      <c r="B12" s="82">
        <v>44007</v>
      </c>
      <c r="C12" s="83"/>
      <c r="D12" s="83"/>
      <c r="E12" s="6"/>
      <c r="F12" s="83"/>
    </row>
    <row r="13" spans="1:13">
      <c r="A13" s="6"/>
      <c r="B13" s="84">
        <v>44006</v>
      </c>
      <c r="C13" s="85"/>
      <c r="D13" s="85"/>
      <c r="E13" s="6"/>
      <c r="F13" s="85"/>
    </row>
    <row r="14" spans="1:13">
      <c r="A14" s="6"/>
      <c r="B14" s="82">
        <v>44005</v>
      </c>
      <c r="C14" s="83"/>
      <c r="D14" s="83"/>
      <c r="E14" s="6"/>
      <c r="F14" s="83"/>
    </row>
    <row r="15" spans="1:13">
      <c r="A15" s="6"/>
      <c r="B15" s="84">
        <v>44004</v>
      </c>
      <c r="C15" s="85"/>
      <c r="D15" s="85"/>
      <c r="E15" s="6"/>
      <c r="F15" s="85"/>
    </row>
    <row r="16" spans="1:13">
      <c r="A16" s="6"/>
      <c r="B16" s="82">
        <v>44003</v>
      </c>
      <c r="C16" s="83"/>
      <c r="D16" s="83"/>
      <c r="E16" s="6"/>
      <c r="F16" s="83"/>
    </row>
    <row r="17" spans="1:6">
      <c r="A17" s="6"/>
      <c r="B17" s="84">
        <v>44002</v>
      </c>
      <c r="C17" s="85"/>
      <c r="D17" s="85"/>
      <c r="E17" s="6"/>
      <c r="F17" s="85"/>
    </row>
    <row r="18" spans="1:6">
      <c r="A18" s="6"/>
      <c r="B18" s="82">
        <v>44001</v>
      </c>
      <c r="C18" s="83"/>
      <c r="D18" s="83"/>
      <c r="E18" s="6"/>
      <c r="F18" s="83"/>
    </row>
    <row r="19" spans="1:6">
      <c r="A19" s="6"/>
      <c r="B19" s="84">
        <v>44000</v>
      </c>
      <c r="C19" s="85"/>
      <c r="D19" s="85"/>
      <c r="E19" s="6"/>
      <c r="F19" s="85"/>
    </row>
    <row r="20" spans="1:6">
      <c r="A20" s="6"/>
      <c r="B20" s="82">
        <v>43999</v>
      </c>
      <c r="C20" s="83"/>
      <c r="D20" s="83"/>
      <c r="E20" s="6"/>
      <c r="F20" s="83"/>
    </row>
    <row r="21" spans="1:6">
      <c r="A21" s="6"/>
      <c r="B21" s="84">
        <v>43998</v>
      </c>
      <c r="C21" s="85"/>
      <c r="D21" s="85"/>
      <c r="E21" s="6"/>
      <c r="F21" s="85"/>
    </row>
    <row r="22" spans="1:6">
      <c r="A22" s="6"/>
      <c r="B22" s="82">
        <v>43997</v>
      </c>
      <c r="C22" s="83"/>
      <c r="D22" s="83"/>
      <c r="E22" s="6"/>
      <c r="F22" s="83"/>
    </row>
    <row r="23" spans="1:6">
      <c r="A23" s="6"/>
      <c r="B23" s="84">
        <v>43996</v>
      </c>
      <c r="C23" s="85"/>
      <c r="D23" s="85"/>
      <c r="E23" s="6"/>
      <c r="F23" s="85"/>
    </row>
    <row r="24" spans="1:6">
      <c r="A24" s="6"/>
      <c r="B24" s="82">
        <v>43995</v>
      </c>
      <c r="C24" s="83"/>
      <c r="D24" s="83"/>
      <c r="E24" s="6"/>
      <c r="F24" s="83"/>
    </row>
    <row r="25" spans="1:6">
      <c r="A25" s="6"/>
      <c r="B25" s="84">
        <v>43994</v>
      </c>
      <c r="C25" s="85"/>
      <c r="D25" s="85"/>
      <c r="E25" s="6"/>
      <c r="F25" s="85"/>
    </row>
    <row r="26" spans="1:6">
      <c r="A26" s="6"/>
      <c r="B26" s="82">
        <v>43993</v>
      </c>
      <c r="C26" s="83"/>
      <c r="D26" s="83"/>
      <c r="E26" s="6"/>
      <c r="F26" s="83"/>
    </row>
    <row r="27" spans="1:6">
      <c r="A27" s="6"/>
      <c r="B27" s="84">
        <v>43992</v>
      </c>
      <c r="C27" s="85"/>
      <c r="D27" s="85"/>
      <c r="E27" s="6"/>
      <c r="F27" s="85"/>
    </row>
    <row r="28" spans="1:6">
      <c r="A28" s="6"/>
      <c r="B28" s="82">
        <v>43991</v>
      </c>
      <c r="C28" s="83"/>
      <c r="D28" s="83"/>
      <c r="E28" s="6"/>
      <c r="F28" s="83"/>
    </row>
    <row r="29" spans="1:6">
      <c r="A29" s="6"/>
      <c r="B29" s="84">
        <v>43990</v>
      </c>
      <c r="C29" s="85"/>
      <c r="D29" s="85"/>
      <c r="E29" s="6"/>
      <c r="F29" s="85"/>
    </row>
    <row r="30" spans="1:6">
      <c r="A30" s="6"/>
      <c r="B30" s="82">
        <v>43989</v>
      </c>
      <c r="C30" s="83"/>
      <c r="D30" s="83"/>
      <c r="E30" s="6"/>
      <c r="F30" s="83"/>
    </row>
    <row r="31" spans="1:6">
      <c r="A31" s="6"/>
      <c r="B31" s="84">
        <v>43988</v>
      </c>
      <c r="C31" s="85"/>
      <c r="D31" s="85"/>
      <c r="E31" s="6"/>
      <c r="F31" s="85"/>
    </row>
    <row r="32" spans="1:6">
      <c r="A32" s="6"/>
      <c r="B32" s="82">
        <v>43987</v>
      </c>
      <c r="C32" s="83"/>
      <c r="D32" s="83"/>
      <c r="E32" s="6"/>
      <c r="F32" s="83"/>
    </row>
    <row r="33" spans="1:6">
      <c r="A33" s="6"/>
      <c r="B33" s="84">
        <v>43986</v>
      </c>
      <c r="C33" s="85"/>
      <c r="D33" s="85"/>
      <c r="E33" s="6"/>
      <c r="F33" s="85"/>
    </row>
    <row r="34" spans="1:6">
      <c r="A34" s="6"/>
      <c r="B34" s="82">
        <v>43985</v>
      </c>
      <c r="C34" s="83"/>
      <c r="D34" s="83"/>
      <c r="E34" s="6"/>
      <c r="F34" s="83"/>
    </row>
    <row r="35" spans="1:6">
      <c r="A35" s="6"/>
      <c r="B35" s="84">
        <v>43984</v>
      </c>
      <c r="C35" s="85"/>
      <c r="D35" s="85"/>
      <c r="E35" s="6"/>
      <c r="F35" s="85"/>
    </row>
    <row r="36" spans="1:6">
      <c r="A36" s="6"/>
      <c r="B36" s="82">
        <v>43983</v>
      </c>
      <c r="C36" s="83"/>
      <c r="D36" s="83"/>
      <c r="E36" s="6"/>
      <c r="F36" s="83"/>
    </row>
    <row r="37" spans="1:6">
      <c r="A37" s="6"/>
      <c r="B37" s="84">
        <v>43982</v>
      </c>
      <c r="C37" s="85"/>
      <c r="D37" s="85"/>
      <c r="E37" s="6"/>
      <c r="F37" s="85"/>
    </row>
    <row r="38" spans="1:6">
      <c r="A38" s="6"/>
      <c r="B38" s="82">
        <v>43981</v>
      </c>
      <c r="C38" s="83"/>
      <c r="D38" s="83"/>
      <c r="E38" s="6"/>
      <c r="F38" s="83"/>
    </row>
    <row r="39" spans="1:6">
      <c r="A39" s="6"/>
      <c r="B39" s="84">
        <v>43980</v>
      </c>
      <c r="C39" s="85"/>
      <c r="D39" s="85"/>
      <c r="E39" s="6"/>
      <c r="F39" s="85"/>
    </row>
    <row r="40" spans="1:6">
      <c r="A40" s="6"/>
      <c r="B40" s="82">
        <v>43979</v>
      </c>
      <c r="C40" s="83"/>
      <c r="D40" s="83"/>
      <c r="E40" s="6"/>
      <c r="F40" s="83"/>
    </row>
    <row r="41" spans="1:6">
      <c r="A41" s="6"/>
      <c r="B41" s="84">
        <v>43978</v>
      </c>
      <c r="C41" s="85"/>
      <c r="D41" s="85"/>
      <c r="E41" s="6"/>
      <c r="F41" s="85"/>
    </row>
    <row r="42" spans="1:6">
      <c r="A42" s="6"/>
      <c r="B42" s="82">
        <v>43977</v>
      </c>
      <c r="C42" s="83"/>
      <c r="D42" s="83"/>
      <c r="E42" s="6"/>
      <c r="F42" s="83"/>
    </row>
    <row r="43" spans="1:6">
      <c r="A43" s="6"/>
      <c r="B43" s="84">
        <v>43976</v>
      </c>
      <c r="C43" s="85"/>
      <c r="D43" s="85"/>
      <c r="E43" s="6"/>
      <c r="F43" s="85"/>
    </row>
    <row r="44" spans="1:6">
      <c r="A44" s="6"/>
      <c r="B44" s="82">
        <v>43975</v>
      </c>
      <c r="C44" s="83"/>
      <c r="D44" s="83"/>
      <c r="E44" s="6"/>
      <c r="F44" s="83"/>
    </row>
    <row r="45" spans="1:6">
      <c r="A45" s="6"/>
      <c r="B45" s="84">
        <v>43974</v>
      </c>
      <c r="C45" s="85"/>
      <c r="D45" s="85"/>
      <c r="E45" s="6"/>
      <c r="F45" s="85"/>
    </row>
    <row r="46" spans="1:6">
      <c r="A46" s="6"/>
      <c r="B46" s="82">
        <v>43973</v>
      </c>
      <c r="C46" s="83"/>
      <c r="D46" s="83"/>
      <c r="E46" s="6"/>
      <c r="F46" s="83"/>
    </row>
    <row r="47" spans="1:6">
      <c r="A47" s="6"/>
      <c r="B47" s="84">
        <v>43972</v>
      </c>
      <c r="C47" s="85"/>
      <c r="D47" s="85"/>
      <c r="E47" s="6"/>
      <c r="F47" s="85"/>
    </row>
    <row r="48" spans="1:6">
      <c r="A48" s="6"/>
      <c r="B48" s="82">
        <v>43971</v>
      </c>
      <c r="C48" s="83"/>
      <c r="D48" s="83"/>
      <c r="E48" s="6"/>
      <c r="F48" s="83"/>
    </row>
    <row r="49" spans="1:6">
      <c r="A49" s="6"/>
      <c r="B49" s="84">
        <v>43970</v>
      </c>
      <c r="C49" s="85"/>
      <c r="D49" s="85"/>
      <c r="E49" s="6"/>
      <c r="F49" s="85"/>
    </row>
    <row r="50" spans="1:6">
      <c r="A50" s="6"/>
      <c r="B50" s="82">
        <v>43969</v>
      </c>
      <c r="C50" s="83"/>
      <c r="D50" s="83"/>
      <c r="E50" s="6"/>
      <c r="F50" s="83"/>
    </row>
    <row r="51" spans="1:6">
      <c r="A51" s="6"/>
      <c r="B51" s="84">
        <v>43968</v>
      </c>
      <c r="C51" s="85"/>
      <c r="D51" s="85"/>
      <c r="E51" s="6"/>
      <c r="F51" s="85"/>
    </row>
    <row r="52" spans="1:6">
      <c r="A52" s="6"/>
      <c r="B52" s="82">
        <v>43967</v>
      </c>
      <c r="C52" s="83">
        <v>29</v>
      </c>
      <c r="D52" s="83">
        <v>1080</v>
      </c>
      <c r="E52" s="6"/>
      <c r="F52" s="83">
        <v>0</v>
      </c>
    </row>
    <row r="53" spans="1:6">
      <c r="A53" s="6"/>
      <c r="B53" s="84">
        <v>43966</v>
      </c>
      <c r="C53" s="85">
        <v>45</v>
      </c>
      <c r="D53" s="85">
        <v>1160</v>
      </c>
      <c r="E53" s="6"/>
      <c r="F53" s="85">
        <v>0</v>
      </c>
    </row>
    <row r="54" spans="1:6">
      <c r="A54" s="6"/>
      <c r="B54" s="82">
        <v>43965</v>
      </c>
      <c r="C54" s="83">
        <v>38</v>
      </c>
      <c r="D54" s="83">
        <v>1020</v>
      </c>
      <c r="E54" s="6"/>
      <c r="F54" s="83">
        <v>2</v>
      </c>
    </row>
    <row r="55" spans="1:6">
      <c r="A55" s="6"/>
      <c r="B55" s="84">
        <v>43964</v>
      </c>
      <c r="C55" s="85">
        <v>23</v>
      </c>
      <c r="D55" s="85">
        <v>840</v>
      </c>
      <c r="E55" s="6"/>
      <c r="F55" s="85">
        <v>0</v>
      </c>
    </row>
    <row r="56" spans="1:6">
      <c r="A56" s="6"/>
      <c r="B56" s="82">
        <v>43963</v>
      </c>
      <c r="C56" s="83">
        <v>30</v>
      </c>
      <c r="D56" s="83">
        <v>900</v>
      </c>
      <c r="E56" s="6"/>
      <c r="F56" s="83"/>
    </row>
    <row r="57" spans="1:6">
      <c r="A57" s="6"/>
      <c r="B57" s="84">
        <v>43962</v>
      </c>
      <c r="C57" s="85">
        <v>29</v>
      </c>
      <c r="D57" s="85">
        <v>680</v>
      </c>
      <c r="E57" s="6"/>
      <c r="F57" s="85" t="s">
        <v>2</v>
      </c>
    </row>
    <row r="58" spans="1:6">
      <c r="A58" s="6"/>
      <c r="B58" s="82">
        <v>43961</v>
      </c>
      <c r="C58" s="83">
        <v>29</v>
      </c>
      <c r="D58" s="83">
        <v>580</v>
      </c>
      <c r="E58" s="6"/>
      <c r="F58" s="83">
        <v>6</v>
      </c>
    </row>
    <row r="59" spans="1:6">
      <c r="A59" s="6"/>
      <c r="B59" s="84">
        <v>43960</v>
      </c>
      <c r="C59" s="85">
        <v>30</v>
      </c>
      <c r="D59" s="85">
        <v>860</v>
      </c>
      <c r="E59" s="6"/>
      <c r="F59" s="85" t="s">
        <v>2</v>
      </c>
    </row>
    <row r="60" spans="1:6">
      <c r="A60" s="6"/>
      <c r="B60" s="82">
        <v>43959</v>
      </c>
      <c r="C60" s="83">
        <v>28</v>
      </c>
      <c r="D60" s="542">
        <v>1080</v>
      </c>
      <c r="E60" s="6"/>
      <c r="F60" s="542" t="s">
        <v>2</v>
      </c>
    </row>
    <row r="61" spans="1:6">
      <c r="A61" s="6"/>
      <c r="B61" s="84">
        <v>43958</v>
      </c>
      <c r="C61" s="85">
        <v>13</v>
      </c>
      <c r="D61" s="85">
        <v>740</v>
      </c>
      <c r="E61" s="6"/>
    </row>
    <row r="62" spans="1:6">
      <c r="A62" s="6"/>
      <c r="B62" s="82">
        <v>43957</v>
      </c>
      <c r="C62" s="83">
        <v>22</v>
      </c>
      <c r="D62" s="83">
        <v>880</v>
      </c>
      <c r="E62" s="6"/>
    </row>
    <row r="63" spans="1:6">
      <c r="A63" s="6"/>
      <c r="B63" s="84">
        <v>43956</v>
      </c>
      <c r="C63" s="85">
        <v>24</v>
      </c>
      <c r="D63" s="85">
        <v>780</v>
      </c>
      <c r="E63" s="6"/>
    </row>
    <row r="64" spans="1:6">
      <c r="A64" s="6"/>
      <c r="B64" s="82">
        <v>43955</v>
      </c>
      <c r="C64" s="83">
        <v>27</v>
      </c>
      <c r="D64" s="83">
        <v>920</v>
      </c>
      <c r="E64" s="6"/>
    </row>
    <row r="65" spans="1:5">
      <c r="A65" s="6"/>
      <c r="B65" s="84">
        <v>43954</v>
      </c>
      <c r="C65" s="85">
        <v>23</v>
      </c>
      <c r="D65" s="85">
        <v>540</v>
      </c>
      <c r="E65" s="6"/>
    </row>
    <row r="66" spans="1:5">
      <c r="A66" s="6"/>
      <c r="B66" s="82">
        <v>43953</v>
      </c>
      <c r="C66" s="83">
        <v>26</v>
      </c>
      <c r="D66" s="83">
        <v>800</v>
      </c>
      <c r="E66" s="6"/>
    </row>
    <row r="67" spans="1:5">
      <c r="A67" s="6"/>
      <c r="B67" s="84">
        <v>43952</v>
      </c>
      <c r="C67" s="85">
        <v>24</v>
      </c>
      <c r="D67" s="85">
        <v>840</v>
      </c>
      <c r="E67" s="6"/>
    </row>
    <row r="68" spans="1:5">
      <c r="A68" s="6"/>
      <c r="B68" s="82">
        <v>43951</v>
      </c>
      <c r="C68" s="83">
        <v>23</v>
      </c>
      <c r="D68" s="83">
        <v>800</v>
      </c>
      <c r="E68" s="6"/>
    </row>
    <row r="69" spans="1:5">
      <c r="A69" s="6"/>
      <c r="B69" s="84">
        <v>43950</v>
      </c>
      <c r="C69" s="85">
        <v>17</v>
      </c>
      <c r="D69" s="85">
        <v>560</v>
      </c>
      <c r="E69" s="6"/>
    </row>
    <row r="70" spans="1:5">
      <c r="A70" s="6"/>
      <c r="B70" s="82">
        <v>43949</v>
      </c>
      <c r="C70" s="83">
        <v>29</v>
      </c>
      <c r="D70" s="83">
        <v>760</v>
      </c>
      <c r="E70" s="6"/>
    </row>
    <row r="71" spans="1:5">
      <c r="A71" s="6"/>
      <c r="B71" s="84">
        <v>43948</v>
      </c>
      <c r="C71" s="85">
        <v>20</v>
      </c>
      <c r="D71" s="85">
        <v>800</v>
      </c>
      <c r="E71" s="6"/>
    </row>
    <row r="72" spans="1:5">
      <c r="A72" s="6"/>
      <c r="B72" s="82">
        <v>43947</v>
      </c>
      <c r="C72" s="83">
        <v>24</v>
      </c>
      <c r="D72" s="83">
        <v>720</v>
      </c>
      <c r="E72" s="6"/>
    </row>
    <row r="73" spans="1:5">
      <c r="A73" s="6"/>
      <c r="B73" s="84">
        <v>43946</v>
      </c>
      <c r="C73" s="85">
        <v>19</v>
      </c>
      <c r="D73" s="85">
        <v>740</v>
      </c>
      <c r="E73" s="6"/>
    </row>
    <row r="74" spans="1:5">
      <c r="A74" s="6"/>
      <c r="B74" s="82">
        <v>43945</v>
      </c>
      <c r="C74" s="83">
        <v>20</v>
      </c>
      <c r="D74" s="83">
        <v>620</v>
      </c>
      <c r="E74" s="6"/>
    </row>
    <row r="75" spans="1:5">
      <c r="A75" s="6"/>
      <c r="B75" s="84">
        <v>43944</v>
      </c>
      <c r="C75" s="85">
        <v>21</v>
      </c>
      <c r="D75" s="85">
        <v>580</v>
      </c>
      <c r="E75" s="6"/>
    </row>
    <row r="76" spans="1:5">
      <c r="A76" s="6"/>
      <c r="B76" s="82">
        <v>43943</v>
      </c>
      <c r="C76" s="83">
        <v>25</v>
      </c>
      <c r="D76" s="83">
        <v>420</v>
      </c>
      <c r="E76" s="6"/>
    </row>
    <row r="77" spans="1:5">
      <c r="A77" s="6"/>
      <c r="B77" s="84">
        <v>43942</v>
      </c>
      <c r="C77" s="85">
        <v>18</v>
      </c>
      <c r="D77" s="85">
        <v>500</v>
      </c>
      <c r="E77" s="6"/>
    </row>
    <row r="78" spans="1:5">
      <c r="A78" s="6"/>
      <c r="B78" s="82">
        <v>43941</v>
      </c>
      <c r="C78" s="83">
        <v>15</v>
      </c>
      <c r="D78" s="83">
        <v>680</v>
      </c>
      <c r="E78" s="6"/>
    </row>
    <row r="79" spans="1:5">
      <c r="A79" s="6"/>
      <c r="B79" s="84">
        <v>43940</v>
      </c>
      <c r="C79" s="85">
        <v>11</v>
      </c>
      <c r="D79" s="85">
        <v>360</v>
      </c>
      <c r="E79" s="6"/>
    </row>
    <row r="80" spans="1:5">
      <c r="A80" s="6"/>
      <c r="B80" s="82">
        <v>43939</v>
      </c>
      <c r="C80" s="83">
        <v>14</v>
      </c>
      <c r="D80" s="83">
        <v>520</v>
      </c>
      <c r="E80" s="6"/>
    </row>
    <row r="81" spans="1:5">
      <c r="A81" s="6"/>
      <c r="B81" s="84">
        <v>43938</v>
      </c>
      <c r="C81" s="85">
        <v>23</v>
      </c>
      <c r="D81" s="85">
        <v>720</v>
      </c>
      <c r="E81" s="6"/>
    </row>
    <row r="82" spans="1:5">
      <c r="A82" s="6"/>
      <c r="B82" s="82">
        <v>43937</v>
      </c>
      <c r="C82" s="83">
        <v>22</v>
      </c>
      <c r="D82" s="83">
        <v>750</v>
      </c>
      <c r="E82" s="6"/>
    </row>
    <row r="83" spans="1:5">
      <c r="A83" s="6"/>
      <c r="B83" s="84">
        <v>43936</v>
      </c>
      <c r="C83" s="85">
        <v>16</v>
      </c>
      <c r="D83" s="85">
        <v>540</v>
      </c>
      <c r="E83" s="6"/>
    </row>
    <row r="84" spans="1:5">
      <c r="A84" s="6"/>
      <c r="B84" s="82">
        <v>43935</v>
      </c>
      <c r="C84" s="83">
        <v>21</v>
      </c>
      <c r="D84" s="83">
        <v>620</v>
      </c>
      <c r="E84" s="6"/>
    </row>
    <row r="85" spans="1:5">
      <c r="A85" s="6"/>
      <c r="B85" s="84">
        <v>43934</v>
      </c>
      <c r="C85" s="85">
        <v>18</v>
      </c>
      <c r="D85" s="85">
        <v>660</v>
      </c>
      <c r="E85" s="6"/>
    </row>
    <row r="86" spans="1:5">
      <c r="A86" s="6"/>
      <c r="B86" s="82">
        <v>43933</v>
      </c>
      <c r="C86" s="83">
        <v>19</v>
      </c>
      <c r="D86" s="83">
        <v>540</v>
      </c>
      <c r="E86" s="6"/>
    </row>
    <row r="87" spans="1:5">
      <c r="A87" s="6"/>
      <c r="B87" s="84">
        <v>43932</v>
      </c>
      <c r="C87" s="85">
        <v>28</v>
      </c>
      <c r="D87" s="85">
        <v>960</v>
      </c>
      <c r="E87" s="6"/>
    </row>
    <row r="88" spans="1:5">
      <c r="A88" s="6"/>
      <c r="B88" s="82">
        <v>43931</v>
      </c>
      <c r="C88" s="83">
        <v>27</v>
      </c>
      <c r="D88" s="83">
        <v>1000</v>
      </c>
      <c r="E88" s="6"/>
    </row>
    <row r="89" spans="1:5">
      <c r="A89" s="6"/>
      <c r="B89" s="84">
        <v>43930</v>
      </c>
      <c r="C89" s="85">
        <v>22</v>
      </c>
      <c r="D89" s="85">
        <v>820</v>
      </c>
      <c r="E89" s="6"/>
    </row>
    <row r="90" spans="1:5">
      <c r="A90" s="6"/>
      <c r="B90" s="82">
        <v>43929</v>
      </c>
      <c r="C90" s="83">
        <v>24</v>
      </c>
      <c r="D90" s="83">
        <v>800</v>
      </c>
      <c r="E90" s="6"/>
    </row>
    <row r="91" spans="1:5">
      <c r="A91" s="6"/>
      <c r="B91" s="84">
        <v>43928</v>
      </c>
      <c r="C91" s="85">
        <v>25</v>
      </c>
      <c r="D91" s="85">
        <v>760</v>
      </c>
      <c r="E91" s="6"/>
    </row>
    <row r="92" spans="1:5">
      <c r="A92" s="6"/>
      <c r="B92" s="82">
        <v>43927</v>
      </c>
      <c r="C92" s="83">
        <v>27</v>
      </c>
      <c r="D92" s="83">
        <v>780</v>
      </c>
      <c r="E92" s="6"/>
    </row>
    <row r="93" spans="1:5">
      <c r="A93" s="6"/>
      <c r="B93" s="84">
        <v>43926</v>
      </c>
      <c r="C93" s="85">
        <v>26</v>
      </c>
      <c r="D93" s="85">
        <v>780</v>
      </c>
      <c r="E93" s="6"/>
    </row>
    <row r="94" spans="1:5">
      <c r="A94" s="6"/>
      <c r="B94" s="82">
        <v>43925</v>
      </c>
      <c r="C94" s="83">
        <v>30</v>
      </c>
      <c r="D94" s="83">
        <v>900</v>
      </c>
      <c r="E94" s="6"/>
    </row>
    <row r="95" spans="1:5">
      <c r="A95" s="6"/>
      <c r="B95" s="84">
        <v>43924</v>
      </c>
      <c r="C95" s="85">
        <v>19</v>
      </c>
      <c r="D95" s="85">
        <v>570</v>
      </c>
      <c r="E95" s="6"/>
    </row>
    <row r="96" spans="1:5">
      <c r="A96" s="6"/>
      <c r="B96" s="82">
        <v>43923</v>
      </c>
      <c r="C96" s="83">
        <v>16</v>
      </c>
      <c r="D96" s="83">
        <v>460</v>
      </c>
      <c r="E96" s="6"/>
    </row>
    <row r="97" spans="1:5">
      <c r="A97" s="6"/>
      <c r="B97" s="84">
        <v>43922</v>
      </c>
      <c r="C97" s="85">
        <v>19</v>
      </c>
      <c r="D97" s="85">
        <v>480</v>
      </c>
      <c r="E97" s="6"/>
    </row>
    <row r="98" spans="1:5">
      <c r="A98" s="7"/>
      <c r="B98" s="82">
        <v>43921</v>
      </c>
      <c r="C98" s="83">
        <v>20</v>
      </c>
      <c r="D98" s="83">
        <v>540</v>
      </c>
      <c r="E98" s="7"/>
    </row>
    <row r="99" spans="1:5">
      <c r="A99" s="7"/>
      <c r="B99" s="84">
        <v>43920</v>
      </c>
      <c r="C99" s="85">
        <v>16</v>
      </c>
      <c r="D99" s="85">
        <v>600</v>
      </c>
      <c r="E99" s="7"/>
    </row>
    <row r="100" spans="1:5">
      <c r="A100" s="7"/>
      <c r="B100" s="82">
        <v>43919</v>
      </c>
      <c r="C100" s="83">
        <v>12</v>
      </c>
      <c r="D100" s="83">
        <v>420</v>
      </c>
      <c r="E100" s="7"/>
    </row>
    <row r="101" spans="1:5">
      <c r="A101" s="7"/>
      <c r="B101" s="84">
        <v>43918</v>
      </c>
      <c r="C101" s="85">
        <v>28</v>
      </c>
      <c r="D101" s="85">
        <v>1120</v>
      </c>
      <c r="E101" s="7"/>
    </row>
    <row r="102" spans="1:5">
      <c r="A102" s="7"/>
      <c r="B102" s="82">
        <v>43917</v>
      </c>
      <c r="C102" s="83">
        <v>15</v>
      </c>
      <c r="D102" s="83">
        <v>480</v>
      </c>
      <c r="E102" s="7"/>
    </row>
    <row r="103" spans="1:5">
      <c r="A103" s="7"/>
      <c r="B103" s="84">
        <v>43916</v>
      </c>
      <c r="C103" s="85">
        <v>11</v>
      </c>
      <c r="D103" s="85">
        <v>420</v>
      </c>
      <c r="E103" s="7"/>
    </row>
    <row r="104" spans="1:5">
      <c r="A104" s="7"/>
      <c r="B104" s="82">
        <v>43915</v>
      </c>
      <c r="C104" s="83">
        <v>15</v>
      </c>
      <c r="D104" s="83">
        <v>500</v>
      </c>
      <c r="E104" s="7"/>
    </row>
    <row r="105" spans="1:5">
      <c r="A105" s="7"/>
      <c r="B105" s="84">
        <v>43914</v>
      </c>
      <c r="C105" s="85">
        <v>10</v>
      </c>
      <c r="D105" s="85">
        <v>320</v>
      </c>
      <c r="E105" s="7"/>
    </row>
    <row r="106" spans="1:5">
      <c r="A106" s="7"/>
      <c r="B106" s="82">
        <v>43913</v>
      </c>
      <c r="C106" s="83">
        <v>13</v>
      </c>
      <c r="D106" s="83">
        <v>380</v>
      </c>
      <c r="E106" s="7"/>
    </row>
    <row r="107" spans="1:5">
      <c r="A107" s="7"/>
      <c r="B107" s="84">
        <v>43912</v>
      </c>
      <c r="C107" s="85">
        <v>14</v>
      </c>
      <c r="D107" s="85">
        <v>420</v>
      </c>
      <c r="E107" s="7"/>
    </row>
    <row r="108" spans="1:5">
      <c r="A108" s="7"/>
      <c r="B108" s="82">
        <v>43911</v>
      </c>
      <c r="C108" s="83">
        <v>18</v>
      </c>
      <c r="D108" s="83">
        <v>540</v>
      </c>
      <c r="E108" s="7"/>
    </row>
    <row r="109" spans="1:5">
      <c r="A109" s="7"/>
      <c r="B109" s="84">
        <v>43910</v>
      </c>
      <c r="C109" s="85">
        <v>21</v>
      </c>
      <c r="D109" s="85">
        <v>720</v>
      </c>
      <c r="E109" s="7"/>
    </row>
    <row r="110" spans="1:5">
      <c r="A110" s="7"/>
      <c r="B110" s="82">
        <v>43909</v>
      </c>
      <c r="C110" s="83" t="s">
        <v>57</v>
      </c>
      <c r="D110" s="83"/>
      <c r="E110" s="7"/>
    </row>
    <row r="111" spans="1:5">
      <c r="A111" s="7"/>
      <c r="B111" s="84">
        <v>43908</v>
      </c>
      <c r="C111" s="85" t="s">
        <v>57</v>
      </c>
      <c r="D111" s="85"/>
      <c r="E111" s="7"/>
    </row>
    <row r="112" spans="1:5">
      <c r="A112" s="7"/>
      <c r="B112" s="82">
        <v>43907</v>
      </c>
      <c r="C112" s="83" t="s">
        <v>57</v>
      </c>
      <c r="D112" s="83"/>
      <c r="E112" s="7"/>
    </row>
    <row r="113" spans="1:5">
      <c r="A113" s="7"/>
      <c r="B113" s="84">
        <v>43906</v>
      </c>
      <c r="C113" s="85" t="s">
        <v>57</v>
      </c>
      <c r="D113" s="85"/>
      <c r="E113" s="7"/>
    </row>
    <row r="114" spans="1:5">
      <c r="A114" s="7"/>
      <c r="B114" s="82">
        <v>43905</v>
      </c>
      <c r="C114" s="83" t="s">
        <v>57</v>
      </c>
      <c r="D114" s="83"/>
      <c r="E114" s="7"/>
    </row>
    <row r="115" spans="1:5">
      <c r="A115" s="7"/>
      <c r="B115" s="84">
        <v>43904</v>
      </c>
      <c r="C115" s="85" t="s">
        <v>57</v>
      </c>
      <c r="D115" s="85"/>
      <c r="E115" s="7"/>
    </row>
    <row r="116" spans="1:5">
      <c r="A116" s="7"/>
      <c r="B116" s="82">
        <v>43903</v>
      </c>
      <c r="C116" s="83" t="s">
        <v>57</v>
      </c>
      <c r="D116" s="83"/>
      <c r="E116" s="7"/>
    </row>
    <row r="117" spans="1:5">
      <c r="A117" s="7"/>
      <c r="B117" s="84">
        <v>43902</v>
      </c>
      <c r="C117" s="85" t="s">
        <v>57</v>
      </c>
      <c r="D117" s="85"/>
      <c r="E117" s="7"/>
    </row>
    <row r="118" spans="1:5">
      <c r="A118" s="7"/>
      <c r="B118" s="82">
        <v>43901</v>
      </c>
      <c r="C118" s="83" t="s">
        <v>57</v>
      </c>
      <c r="D118" s="83"/>
      <c r="E118" s="7"/>
    </row>
    <row r="119" spans="1:5">
      <c r="A119" s="7"/>
      <c r="B119" s="84">
        <v>43900</v>
      </c>
      <c r="C119" s="85" t="s">
        <v>57</v>
      </c>
      <c r="D119" s="85"/>
      <c r="E119" s="7"/>
    </row>
    <row r="120" spans="1:5">
      <c r="A120" s="7"/>
      <c r="B120" s="82">
        <v>43899</v>
      </c>
      <c r="C120" s="83" t="s">
        <v>57</v>
      </c>
      <c r="D120" s="83"/>
      <c r="E120" s="7"/>
    </row>
    <row r="121" spans="1:5">
      <c r="A121" s="7"/>
      <c r="B121" s="84">
        <v>43898</v>
      </c>
      <c r="C121" s="85" t="s">
        <v>57</v>
      </c>
      <c r="D121" s="85"/>
      <c r="E121" s="7"/>
    </row>
    <row r="122" spans="1:5">
      <c r="A122" s="7"/>
      <c r="B122" s="82">
        <v>43897</v>
      </c>
      <c r="C122" s="83" t="s">
        <v>57</v>
      </c>
      <c r="D122" s="83"/>
      <c r="E122" s="7"/>
    </row>
    <row r="123" spans="1:5">
      <c r="A123" s="7"/>
      <c r="B123" s="84">
        <v>43896</v>
      </c>
      <c r="C123" s="85" t="s">
        <v>57</v>
      </c>
      <c r="D123" s="85"/>
      <c r="E123" s="7"/>
    </row>
    <row r="124" spans="1:5">
      <c r="A124" s="7"/>
      <c r="B124" s="82">
        <v>43895</v>
      </c>
      <c r="C124" s="83" t="s">
        <v>57</v>
      </c>
      <c r="D124" s="83"/>
      <c r="E124" s="7"/>
    </row>
    <row r="125" spans="1:5">
      <c r="A125" s="7"/>
      <c r="B125" s="84">
        <v>43894</v>
      </c>
      <c r="C125" s="85" t="s">
        <v>57</v>
      </c>
      <c r="D125" s="85"/>
      <c r="E125" s="7"/>
    </row>
    <row r="126" spans="1:5">
      <c r="A126" s="7"/>
      <c r="B126" s="82">
        <v>43893</v>
      </c>
      <c r="C126" s="83" t="s">
        <v>57</v>
      </c>
      <c r="D126" s="83"/>
      <c r="E126" s="7"/>
    </row>
    <row r="127" spans="1:5">
      <c r="A127" s="7"/>
      <c r="B127" s="84">
        <v>43892</v>
      </c>
      <c r="C127" s="85" t="s">
        <v>57</v>
      </c>
      <c r="D127" s="85"/>
      <c r="E127" s="7"/>
    </row>
    <row r="128" spans="1:5">
      <c r="A128" s="7"/>
      <c r="B128" s="82">
        <v>43891</v>
      </c>
      <c r="C128" s="83" t="s">
        <v>57</v>
      </c>
      <c r="D128" s="83"/>
      <c r="E128" s="7"/>
    </row>
    <row r="129" spans="1:5">
      <c r="A129" s="6"/>
      <c r="B129" s="88" t="s">
        <v>56</v>
      </c>
      <c r="C129" s="89">
        <f>SUM(C6:C128)</f>
        <v>1271</v>
      </c>
      <c r="D129" s="89">
        <f>SUM(D6:D128)</f>
        <v>40360</v>
      </c>
      <c r="E129" s="69"/>
    </row>
    <row r="130" spans="1:5">
      <c r="A130" s="6"/>
      <c r="B130" s="6"/>
      <c r="C130" s="69"/>
      <c r="D130" s="69"/>
      <c r="E130" s="6"/>
    </row>
  </sheetData>
  <mergeCells count="5">
    <mergeCell ref="A1:E1"/>
    <mergeCell ref="F1:M1"/>
    <mergeCell ref="B3:C3"/>
    <mergeCell ref="F3:G3"/>
    <mergeCell ref="J3:K3"/>
  </mergeCells>
  <hyperlinks>
    <hyperlink ref="A1" location="DASHBOARD!A1" display="Back to Dashboard" xr:uid="{00000000-0004-0000-1400-000000000000}"/>
  </hyperlinks>
  <pageMargins left="0.25" right="0.25" top="0.75" bottom="0.75" header="0.3" footer="0.3"/>
  <pageSetup scale="9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/>
  <dimension ref="A1:C325"/>
  <sheetViews>
    <sheetView zoomScale="276" zoomScaleNormal="276" workbookViewId="0">
      <pane ySplit="2" topLeftCell="A3" activePane="bottomLeft" state="frozen"/>
      <selection pane="bottomLeft" activeCell="C1" sqref="C1"/>
    </sheetView>
  </sheetViews>
  <sheetFormatPr defaultRowHeight="15"/>
  <cols>
    <col min="1" max="1" width="22.140625" style="143" customWidth="1"/>
    <col min="2" max="2" width="51.85546875" customWidth="1"/>
    <col min="3" max="3" width="20.42578125" style="305" customWidth="1"/>
  </cols>
  <sheetData>
    <row r="1" spans="1:3" s="233" customFormat="1" ht="26.45" customHeight="1">
      <c r="A1" s="304" t="s">
        <v>313</v>
      </c>
      <c r="B1" s="314" t="s">
        <v>553</v>
      </c>
      <c r="C1" s="312" t="s">
        <v>551</v>
      </c>
    </row>
    <row r="2" spans="1:3">
      <c r="A2" s="313" t="s">
        <v>569</v>
      </c>
      <c r="B2" s="313" t="s">
        <v>555</v>
      </c>
      <c r="C2" s="313" t="s">
        <v>107</v>
      </c>
    </row>
    <row r="3" spans="1:3" ht="15" customHeight="1">
      <c r="A3" s="316" t="s">
        <v>554</v>
      </c>
      <c r="B3" s="217" t="s">
        <v>556</v>
      </c>
      <c r="C3" s="218">
        <v>2</v>
      </c>
    </row>
    <row r="4" spans="1:3">
      <c r="A4" s="317" t="s">
        <v>557</v>
      </c>
      <c r="B4" s="90" t="s">
        <v>556</v>
      </c>
      <c r="C4" s="138">
        <v>2</v>
      </c>
    </row>
    <row r="5" spans="1:3">
      <c r="A5" s="317" t="s">
        <v>558</v>
      </c>
      <c r="B5" s="90" t="s">
        <v>556</v>
      </c>
      <c r="C5" s="138">
        <v>2</v>
      </c>
    </row>
    <row r="6" spans="1:3">
      <c r="A6" s="317" t="s">
        <v>559</v>
      </c>
      <c r="B6" s="209" t="s">
        <v>560</v>
      </c>
      <c r="C6" s="138">
        <v>2</v>
      </c>
    </row>
    <row r="7" spans="1:3">
      <c r="A7" s="317" t="s">
        <v>559</v>
      </c>
      <c r="B7" s="209" t="s">
        <v>561</v>
      </c>
      <c r="C7" s="138">
        <v>1</v>
      </c>
    </row>
    <row r="8" spans="1:3">
      <c r="A8" s="317" t="s">
        <v>559</v>
      </c>
      <c r="B8" s="209" t="s">
        <v>562</v>
      </c>
      <c r="C8" s="138">
        <v>1</v>
      </c>
    </row>
    <row r="9" spans="1:3">
      <c r="A9" s="317" t="s">
        <v>559</v>
      </c>
      <c r="B9" s="209" t="s">
        <v>563</v>
      </c>
      <c r="C9" s="138">
        <v>1</v>
      </c>
    </row>
    <row r="10" spans="1:3">
      <c r="A10" s="317" t="s">
        <v>564</v>
      </c>
      <c r="B10" s="209" t="s">
        <v>560</v>
      </c>
      <c r="C10" s="138">
        <v>2</v>
      </c>
    </row>
    <row r="11" spans="1:3">
      <c r="A11" s="317" t="s">
        <v>564</v>
      </c>
      <c r="B11" s="209" t="s">
        <v>561</v>
      </c>
      <c r="C11" s="138">
        <v>1</v>
      </c>
    </row>
    <row r="12" spans="1:3">
      <c r="A12" s="317" t="s">
        <v>564</v>
      </c>
      <c r="B12" s="209" t="s">
        <v>562</v>
      </c>
      <c r="C12" s="138">
        <v>1</v>
      </c>
    </row>
    <row r="13" spans="1:3">
      <c r="A13" s="317" t="s">
        <v>564</v>
      </c>
      <c r="B13" s="209" t="s">
        <v>563</v>
      </c>
      <c r="C13" s="138">
        <v>1</v>
      </c>
    </row>
    <row r="14" spans="1:3">
      <c r="A14" s="317" t="s">
        <v>565</v>
      </c>
      <c r="B14" s="90" t="s">
        <v>566</v>
      </c>
      <c r="C14" s="138">
        <v>1</v>
      </c>
    </row>
    <row r="15" spans="1:3">
      <c r="A15" s="317" t="s">
        <v>567</v>
      </c>
      <c r="B15" s="90" t="s">
        <v>568</v>
      </c>
      <c r="C15" s="138">
        <v>1</v>
      </c>
    </row>
    <row r="16" spans="1:3">
      <c r="A16" s="317" t="s">
        <v>570</v>
      </c>
      <c r="B16" s="90" t="s">
        <v>571</v>
      </c>
      <c r="C16" s="138">
        <v>1</v>
      </c>
    </row>
    <row r="17" spans="1:3">
      <c r="A17" s="317" t="s">
        <v>570</v>
      </c>
      <c r="B17" s="90" t="s">
        <v>572</v>
      </c>
      <c r="C17" s="138">
        <v>1</v>
      </c>
    </row>
    <row r="18" spans="1:3">
      <c r="A18" s="317" t="s">
        <v>573</v>
      </c>
      <c r="B18" s="90" t="s">
        <v>574</v>
      </c>
      <c r="C18" s="138">
        <v>1</v>
      </c>
    </row>
    <row r="19" spans="1:3">
      <c r="A19" s="317"/>
      <c r="B19" s="90"/>
      <c r="C19" s="138"/>
    </row>
    <row r="20" spans="1:3">
      <c r="A20" s="317"/>
      <c r="B20" s="90"/>
      <c r="C20" s="138"/>
    </row>
    <row r="21" spans="1:3">
      <c r="A21" s="317"/>
      <c r="B21" s="90"/>
      <c r="C21" s="138"/>
    </row>
    <row r="22" spans="1:3">
      <c r="A22" s="317"/>
      <c r="B22" s="90"/>
      <c r="C22" s="138"/>
    </row>
    <row r="23" spans="1:3">
      <c r="A23" s="317"/>
      <c r="B23" s="90"/>
      <c r="C23" s="138"/>
    </row>
    <row r="24" spans="1:3">
      <c r="A24" s="317"/>
      <c r="B24" s="90"/>
      <c r="C24" s="138"/>
    </row>
    <row r="25" spans="1:3">
      <c r="A25" s="317"/>
      <c r="B25" s="90"/>
      <c r="C25" s="138"/>
    </row>
    <row r="26" spans="1:3">
      <c r="A26" s="317"/>
      <c r="B26" s="90"/>
      <c r="C26" s="138"/>
    </row>
    <row r="27" spans="1:3">
      <c r="A27" s="317"/>
      <c r="B27" s="90"/>
      <c r="C27" s="138"/>
    </row>
    <row r="28" spans="1:3">
      <c r="A28" s="317"/>
      <c r="B28" s="90"/>
      <c r="C28" s="138"/>
    </row>
    <row r="29" spans="1:3">
      <c r="A29" s="317"/>
      <c r="B29" s="90"/>
      <c r="C29" s="138"/>
    </row>
    <row r="30" spans="1:3">
      <c r="A30" s="317"/>
      <c r="B30" s="90"/>
      <c r="C30" s="138"/>
    </row>
    <row r="31" spans="1:3">
      <c r="A31" s="317"/>
      <c r="B31" s="90"/>
      <c r="C31" s="138"/>
    </row>
    <row r="32" spans="1:3">
      <c r="A32" s="317"/>
      <c r="B32" s="90"/>
      <c r="C32" s="138"/>
    </row>
    <row r="33" spans="1:3">
      <c r="A33" s="317"/>
      <c r="B33" s="90"/>
      <c r="C33" s="138"/>
    </row>
    <row r="34" spans="1:3">
      <c r="A34" s="317"/>
      <c r="B34" s="90"/>
      <c r="C34" s="138"/>
    </row>
    <row r="35" spans="1:3">
      <c r="A35" s="317"/>
      <c r="B35" s="90"/>
      <c r="C35" s="138"/>
    </row>
    <row r="36" spans="1:3">
      <c r="A36" s="317"/>
      <c r="B36" s="90"/>
      <c r="C36" s="138"/>
    </row>
    <row r="37" spans="1:3">
      <c r="A37" s="317"/>
      <c r="B37" s="90"/>
      <c r="C37" s="138"/>
    </row>
    <row r="38" spans="1:3">
      <c r="A38" s="317"/>
      <c r="B38" s="90"/>
      <c r="C38" s="138"/>
    </row>
    <row r="39" spans="1:3">
      <c r="A39" s="317"/>
      <c r="B39" s="90"/>
      <c r="C39" s="138"/>
    </row>
    <row r="40" spans="1:3">
      <c r="A40" s="317"/>
      <c r="B40" s="90"/>
      <c r="C40" s="138"/>
    </row>
    <row r="41" spans="1:3">
      <c r="A41" s="317"/>
      <c r="B41" s="90"/>
      <c r="C41" s="138"/>
    </row>
    <row r="42" spans="1:3">
      <c r="A42" s="317"/>
      <c r="B42" s="90"/>
      <c r="C42" s="138"/>
    </row>
    <row r="43" spans="1:3">
      <c r="A43" s="318"/>
      <c r="B43" s="90"/>
      <c r="C43" s="138"/>
    </row>
    <row r="44" spans="1:3">
      <c r="A44" s="318"/>
      <c r="B44" s="90"/>
      <c r="C44" s="138"/>
    </row>
    <row r="45" spans="1:3">
      <c r="A45" s="318"/>
      <c r="B45" s="90"/>
      <c r="C45" s="138"/>
    </row>
    <row r="46" spans="1:3">
      <c r="A46" s="318"/>
      <c r="B46" s="90"/>
      <c r="C46" s="138"/>
    </row>
    <row r="47" spans="1:3">
      <c r="A47" s="318"/>
      <c r="B47" s="90"/>
      <c r="C47" s="138"/>
    </row>
    <row r="48" spans="1:3">
      <c r="A48" s="318"/>
      <c r="B48" s="90"/>
      <c r="C48" s="138"/>
    </row>
    <row r="49" spans="1:3">
      <c r="A49" s="318"/>
      <c r="B49" s="90"/>
      <c r="C49" s="138"/>
    </row>
    <row r="50" spans="1:3">
      <c r="A50" s="318"/>
      <c r="B50" s="90"/>
      <c r="C50" s="138"/>
    </row>
    <row r="51" spans="1:3">
      <c r="A51" s="318"/>
      <c r="B51" s="90"/>
      <c r="C51" s="138"/>
    </row>
    <row r="52" spans="1:3">
      <c r="A52" s="318"/>
      <c r="B52" s="90"/>
      <c r="C52" s="138"/>
    </row>
    <row r="53" spans="1:3">
      <c r="A53" s="318"/>
      <c r="B53" s="90"/>
      <c r="C53" s="138"/>
    </row>
    <row r="54" spans="1:3">
      <c r="A54" s="318"/>
      <c r="B54" s="90"/>
      <c r="C54" s="138"/>
    </row>
    <row r="55" spans="1:3">
      <c r="A55" s="318"/>
      <c r="B55" s="90"/>
      <c r="C55" s="138"/>
    </row>
    <row r="56" spans="1:3">
      <c r="A56" s="318"/>
      <c r="B56" s="90"/>
      <c r="C56" s="138"/>
    </row>
    <row r="57" spans="1:3">
      <c r="A57" s="318"/>
      <c r="B57" s="90"/>
      <c r="C57" s="138"/>
    </row>
    <row r="58" spans="1:3">
      <c r="A58" s="318"/>
      <c r="B58" s="210"/>
      <c r="C58" s="138"/>
    </row>
    <row r="59" spans="1:3">
      <c r="A59" s="318"/>
      <c r="B59" s="90"/>
      <c r="C59" s="138"/>
    </row>
    <row r="60" spans="1:3">
      <c r="A60" s="318"/>
      <c r="B60" s="90"/>
      <c r="C60" s="138"/>
    </row>
    <row r="61" spans="1:3">
      <c r="A61" s="318"/>
      <c r="B61" s="90"/>
      <c r="C61" s="138"/>
    </row>
    <row r="62" spans="1:3">
      <c r="A62" s="318"/>
      <c r="B62" s="90"/>
      <c r="C62" s="138"/>
    </row>
    <row r="63" spans="1:3">
      <c r="A63" s="318"/>
      <c r="B63" s="90"/>
      <c r="C63" s="138"/>
    </row>
    <row r="64" spans="1:3">
      <c r="A64" s="318"/>
      <c r="B64" s="90"/>
      <c r="C64" s="138"/>
    </row>
    <row r="65" spans="1:3">
      <c r="A65" s="318"/>
      <c r="B65" s="90"/>
      <c r="C65" s="138"/>
    </row>
    <row r="66" spans="1:3">
      <c r="A66" s="318"/>
      <c r="B66" s="90"/>
      <c r="C66" s="138"/>
    </row>
    <row r="67" spans="1:3">
      <c r="A67" s="318"/>
      <c r="B67" s="90"/>
      <c r="C67" s="138"/>
    </row>
    <row r="68" spans="1:3">
      <c r="A68" s="318"/>
      <c r="B68" s="90"/>
      <c r="C68" s="138"/>
    </row>
    <row r="69" spans="1:3">
      <c r="A69" s="318"/>
      <c r="B69" s="90"/>
      <c r="C69" s="138"/>
    </row>
    <row r="70" spans="1:3">
      <c r="A70" s="318"/>
      <c r="B70" s="90"/>
      <c r="C70" s="138"/>
    </row>
    <row r="71" spans="1:3">
      <c r="A71" s="318"/>
      <c r="B71" s="90"/>
      <c r="C71" s="138"/>
    </row>
    <row r="72" spans="1:3">
      <c r="A72" s="318"/>
      <c r="B72" s="90"/>
      <c r="C72" s="138"/>
    </row>
    <row r="73" spans="1:3">
      <c r="A73" s="318"/>
      <c r="B73" s="90"/>
      <c r="C73" s="138"/>
    </row>
    <row r="74" spans="1:3">
      <c r="A74" s="318"/>
      <c r="B74" s="90"/>
      <c r="C74" s="138"/>
    </row>
    <row r="75" spans="1:3">
      <c r="A75" s="318"/>
      <c r="B75" s="90"/>
      <c r="C75" s="138"/>
    </row>
    <row r="76" spans="1:3">
      <c r="A76" s="318"/>
      <c r="B76" s="90"/>
      <c r="C76" s="138"/>
    </row>
    <row r="77" spans="1:3">
      <c r="A77" s="318"/>
      <c r="B77" s="90"/>
      <c r="C77" s="138"/>
    </row>
    <row r="78" spans="1:3">
      <c r="A78" s="318"/>
      <c r="B78" s="90"/>
      <c r="C78" s="138"/>
    </row>
    <row r="79" spans="1:3">
      <c r="A79" s="318"/>
      <c r="B79" s="90"/>
      <c r="C79" s="138"/>
    </row>
    <row r="80" spans="1:3">
      <c r="A80" s="318"/>
      <c r="B80" s="90"/>
      <c r="C80" s="138"/>
    </row>
    <row r="81" spans="1:3">
      <c r="A81" s="318"/>
      <c r="B81" s="90"/>
      <c r="C81" s="138"/>
    </row>
    <row r="82" spans="1:3">
      <c r="A82" s="318"/>
      <c r="B82" s="90"/>
      <c r="C82" s="138"/>
    </row>
    <row r="83" spans="1:3">
      <c r="A83" s="318"/>
      <c r="B83" s="90"/>
      <c r="C83" s="138"/>
    </row>
    <row r="84" spans="1:3">
      <c r="A84" s="318"/>
      <c r="B84" s="90"/>
      <c r="C84" s="138"/>
    </row>
    <row r="85" spans="1:3">
      <c r="A85" s="318"/>
      <c r="B85" s="90"/>
      <c r="C85" s="138"/>
    </row>
    <row r="86" spans="1:3">
      <c r="A86" s="318"/>
      <c r="B86" s="90"/>
      <c r="C86" s="138"/>
    </row>
    <row r="87" spans="1:3">
      <c r="A87" s="318"/>
      <c r="B87" s="90"/>
      <c r="C87" s="138"/>
    </row>
    <row r="88" spans="1:3">
      <c r="A88" s="318"/>
      <c r="B88" s="90"/>
      <c r="C88" s="138"/>
    </row>
    <row r="89" spans="1:3">
      <c r="A89" s="318"/>
      <c r="B89" s="90"/>
      <c r="C89" s="138"/>
    </row>
    <row r="90" spans="1:3">
      <c r="A90" s="318"/>
      <c r="B90" s="90"/>
      <c r="C90" s="138"/>
    </row>
    <row r="91" spans="1:3">
      <c r="A91" s="318"/>
      <c r="B91" s="90"/>
      <c r="C91" s="138"/>
    </row>
    <row r="92" spans="1:3">
      <c r="A92" s="318"/>
      <c r="B92" s="90"/>
      <c r="C92" s="138"/>
    </row>
    <row r="93" spans="1:3">
      <c r="A93" s="318"/>
      <c r="B93" s="90"/>
      <c r="C93" s="138"/>
    </row>
    <row r="94" spans="1:3">
      <c r="A94" s="318"/>
      <c r="B94" s="90"/>
      <c r="C94" s="138"/>
    </row>
    <row r="95" spans="1:3">
      <c r="A95" s="318"/>
      <c r="B95" s="90"/>
      <c r="C95" s="138"/>
    </row>
    <row r="96" spans="1:3">
      <c r="A96" s="318"/>
      <c r="B96" s="90"/>
      <c r="C96" s="138"/>
    </row>
    <row r="97" spans="1:3">
      <c r="A97" s="318"/>
      <c r="B97" s="90"/>
      <c r="C97" s="138"/>
    </row>
    <row r="98" spans="1:3">
      <c r="A98" s="318"/>
      <c r="B98" s="90"/>
      <c r="C98" s="138"/>
    </row>
    <row r="99" spans="1:3">
      <c r="A99" s="318"/>
      <c r="B99" s="90"/>
      <c r="C99" s="138"/>
    </row>
    <row r="100" spans="1:3">
      <c r="A100" s="318"/>
      <c r="B100" s="90"/>
      <c r="C100" s="138"/>
    </row>
    <row r="101" spans="1:3">
      <c r="A101" s="318"/>
      <c r="B101" s="90"/>
      <c r="C101" s="138"/>
    </row>
    <row r="102" spans="1:3">
      <c r="A102" s="318"/>
      <c r="B102" s="90"/>
      <c r="C102" s="138"/>
    </row>
    <row r="103" spans="1:3">
      <c r="A103" s="318"/>
      <c r="B103" s="90"/>
      <c r="C103" s="138"/>
    </row>
    <row r="104" spans="1:3">
      <c r="A104" s="318"/>
      <c r="B104" s="90"/>
      <c r="C104" s="138"/>
    </row>
    <row r="105" spans="1:3">
      <c r="A105" s="318"/>
      <c r="B105" s="90"/>
      <c r="C105" s="138"/>
    </row>
    <row r="106" spans="1:3">
      <c r="A106" s="318"/>
      <c r="B106" s="90"/>
      <c r="C106" s="138"/>
    </row>
    <row r="107" spans="1:3">
      <c r="A107" s="318"/>
      <c r="B107" s="90"/>
      <c r="C107" s="138"/>
    </row>
    <row r="108" spans="1:3">
      <c r="A108" s="318"/>
      <c r="B108" s="90"/>
      <c r="C108" s="138"/>
    </row>
    <row r="109" spans="1:3">
      <c r="A109" s="318"/>
      <c r="B109" s="90"/>
      <c r="C109" s="138"/>
    </row>
    <row r="110" spans="1:3">
      <c r="A110" s="318"/>
      <c r="B110" s="90"/>
      <c r="C110" s="138"/>
    </row>
    <row r="111" spans="1:3">
      <c r="A111" s="318"/>
      <c r="B111" s="90"/>
      <c r="C111" s="138"/>
    </row>
    <row r="112" spans="1:3">
      <c r="A112" s="318"/>
      <c r="B112" s="90"/>
      <c r="C112" s="138"/>
    </row>
    <row r="113" spans="1:3">
      <c r="A113" s="318"/>
      <c r="B113" s="90"/>
      <c r="C113" s="138"/>
    </row>
    <row r="114" spans="1:3">
      <c r="A114" s="318"/>
      <c r="B114" s="90"/>
      <c r="C114" s="138"/>
    </row>
    <row r="115" spans="1:3">
      <c r="A115" s="318"/>
      <c r="B115" s="90"/>
      <c r="C115" s="138"/>
    </row>
    <row r="116" spans="1:3">
      <c r="A116" s="318"/>
      <c r="B116" s="138"/>
      <c r="C116" s="138"/>
    </row>
    <row r="117" spans="1:3">
      <c r="A117" s="318"/>
      <c r="B117" s="90"/>
      <c r="C117" s="138"/>
    </row>
    <row r="118" spans="1:3">
      <c r="A118" s="318"/>
      <c r="B118" s="90"/>
      <c r="C118" s="138"/>
    </row>
    <row r="119" spans="1:3">
      <c r="A119" s="318"/>
      <c r="B119" s="90"/>
      <c r="C119" s="138"/>
    </row>
    <row r="120" spans="1:3">
      <c r="A120" s="318"/>
      <c r="B120" s="90"/>
      <c r="C120" s="138"/>
    </row>
    <row r="121" spans="1:3">
      <c r="A121" s="318"/>
      <c r="B121" s="90"/>
      <c r="C121" s="138"/>
    </row>
    <row r="122" spans="1:3">
      <c r="A122" s="318"/>
      <c r="B122" s="90"/>
      <c r="C122" s="138"/>
    </row>
    <row r="123" spans="1:3">
      <c r="A123" s="318"/>
      <c r="B123" s="90"/>
      <c r="C123" s="138"/>
    </row>
    <row r="124" spans="1:3">
      <c r="A124" s="318"/>
      <c r="B124" s="90"/>
      <c r="C124" s="138"/>
    </row>
    <row r="125" spans="1:3">
      <c r="A125" s="318"/>
      <c r="B125" s="90"/>
      <c r="C125" s="138"/>
    </row>
    <row r="126" spans="1:3">
      <c r="A126" s="318"/>
      <c r="B126" s="90"/>
      <c r="C126" s="138"/>
    </row>
    <row r="127" spans="1:3">
      <c r="A127" s="318"/>
      <c r="B127" s="90"/>
      <c r="C127" s="138"/>
    </row>
    <row r="128" spans="1:3">
      <c r="A128" s="318"/>
      <c r="B128" s="90"/>
      <c r="C128" s="138"/>
    </row>
    <row r="129" spans="1:3">
      <c r="A129" s="318"/>
      <c r="B129" s="90"/>
      <c r="C129" s="138"/>
    </row>
    <row r="130" spans="1:3">
      <c r="A130" s="318"/>
      <c r="B130" s="90"/>
      <c r="C130" s="138"/>
    </row>
    <row r="131" spans="1:3">
      <c r="A131" s="318"/>
      <c r="B131" s="90"/>
      <c r="C131" s="138"/>
    </row>
    <row r="132" spans="1:3">
      <c r="A132" s="318"/>
      <c r="B132" s="90"/>
      <c r="C132" s="138"/>
    </row>
    <row r="133" spans="1:3">
      <c r="A133" s="318"/>
      <c r="B133" s="90"/>
      <c r="C133" s="138"/>
    </row>
    <row r="134" spans="1:3">
      <c r="A134" s="318"/>
      <c r="B134" s="90"/>
      <c r="C134" s="138"/>
    </row>
    <row r="135" spans="1:3">
      <c r="A135" s="318"/>
      <c r="B135" s="138"/>
      <c r="C135" s="138"/>
    </row>
    <row r="136" spans="1:3">
      <c r="A136" s="318"/>
      <c r="B136" s="90"/>
      <c r="C136" s="138"/>
    </row>
    <row r="137" spans="1:3">
      <c r="A137" s="318"/>
      <c r="B137" s="90"/>
      <c r="C137" s="138"/>
    </row>
    <row r="138" spans="1:3">
      <c r="A138" s="318"/>
      <c r="B138" s="90"/>
      <c r="C138" s="138"/>
    </row>
    <row r="139" spans="1:3">
      <c r="A139" s="318"/>
      <c r="B139" s="90"/>
      <c r="C139" s="138"/>
    </row>
    <row r="140" spans="1:3">
      <c r="A140" s="318"/>
      <c r="B140" s="90"/>
      <c r="C140" s="138"/>
    </row>
    <row r="141" spans="1:3">
      <c r="A141" s="318"/>
      <c r="B141" s="90"/>
      <c r="C141" s="138"/>
    </row>
    <row r="142" spans="1:3">
      <c r="A142" s="318"/>
      <c r="B142" s="90"/>
      <c r="C142" s="138"/>
    </row>
    <row r="143" spans="1:3">
      <c r="A143" s="318"/>
      <c r="B143" s="90"/>
      <c r="C143" s="138"/>
    </row>
    <row r="144" spans="1:3">
      <c r="A144" s="318"/>
      <c r="B144" s="90"/>
      <c r="C144" s="138"/>
    </row>
    <row r="145" spans="1:3">
      <c r="A145" s="318"/>
      <c r="B145" s="90"/>
      <c r="C145" s="138"/>
    </row>
    <row r="146" spans="1:3">
      <c r="A146" s="318"/>
      <c r="B146" s="90"/>
      <c r="C146" s="138"/>
    </row>
    <row r="147" spans="1:3">
      <c r="A147" s="318"/>
      <c r="B147" s="90"/>
      <c r="C147" s="138"/>
    </row>
    <row r="148" spans="1:3">
      <c r="A148" s="318"/>
      <c r="B148" s="90"/>
      <c r="C148" s="138"/>
    </row>
    <row r="149" spans="1:3">
      <c r="A149" s="318"/>
      <c r="B149" s="90"/>
      <c r="C149" s="138"/>
    </row>
    <row r="150" spans="1:3">
      <c r="A150" s="318"/>
      <c r="B150" s="90"/>
      <c r="C150" s="138"/>
    </row>
    <row r="151" spans="1:3">
      <c r="A151" s="318"/>
      <c r="B151" s="90"/>
      <c r="C151" s="138"/>
    </row>
    <row r="152" spans="1:3">
      <c r="A152" s="318"/>
      <c r="B152" s="90"/>
      <c r="C152" s="138"/>
    </row>
    <row r="153" spans="1:3">
      <c r="A153" s="318"/>
      <c r="B153" s="90"/>
      <c r="C153" s="138"/>
    </row>
    <row r="154" spans="1:3">
      <c r="A154" s="318"/>
      <c r="B154" s="90"/>
      <c r="C154" s="138"/>
    </row>
    <row r="155" spans="1:3">
      <c r="A155" s="318"/>
      <c r="B155" s="90"/>
      <c r="C155" s="138"/>
    </row>
    <row r="156" spans="1:3">
      <c r="A156" s="318"/>
      <c r="B156" s="90"/>
      <c r="C156" s="138"/>
    </row>
    <row r="157" spans="1:3">
      <c r="A157" s="318"/>
      <c r="B157" s="90"/>
      <c r="C157" s="138"/>
    </row>
    <row r="158" spans="1:3">
      <c r="A158" s="318"/>
      <c r="B158" s="90"/>
      <c r="C158" s="138"/>
    </row>
    <row r="159" spans="1:3">
      <c r="A159" s="318"/>
      <c r="B159" s="90"/>
      <c r="C159" s="138"/>
    </row>
    <row r="160" spans="1:3">
      <c r="A160" s="318"/>
      <c r="B160" s="90"/>
      <c r="C160" s="138"/>
    </row>
    <row r="161" spans="1:3">
      <c r="A161" s="318"/>
      <c r="B161" s="90"/>
      <c r="C161" s="138"/>
    </row>
    <row r="162" spans="1:3">
      <c r="A162" s="318"/>
      <c r="B162" s="90"/>
      <c r="C162" s="138"/>
    </row>
    <row r="163" spans="1:3">
      <c r="A163" s="318"/>
      <c r="B163" s="90"/>
      <c r="C163" s="138"/>
    </row>
    <row r="164" spans="1:3">
      <c r="A164" s="318"/>
      <c r="B164" s="90"/>
      <c r="C164" s="138"/>
    </row>
    <row r="165" spans="1:3">
      <c r="A165" s="318"/>
      <c r="B165" s="90"/>
      <c r="C165" s="138"/>
    </row>
    <row r="166" spans="1:3">
      <c r="A166" s="318"/>
      <c r="B166" s="90"/>
      <c r="C166" s="138"/>
    </row>
    <row r="167" spans="1:3">
      <c r="A167" s="318"/>
      <c r="B167" s="90"/>
      <c r="C167" s="138"/>
    </row>
    <row r="168" spans="1:3">
      <c r="A168" s="318"/>
      <c r="B168" s="90"/>
      <c r="C168" s="138"/>
    </row>
    <row r="169" spans="1:3">
      <c r="A169" s="318"/>
      <c r="B169" s="211"/>
      <c r="C169" s="138"/>
    </row>
    <row r="170" spans="1:3">
      <c r="A170" s="318"/>
      <c r="B170" s="90"/>
      <c r="C170" s="138"/>
    </row>
    <row r="171" spans="1:3">
      <c r="A171" s="318"/>
      <c r="B171" s="90"/>
      <c r="C171" s="138"/>
    </row>
    <row r="172" spans="1:3">
      <c r="A172" s="318"/>
      <c r="B172" s="90"/>
      <c r="C172" s="138"/>
    </row>
    <row r="173" spans="1:3">
      <c r="A173" s="318"/>
      <c r="B173" s="90"/>
      <c r="C173" s="138"/>
    </row>
    <row r="174" spans="1:3">
      <c r="A174" s="318"/>
      <c r="B174" s="90"/>
      <c r="C174" s="138"/>
    </row>
    <row r="175" spans="1:3">
      <c r="A175" s="318"/>
      <c r="B175" s="90"/>
      <c r="C175" s="138"/>
    </row>
    <row r="176" spans="1:3">
      <c r="A176" s="318"/>
      <c r="B176" s="90"/>
      <c r="C176" s="138"/>
    </row>
    <row r="177" spans="1:3">
      <c r="A177" s="318"/>
      <c r="B177" s="90"/>
      <c r="C177" s="138"/>
    </row>
    <row r="178" spans="1:3">
      <c r="A178" s="318"/>
      <c r="B178" s="90"/>
      <c r="C178" s="138"/>
    </row>
    <row r="179" spans="1:3">
      <c r="A179" s="318"/>
      <c r="B179" s="90"/>
      <c r="C179" s="138"/>
    </row>
    <row r="180" spans="1:3">
      <c r="A180" s="318"/>
      <c r="B180" s="90"/>
      <c r="C180" s="138"/>
    </row>
    <row r="181" spans="1:3">
      <c r="A181" s="318"/>
      <c r="B181" s="90"/>
      <c r="C181" s="138"/>
    </row>
    <row r="182" spans="1:3">
      <c r="A182" s="318"/>
      <c r="B182" s="90"/>
      <c r="C182" s="138"/>
    </row>
    <row r="183" spans="1:3">
      <c r="A183" s="318"/>
      <c r="B183" s="90"/>
      <c r="C183" s="138"/>
    </row>
    <row r="184" spans="1:3">
      <c r="A184" s="318"/>
      <c r="B184" s="90"/>
      <c r="C184" s="138"/>
    </row>
    <row r="185" spans="1:3">
      <c r="A185" s="318"/>
      <c r="B185" s="90"/>
      <c r="C185" s="138"/>
    </row>
    <row r="186" spans="1:3">
      <c r="A186" s="318"/>
      <c r="B186" s="90"/>
      <c r="C186" s="138"/>
    </row>
    <row r="187" spans="1:3">
      <c r="A187" s="318"/>
      <c r="B187" s="90"/>
      <c r="C187" s="138"/>
    </row>
    <row r="188" spans="1:3">
      <c r="A188" s="318"/>
      <c r="B188" s="90"/>
      <c r="C188" s="138"/>
    </row>
    <row r="189" spans="1:3">
      <c r="A189" s="318"/>
      <c r="B189" s="90"/>
      <c r="C189" s="138"/>
    </row>
    <row r="190" spans="1:3">
      <c r="A190" s="318"/>
      <c r="B190" s="90"/>
      <c r="C190" s="138"/>
    </row>
    <row r="191" spans="1:3">
      <c r="A191" s="318"/>
      <c r="B191" s="90"/>
      <c r="C191" s="138"/>
    </row>
    <row r="192" spans="1:3">
      <c r="A192" s="318"/>
      <c r="B192" s="90"/>
      <c r="C192" s="138"/>
    </row>
    <row r="193" spans="1:3">
      <c r="A193" s="318"/>
      <c r="B193" s="90"/>
      <c r="C193" s="138"/>
    </row>
    <row r="194" spans="1:3">
      <c r="A194" s="318"/>
      <c r="B194" s="90"/>
      <c r="C194" s="138"/>
    </row>
    <row r="195" spans="1:3">
      <c r="A195" s="318"/>
      <c r="B195" s="90"/>
      <c r="C195" s="138"/>
    </row>
    <row r="196" spans="1:3">
      <c r="A196" s="318"/>
      <c r="B196" s="90"/>
      <c r="C196" s="138"/>
    </row>
    <row r="197" spans="1:3">
      <c r="A197" s="318"/>
      <c r="B197" s="90"/>
      <c r="C197" s="138"/>
    </row>
    <row r="198" spans="1:3">
      <c r="A198" s="318"/>
      <c r="B198" s="90"/>
      <c r="C198" s="138"/>
    </row>
    <row r="199" spans="1:3">
      <c r="A199" s="318"/>
      <c r="B199" s="90"/>
      <c r="C199" s="138"/>
    </row>
    <row r="200" spans="1:3">
      <c r="A200" s="318"/>
      <c r="B200" s="90"/>
      <c r="C200" s="138"/>
    </row>
    <row r="201" spans="1:3">
      <c r="A201" s="318"/>
      <c r="B201" s="90"/>
      <c r="C201" s="138"/>
    </row>
    <row r="202" spans="1:3">
      <c r="A202" s="318"/>
      <c r="B202" s="90"/>
      <c r="C202" s="138"/>
    </row>
    <row r="203" spans="1:3">
      <c r="A203" s="318"/>
      <c r="B203" s="90"/>
      <c r="C203" s="138"/>
    </row>
    <row r="204" spans="1:3">
      <c r="A204" s="318"/>
      <c r="B204" s="90"/>
      <c r="C204" s="138"/>
    </row>
    <row r="205" spans="1:3">
      <c r="A205" s="318"/>
      <c r="B205" s="90"/>
      <c r="C205" s="138"/>
    </row>
    <row r="206" spans="1:3">
      <c r="A206" s="318"/>
      <c r="B206" s="90"/>
      <c r="C206" s="138"/>
    </row>
    <row r="207" spans="1:3">
      <c r="A207" s="318"/>
      <c r="B207" s="90"/>
      <c r="C207" s="138"/>
    </row>
    <row r="208" spans="1:3">
      <c r="A208" s="318"/>
      <c r="B208" s="90"/>
      <c r="C208" s="138"/>
    </row>
    <row r="209" spans="1:3">
      <c r="A209" s="318"/>
      <c r="B209" s="90"/>
      <c r="C209" s="138"/>
    </row>
    <row r="210" spans="1:3">
      <c r="A210" s="318"/>
      <c r="B210" s="90"/>
      <c r="C210" s="138"/>
    </row>
    <row r="211" spans="1:3">
      <c r="A211" s="318"/>
      <c r="B211" s="90"/>
      <c r="C211" s="138"/>
    </row>
    <row r="212" spans="1:3">
      <c r="A212" s="318"/>
      <c r="B212" s="90"/>
      <c r="C212" s="138"/>
    </row>
    <row r="213" spans="1:3">
      <c r="A213" s="318"/>
      <c r="B213" s="90"/>
      <c r="C213" s="138"/>
    </row>
    <row r="214" spans="1:3">
      <c r="A214" s="318"/>
      <c r="B214" s="90"/>
      <c r="C214" s="138"/>
    </row>
    <row r="215" spans="1:3">
      <c r="A215" s="318"/>
      <c r="B215" s="90"/>
      <c r="C215" s="138"/>
    </row>
    <row r="216" spans="1:3">
      <c r="A216" s="318"/>
      <c r="B216" s="90"/>
      <c r="C216" s="138"/>
    </row>
    <row r="217" spans="1:3">
      <c r="A217" s="318"/>
      <c r="B217" s="90"/>
      <c r="C217" s="138"/>
    </row>
    <row r="218" spans="1:3">
      <c r="A218" s="318"/>
      <c r="B218" s="90"/>
      <c r="C218" s="138"/>
    </row>
    <row r="219" spans="1:3">
      <c r="A219" s="318"/>
      <c r="B219" s="90"/>
      <c r="C219" s="138"/>
    </row>
    <row r="220" spans="1:3">
      <c r="A220" s="318"/>
      <c r="B220" s="90"/>
      <c r="C220" s="138"/>
    </row>
    <row r="221" spans="1:3">
      <c r="A221" s="318"/>
      <c r="B221" s="90"/>
      <c r="C221" s="138"/>
    </row>
    <row r="222" spans="1:3">
      <c r="A222" s="318"/>
      <c r="B222" s="90"/>
      <c r="C222" s="138"/>
    </row>
    <row r="223" spans="1:3">
      <c r="A223" s="318"/>
      <c r="B223" s="90"/>
      <c r="C223" s="138"/>
    </row>
    <row r="224" spans="1:3">
      <c r="A224" s="318"/>
      <c r="B224" s="90"/>
      <c r="C224" s="138"/>
    </row>
    <row r="225" spans="1:3">
      <c r="A225" s="318"/>
      <c r="B225" s="90"/>
      <c r="C225" s="138"/>
    </row>
    <row r="226" spans="1:3">
      <c r="A226" s="318"/>
      <c r="B226" s="90"/>
      <c r="C226" s="138"/>
    </row>
    <row r="227" spans="1:3">
      <c r="A227" s="318"/>
      <c r="B227" s="90"/>
      <c r="C227" s="138"/>
    </row>
    <row r="228" spans="1:3">
      <c r="A228" s="318"/>
      <c r="B228" s="90"/>
      <c r="C228" s="138"/>
    </row>
    <row r="229" spans="1:3">
      <c r="A229" s="318"/>
      <c r="B229" s="90"/>
      <c r="C229" s="138"/>
    </row>
    <row r="230" spans="1:3">
      <c r="A230" s="318"/>
      <c r="B230" s="90"/>
      <c r="C230" s="138"/>
    </row>
    <row r="231" spans="1:3">
      <c r="A231" s="318"/>
      <c r="B231" s="90"/>
      <c r="C231" s="138"/>
    </row>
    <row r="232" spans="1:3">
      <c r="A232" s="318"/>
      <c r="B232" s="90"/>
      <c r="C232" s="138"/>
    </row>
    <row r="233" spans="1:3">
      <c r="A233" s="318"/>
      <c r="B233" s="90"/>
      <c r="C233" s="138"/>
    </row>
    <row r="234" spans="1:3">
      <c r="A234" s="318"/>
      <c r="B234" s="90"/>
      <c r="C234" s="138"/>
    </row>
    <row r="235" spans="1:3">
      <c r="A235" s="318"/>
      <c r="B235" s="90"/>
      <c r="C235" s="138"/>
    </row>
    <row r="236" spans="1:3">
      <c r="A236" s="318"/>
      <c r="B236" s="90"/>
      <c r="C236" s="138"/>
    </row>
    <row r="237" spans="1:3">
      <c r="A237" s="318"/>
      <c r="B237" s="90"/>
      <c r="C237" s="138"/>
    </row>
    <row r="238" spans="1:3">
      <c r="A238" s="318"/>
      <c r="B238" s="90"/>
      <c r="C238" s="138"/>
    </row>
    <row r="239" spans="1:3">
      <c r="A239" s="318"/>
      <c r="B239" s="90"/>
      <c r="C239" s="138"/>
    </row>
    <row r="240" spans="1:3">
      <c r="A240" s="318"/>
      <c r="B240" s="90"/>
      <c r="C240" s="138"/>
    </row>
    <row r="241" spans="1:3">
      <c r="A241" s="318"/>
      <c r="B241" s="90"/>
      <c r="C241" s="138"/>
    </row>
    <row r="242" spans="1:3">
      <c r="A242" s="318"/>
      <c r="B242" s="90"/>
      <c r="C242" s="138"/>
    </row>
    <row r="243" spans="1:3">
      <c r="A243" s="318"/>
      <c r="B243" s="90"/>
      <c r="C243" s="138"/>
    </row>
    <row r="244" spans="1:3">
      <c r="A244" s="318"/>
      <c r="B244" s="90"/>
      <c r="C244" s="138"/>
    </row>
    <row r="245" spans="1:3">
      <c r="A245" s="318"/>
      <c r="B245" s="90"/>
      <c r="C245" s="138"/>
    </row>
    <row r="246" spans="1:3">
      <c r="A246" s="318"/>
      <c r="B246" s="90"/>
      <c r="C246" s="138"/>
    </row>
    <row r="247" spans="1:3">
      <c r="A247" s="318"/>
      <c r="B247" s="90"/>
      <c r="C247" s="138"/>
    </row>
    <row r="248" spans="1:3">
      <c r="A248" s="318"/>
      <c r="B248" s="90"/>
      <c r="C248" s="138"/>
    </row>
    <row r="249" spans="1:3">
      <c r="A249" s="318"/>
      <c r="B249" s="90"/>
      <c r="C249" s="138"/>
    </row>
    <row r="250" spans="1:3">
      <c r="A250" s="318"/>
      <c r="B250" s="90"/>
      <c r="C250" s="138"/>
    </row>
    <row r="251" spans="1:3">
      <c r="A251" s="318"/>
      <c r="B251" s="90"/>
      <c r="C251" s="138"/>
    </row>
    <row r="252" spans="1:3">
      <c r="A252" s="318"/>
      <c r="B252" s="90"/>
      <c r="C252" s="138"/>
    </row>
    <row r="253" spans="1:3">
      <c r="A253" s="318"/>
      <c r="B253" s="90"/>
      <c r="C253" s="138"/>
    </row>
    <row r="254" spans="1:3">
      <c r="A254" s="318"/>
      <c r="B254" s="90"/>
      <c r="C254" s="138"/>
    </row>
    <row r="255" spans="1:3">
      <c r="A255" s="318"/>
      <c r="B255" s="90"/>
      <c r="C255" s="138"/>
    </row>
    <row r="256" spans="1:3">
      <c r="A256" s="318"/>
      <c r="B256" s="90"/>
      <c r="C256" s="138"/>
    </row>
    <row r="257" spans="1:3">
      <c r="A257" s="318"/>
      <c r="B257" s="90"/>
      <c r="C257" s="138"/>
    </row>
    <row r="258" spans="1:3">
      <c r="A258" s="318"/>
      <c r="B258" s="90"/>
      <c r="C258" s="138"/>
    </row>
    <row r="259" spans="1:3">
      <c r="A259" s="318"/>
      <c r="B259" s="90"/>
      <c r="C259" s="138"/>
    </row>
    <row r="260" spans="1:3">
      <c r="A260" s="318"/>
      <c r="B260" s="90"/>
      <c r="C260" s="138"/>
    </row>
    <row r="261" spans="1:3">
      <c r="A261" s="318"/>
      <c r="B261" s="90"/>
      <c r="C261" s="138"/>
    </row>
    <row r="262" spans="1:3">
      <c r="A262" s="318"/>
      <c r="B262" s="90"/>
      <c r="C262" s="138"/>
    </row>
    <row r="263" spans="1:3">
      <c r="A263" s="318"/>
      <c r="B263" s="90"/>
      <c r="C263" s="138"/>
    </row>
    <row r="264" spans="1:3">
      <c r="A264" s="318"/>
      <c r="B264" s="90"/>
      <c r="C264" s="138"/>
    </row>
    <row r="265" spans="1:3">
      <c r="A265" s="318"/>
      <c r="B265" s="90"/>
      <c r="C265" s="138"/>
    </row>
    <row r="266" spans="1:3">
      <c r="A266" s="318"/>
      <c r="B266" s="90"/>
      <c r="C266" s="138"/>
    </row>
    <row r="267" spans="1:3">
      <c r="A267" s="318"/>
      <c r="B267" s="90"/>
      <c r="C267" s="138"/>
    </row>
    <row r="268" spans="1:3">
      <c r="A268" s="318"/>
      <c r="B268" s="90"/>
      <c r="C268" s="138"/>
    </row>
    <row r="269" spans="1:3">
      <c r="A269" s="318"/>
      <c r="B269" s="90"/>
      <c r="C269" s="138"/>
    </row>
    <row r="270" spans="1:3">
      <c r="A270" s="318"/>
      <c r="B270" s="90"/>
      <c r="C270" s="138"/>
    </row>
    <row r="271" spans="1:3">
      <c r="A271" s="318"/>
      <c r="B271" s="90"/>
      <c r="C271" s="138"/>
    </row>
    <row r="272" spans="1:3">
      <c r="A272" s="318"/>
      <c r="B272" s="90"/>
      <c r="C272" s="138"/>
    </row>
    <row r="273" spans="1:3">
      <c r="A273" s="318"/>
      <c r="B273" s="90"/>
      <c r="C273" s="138"/>
    </row>
    <row r="274" spans="1:3">
      <c r="A274" s="318"/>
      <c r="B274" s="90"/>
      <c r="C274" s="138"/>
    </row>
    <row r="275" spans="1:3">
      <c r="A275" s="318"/>
      <c r="B275" s="90"/>
      <c r="C275" s="138"/>
    </row>
    <row r="276" spans="1:3">
      <c r="A276" s="318"/>
      <c r="B276" s="90"/>
      <c r="C276" s="138"/>
    </row>
    <row r="277" spans="1:3">
      <c r="A277" s="318"/>
      <c r="B277" s="90"/>
      <c r="C277" s="138"/>
    </row>
    <row r="278" spans="1:3">
      <c r="A278" s="318"/>
      <c r="B278" s="90"/>
      <c r="C278" s="138"/>
    </row>
    <row r="279" spans="1:3">
      <c r="A279" s="318"/>
      <c r="B279" s="90"/>
      <c r="C279" s="138"/>
    </row>
    <row r="280" spans="1:3">
      <c r="A280" s="318"/>
      <c r="B280" s="90"/>
      <c r="C280" s="138"/>
    </row>
    <row r="281" spans="1:3">
      <c r="A281" s="318"/>
      <c r="B281" s="90"/>
      <c r="C281" s="138"/>
    </row>
    <row r="282" spans="1:3">
      <c r="A282" s="318"/>
      <c r="B282" s="90"/>
      <c r="C282" s="138"/>
    </row>
    <row r="283" spans="1:3">
      <c r="A283" s="318"/>
      <c r="B283" s="90"/>
      <c r="C283" s="138"/>
    </row>
    <row r="284" spans="1:3">
      <c r="A284" s="318"/>
      <c r="B284" s="90"/>
      <c r="C284" s="138"/>
    </row>
    <row r="285" spans="1:3">
      <c r="A285" s="318"/>
      <c r="B285" s="90"/>
      <c r="C285" s="138"/>
    </row>
    <row r="286" spans="1:3">
      <c r="A286" s="318"/>
      <c r="B286" s="90"/>
      <c r="C286" s="138"/>
    </row>
    <row r="287" spans="1:3">
      <c r="A287" s="318"/>
      <c r="B287" s="90"/>
      <c r="C287" s="138"/>
    </row>
    <row r="288" spans="1:3">
      <c r="A288" s="318"/>
      <c r="B288" s="90"/>
      <c r="C288" s="138"/>
    </row>
    <row r="289" spans="1:3">
      <c r="A289" s="318"/>
      <c r="B289" s="90"/>
      <c r="C289" s="138"/>
    </row>
    <row r="290" spans="1:3">
      <c r="A290" s="318"/>
      <c r="B290" s="90"/>
      <c r="C290" s="138"/>
    </row>
    <row r="291" spans="1:3">
      <c r="A291" s="318"/>
      <c r="B291" s="90"/>
      <c r="C291" s="138"/>
    </row>
    <row r="292" spans="1:3">
      <c r="A292" s="318"/>
      <c r="B292" s="90"/>
      <c r="C292" s="138"/>
    </row>
    <row r="293" spans="1:3">
      <c r="A293" s="318"/>
      <c r="B293" s="90"/>
      <c r="C293" s="138"/>
    </row>
    <row r="294" spans="1:3">
      <c r="A294" s="318"/>
      <c r="B294" s="90"/>
      <c r="C294" s="138"/>
    </row>
    <row r="295" spans="1:3">
      <c r="A295" s="318"/>
      <c r="B295" s="90"/>
      <c r="C295" s="138"/>
    </row>
    <row r="296" spans="1:3">
      <c r="A296" s="318"/>
      <c r="B296" s="90"/>
      <c r="C296" s="138"/>
    </row>
    <row r="297" spans="1:3">
      <c r="A297" s="318"/>
      <c r="B297" s="90"/>
      <c r="C297" s="138"/>
    </row>
    <row r="298" spans="1:3">
      <c r="A298" s="318"/>
      <c r="B298" s="90"/>
      <c r="C298" s="138"/>
    </row>
    <row r="299" spans="1:3">
      <c r="A299" s="318"/>
      <c r="B299" s="90"/>
      <c r="C299" s="138"/>
    </row>
    <row r="300" spans="1:3">
      <c r="A300" s="318"/>
      <c r="B300" s="90"/>
      <c r="C300" s="138"/>
    </row>
    <row r="301" spans="1:3">
      <c r="A301" s="318"/>
      <c r="B301" s="90"/>
      <c r="C301" s="138"/>
    </row>
    <row r="302" spans="1:3">
      <c r="A302" s="318"/>
      <c r="B302" s="90"/>
      <c r="C302" s="138"/>
    </row>
    <row r="303" spans="1:3">
      <c r="A303" s="318"/>
      <c r="B303" s="90"/>
      <c r="C303" s="138"/>
    </row>
    <row r="304" spans="1:3">
      <c r="A304" s="318"/>
      <c r="B304" s="90"/>
      <c r="C304" s="138"/>
    </row>
    <row r="305" spans="1:3">
      <c r="A305" s="318"/>
      <c r="B305" s="90"/>
      <c r="C305" s="138"/>
    </row>
    <row r="306" spans="1:3">
      <c r="A306" s="318"/>
      <c r="B306" s="90"/>
      <c r="C306" s="138"/>
    </row>
    <row r="307" spans="1:3">
      <c r="A307" s="318"/>
      <c r="B307" s="90"/>
      <c r="C307" s="138"/>
    </row>
    <row r="308" spans="1:3">
      <c r="A308" s="318"/>
      <c r="B308" s="90"/>
      <c r="C308" s="138"/>
    </row>
    <row r="309" spans="1:3">
      <c r="A309" s="318"/>
      <c r="B309" s="90"/>
      <c r="C309" s="138"/>
    </row>
    <row r="310" spans="1:3">
      <c r="A310" s="318"/>
      <c r="B310" s="90"/>
      <c r="C310" s="138"/>
    </row>
    <row r="311" spans="1:3">
      <c r="A311" s="318"/>
      <c r="B311" s="90"/>
      <c r="C311" s="138"/>
    </row>
    <row r="312" spans="1:3">
      <c r="A312" s="318"/>
      <c r="B312" s="90"/>
      <c r="C312" s="138"/>
    </row>
    <row r="313" spans="1:3">
      <c r="A313" s="318"/>
      <c r="B313" s="90"/>
      <c r="C313" s="138"/>
    </row>
    <row r="314" spans="1:3">
      <c r="A314" s="318"/>
      <c r="B314" s="90"/>
      <c r="C314" s="138"/>
    </row>
    <row r="315" spans="1:3">
      <c r="A315" s="318"/>
      <c r="B315" s="90"/>
      <c r="C315" s="138"/>
    </row>
    <row r="316" spans="1:3">
      <c r="A316" s="318"/>
      <c r="B316" s="90"/>
      <c r="C316" s="138"/>
    </row>
    <row r="317" spans="1:3">
      <c r="A317" s="318"/>
      <c r="B317" s="90"/>
      <c r="C317" s="138"/>
    </row>
    <row r="318" spans="1:3">
      <c r="A318" s="318"/>
      <c r="B318" s="90"/>
      <c r="C318" s="138"/>
    </row>
    <row r="319" spans="1:3">
      <c r="A319" s="318"/>
      <c r="B319" s="90"/>
      <c r="C319" s="138"/>
    </row>
    <row r="320" spans="1:3">
      <c r="A320" s="318"/>
      <c r="B320" s="90"/>
      <c r="C320" s="138"/>
    </row>
    <row r="321" spans="1:3">
      <c r="A321" s="318"/>
      <c r="B321" s="90"/>
      <c r="C321" s="138"/>
    </row>
    <row r="322" spans="1:3">
      <c r="A322" s="318"/>
      <c r="B322" s="90"/>
      <c r="C322" s="138"/>
    </row>
    <row r="323" spans="1:3">
      <c r="A323" s="318"/>
      <c r="B323" s="90"/>
      <c r="C323" s="138"/>
    </row>
    <row r="324" spans="1:3">
      <c r="A324" s="319"/>
    </row>
    <row r="325" spans="1:3">
      <c r="A325" s="320" t="s">
        <v>318</v>
      </c>
      <c r="B325" s="305">
        <f>COUNT(A3:B323)</f>
        <v>0</v>
      </c>
    </row>
  </sheetData>
  <autoFilter ref="A2:C2" xr:uid="{00000000-0009-0000-0000-000015000000}"/>
  <hyperlinks>
    <hyperlink ref="A1" location="DASHBOARD!A1" display="Back to Dashboard" xr:uid="{00000000-0004-0000-1500-000000000000}"/>
    <hyperlink ref="C1" location="Inventory_Hompage!A1" display="Back to Dashboard" xr:uid="{00000000-0004-0000-1500-000001000000}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8"/>
  <dimension ref="A1:D329"/>
  <sheetViews>
    <sheetView zoomScale="218" zoomScaleNormal="218" workbookViewId="0">
      <pane ySplit="6" topLeftCell="A188" activePane="bottomLeft" state="frozen"/>
      <selection pane="bottomLeft" activeCell="D1" sqref="D1"/>
    </sheetView>
  </sheetViews>
  <sheetFormatPr defaultRowHeight="15"/>
  <cols>
    <col min="1" max="1" width="18.7109375" style="143" bestFit="1" customWidth="1"/>
    <col min="2" max="2" width="14.5703125" style="305" bestFit="1" customWidth="1"/>
    <col min="3" max="3" width="51.85546875" customWidth="1"/>
    <col min="4" max="4" width="35.42578125" style="305" customWidth="1"/>
  </cols>
  <sheetData>
    <row r="1" spans="1:4" s="233" customFormat="1" ht="26.45" customHeight="1">
      <c r="A1" s="814" t="s">
        <v>313</v>
      </c>
      <c r="B1" s="815"/>
      <c r="C1" s="315" t="s">
        <v>548</v>
      </c>
      <c r="D1" s="312" t="s">
        <v>551</v>
      </c>
    </row>
    <row r="2" spans="1:4" s="233" customFormat="1" ht="12.95" customHeight="1">
      <c r="A2" s="817" t="s">
        <v>935</v>
      </c>
      <c r="B2" s="817"/>
      <c r="C2" s="817"/>
      <c r="D2" s="817"/>
    </row>
    <row r="3" spans="1:4" s="233" customFormat="1" ht="12.95" customHeight="1">
      <c r="A3" s="818" t="s">
        <v>936</v>
      </c>
      <c r="B3" s="818"/>
      <c r="C3" s="818"/>
      <c r="D3" s="818"/>
    </row>
    <row r="4" spans="1:4" s="233" customFormat="1" ht="12.95" customHeight="1">
      <c r="A4" s="819" t="s">
        <v>937</v>
      </c>
      <c r="B4" s="819"/>
      <c r="C4" s="819"/>
      <c r="D4" s="819"/>
    </row>
    <row r="5" spans="1:4" s="233" customFormat="1" ht="12.95" customHeight="1">
      <c r="A5" s="820" t="s">
        <v>938</v>
      </c>
      <c r="B5" s="820"/>
      <c r="C5" s="820"/>
      <c r="D5" s="820"/>
    </row>
    <row r="6" spans="1:4">
      <c r="A6" t="s">
        <v>579</v>
      </c>
      <c r="B6" t="s">
        <v>580</v>
      </c>
      <c r="C6" t="s">
        <v>581</v>
      </c>
      <c r="D6" t="s">
        <v>582</v>
      </c>
    </row>
    <row r="7" spans="1:4" ht="15" hidden="1" customHeight="1">
      <c r="A7" t="s">
        <v>583</v>
      </c>
      <c r="B7" t="s">
        <v>584</v>
      </c>
      <c r="C7" t="s">
        <v>585</v>
      </c>
      <c r="D7" t="s">
        <v>586</v>
      </c>
    </row>
    <row r="8" spans="1:4" hidden="1">
      <c r="A8" t="s">
        <v>587</v>
      </c>
      <c r="B8" t="s">
        <v>584</v>
      </c>
      <c r="C8" t="s">
        <v>585</v>
      </c>
      <c r="D8" t="s">
        <v>588</v>
      </c>
    </row>
    <row r="9" spans="1:4" hidden="1">
      <c r="A9" t="s">
        <v>589</v>
      </c>
      <c r="B9" t="s">
        <v>584</v>
      </c>
      <c r="C9" t="s">
        <v>585</v>
      </c>
      <c r="D9" t="s">
        <v>588</v>
      </c>
    </row>
    <row r="10" spans="1:4" hidden="1">
      <c r="A10" t="s">
        <v>590</v>
      </c>
      <c r="B10" t="s">
        <v>584</v>
      </c>
      <c r="C10" t="s">
        <v>585</v>
      </c>
      <c r="D10" t="s">
        <v>588</v>
      </c>
    </row>
    <row r="11" spans="1:4" hidden="1">
      <c r="A11" t="s">
        <v>591</v>
      </c>
      <c r="B11" t="s">
        <v>584</v>
      </c>
      <c r="C11" t="s">
        <v>585</v>
      </c>
      <c r="D11" t="s">
        <v>588</v>
      </c>
    </row>
    <row r="12" spans="1:4">
      <c r="A12" t="s">
        <v>592</v>
      </c>
      <c r="B12" t="s">
        <v>593</v>
      </c>
      <c r="C12" t="s">
        <v>594</v>
      </c>
      <c r="D12" t="s">
        <v>595</v>
      </c>
    </row>
    <row r="13" spans="1:4">
      <c r="A13" t="s">
        <v>596</v>
      </c>
      <c r="B13" t="s">
        <v>593</v>
      </c>
      <c r="C13" t="s">
        <v>594</v>
      </c>
      <c r="D13" t="s">
        <v>595</v>
      </c>
    </row>
    <row r="14" spans="1:4">
      <c r="A14" t="s">
        <v>597</v>
      </c>
      <c r="B14" t="s">
        <v>584</v>
      </c>
      <c r="C14" t="s">
        <v>594</v>
      </c>
      <c r="D14" t="s">
        <v>598</v>
      </c>
    </row>
    <row r="15" spans="1:4">
      <c r="A15" t="s">
        <v>599</v>
      </c>
      <c r="B15" t="s">
        <v>584</v>
      </c>
      <c r="C15" t="s">
        <v>594</v>
      </c>
      <c r="D15" t="s">
        <v>600</v>
      </c>
    </row>
    <row r="16" spans="1:4">
      <c r="A16" t="s">
        <v>601</v>
      </c>
      <c r="B16" t="s">
        <v>584</v>
      </c>
      <c r="C16" t="s">
        <v>594</v>
      </c>
      <c r="D16" t="s">
        <v>600</v>
      </c>
    </row>
    <row r="17" spans="1:4">
      <c r="A17" t="s">
        <v>602</v>
      </c>
      <c r="B17" t="s">
        <v>584</v>
      </c>
      <c r="C17" t="s">
        <v>603</v>
      </c>
      <c r="D17" t="s">
        <v>600</v>
      </c>
    </row>
    <row r="18" spans="1:4">
      <c r="A18" t="s">
        <v>604</v>
      </c>
      <c r="B18" t="s">
        <v>584</v>
      </c>
      <c r="C18" t="s">
        <v>594</v>
      </c>
      <c r="D18" t="s">
        <v>605</v>
      </c>
    </row>
    <row r="19" spans="1:4">
      <c r="A19" t="s">
        <v>606</v>
      </c>
      <c r="B19" t="s">
        <v>584</v>
      </c>
      <c r="C19" t="s">
        <v>594</v>
      </c>
      <c r="D19" t="s">
        <v>605</v>
      </c>
    </row>
    <row r="20" spans="1:4">
      <c r="A20" t="s">
        <v>607</v>
      </c>
      <c r="B20" t="s">
        <v>593</v>
      </c>
      <c r="C20" t="s">
        <v>608</v>
      </c>
      <c r="D20" t="s">
        <v>609</v>
      </c>
    </row>
    <row r="21" spans="1:4" hidden="1">
      <c r="A21" t="s">
        <v>610</v>
      </c>
      <c r="B21" t="s">
        <v>584</v>
      </c>
      <c r="C21" t="s">
        <v>611</v>
      </c>
      <c r="D21" t="s">
        <v>612</v>
      </c>
    </row>
    <row r="22" spans="1:4" hidden="1">
      <c r="A22" t="s">
        <v>613</v>
      </c>
      <c r="B22" t="s">
        <v>584</v>
      </c>
      <c r="C22" t="s">
        <v>611</v>
      </c>
      <c r="D22" t="s">
        <v>588</v>
      </c>
    </row>
    <row r="23" spans="1:4" hidden="1">
      <c r="A23" t="s">
        <v>614</v>
      </c>
      <c r="B23" t="s">
        <v>584</v>
      </c>
      <c r="C23" t="s">
        <v>611</v>
      </c>
      <c r="D23" t="s">
        <v>588</v>
      </c>
    </row>
    <row r="24" spans="1:4" hidden="1">
      <c r="A24" t="s">
        <v>615</v>
      </c>
      <c r="B24" t="s">
        <v>584</v>
      </c>
      <c r="C24" t="s">
        <v>611</v>
      </c>
      <c r="D24" t="s">
        <v>588</v>
      </c>
    </row>
    <row r="25" spans="1:4" hidden="1">
      <c r="A25" t="s">
        <v>616</v>
      </c>
      <c r="B25" t="s">
        <v>584</v>
      </c>
      <c r="C25" t="s">
        <v>611</v>
      </c>
      <c r="D25" t="s">
        <v>588</v>
      </c>
    </row>
    <row r="26" spans="1:4" hidden="1">
      <c r="A26" t="s">
        <v>617</v>
      </c>
      <c r="B26" t="s">
        <v>584</v>
      </c>
      <c r="C26" t="s">
        <v>611</v>
      </c>
      <c r="D26" t="s">
        <v>588</v>
      </c>
    </row>
    <row r="27" spans="1:4">
      <c r="A27" t="s">
        <v>618</v>
      </c>
      <c r="B27" t="s">
        <v>593</v>
      </c>
      <c r="C27" t="s">
        <v>619</v>
      </c>
      <c r="D27" t="s">
        <v>595</v>
      </c>
    </row>
    <row r="28" spans="1:4">
      <c r="A28" t="s">
        <v>620</v>
      </c>
      <c r="B28" t="s">
        <v>584</v>
      </c>
      <c r="C28" t="s">
        <v>621</v>
      </c>
      <c r="D28" t="s">
        <v>622</v>
      </c>
    </row>
    <row r="29" spans="1:4">
      <c r="A29" t="s">
        <v>623</v>
      </c>
      <c r="B29" t="s">
        <v>584</v>
      </c>
      <c r="C29" t="s">
        <v>621</v>
      </c>
      <c r="D29" t="s">
        <v>622</v>
      </c>
    </row>
    <row r="30" spans="1:4">
      <c r="A30" t="s">
        <v>624</v>
      </c>
      <c r="B30" t="s">
        <v>584</v>
      </c>
      <c r="C30" t="s">
        <v>621</v>
      </c>
      <c r="D30" t="s">
        <v>622</v>
      </c>
    </row>
    <row r="31" spans="1:4">
      <c r="A31" t="s">
        <v>625</v>
      </c>
      <c r="B31" t="s">
        <v>584</v>
      </c>
      <c r="C31" t="s">
        <v>621</v>
      </c>
      <c r="D31" t="s">
        <v>626</v>
      </c>
    </row>
    <row r="32" spans="1:4">
      <c r="A32" t="s">
        <v>627</v>
      </c>
      <c r="B32" t="s">
        <v>584</v>
      </c>
      <c r="C32" t="s">
        <v>621</v>
      </c>
      <c r="D32" t="s">
        <v>626</v>
      </c>
    </row>
    <row r="33" spans="1:4">
      <c r="A33" t="s">
        <v>628</v>
      </c>
      <c r="B33" t="s">
        <v>584</v>
      </c>
      <c r="C33" t="s">
        <v>621</v>
      </c>
      <c r="D33" t="s">
        <v>626</v>
      </c>
    </row>
    <row r="34" spans="1:4">
      <c r="A34" t="s">
        <v>629</v>
      </c>
      <c r="B34" t="s">
        <v>584</v>
      </c>
      <c r="C34" t="s">
        <v>621</v>
      </c>
      <c r="D34" t="s">
        <v>626</v>
      </c>
    </row>
    <row r="35" spans="1:4">
      <c r="A35" t="s">
        <v>630</v>
      </c>
      <c r="B35" t="s">
        <v>584</v>
      </c>
      <c r="C35" t="s">
        <v>621</v>
      </c>
      <c r="D35" t="s">
        <v>631</v>
      </c>
    </row>
    <row r="36" spans="1:4">
      <c r="A36" t="s">
        <v>632</v>
      </c>
      <c r="B36" t="s">
        <v>584</v>
      </c>
      <c r="C36" t="s">
        <v>621</v>
      </c>
      <c r="D36" t="s">
        <v>631</v>
      </c>
    </row>
    <row r="37" spans="1:4">
      <c r="A37" t="s">
        <v>633</v>
      </c>
      <c r="B37" t="s">
        <v>584</v>
      </c>
      <c r="C37" t="s">
        <v>621</v>
      </c>
      <c r="D37" t="s">
        <v>631</v>
      </c>
    </row>
    <row r="38" spans="1:4">
      <c r="A38" t="s">
        <v>634</v>
      </c>
      <c r="B38" t="s">
        <v>584</v>
      </c>
      <c r="C38" t="s">
        <v>621</v>
      </c>
      <c r="D38" t="s">
        <v>631</v>
      </c>
    </row>
    <row r="39" spans="1:4">
      <c r="A39" t="s">
        <v>635</v>
      </c>
      <c r="B39" t="s">
        <v>584</v>
      </c>
      <c r="C39" t="s">
        <v>621</v>
      </c>
      <c r="D39" t="s">
        <v>631</v>
      </c>
    </row>
    <row r="40" spans="1:4">
      <c r="A40" t="s">
        <v>636</v>
      </c>
      <c r="B40" t="s">
        <v>584</v>
      </c>
      <c r="C40" t="s">
        <v>621</v>
      </c>
      <c r="D40" t="s">
        <v>631</v>
      </c>
    </row>
    <row r="41" spans="1:4">
      <c r="A41" t="s">
        <v>637</v>
      </c>
      <c r="B41" t="s">
        <v>584</v>
      </c>
      <c r="C41" t="s">
        <v>621</v>
      </c>
      <c r="D41" t="s">
        <v>598</v>
      </c>
    </row>
    <row r="42" spans="1:4">
      <c r="A42" t="s">
        <v>638</v>
      </c>
      <c r="B42" t="s">
        <v>584</v>
      </c>
      <c r="C42" t="s">
        <v>621</v>
      </c>
      <c r="D42" t="s">
        <v>598</v>
      </c>
    </row>
    <row r="43" spans="1:4">
      <c r="A43" t="s">
        <v>639</v>
      </c>
      <c r="B43" t="s">
        <v>584</v>
      </c>
      <c r="C43" t="s">
        <v>621</v>
      </c>
      <c r="D43" t="s">
        <v>598</v>
      </c>
    </row>
    <row r="44" spans="1:4">
      <c r="A44" t="s">
        <v>640</v>
      </c>
      <c r="B44" t="s">
        <v>584</v>
      </c>
      <c r="C44" t="s">
        <v>619</v>
      </c>
      <c r="D44" t="s">
        <v>598</v>
      </c>
    </row>
    <row r="45" spans="1:4">
      <c r="A45" t="s">
        <v>641</v>
      </c>
      <c r="B45" t="s">
        <v>584</v>
      </c>
      <c r="C45" t="s">
        <v>619</v>
      </c>
      <c r="D45" t="s">
        <v>642</v>
      </c>
    </row>
    <row r="46" spans="1:4">
      <c r="A46" t="s">
        <v>643</v>
      </c>
      <c r="B46" t="s">
        <v>584</v>
      </c>
      <c r="C46" t="s">
        <v>619</v>
      </c>
      <c r="D46" t="s">
        <v>642</v>
      </c>
    </row>
    <row r="47" spans="1:4">
      <c r="A47" t="s">
        <v>644</v>
      </c>
      <c r="B47" t="s">
        <v>584</v>
      </c>
      <c r="C47" t="s">
        <v>619</v>
      </c>
      <c r="D47" t="s">
        <v>642</v>
      </c>
    </row>
    <row r="48" spans="1:4">
      <c r="A48" t="s">
        <v>645</v>
      </c>
      <c r="B48" t="s">
        <v>584</v>
      </c>
      <c r="C48" t="s">
        <v>619</v>
      </c>
      <c r="D48" t="s">
        <v>642</v>
      </c>
    </row>
    <row r="49" spans="1:4">
      <c r="A49" t="s">
        <v>646</v>
      </c>
      <c r="B49" t="s">
        <v>584</v>
      </c>
      <c r="C49" t="s">
        <v>647</v>
      </c>
      <c r="D49" t="s">
        <v>600</v>
      </c>
    </row>
    <row r="50" spans="1:4">
      <c r="A50" t="s">
        <v>648</v>
      </c>
      <c r="B50" t="s">
        <v>584</v>
      </c>
      <c r="C50" t="s">
        <v>619</v>
      </c>
      <c r="D50" t="s">
        <v>605</v>
      </c>
    </row>
    <row r="51" spans="1:4">
      <c r="A51" t="s">
        <v>649</v>
      </c>
      <c r="B51" t="s">
        <v>584</v>
      </c>
      <c r="C51" t="s">
        <v>650</v>
      </c>
      <c r="D51" t="s">
        <v>609</v>
      </c>
    </row>
    <row r="52" spans="1:4">
      <c r="A52" t="s">
        <v>651</v>
      </c>
      <c r="B52" t="s">
        <v>584</v>
      </c>
      <c r="C52" t="s">
        <v>650</v>
      </c>
      <c r="D52" t="s">
        <v>609</v>
      </c>
    </row>
    <row r="53" spans="1:4">
      <c r="A53" t="s">
        <v>652</v>
      </c>
      <c r="B53" t="s">
        <v>584</v>
      </c>
      <c r="C53" t="s">
        <v>650</v>
      </c>
      <c r="D53" t="s">
        <v>609</v>
      </c>
    </row>
    <row r="54" spans="1:4" hidden="1">
      <c r="A54" t="s">
        <v>653</v>
      </c>
      <c r="B54" t="s">
        <v>584</v>
      </c>
      <c r="C54" t="s">
        <v>650</v>
      </c>
      <c r="D54" t="s">
        <v>654</v>
      </c>
    </row>
    <row r="55" spans="1:4" hidden="1">
      <c r="A55" t="s">
        <v>655</v>
      </c>
      <c r="B55" t="s">
        <v>656</v>
      </c>
      <c r="C55" t="s">
        <v>657</v>
      </c>
      <c r="D55" t="s">
        <v>658</v>
      </c>
    </row>
    <row r="56" spans="1:4" hidden="1">
      <c r="A56" t="s">
        <v>659</v>
      </c>
      <c r="B56" t="s">
        <v>593</v>
      </c>
      <c r="C56" t="s">
        <v>660</v>
      </c>
      <c r="D56" t="s">
        <v>658</v>
      </c>
    </row>
    <row r="57" spans="1:4" hidden="1">
      <c r="A57" t="s">
        <v>661</v>
      </c>
      <c r="B57" t="s">
        <v>584</v>
      </c>
      <c r="C57" t="s">
        <v>660</v>
      </c>
      <c r="D57" t="s">
        <v>662</v>
      </c>
    </row>
    <row r="58" spans="1:4" hidden="1">
      <c r="A58" t="s">
        <v>663</v>
      </c>
      <c r="B58" t="s">
        <v>593</v>
      </c>
      <c r="C58" t="s">
        <v>664</v>
      </c>
      <c r="D58" t="s">
        <v>665</v>
      </c>
    </row>
    <row r="59" spans="1:4" hidden="1">
      <c r="A59" t="s">
        <v>666</v>
      </c>
      <c r="B59" t="s">
        <v>593</v>
      </c>
      <c r="C59" t="s">
        <v>664</v>
      </c>
      <c r="D59" t="s">
        <v>665</v>
      </c>
    </row>
    <row r="60" spans="1:4" hidden="1">
      <c r="A60" t="s">
        <v>667</v>
      </c>
      <c r="B60" t="s">
        <v>593</v>
      </c>
      <c r="C60" t="s">
        <v>668</v>
      </c>
      <c r="D60" t="s">
        <v>665</v>
      </c>
    </row>
    <row r="61" spans="1:4" hidden="1">
      <c r="A61" t="s">
        <v>669</v>
      </c>
      <c r="B61" t="s">
        <v>593</v>
      </c>
      <c r="C61" t="s">
        <v>668</v>
      </c>
      <c r="D61" t="s">
        <v>665</v>
      </c>
    </row>
    <row r="62" spans="1:4" hidden="1">
      <c r="A62" t="s">
        <v>670</v>
      </c>
      <c r="B62" t="s">
        <v>593</v>
      </c>
      <c r="C62" t="s">
        <v>668</v>
      </c>
      <c r="D62" t="s">
        <v>665</v>
      </c>
    </row>
    <row r="63" spans="1:4" hidden="1">
      <c r="A63" t="s">
        <v>671</v>
      </c>
      <c r="B63" t="s">
        <v>593</v>
      </c>
      <c r="C63" t="s">
        <v>664</v>
      </c>
      <c r="D63" t="s">
        <v>665</v>
      </c>
    </row>
    <row r="64" spans="1:4" hidden="1">
      <c r="A64" t="s">
        <v>672</v>
      </c>
      <c r="B64" t="s">
        <v>584</v>
      </c>
      <c r="C64" t="s">
        <v>668</v>
      </c>
      <c r="D64" t="s">
        <v>665</v>
      </c>
    </row>
    <row r="65" spans="1:4" hidden="1">
      <c r="A65" t="s">
        <v>673</v>
      </c>
      <c r="B65" t="s">
        <v>584</v>
      </c>
      <c r="C65" t="s">
        <v>660</v>
      </c>
      <c r="D65" t="s">
        <v>665</v>
      </c>
    </row>
    <row r="66" spans="1:4" hidden="1">
      <c r="A66" t="s">
        <v>674</v>
      </c>
      <c r="B66" t="s">
        <v>584</v>
      </c>
      <c r="C66" t="s">
        <v>668</v>
      </c>
      <c r="D66" t="s">
        <v>665</v>
      </c>
    </row>
    <row r="67" spans="1:4" hidden="1">
      <c r="A67" t="s">
        <v>675</v>
      </c>
      <c r="B67" t="s">
        <v>584</v>
      </c>
      <c r="C67" t="s">
        <v>668</v>
      </c>
      <c r="D67" t="s">
        <v>665</v>
      </c>
    </row>
    <row r="68" spans="1:4" hidden="1">
      <c r="A68" t="s">
        <v>676</v>
      </c>
      <c r="B68" t="s">
        <v>593</v>
      </c>
      <c r="C68" t="s">
        <v>664</v>
      </c>
      <c r="D68" t="s">
        <v>677</v>
      </c>
    </row>
    <row r="69" spans="1:4" hidden="1">
      <c r="A69" t="s">
        <v>678</v>
      </c>
      <c r="B69" t="s">
        <v>593</v>
      </c>
      <c r="C69" t="s">
        <v>664</v>
      </c>
      <c r="D69" t="s">
        <v>677</v>
      </c>
    </row>
    <row r="70" spans="1:4" hidden="1">
      <c r="A70" t="s">
        <v>679</v>
      </c>
      <c r="B70" t="s">
        <v>593</v>
      </c>
      <c r="C70" t="s">
        <v>664</v>
      </c>
      <c r="D70" t="s">
        <v>677</v>
      </c>
    </row>
    <row r="71" spans="1:4" hidden="1">
      <c r="A71" t="s">
        <v>680</v>
      </c>
      <c r="B71" t="s">
        <v>593</v>
      </c>
      <c r="C71" t="s">
        <v>664</v>
      </c>
      <c r="D71" t="s">
        <v>677</v>
      </c>
    </row>
    <row r="72" spans="1:4" hidden="1">
      <c r="A72" t="s">
        <v>681</v>
      </c>
      <c r="B72" t="s">
        <v>593</v>
      </c>
      <c r="C72" t="s">
        <v>664</v>
      </c>
      <c r="D72" t="s">
        <v>677</v>
      </c>
    </row>
    <row r="73" spans="1:4" hidden="1">
      <c r="A73" t="s">
        <v>682</v>
      </c>
      <c r="B73" t="s">
        <v>593</v>
      </c>
      <c r="C73" t="s">
        <v>664</v>
      </c>
      <c r="D73" t="s">
        <v>677</v>
      </c>
    </row>
    <row r="74" spans="1:4" hidden="1">
      <c r="A74" t="s">
        <v>683</v>
      </c>
      <c r="B74" t="s">
        <v>593</v>
      </c>
      <c r="C74" t="s">
        <v>664</v>
      </c>
      <c r="D74" t="s">
        <v>677</v>
      </c>
    </row>
    <row r="75" spans="1:4" hidden="1">
      <c r="A75" t="s">
        <v>684</v>
      </c>
      <c r="B75" t="s">
        <v>584</v>
      </c>
      <c r="C75" t="s">
        <v>668</v>
      </c>
      <c r="D75" t="s">
        <v>677</v>
      </c>
    </row>
    <row r="76" spans="1:4" hidden="1">
      <c r="A76" t="s">
        <v>685</v>
      </c>
      <c r="B76" t="s">
        <v>584</v>
      </c>
      <c r="C76" t="s">
        <v>668</v>
      </c>
      <c r="D76" t="s">
        <v>677</v>
      </c>
    </row>
    <row r="77" spans="1:4" hidden="1">
      <c r="A77" t="s">
        <v>686</v>
      </c>
      <c r="B77" t="s">
        <v>584</v>
      </c>
      <c r="C77" t="s">
        <v>668</v>
      </c>
      <c r="D77" t="s">
        <v>677</v>
      </c>
    </row>
    <row r="78" spans="1:4" hidden="1">
      <c r="A78" t="s">
        <v>687</v>
      </c>
      <c r="B78" t="s">
        <v>584</v>
      </c>
      <c r="C78" t="s">
        <v>657</v>
      </c>
      <c r="D78" t="s">
        <v>612</v>
      </c>
    </row>
    <row r="79" spans="1:4" hidden="1">
      <c r="A79" t="s">
        <v>688</v>
      </c>
      <c r="B79" t="s">
        <v>584</v>
      </c>
      <c r="C79" t="s">
        <v>657</v>
      </c>
      <c r="D79" t="s">
        <v>612</v>
      </c>
    </row>
    <row r="80" spans="1:4" hidden="1">
      <c r="A80" t="s">
        <v>689</v>
      </c>
      <c r="B80" t="s">
        <v>584</v>
      </c>
      <c r="C80" t="s">
        <v>690</v>
      </c>
      <c r="D80" t="s">
        <v>612</v>
      </c>
    </row>
    <row r="81" spans="1:4" hidden="1">
      <c r="A81" t="s">
        <v>691</v>
      </c>
      <c r="B81" t="s">
        <v>584</v>
      </c>
      <c r="C81" t="s">
        <v>657</v>
      </c>
      <c r="D81" t="s">
        <v>612</v>
      </c>
    </row>
    <row r="82" spans="1:4" hidden="1">
      <c r="A82" t="s">
        <v>692</v>
      </c>
      <c r="B82" t="s">
        <v>584</v>
      </c>
      <c r="C82" t="s">
        <v>657</v>
      </c>
      <c r="D82" t="s">
        <v>612</v>
      </c>
    </row>
    <row r="83" spans="1:4" hidden="1">
      <c r="A83" t="s">
        <v>693</v>
      </c>
      <c r="B83" t="s">
        <v>584</v>
      </c>
      <c r="C83" t="s">
        <v>657</v>
      </c>
      <c r="D83" t="s">
        <v>612</v>
      </c>
    </row>
    <row r="84" spans="1:4" hidden="1">
      <c r="A84" t="s">
        <v>694</v>
      </c>
      <c r="B84" t="s">
        <v>584</v>
      </c>
      <c r="C84" t="s">
        <v>657</v>
      </c>
      <c r="D84" t="s">
        <v>612</v>
      </c>
    </row>
    <row r="85" spans="1:4" hidden="1">
      <c r="A85" t="s">
        <v>695</v>
      </c>
      <c r="B85" t="s">
        <v>584</v>
      </c>
      <c r="C85" t="s">
        <v>657</v>
      </c>
      <c r="D85" t="s">
        <v>612</v>
      </c>
    </row>
    <row r="86" spans="1:4" hidden="1">
      <c r="A86" t="s">
        <v>696</v>
      </c>
      <c r="B86" t="s">
        <v>584</v>
      </c>
      <c r="C86" t="s">
        <v>657</v>
      </c>
      <c r="D86" t="s">
        <v>612</v>
      </c>
    </row>
    <row r="87" spans="1:4" hidden="1">
      <c r="A87" t="s">
        <v>697</v>
      </c>
      <c r="B87" t="s">
        <v>584</v>
      </c>
      <c r="C87" t="s">
        <v>657</v>
      </c>
      <c r="D87" t="s">
        <v>612</v>
      </c>
    </row>
    <row r="88" spans="1:4" hidden="1">
      <c r="A88" t="s">
        <v>698</v>
      </c>
      <c r="B88" t="s">
        <v>584</v>
      </c>
      <c r="C88" t="s">
        <v>657</v>
      </c>
      <c r="D88" t="s">
        <v>612</v>
      </c>
    </row>
    <row r="89" spans="1:4" hidden="1">
      <c r="A89" t="s">
        <v>699</v>
      </c>
      <c r="B89" t="s">
        <v>584</v>
      </c>
      <c r="C89" t="s">
        <v>657</v>
      </c>
      <c r="D89" t="s">
        <v>612</v>
      </c>
    </row>
    <row r="90" spans="1:4" hidden="1">
      <c r="A90" t="s">
        <v>700</v>
      </c>
      <c r="B90" t="s">
        <v>584</v>
      </c>
      <c r="C90" t="s">
        <v>657</v>
      </c>
      <c r="D90" t="s">
        <v>612</v>
      </c>
    </row>
    <row r="91" spans="1:4" hidden="1">
      <c r="A91" t="s">
        <v>701</v>
      </c>
      <c r="B91" t="s">
        <v>584</v>
      </c>
      <c r="C91" t="s">
        <v>657</v>
      </c>
      <c r="D91" t="s">
        <v>612</v>
      </c>
    </row>
    <row r="92" spans="1:4" hidden="1">
      <c r="A92" t="s">
        <v>702</v>
      </c>
      <c r="B92" t="s">
        <v>593</v>
      </c>
      <c r="C92" t="s">
        <v>703</v>
      </c>
      <c r="D92" t="s">
        <v>704</v>
      </c>
    </row>
    <row r="93" spans="1:4" hidden="1">
      <c r="A93" t="s">
        <v>705</v>
      </c>
      <c r="B93" t="s">
        <v>593</v>
      </c>
      <c r="C93" t="s">
        <v>703</v>
      </c>
      <c r="D93" t="s">
        <v>704</v>
      </c>
    </row>
    <row r="94" spans="1:4" hidden="1">
      <c r="A94" t="s">
        <v>706</v>
      </c>
      <c r="B94" t="s">
        <v>593</v>
      </c>
      <c r="C94" t="s">
        <v>703</v>
      </c>
      <c r="D94" t="s">
        <v>704</v>
      </c>
    </row>
    <row r="95" spans="1:4" hidden="1">
      <c r="A95" t="s">
        <v>707</v>
      </c>
      <c r="B95" t="s">
        <v>593</v>
      </c>
      <c r="C95" t="s">
        <v>668</v>
      </c>
      <c r="D95" t="s">
        <v>704</v>
      </c>
    </row>
    <row r="96" spans="1:4" hidden="1">
      <c r="A96" t="s">
        <v>708</v>
      </c>
      <c r="B96" t="s">
        <v>593</v>
      </c>
      <c r="C96" t="s">
        <v>703</v>
      </c>
      <c r="D96" t="s">
        <v>704</v>
      </c>
    </row>
    <row r="97" spans="1:4" hidden="1">
      <c r="A97" t="s">
        <v>709</v>
      </c>
      <c r="B97" t="s">
        <v>593</v>
      </c>
      <c r="C97" t="s">
        <v>703</v>
      </c>
      <c r="D97" t="s">
        <v>704</v>
      </c>
    </row>
    <row r="98" spans="1:4" hidden="1">
      <c r="A98" t="s">
        <v>710</v>
      </c>
      <c r="B98" t="s">
        <v>593</v>
      </c>
      <c r="C98" t="s">
        <v>703</v>
      </c>
      <c r="D98" t="s">
        <v>704</v>
      </c>
    </row>
    <row r="99" spans="1:4" hidden="1">
      <c r="A99" t="s">
        <v>711</v>
      </c>
      <c r="B99" t="s">
        <v>593</v>
      </c>
      <c r="C99" t="s">
        <v>703</v>
      </c>
      <c r="D99" t="s">
        <v>704</v>
      </c>
    </row>
    <row r="100" spans="1:4" hidden="1">
      <c r="A100" t="s">
        <v>712</v>
      </c>
      <c r="B100" t="s">
        <v>593</v>
      </c>
      <c r="C100" t="s">
        <v>703</v>
      </c>
      <c r="D100" t="s">
        <v>704</v>
      </c>
    </row>
    <row r="101" spans="1:4" hidden="1">
      <c r="A101" t="s">
        <v>713</v>
      </c>
      <c r="B101" t="s">
        <v>584</v>
      </c>
      <c r="C101" t="s">
        <v>703</v>
      </c>
      <c r="D101" t="s">
        <v>704</v>
      </c>
    </row>
    <row r="102" spans="1:4" hidden="1">
      <c r="A102" t="s">
        <v>714</v>
      </c>
      <c r="B102" t="s">
        <v>584</v>
      </c>
      <c r="C102" t="s">
        <v>703</v>
      </c>
      <c r="D102" t="s">
        <v>704</v>
      </c>
    </row>
    <row r="103" spans="1:4" hidden="1">
      <c r="A103" t="s">
        <v>715</v>
      </c>
      <c r="B103" t="s">
        <v>593</v>
      </c>
      <c r="C103" t="s">
        <v>703</v>
      </c>
      <c r="D103" t="s">
        <v>716</v>
      </c>
    </row>
    <row r="104" spans="1:4" hidden="1">
      <c r="A104" t="s">
        <v>717</v>
      </c>
      <c r="B104" t="s">
        <v>593</v>
      </c>
      <c r="C104" t="s">
        <v>703</v>
      </c>
      <c r="D104" t="s">
        <v>716</v>
      </c>
    </row>
    <row r="105" spans="1:4" hidden="1">
      <c r="A105" t="s">
        <v>718</v>
      </c>
      <c r="B105" t="s">
        <v>593</v>
      </c>
      <c r="C105" t="s">
        <v>703</v>
      </c>
      <c r="D105" t="s">
        <v>716</v>
      </c>
    </row>
    <row r="106" spans="1:4" hidden="1">
      <c r="A106" t="s">
        <v>719</v>
      </c>
      <c r="B106" t="s">
        <v>593</v>
      </c>
      <c r="C106" t="s">
        <v>703</v>
      </c>
      <c r="D106" t="s">
        <v>716</v>
      </c>
    </row>
    <row r="107" spans="1:4" hidden="1">
      <c r="A107" t="s">
        <v>720</v>
      </c>
      <c r="B107" t="s">
        <v>593</v>
      </c>
      <c r="C107" t="s">
        <v>703</v>
      </c>
      <c r="D107" t="s">
        <v>716</v>
      </c>
    </row>
    <row r="108" spans="1:4" hidden="1">
      <c r="A108" t="s">
        <v>721</v>
      </c>
      <c r="B108" t="s">
        <v>593</v>
      </c>
      <c r="C108" t="s">
        <v>703</v>
      </c>
      <c r="D108" t="s">
        <v>716</v>
      </c>
    </row>
    <row r="109" spans="1:4" hidden="1">
      <c r="A109" t="s">
        <v>722</v>
      </c>
      <c r="B109" t="s">
        <v>593</v>
      </c>
      <c r="C109" t="s">
        <v>703</v>
      </c>
      <c r="D109" t="s">
        <v>716</v>
      </c>
    </row>
    <row r="110" spans="1:4" hidden="1">
      <c r="A110" t="s">
        <v>723</v>
      </c>
      <c r="B110" t="s">
        <v>593</v>
      </c>
      <c r="C110" t="s">
        <v>703</v>
      </c>
      <c r="D110" t="s">
        <v>716</v>
      </c>
    </row>
    <row r="111" spans="1:4" hidden="1">
      <c r="A111" t="s">
        <v>724</v>
      </c>
      <c r="B111" t="s">
        <v>593</v>
      </c>
      <c r="C111" t="s">
        <v>703</v>
      </c>
      <c r="D111" t="s">
        <v>716</v>
      </c>
    </row>
    <row r="112" spans="1:4" hidden="1">
      <c r="A112" t="s">
        <v>725</v>
      </c>
      <c r="B112" t="s">
        <v>593</v>
      </c>
      <c r="C112" t="s">
        <v>703</v>
      </c>
      <c r="D112" t="s">
        <v>716</v>
      </c>
    </row>
    <row r="113" spans="1:4" hidden="1">
      <c r="A113" t="s">
        <v>726</v>
      </c>
      <c r="B113" t="s">
        <v>593</v>
      </c>
      <c r="C113" t="s">
        <v>727</v>
      </c>
      <c r="D113" t="s">
        <v>716</v>
      </c>
    </row>
    <row r="114" spans="1:4" hidden="1">
      <c r="A114" t="s">
        <v>728</v>
      </c>
      <c r="B114" t="s">
        <v>593</v>
      </c>
      <c r="C114" t="s">
        <v>727</v>
      </c>
      <c r="D114" t="s">
        <v>716</v>
      </c>
    </row>
    <row r="115" spans="1:4" hidden="1">
      <c r="A115" t="s">
        <v>729</v>
      </c>
      <c r="B115" t="s">
        <v>593</v>
      </c>
      <c r="C115" t="s">
        <v>703</v>
      </c>
      <c r="D115" t="s">
        <v>716</v>
      </c>
    </row>
    <row r="116" spans="1:4" hidden="1">
      <c r="A116" t="s">
        <v>730</v>
      </c>
      <c r="B116" t="s">
        <v>593</v>
      </c>
      <c r="C116" t="s">
        <v>703</v>
      </c>
      <c r="D116" t="s">
        <v>716</v>
      </c>
    </row>
    <row r="117" spans="1:4" hidden="1">
      <c r="A117" t="s">
        <v>731</v>
      </c>
      <c r="B117" t="s">
        <v>593</v>
      </c>
      <c r="C117" t="s">
        <v>703</v>
      </c>
      <c r="D117" t="s">
        <v>716</v>
      </c>
    </row>
    <row r="118" spans="1:4" hidden="1">
      <c r="A118" t="s">
        <v>732</v>
      </c>
      <c r="B118" t="s">
        <v>593</v>
      </c>
      <c r="C118" t="s">
        <v>703</v>
      </c>
      <c r="D118" t="s">
        <v>716</v>
      </c>
    </row>
    <row r="119" spans="1:4" hidden="1">
      <c r="A119" t="s">
        <v>733</v>
      </c>
      <c r="B119" t="s">
        <v>593</v>
      </c>
      <c r="C119" t="s">
        <v>664</v>
      </c>
      <c r="D119" t="s">
        <v>716</v>
      </c>
    </row>
    <row r="120" spans="1:4" hidden="1">
      <c r="A120" t="s">
        <v>734</v>
      </c>
      <c r="B120" t="s">
        <v>593</v>
      </c>
      <c r="C120" t="s">
        <v>703</v>
      </c>
      <c r="D120" t="s">
        <v>716</v>
      </c>
    </row>
    <row r="121" spans="1:4" hidden="1">
      <c r="A121" t="s">
        <v>735</v>
      </c>
      <c r="B121" t="s">
        <v>593</v>
      </c>
      <c r="C121" t="s">
        <v>703</v>
      </c>
      <c r="D121" t="s">
        <v>716</v>
      </c>
    </row>
    <row r="122" spans="1:4" hidden="1">
      <c r="A122" t="s">
        <v>736</v>
      </c>
      <c r="B122" t="s">
        <v>593</v>
      </c>
      <c r="C122" t="s">
        <v>703</v>
      </c>
      <c r="D122" t="s">
        <v>716</v>
      </c>
    </row>
    <row r="123" spans="1:4" hidden="1">
      <c r="A123" t="s">
        <v>737</v>
      </c>
      <c r="B123" t="s">
        <v>593</v>
      </c>
      <c r="C123" t="s">
        <v>703</v>
      </c>
      <c r="D123" t="s">
        <v>716</v>
      </c>
    </row>
    <row r="124" spans="1:4" hidden="1">
      <c r="A124" t="s">
        <v>738</v>
      </c>
      <c r="B124" t="s">
        <v>593</v>
      </c>
      <c r="C124" t="s">
        <v>703</v>
      </c>
      <c r="D124" t="s">
        <v>716</v>
      </c>
    </row>
    <row r="125" spans="1:4" hidden="1">
      <c r="A125" t="s">
        <v>739</v>
      </c>
      <c r="B125" t="s">
        <v>593</v>
      </c>
      <c r="C125" t="s">
        <v>703</v>
      </c>
      <c r="D125" t="s">
        <v>716</v>
      </c>
    </row>
    <row r="126" spans="1:4" hidden="1">
      <c r="A126" t="s">
        <v>740</v>
      </c>
      <c r="B126" t="s">
        <v>593</v>
      </c>
      <c r="C126" t="s">
        <v>703</v>
      </c>
      <c r="D126" t="s">
        <v>716</v>
      </c>
    </row>
    <row r="127" spans="1:4" hidden="1">
      <c r="A127" t="s">
        <v>741</v>
      </c>
      <c r="B127" t="s">
        <v>593</v>
      </c>
      <c r="C127" t="s">
        <v>703</v>
      </c>
      <c r="D127" t="s">
        <v>716</v>
      </c>
    </row>
    <row r="128" spans="1:4" hidden="1">
      <c r="A128" t="s">
        <v>742</v>
      </c>
      <c r="B128" t="s">
        <v>593</v>
      </c>
      <c r="C128" t="s">
        <v>664</v>
      </c>
      <c r="D128" t="s">
        <v>716</v>
      </c>
    </row>
    <row r="129" spans="1:4" hidden="1">
      <c r="A129" t="s">
        <v>743</v>
      </c>
      <c r="B129" t="s">
        <v>593</v>
      </c>
      <c r="C129" t="s">
        <v>703</v>
      </c>
      <c r="D129" t="s">
        <v>716</v>
      </c>
    </row>
    <row r="130" spans="1:4" hidden="1">
      <c r="A130" t="s">
        <v>744</v>
      </c>
      <c r="B130" t="s">
        <v>593</v>
      </c>
      <c r="C130" t="s">
        <v>703</v>
      </c>
      <c r="D130" t="s">
        <v>716</v>
      </c>
    </row>
    <row r="131" spans="1:4" hidden="1">
      <c r="A131" t="s">
        <v>745</v>
      </c>
      <c r="B131" t="s">
        <v>593</v>
      </c>
      <c r="C131" t="s">
        <v>703</v>
      </c>
      <c r="D131" t="s">
        <v>716</v>
      </c>
    </row>
    <row r="132" spans="1:4" hidden="1">
      <c r="A132" t="s">
        <v>746</v>
      </c>
      <c r="B132" t="s">
        <v>593</v>
      </c>
      <c r="C132" t="s">
        <v>703</v>
      </c>
      <c r="D132" t="s">
        <v>716</v>
      </c>
    </row>
    <row r="133" spans="1:4" hidden="1">
      <c r="A133" t="s">
        <v>747</v>
      </c>
      <c r="B133" t="s">
        <v>584</v>
      </c>
      <c r="C133" t="s">
        <v>668</v>
      </c>
      <c r="D133" t="s">
        <v>716</v>
      </c>
    </row>
    <row r="134" spans="1:4" hidden="1">
      <c r="A134" t="s">
        <v>748</v>
      </c>
      <c r="B134" t="s">
        <v>593</v>
      </c>
      <c r="C134" t="s">
        <v>727</v>
      </c>
      <c r="D134" t="s">
        <v>716</v>
      </c>
    </row>
    <row r="135" spans="1:4" hidden="1">
      <c r="A135" t="s">
        <v>749</v>
      </c>
      <c r="B135" t="s">
        <v>593</v>
      </c>
      <c r="C135" t="s">
        <v>660</v>
      </c>
      <c r="D135" t="s">
        <v>586</v>
      </c>
    </row>
    <row r="136" spans="1:4" hidden="1">
      <c r="A136" t="s">
        <v>750</v>
      </c>
      <c r="B136" t="s">
        <v>593</v>
      </c>
      <c r="C136" t="s">
        <v>660</v>
      </c>
      <c r="D136" t="s">
        <v>586</v>
      </c>
    </row>
    <row r="137" spans="1:4" hidden="1">
      <c r="A137" t="s">
        <v>751</v>
      </c>
      <c r="B137" t="s">
        <v>584</v>
      </c>
      <c r="C137" t="s">
        <v>660</v>
      </c>
      <c r="D137" t="s">
        <v>586</v>
      </c>
    </row>
    <row r="138" spans="1:4" hidden="1">
      <c r="A138" t="s">
        <v>752</v>
      </c>
      <c r="B138" t="s">
        <v>584</v>
      </c>
      <c r="C138" t="s">
        <v>657</v>
      </c>
      <c r="D138" t="s">
        <v>586</v>
      </c>
    </row>
    <row r="139" spans="1:4" hidden="1">
      <c r="A139" t="s">
        <v>753</v>
      </c>
      <c r="B139" t="s">
        <v>584</v>
      </c>
      <c r="C139" t="s">
        <v>703</v>
      </c>
      <c r="D139" t="s">
        <v>586</v>
      </c>
    </row>
    <row r="140" spans="1:4" hidden="1">
      <c r="A140" t="s">
        <v>754</v>
      </c>
      <c r="B140" t="s">
        <v>584</v>
      </c>
      <c r="C140" t="s">
        <v>703</v>
      </c>
      <c r="D140" t="s">
        <v>586</v>
      </c>
    </row>
    <row r="141" spans="1:4" hidden="1">
      <c r="A141" t="s">
        <v>755</v>
      </c>
      <c r="B141" t="s">
        <v>584</v>
      </c>
      <c r="C141" t="s">
        <v>660</v>
      </c>
      <c r="D141" t="s">
        <v>586</v>
      </c>
    </row>
    <row r="142" spans="1:4" hidden="1">
      <c r="A142" t="s">
        <v>756</v>
      </c>
      <c r="B142" t="s">
        <v>584</v>
      </c>
      <c r="C142" t="s">
        <v>660</v>
      </c>
      <c r="D142" t="s">
        <v>586</v>
      </c>
    </row>
    <row r="143" spans="1:4" hidden="1">
      <c r="A143" t="s">
        <v>757</v>
      </c>
      <c r="B143" t="s">
        <v>584</v>
      </c>
      <c r="C143" t="s">
        <v>657</v>
      </c>
      <c r="D143" t="s">
        <v>586</v>
      </c>
    </row>
    <row r="144" spans="1:4" hidden="1">
      <c r="A144" t="s">
        <v>758</v>
      </c>
      <c r="B144" t="s">
        <v>584</v>
      </c>
      <c r="C144" t="s">
        <v>668</v>
      </c>
      <c r="D144" t="s">
        <v>586</v>
      </c>
    </row>
    <row r="145" spans="1:4">
      <c r="A145" t="s">
        <v>759</v>
      </c>
      <c r="B145" t="s">
        <v>593</v>
      </c>
      <c r="C145" t="s">
        <v>668</v>
      </c>
      <c r="D145" t="s">
        <v>760</v>
      </c>
    </row>
    <row r="146" spans="1:4">
      <c r="A146" t="s">
        <v>761</v>
      </c>
      <c r="B146" t="s">
        <v>593</v>
      </c>
      <c r="C146" t="s">
        <v>668</v>
      </c>
      <c r="D146" t="s">
        <v>760</v>
      </c>
    </row>
    <row r="147" spans="1:4">
      <c r="A147" t="s">
        <v>762</v>
      </c>
      <c r="B147" t="s">
        <v>593</v>
      </c>
      <c r="C147" t="s">
        <v>668</v>
      </c>
      <c r="D147" t="s">
        <v>760</v>
      </c>
    </row>
    <row r="148" spans="1:4">
      <c r="A148" t="s">
        <v>763</v>
      </c>
      <c r="B148" t="s">
        <v>593</v>
      </c>
      <c r="C148" t="s">
        <v>668</v>
      </c>
      <c r="D148" t="s">
        <v>760</v>
      </c>
    </row>
    <row r="149" spans="1:4">
      <c r="A149" t="s">
        <v>764</v>
      </c>
      <c r="B149" t="s">
        <v>593</v>
      </c>
      <c r="C149" t="s">
        <v>765</v>
      </c>
      <c r="D149" t="s">
        <v>760</v>
      </c>
    </row>
    <row r="150" spans="1:4">
      <c r="A150" t="s">
        <v>766</v>
      </c>
      <c r="B150" t="s">
        <v>593</v>
      </c>
      <c r="C150" t="s">
        <v>765</v>
      </c>
      <c r="D150" t="s">
        <v>760</v>
      </c>
    </row>
    <row r="151" spans="1:4" hidden="1">
      <c r="A151" t="s">
        <v>767</v>
      </c>
      <c r="B151" t="s">
        <v>593</v>
      </c>
      <c r="C151" t="s">
        <v>657</v>
      </c>
      <c r="D151" t="s">
        <v>588</v>
      </c>
    </row>
    <row r="152" spans="1:4" hidden="1">
      <c r="A152" t="s">
        <v>768</v>
      </c>
      <c r="B152" t="s">
        <v>584</v>
      </c>
      <c r="C152" t="s">
        <v>657</v>
      </c>
      <c r="D152" t="s">
        <v>588</v>
      </c>
    </row>
    <row r="153" spans="1:4" hidden="1">
      <c r="A153" t="s">
        <v>769</v>
      </c>
      <c r="B153" t="s">
        <v>584</v>
      </c>
      <c r="C153" t="s">
        <v>657</v>
      </c>
      <c r="D153" t="s">
        <v>588</v>
      </c>
    </row>
    <row r="154" spans="1:4" hidden="1">
      <c r="A154" t="s">
        <v>770</v>
      </c>
      <c r="B154" t="s">
        <v>584</v>
      </c>
      <c r="C154" t="s">
        <v>657</v>
      </c>
      <c r="D154" t="s">
        <v>588</v>
      </c>
    </row>
    <row r="155" spans="1:4" hidden="1">
      <c r="A155" t="s">
        <v>771</v>
      </c>
      <c r="B155" t="s">
        <v>584</v>
      </c>
      <c r="C155" t="s">
        <v>657</v>
      </c>
      <c r="D155" t="s">
        <v>588</v>
      </c>
    </row>
    <row r="156" spans="1:4" hidden="1">
      <c r="A156" t="s">
        <v>772</v>
      </c>
      <c r="B156" t="s">
        <v>584</v>
      </c>
      <c r="C156" t="s">
        <v>657</v>
      </c>
      <c r="D156" t="s">
        <v>588</v>
      </c>
    </row>
    <row r="157" spans="1:4" hidden="1">
      <c r="A157" t="s">
        <v>773</v>
      </c>
      <c r="B157" t="s">
        <v>584</v>
      </c>
      <c r="C157" t="s">
        <v>657</v>
      </c>
      <c r="D157" t="s">
        <v>588</v>
      </c>
    </row>
    <row r="158" spans="1:4" hidden="1">
      <c r="A158" t="s">
        <v>774</v>
      </c>
      <c r="B158" t="s">
        <v>584</v>
      </c>
      <c r="C158" t="s">
        <v>657</v>
      </c>
      <c r="D158" t="s">
        <v>588</v>
      </c>
    </row>
    <row r="159" spans="1:4" hidden="1">
      <c r="A159" t="s">
        <v>775</v>
      </c>
      <c r="B159" t="s">
        <v>584</v>
      </c>
      <c r="C159" t="s">
        <v>657</v>
      </c>
      <c r="D159" t="s">
        <v>588</v>
      </c>
    </row>
    <row r="160" spans="1:4" hidden="1">
      <c r="A160" t="s">
        <v>776</v>
      </c>
      <c r="B160" t="s">
        <v>584</v>
      </c>
      <c r="C160" t="s">
        <v>657</v>
      </c>
      <c r="D160" t="s">
        <v>588</v>
      </c>
    </row>
    <row r="161" spans="1:4" hidden="1">
      <c r="A161" t="s">
        <v>777</v>
      </c>
      <c r="B161" t="s">
        <v>584</v>
      </c>
      <c r="C161" t="s">
        <v>657</v>
      </c>
      <c r="D161" t="s">
        <v>588</v>
      </c>
    </row>
    <row r="162" spans="1:4" hidden="1">
      <c r="A162" t="s">
        <v>778</v>
      </c>
      <c r="B162" t="s">
        <v>584</v>
      </c>
      <c r="C162" t="s">
        <v>657</v>
      </c>
      <c r="D162" t="s">
        <v>588</v>
      </c>
    </row>
    <row r="163" spans="1:4" hidden="1">
      <c r="A163" t="s">
        <v>779</v>
      </c>
      <c r="B163" t="s">
        <v>584</v>
      </c>
      <c r="C163" t="s">
        <v>657</v>
      </c>
      <c r="D163" t="s">
        <v>588</v>
      </c>
    </row>
    <row r="164" spans="1:4" hidden="1">
      <c r="A164" t="s">
        <v>780</v>
      </c>
      <c r="B164" t="s">
        <v>584</v>
      </c>
      <c r="C164" t="s">
        <v>657</v>
      </c>
      <c r="D164" t="s">
        <v>588</v>
      </c>
    </row>
    <row r="165" spans="1:4" hidden="1">
      <c r="A165" t="s">
        <v>781</v>
      </c>
      <c r="B165" t="s">
        <v>584</v>
      </c>
      <c r="C165" t="s">
        <v>657</v>
      </c>
      <c r="D165" t="s">
        <v>588</v>
      </c>
    </row>
    <row r="166" spans="1:4" hidden="1">
      <c r="A166" t="s">
        <v>782</v>
      </c>
      <c r="B166" t="s">
        <v>584</v>
      </c>
      <c r="C166" t="s">
        <v>657</v>
      </c>
      <c r="D166" t="s">
        <v>588</v>
      </c>
    </row>
    <row r="167" spans="1:4" hidden="1">
      <c r="A167" t="s">
        <v>783</v>
      </c>
      <c r="B167" t="s">
        <v>584</v>
      </c>
      <c r="C167" t="s">
        <v>657</v>
      </c>
      <c r="D167" t="s">
        <v>588</v>
      </c>
    </row>
    <row r="168" spans="1:4" hidden="1">
      <c r="A168" t="s">
        <v>784</v>
      </c>
      <c r="B168" t="s">
        <v>584</v>
      </c>
      <c r="C168" t="s">
        <v>657</v>
      </c>
      <c r="D168" t="s">
        <v>588</v>
      </c>
    </row>
    <row r="169" spans="1:4" hidden="1">
      <c r="A169" t="s">
        <v>785</v>
      </c>
      <c r="B169" t="s">
        <v>584</v>
      </c>
      <c r="C169" t="s">
        <v>657</v>
      </c>
      <c r="D169" t="s">
        <v>588</v>
      </c>
    </row>
    <row r="170" spans="1:4" hidden="1">
      <c r="A170" t="s">
        <v>786</v>
      </c>
      <c r="B170" t="s">
        <v>584</v>
      </c>
      <c r="C170" t="s">
        <v>657</v>
      </c>
      <c r="D170" t="s">
        <v>588</v>
      </c>
    </row>
    <row r="171" spans="1:4" hidden="1">
      <c r="A171" t="s">
        <v>787</v>
      </c>
      <c r="B171" t="s">
        <v>584</v>
      </c>
      <c r="C171" t="s">
        <v>657</v>
      </c>
      <c r="D171" t="s">
        <v>588</v>
      </c>
    </row>
    <row r="172" spans="1:4" hidden="1">
      <c r="A172" t="s">
        <v>788</v>
      </c>
      <c r="B172" t="s">
        <v>584</v>
      </c>
      <c r="C172" t="s">
        <v>657</v>
      </c>
      <c r="D172" t="s">
        <v>588</v>
      </c>
    </row>
    <row r="173" spans="1:4" hidden="1">
      <c r="A173" t="s">
        <v>789</v>
      </c>
      <c r="B173" t="s">
        <v>584</v>
      </c>
      <c r="C173" t="s">
        <v>657</v>
      </c>
      <c r="D173" t="s">
        <v>588</v>
      </c>
    </row>
    <row r="174" spans="1:4">
      <c r="A174" t="s">
        <v>790</v>
      </c>
      <c r="B174" t="s">
        <v>584</v>
      </c>
      <c r="C174" t="s">
        <v>668</v>
      </c>
      <c r="D174" t="s">
        <v>791</v>
      </c>
    </row>
    <row r="175" spans="1:4">
      <c r="A175" t="s">
        <v>792</v>
      </c>
      <c r="B175" t="s">
        <v>593</v>
      </c>
      <c r="C175" t="s">
        <v>793</v>
      </c>
      <c r="D175" t="s">
        <v>794</v>
      </c>
    </row>
    <row r="176" spans="1:4">
      <c r="A176" t="s">
        <v>795</v>
      </c>
      <c r="B176" t="s">
        <v>593</v>
      </c>
      <c r="C176" t="s">
        <v>664</v>
      </c>
      <c r="D176" t="s">
        <v>796</v>
      </c>
    </row>
    <row r="177" spans="1:4">
      <c r="A177" t="s">
        <v>797</v>
      </c>
      <c r="B177" t="s">
        <v>593</v>
      </c>
      <c r="C177" t="s">
        <v>664</v>
      </c>
      <c r="D177" t="s">
        <v>796</v>
      </c>
    </row>
    <row r="178" spans="1:4">
      <c r="A178" t="s">
        <v>798</v>
      </c>
      <c r="B178" t="s">
        <v>593</v>
      </c>
      <c r="C178" t="s">
        <v>664</v>
      </c>
      <c r="D178" t="s">
        <v>796</v>
      </c>
    </row>
    <row r="179" spans="1:4">
      <c r="A179" t="s">
        <v>799</v>
      </c>
      <c r="B179" t="s">
        <v>593</v>
      </c>
      <c r="C179" t="s">
        <v>664</v>
      </c>
      <c r="D179" t="s">
        <v>796</v>
      </c>
    </row>
    <row r="180" spans="1:4">
      <c r="A180" t="s">
        <v>800</v>
      </c>
      <c r="B180" t="s">
        <v>584</v>
      </c>
      <c r="C180" t="s">
        <v>801</v>
      </c>
      <c r="D180" t="s">
        <v>796</v>
      </c>
    </row>
    <row r="181" spans="1:4">
      <c r="A181" t="s">
        <v>802</v>
      </c>
      <c r="B181" t="s">
        <v>593</v>
      </c>
      <c r="C181" t="s">
        <v>664</v>
      </c>
      <c r="D181" t="s">
        <v>803</v>
      </c>
    </row>
    <row r="182" spans="1:4">
      <c r="A182" t="s">
        <v>804</v>
      </c>
      <c r="B182" t="s">
        <v>593</v>
      </c>
      <c r="C182" t="s">
        <v>664</v>
      </c>
      <c r="D182" t="s">
        <v>803</v>
      </c>
    </row>
    <row r="183" spans="1:4">
      <c r="A183" t="s">
        <v>805</v>
      </c>
      <c r="B183" t="s">
        <v>584</v>
      </c>
      <c r="C183" t="s">
        <v>668</v>
      </c>
      <c r="D183" t="s">
        <v>803</v>
      </c>
    </row>
    <row r="184" spans="1:4">
      <c r="A184" t="s">
        <v>806</v>
      </c>
      <c r="B184" t="s">
        <v>593</v>
      </c>
      <c r="C184" t="s">
        <v>664</v>
      </c>
      <c r="D184" t="s">
        <v>595</v>
      </c>
    </row>
    <row r="185" spans="1:4">
      <c r="A185" t="s">
        <v>807</v>
      </c>
      <c r="B185" t="s">
        <v>593</v>
      </c>
      <c r="C185" t="s">
        <v>664</v>
      </c>
      <c r="D185" t="s">
        <v>595</v>
      </c>
    </row>
    <row r="186" spans="1:4">
      <c r="A186" t="s">
        <v>808</v>
      </c>
      <c r="B186" t="s">
        <v>593</v>
      </c>
      <c r="C186" t="s">
        <v>664</v>
      </c>
      <c r="D186" t="s">
        <v>595</v>
      </c>
    </row>
    <row r="187" spans="1:4">
      <c r="A187" t="s">
        <v>809</v>
      </c>
      <c r="B187" t="s">
        <v>593</v>
      </c>
      <c r="C187" t="s">
        <v>664</v>
      </c>
      <c r="D187" t="s">
        <v>810</v>
      </c>
    </row>
    <row r="188" spans="1:4">
      <c r="A188" t="s">
        <v>811</v>
      </c>
      <c r="B188" t="s">
        <v>593</v>
      </c>
      <c r="C188" t="s">
        <v>664</v>
      </c>
      <c r="D188" t="s">
        <v>810</v>
      </c>
    </row>
    <row r="189" spans="1:4">
      <c r="A189" t="s">
        <v>812</v>
      </c>
      <c r="B189" t="s">
        <v>593</v>
      </c>
      <c r="C189" t="s">
        <v>664</v>
      </c>
      <c r="D189" t="s">
        <v>810</v>
      </c>
    </row>
    <row r="190" spans="1:4">
      <c r="A190" t="s">
        <v>813</v>
      </c>
      <c r="B190" t="s">
        <v>593</v>
      </c>
      <c r="C190" t="s">
        <v>664</v>
      </c>
      <c r="D190" t="s">
        <v>810</v>
      </c>
    </row>
    <row r="191" spans="1:4">
      <c r="A191" t="s">
        <v>814</v>
      </c>
      <c r="B191" t="s">
        <v>593</v>
      </c>
      <c r="C191" t="s">
        <v>664</v>
      </c>
      <c r="D191" t="s">
        <v>810</v>
      </c>
    </row>
    <row r="192" spans="1:4">
      <c r="A192" t="s">
        <v>815</v>
      </c>
      <c r="B192" t="s">
        <v>593</v>
      </c>
      <c r="C192" t="s">
        <v>793</v>
      </c>
      <c r="D192" t="s">
        <v>810</v>
      </c>
    </row>
    <row r="193" spans="1:4">
      <c r="A193" t="s">
        <v>816</v>
      </c>
      <c r="B193" t="s">
        <v>593</v>
      </c>
      <c r="C193" t="s">
        <v>664</v>
      </c>
      <c r="D193" t="s">
        <v>810</v>
      </c>
    </row>
    <row r="194" spans="1:4">
      <c r="A194" t="s">
        <v>817</v>
      </c>
      <c r="B194" t="s">
        <v>593</v>
      </c>
      <c r="C194" t="s">
        <v>664</v>
      </c>
      <c r="D194" t="s">
        <v>810</v>
      </c>
    </row>
    <row r="195" spans="1:4">
      <c r="A195" t="s">
        <v>818</v>
      </c>
      <c r="B195" t="s">
        <v>584</v>
      </c>
      <c r="C195" t="s">
        <v>819</v>
      </c>
      <c r="D195" t="s">
        <v>820</v>
      </c>
    </row>
    <row r="196" spans="1:4">
      <c r="A196" t="s">
        <v>821</v>
      </c>
      <c r="B196" t="s">
        <v>584</v>
      </c>
      <c r="C196" t="s">
        <v>668</v>
      </c>
      <c r="D196" t="s">
        <v>820</v>
      </c>
    </row>
    <row r="197" spans="1:4">
      <c r="A197" t="s">
        <v>822</v>
      </c>
      <c r="B197" t="s">
        <v>584</v>
      </c>
      <c r="C197" t="s">
        <v>668</v>
      </c>
      <c r="D197" t="s">
        <v>820</v>
      </c>
    </row>
    <row r="198" spans="1:4">
      <c r="A198" t="s">
        <v>823</v>
      </c>
      <c r="B198" t="s">
        <v>584</v>
      </c>
      <c r="C198" t="s">
        <v>668</v>
      </c>
      <c r="D198" t="s">
        <v>820</v>
      </c>
    </row>
    <row r="199" spans="1:4">
      <c r="A199" t="s">
        <v>824</v>
      </c>
      <c r="B199" t="s">
        <v>584</v>
      </c>
      <c r="C199" t="s">
        <v>668</v>
      </c>
      <c r="D199" t="s">
        <v>820</v>
      </c>
    </row>
    <row r="200" spans="1:4">
      <c r="A200" t="s">
        <v>825</v>
      </c>
      <c r="B200" t="s">
        <v>584</v>
      </c>
      <c r="C200" t="s">
        <v>668</v>
      </c>
      <c r="D200" t="s">
        <v>622</v>
      </c>
    </row>
    <row r="201" spans="1:4">
      <c r="A201" t="s">
        <v>826</v>
      </c>
      <c r="B201" t="s">
        <v>584</v>
      </c>
      <c r="C201" t="s">
        <v>668</v>
      </c>
      <c r="D201" t="s">
        <v>626</v>
      </c>
    </row>
    <row r="202" spans="1:4">
      <c r="A202" t="s">
        <v>827</v>
      </c>
      <c r="B202" t="s">
        <v>584</v>
      </c>
      <c r="C202" t="s">
        <v>668</v>
      </c>
      <c r="D202" t="s">
        <v>626</v>
      </c>
    </row>
    <row r="203" spans="1:4">
      <c r="A203" t="s">
        <v>828</v>
      </c>
      <c r="B203" t="s">
        <v>584</v>
      </c>
      <c r="C203" t="s">
        <v>664</v>
      </c>
      <c r="D203" t="s">
        <v>642</v>
      </c>
    </row>
    <row r="204" spans="1:4">
      <c r="A204" t="s">
        <v>829</v>
      </c>
      <c r="B204" t="s">
        <v>584</v>
      </c>
      <c r="C204" t="s">
        <v>664</v>
      </c>
      <c r="D204" t="s">
        <v>642</v>
      </c>
    </row>
    <row r="205" spans="1:4">
      <c r="A205" t="s">
        <v>830</v>
      </c>
      <c r="B205" t="s">
        <v>584</v>
      </c>
      <c r="C205" t="s">
        <v>664</v>
      </c>
      <c r="D205" t="s">
        <v>600</v>
      </c>
    </row>
    <row r="206" spans="1:4">
      <c r="A206" t="s">
        <v>831</v>
      </c>
      <c r="B206" t="s">
        <v>584</v>
      </c>
      <c r="C206" t="s">
        <v>664</v>
      </c>
      <c r="D206" t="s">
        <v>600</v>
      </c>
    </row>
    <row r="207" spans="1:4">
      <c r="A207" t="s">
        <v>832</v>
      </c>
      <c r="B207" t="s">
        <v>584</v>
      </c>
      <c r="C207" t="s">
        <v>664</v>
      </c>
      <c r="D207" t="s">
        <v>605</v>
      </c>
    </row>
    <row r="208" spans="1:4">
      <c r="A208" t="s">
        <v>833</v>
      </c>
      <c r="B208" t="s">
        <v>593</v>
      </c>
      <c r="C208" t="s">
        <v>664</v>
      </c>
      <c r="D208" t="s">
        <v>834</v>
      </c>
    </row>
    <row r="209" spans="1:4">
      <c r="A209" t="s">
        <v>835</v>
      </c>
      <c r="B209" t="s">
        <v>593</v>
      </c>
      <c r="C209" t="s">
        <v>664</v>
      </c>
      <c r="D209" t="s">
        <v>834</v>
      </c>
    </row>
    <row r="210" spans="1:4">
      <c r="A210" t="s">
        <v>836</v>
      </c>
      <c r="B210" t="s">
        <v>593</v>
      </c>
      <c r="C210" t="s">
        <v>668</v>
      </c>
      <c r="D210" t="s">
        <v>609</v>
      </c>
    </row>
    <row r="211" spans="1:4">
      <c r="A211" t="s">
        <v>837</v>
      </c>
      <c r="B211" t="s">
        <v>593</v>
      </c>
      <c r="C211" t="s">
        <v>838</v>
      </c>
      <c r="D211" t="s">
        <v>609</v>
      </c>
    </row>
    <row r="212" spans="1:4">
      <c r="A212" t="s">
        <v>839</v>
      </c>
      <c r="B212" t="s">
        <v>593</v>
      </c>
      <c r="C212" t="s">
        <v>838</v>
      </c>
      <c r="D212" t="s">
        <v>609</v>
      </c>
    </row>
    <row r="213" spans="1:4">
      <c r="A213" t="s">
        <v>840</v>
      </c>
      <c r="B213" t="s">
        <v>593</v>
      </c>
      <c r="C213" t="s">
        <v>668</v>
      </c>
      <c r="D213" t="s">
        <v>609</v>
      </c>
    </row>
    <row r="214" spans="1:4">
      <c r="A214" t="s">
        <v>841</v>
      </c>
      <c r="B214" t="s">
        <v>593</v>
      </c>
      <c r="C214" t="s">
        <v>765</v>
      </c>
      <c r="D214" t="s">
        <v>609</v>
      </c>
    </row>
    <row r="215" spans="1:4">
      <c r="A215" t="s">
        <v>842</v>
      </c>
      <c r="B215" t="s">
        <v>593</v>
      </c>
      <c r="C215" t="s">
        <v>664</v>
      </c>
      <c r="D215" t="s">
        <v>609</v>
      </c>
    </row>
    <row r="216" spans="1:4">
      <c r="A216" t="s">
        <v>843</v>
      </c>
      <c r="B216" t="s">
        <v>593</v>
      </c>
      <c r="C216" t="s">
        <v>668</v>
      </c>
      <c r="D216" t="s">
        <v>609</v>
      </c>
    </row>
    <row r="217" spans="1:4">
      <c r="A217" t="s">
        <v>844</v>
      </c>
      <c r="B217" t="s">
        <v>593</v>
      </c>
      <c r="C217" t="s">
        <v>668</v>
      </c>
      <c r="D217" t="s">
        <v>609</v>
      </c>
    </row>
    <row r="218" spans="1:4">
      <c r="A218" t="s">
        <v>845</v>
      </c>
      <c r="B218" t="s">
        <v>593</v>
      </c>
      <c r="C218" t="s">
        <v>765</v>
      </c>
      <c r="D218" t="s">
        <v>609</v>
      </c>
    </row>
    <row r="219" spans="1:4">
      <c r="A219" t="s">
        <v>846</v>
      </c>
      <c r="B219" t="s">
        <v>593</v>
      </c>
      <c r="C219" t="s">
        <v>668</v>
      </c>
      <c r="D219" t="s">
        <v>609</v>
      </c>
    </row>
    <row r="220" spans="1:4">
      <c r="A220" t="s">
        <v>847</v>
      </c>
      <c r="B220" t="s">
        <v>593</v>
      </c>
      <c r="C220" t="s">
        <v>664</v>
      </c>
      <c r="D220" t="s">
        <v>609</v>
      </c>
    </row>
    <row r="221" spans="1:4">
      <c r="A221" t="s">
        <v>848</v>
      </c>
      <c r="B221" t="s">
        <v>593</v>
      </c>
      <c r="C221" t="s">
        <v>668</v>
      </c>
      <c r="D221" t="s">
        <v>609</v>
      </c>
    </row>
    <row r="222" spans="1:4">
      <c r="A222" t="s">
        <v>849</v>
      </c>
      <c r="B222" t="s">
        <v>593</v>
      </c>
      <c r="C222" t="s">
        <v>668</v>
      </c>
      <c r="D222" t="s">
        <v>609</v>
      </c>
    </row>
    <row r="223" spans="1:4">
      <c r="A223" t="s">
        <v>850</v>
      </c>
      <c r="B223" t="s">
        <v>593</v>
      </c>
      <c r="C223" t="s">
        <v>668</v>
      </c>
      <c r="D223" t="s">
        <v>609</v>
      </c>
    </row>
    <row r="224" spans="1:4">
      <c r="A224" t="s">
        <v>851</v>
      </c>
      <c r="B224" t="s">
        <v>593</v>
      </c>
      <c r="C224" t="s">
        <v>852</v>
      </c>
      <c r="D224" t="s">
        <v>609</v>
      </c>
    </row>
    <row r="225" spans="1:4">
      <c r="A225" t="s">
        <v>853</v>
      </c>
      <c r="B225" t="s">
        <v>593</v>
      </c>
      <c r="C225" t="s">
        <v>668</v>
      </c>
      <c r="D225" t="s">
        <v>609</v>
      </c>
    </row>
    <row r="226" spans="1:4">
      <c r="A226" t="s">
        <v>854</v>
      </c>
      <c r="B226" t="s">
        <v>593</v>
      </c>
      <c r="C226" t="s">
        <v>668</v>
      </c>
      <c r="D226" t="s">
        <v>609</v>
      </c>
    </row>
    <row r="227" spans="1:4">
      <c r="A227" t="s">
        <v>855</v>
      </c>
      <c r="B227" t="s">
        <v>593</v>
      </c>
      <c r="C227" t="s">
        <v>765</v>
      </c>
      <c r="D227" t="s">
        <v>609</v>
      </c>
    </row>
    <row r="228" spans="1:4">
      <c r="A228" t="s">
        <v>856</v>
      </c>
      <c r="B228" t="s">
        <v>593</v>
      </c>
      <c r="C228" t="s">
        <v>668</v>
      </c>
      <c r="D228" t="s">
        <v>609</v>
      </c>
    </row>
    <row r="229" spans="1:4">
      <c r="A229" t="s">
        <v>857</v>
      </c>
      <c r="B229" t="s">
        <v>593</v>
      </c>
      <c r="C229" t="s">
        <v>668</v>
      </c>
      <c r="D229" t="s">
        <v>609</v>
      </c>
    </row>
    <row r="230" spans="1:4">
      <c r="A230" t="s">
        <v>858</v>
      </c>
      <c r="B230" t="s">
        <v>593</v>
      </c>
      <c r="C230" t="s">
        <v>668</v>
      </c>
      <c r="D230" t="s">
        <v>609</v>
      </c>
    </row>
    <row r="231" spans="1:4">
      <c r="A231" t="s">
        <v>859</v>
      </c>
      <c r="B231" t="s">
        <v>593</v>
      </c>
      <c r="C231" t="s">
        <v>668</v>
      </c>
      <c r="D231" t="s">
        <v>609</v>
      </c>
    </row>
    <row r="232" spans="1:4">
      <c r="A232" t="s">
        <v>860</v>
      </c>
      <c r="B232" t="s">
        <v>593</v>
      </c>
      <c r="C232" t="s">
        <v>664</v>
      </c>
      <c r="D232" t="s">
        <v>609</v>
      </c>
    </row>
    <row r="233" spans="1:4">
      <c r="A233" t="s">
        <v>861</v>
      </c>
      <c r="B233" t="s">
        <v>593</v>
      </c>
      <c r="C233" t="s">
        <v>668</v>
      </c>
      <c r="D233" t="s">
        <v>609</v>
      </c>
    </row>
    <row r="234" spans="1:4">
      <c r="A234" t="s">
        <v>862</v>
      </c>
      <c r="B234" t="s">
        <v>593</v>
      </c>
      <c r="C234" t="s">
        <v>765</v>
      </c>
      <c r="D234" t="s">
        <v>609</v>
      </c>
    </row>
    <row r="235" spans="1:4">
      <c r="A235" t="s">
        <v>863</v>
      </c>
      <c r="B235" t="s">
        <v>593</v>
      </c>
      <c r="C235" t="s">
        <v>668</v>
      </c>
      <c r="D235" t="s">
        <v>609</v>
      </c>
    </row>
    <row r="236" spans="1:4">
      <c r="A236" t="s">
        <v>864</v>
      </c>
      <c r="B236" t="s">
        <v>593</v>
      </c>
      <c r="C236" t="s">
        <v>664</v>
      </c>
      <c r="D236" t="s">
        <v>609</v>
      </c>
    </row>
    <row r="237" spans="1:4">
      <c r="A237" t="s">
        <v>865</v>
      </c>
      <c r="B237" t="s">
        <v>593</v>
      </c>
      <c r="C237" t="s">
        <v>664</v>
      </c>
      <c r="D237" t="s">
        <v>609</v>
      </c>
    </row>
    <row r="238" spans="1:4">
      <c r="A238" t="s">
        <v>866</v>
      </c>
      <c r="B238" t="s">
        <v>593</v>
      </c>
      <c r="C238" t="s">
        <v>668</v>
      </c>
      <c r="D238" t="s">
        <v>609</v>
      </c>
    </row>
    <row r="239" spans="1:4">
      <c r="A239" t="s">
        <v>867</v>
      </c>
      <c r="B239" t="s">
        <v>593</v>
      </c>
      <c r="C239" t="s">
        <v>668</v>
      </c>
      <c r="D239" t="s">
        <v>609</v>
      </c>
    </row>
    <row r="240" spans="1:4">
      <c r="A240" t="s">
        <v>868</v>
      </c>
      <c r="B240" t="s">
        <v>593</v>
      </c>
      <c r="C240" t="s">
        <v>852</v>
      </c>
      <c r="D240" t="s">
        <v>609</v>
      </c>
    </row>
    <row r="241" spans="1:4">
      <c r="A241" t="s">
        <v>869</v>
      </c>
      <c r="B241" t="s">
        <v>584</v>
      </c>
      <c r="C241" t="s">
        <v>765</v>
      </c>
      <c r="D241" t="s">
        <v>609</v>
      </c>
    </row>
    <row r="242" spans="1:4">
      <c r="A242" t="s">
        <v>870</v>
      </c>
      <c r="B242" t="s">
        <v>584</v>
      </c>
      <c r="C242" t="s">
        <v>765</v>
      </c>
      <c r="D242" t="s">
        <v>609</v>
      </c>
    </row>
    <row r="243" spans="1:4">
      <c r="A243" t="s">
        <v>871</v>
      </c>
      <c r="B243" t="s">
        <v>584</v>
      </c>
      <c r="C243" t="s">
        <v>765</v>
      </c>
      <c r="D243" t="s">
        <v>609</v>
      </c>
    </row>
    <row r="244" spans="1:4">
      <c r="A244" t="s">
        <v>872</v>
      </c>
      <c r="B244" t="s">
        <v>584</v>
      </c>
      <c r="C244" t="s">
        <v>765</v>
      </c>
      <c r="D244" t="s">
        <v>609</v>
      </c>
    </row>
    <row r="245" spans="1:4">
      <c r="A245" t="s">
        <v>873</v>
      </c>
      <c r="B245" t="s">
        <v>584</v>
      </c>
      <c r="C245" t="s">
        <v>668</v>
      </c>
      <c r="D245" t="s">
        <v>609</v>
      </c>
    </row>
    <row r="246" spans="1:4">
      <c r="A246" t="s">
        <v>874</v>
      </c>
      <c r="B246" t="s">
        <v>584</v>
      </c>
      <c r="C246" t="s">
        <v>765</v>
      </c>
      <c r="D246" t="s">
        <v>609</v>
      </c>
    </row>
    <row r="247" spans="1:4">
      <c r="A247" t="s">
        <v>875</v>
      </c>
      <c r="B247" t="s">
        <v>584</v>
      </c>
      <c r="C247" t="s">
        <v>765</v>
      </c>
      <c r="D247" t="s">
        <v>609</v>
      </c>
    </row>
    <row r="248" spans="1:4">
      <c r="A248" t="s">
        <v>876</v>
      </c>
      <c r="B248" t="s">
        <v>584</v>
      </c>
      <c r="C248" t="s">
        <v>668</v>
      </c>
      <c r="D248" t="s">
        <v>609</v>
      </c>
    </row>
    <row r="249" spans="1:4">
      <c r="A249" t="s">
        <v>877</v>
      </c>
      <c r="B249" t="s">
        <v>584</v>
      </c>
      <c r="C249" t="s">
        <v>765</v>
      </c>
      <c r="D249" t="s">
        <v>609</v>
      </c>
    </row>
    <row r="250" spans="1:4">
      <c r="A250" t="s">
        <v>878</v>
      </c>
      <c r="B250" t="s">
        <v>584</v>
      </c>
      <c r="C250" t="s">
        <v>668</v>
      </c>
      <c r="D250" t="s">
        <v>609</v>
      </c>
    </row>
    <row r="251" spans="1:4">
      <c r="A251" t="s">
        <v>879</v>
      </c>
      <c r="B251" t="s">
        <v>584</v>
      </c>
      <c r="C251" t="s">
        <v>668</v>
      </c>
      <c r="D251" t="s">
        <v>609</v>
      </c>
    </row>
    <row r="252" spans="1:4">
      <c r="A252" t="s">
        <v>880</v>
      </c>
      <c r="B252" t="s">
        <v>584</v>
      </c>
      <c r="C252" t="s">
        <v>668</v>
      </c>
      <c r="D252" t="s">
        <v>609</v>
      </c>
    </row>
    <row r="253" spans="1:4">
      <c r="A253" t="s">
        <v>881</v>
      </c>
      <c r="B253" t="s">
        <v>584</v>
      </c>
      <c r="C253" t="s">
        <v>765</v>
      </c>
      <c r="D253" t="s">
        <v>609</v>
      </c>
    </row>
    <row r="254" spans="1:4">
      <c r="A254" t="s">
        <v>882</v>
      </c>
      <c r="B254" t="s">
        <v>584</v>
      </c>
      <c r="C254" t="s">
        <v>765</v>
      </c>
      <c r="D254" t="s">
        <v>609</v>
      </c>
    </row>
    <row r="255" spans="1:4">
      <c r="A255" t="s">
        <v>883</v>
      </c>
      <c r="B255" t="s">
        <v>584</v>
      </c>
      <c r="C255" t="s">
        <v>668</v>
      </c>
      <c r="D255" t="s">
        <v>609</v>
      </c>
    </row>
    <row r="256" spans="1:4">
      <c r="A256" t="s">
        <v>884</v>
      </c>
      <c r="B256" t="s">
        <v>593</v>
      </c>
      <c r="C256" t="s">
        <v>765</v>
      </c>
      <c r="D256" t="s">
        <v>609</v>
      </c>
    </row>
    <row r="257" spans="1:4">
      <c r="A257" t="s">
        <v>885</v>
      </c>
      <c r="B257" t="s">
        <v>593</v>
      </c>
      <c r="C257" t="s">
        <v>765</v>
      </c>
      <c r="D257" t="s">
        <v>609</v>
      </c>
    </row>
    <row r="258" spans="1:4">
      <c r="A258" t="s">
        <v>886</v>
      </c>
      <c r="B258" t="s">
        <v>593</v>
      </c>
      <c r="C258" t="s">
        <v>765</v>
      </c>
      <c r="D258" t="s">
        <v>609</v>
      </c>
    </row>
    <row r="259" spans="1:4">
      <c r="A259" t="s">
        <v>887</v>
      </c>
      <c r="B259" t="s">
        <v>593</v>
      </c>
      <c r="C259" t="s">
        <v>765</v>
      </c>
      <c r="D259" t="s">
        <v>609</v>
      </c>
    </row>
    <row r="260" spans="1:4">
      <c r="A260" t="s">
        <v>888</v>
      </c>
      <c r="B260" t="s">
        <v>593</v>
      </c>
      <c r="C260" t="s">
        <v>852</v>
      </c>
      <c r="D260" t="s">
        <v>609</v>
      </c>
    </row>
    <row r="261" spans="1:4">
      <c r="A261" t="s">
        <v>889</v>
      </c>
      <c r="B261" t="s">
        <v>593</v>
      </c>
      <c r="C261" t="s">
        <v>852</v>
      </c>
      <c r="D261" t="s">
        <v>609</v>
      </c>
    </row>
    <row r="262" spans="1:4">
      <c r="A262" t="s">
        <v>890</v>
      </c>
      <c r="B262" t="s">
        <v>593</v>
      </c>
      <c r="C262" t="s">
        <v>765</v>
      </c>
      <c r="D262" t="s">
        <v>609</v>
      </c>
    </row>
    <row r="263" spans="1:4">
      <c r="A263" t="s">
        <v>891</v>
      </c>
      <c r="B263" t="s">
        <v>593</v>
      </c>
      <c r="C263" t="s">
        <v>765</v>
      </c>
      <c r="D263" t="s">
        <v>609</v>
      </c>
    </row>
    <row r="264" spans="1:4">
      <c r="A264" t="s">
        <v>892</v>
      </c>
      <c r="B264" t="s">
        <v>593</v>
      </c>
      <c r="C264" t="s">
        <v>765</v>
      </c>
      <c r="D264" t="s">
        <v>609</v>
      </c>
    </row>
    <row r="265" spans="1:4">
      <c r="A265" t="s">
        <v>893</v>
      </c>
      <c r="B265" t="s">
        <v>593</v>
      </c>
      <c r="C265" t="s">
        <v>668</v>
      </c>
      <c r="D265" t="s">
        <v>609</v>
      </c>
    </row>
    <row r="266" spans="1:4">
      <c r="A266" t="s">
        <v>894</v>
      </c>
      <c r="B266" t="s">
        <v>593</v>
      </c>
      <c r="C266" t="s">
        <v>668</v>
      </c>
      <c r="D266" t="s">
        <v>609</v>
      </c>
    </row>
    <row r="267" spans="1:4" hidden="1">
      <c r="A267" t="s">
        <v>895</v>
      </c>
      <c r="B267" t="s">
        <v>593</v>
      </c>
      <c r="C267" t="s">
        <v>664</v>
      </c>
      <c r="D267" t="s">
        <v>896</v>
      </c>
    </row>
    <row r="268" spans="1:4" hidden="1">
      <c r="A268" t="s">
        <v>897</v>
      </c>
      <c r="B268" t="s">
        <v>593</v>
      </c>
      <c r="C268" t="s">
        <v>664</v>
      </c>
      <c r="D268" t="s">
        <v>896</v>
      </c>
    </row>
    <row r="269" spans="1:4" hidden="1">
      <c r="A269" t="s">
        <v>898</v>
      </c>
      <c r="B269" t="s">
        <v>593</v>
      </c>
      <c r="C269" t="s">
        <v>664</v>
      </c>
      <c r="D269" t="s">
        <v>899</v>
      </c>
    </row>
    <row r="270" spans="1:4" hidden="1">
      <c r="A270" t="s">
        <v>900</v>
      </c>
      <c r="B270" t="s">
        <v>593</v>
      </c>
      <c r="C270" t="s">
        <v>664</v>
      </c>
      <c r="D270" t="s">
        <v>899</v>
      </c>
    </row>
    <row r="271" spans="1:4" hidden="1">
      <c r="A271" t="s">
        <v>901</v>
      </c>
      <c r="B271" t="s">
        <v>593</v>
      </c>
      <c r="C271" t="s">
        <v>664</v>
      </c>
      <c r="D271" t="s">
        <v>899</v>
      </c>
    </row>
    <row r="272" spans="1:4" hidden="1">
      <c r="A272" t="s">
        <v>902</v>
      </c>
      <c r="B272" t="s">
        <v>593</v>
      </c>
      <c r="C272" t="s">
        <v>664</v>
      </c>
      <c r="D272" t="s">
        <v>899</v>
      </c>
    </row>
    <row r="273" spans="1:4" hidden="1">
      <c r="A273" t="s">
        <v>903</v>
      </c>
      <c r="B273" t="s">
        <v>904</v>
      </c>
      <c r="C273" t="s">
        <v>905</v>
      </c>
      <c r="D273" t="s">
        <v>906</v>
      </c>
    </row>
    <row r="274" spans="1:4" hidden="1">
      <c r="A274" t="s">
        <v>907</v>
      </c>
      <c r="B274" t="s">
        <v>904</v>
      </c>
      <c r="C274" t="s">
        <v>905</v>
      </c>
      <c r="D274" t="s">
        <v>906</v>
      </c>
    </row>
    <row r="275" spans="1:4" hidden="1">
      <c r="A275" t="s">
        <v>908</v>
      </c>
      <c r="B275" t="s">
        <v>904</v>
      </c>
      <c r="C275" t="s">
        <v>905</v>
      </c>
      <c r="D275" t="s">
        <v>906</v>
      </c>
    </row>
    <row r="276" spans="1:4" hidden="1">
      <c r="A276" t="s">
        <v>909</v>
      </c>
      <c r="B276" t="s">
        <v>904</v>
      </c>
      <c r="C276" t="s">
        <v>905</v>
      </c>
      <c r="D276" t="s">
        <v>906</v>
      </c>
    </row>
    <row r="277" spans="1:4" hidden="1">
      <c r="A277" t="s">
        <v>910</v>
      </c>
      <c r="B277" t="s">
        <v>656</v>
      </c>
      <c r="C277" t="s">
        <v>911</v>
      </c>
      <c r="D277" t="s">
        <v>906</v>
      </c>
    </row>
    <row r="278" spans="1:4" hidden="1">
      <c r="A278" t="s">
        <v>912</v>
      </c>
      <c r="B278" t="s">
        <v>656</v>
      </c>
      <c r="C278" t="s">
        <v>911</v>
      </c>
      <c r="D278" t="s">
        <v>906</v>
      </c>
    </row>
    <row r="279" spans="1:4" hidden="1">
      <c r="A279" t="s">
        <v>913</v>
      </c>
      <c r="B279" t="s">
        <v>656</v>
      </c>
      <c r="C279" t="s">
        <v>911</v>
      </c>
      <c r="D279" t="s">
        <v>906</v>
      </c>
    </row>
    <row r="280" spans="1:4" hidden="1">
      <c r="A280" t="s">
        <v>914</v>
      </c>
      <c r="B280" t="s">
        <v>915</v>
      </c>
      <c r="C280" t="s">
        <v>911</v>
      </c>
      <c r="D280" t="s">
        <v>906</v>
      </c>
    </row>
    <row r="281" spans="1:4" hidden="1">
      <c r="A281" t="s">
        <v>916</v>
      </c>
      <c r="B281" t="s">
        <v>915</v>
      </c>
      <c r="C281" t="s">
        <v>911</v>
      </c>
      <c r="D281" t="s">
        <v>906</v>
      </c>
    </row>
    <row r="282" spans="1:4" hidden="1">
      <c r="A282" t="s">
        <v>917</v>
      </c>
      <c r="B282" t="s">
        <v>593</v>
      </c>
      <c r="C282" t="s">
        <v>703</v>
      </c>
      <c r="D282" t="s">
        <v>918</v>
      </c>
    </row>
    <row r="283" spans="1:4" hidden="1">
      <c r="A283" t="s">
        <v>919</v>
      </c>
      <c r="B283" t="s">
        <v>593</v>
      </c>
      <c r="C283" t="s">
        <v>664</v>
      </c>
      <c r="D283" t="s">
        <v>716</v>
      </c>
    </row>
    <row r="284" spans="1:4" hidden="1">
      <c r="A284" t="s">
        <v>920</v>
      </c>
      <c r="B284" t="s">
        <v>593</v>
      </c>
      <c r="C284" t="s">
        <v>921</v>
      </c>
      <c r="D284" t="s">
        <v>922</v>
      </c>
    </row>
    <row r="285" spans="1:4" hidden="1">
      <c r="A285" t="s">
        <v>923</v>
      </c>
      <c r="B285" t="s">
        <v>593</v>
      </c>
      <c r="C285" t="s">
        <v>921</v>
      </c>
      <c r="D285" t="s">
        <v>922</v>
      </c>
    </row>
    <row r="286" spans="1:4" hidden="1">
      <c r="A286" t="s">
        <v>924</v>
      </c>
      <c r="B286" t="s">
        <v>593</v>
      </c>
      <c r="C286" t="s">
        <v>921</v>
      </c>
      <c r="D286" t="s">
        <v>716</v>
      </c>
    </row>
    <row r="287" spans="1:4">
      <c r="A287" t="s">
        <v>925</v>
      </c>
      <c r="B287" t="s">
        <v>593</v>
      </c>
      <c r="C287" t="s">
        <v>921</v>
      </c>
      <c r="D287" t="s">
        <v>760</v>
      </c>
    </row>
    <row r="288" spans="1:4" hidden="1">
      <c r="A288" t="s">
        <v>926</v>
      </c>
      <c r="B288" t="s">
        <v>584</v>
      </c>
      <c r="C288" t="s">
        <v>921</v>
      </c>
      <c r="D288" t="s">
        <v>588</v>
      </c>
    </row>
    <row r="289" spans="1:4">
      <c r="A289" t="s">
        <v>927</v>
      </c>
      <c r="B289" t="s">
        <v>593</v>
      </c>
      <c r="C289" t="s">
        <v>921</v>
      </c>
      <c r="D289" t="s">
        <v>791</v>
      </c>
    </row>
    <row r="290" spans="1:4">
      <c r="A290" t="s">
        <v>928</v>
      </c>
      <c r="B290" t="s">
        <v>593</v>
      </c>
      <c r="C290" t="s">
        <v>921</v>
      </c>
      <c r="D290" t="s">
        <v>794</v>
      </c>
    </row>
    <row r="291" spans="1:4">
      <c r="A291" t="s">
        <v>929</v>
      </c>
      <c r="B291" t="s">
        <v>593</v>
      </c>
      <c r="C291" t="s">
        <v>921</v>
      </c>
      <c r="D291" t="s">
        <v>794</v>
      </c>
    </row>
    <row r="292" spans="1:4">
      <c r="A292" t="s">
        <v>930</v>
      </c>
      <c r="B292" t="s">
        <v>593</v>
      </c>
      <c r="C292" t="s">
        <v>921</v>
      </c>
      <c r="D292" t="s">
        <v>794</v>
      </c>
    </row>
    <row r="293" spans="1:4">
      <c r="A293" t="s">
        <v>931</v>
      </c>
      <c r="B293" t="s">
        <v>593</v>
      </c>
      <c r="C293" t="s">
        <v>921</v>
      </c>
      <c r="D293" t="s">
        <v>794</v>
      </c>
    </row>
    <row r="294" spans="1:4">
      <c r="A294" t="s">
        <v>932</v>
      </c>
      <c r="B294" t="s">
        <v>584</v>
      </c>
      <c r="C294" t="s">
        <v>921</v>
      </c>
      <c r="D294" t="s">
        <v>796</v>
      </c>
    </row>
    <row r="295" spans="1:4">
      <c r="A295" t="s">
        <v>933</v>
      </c>
      <c r="B295" t="s">
        <v>584</v>
      </c>
      <c r="C295" t="s">
        <v>921</v>
      </c>
      <c r="D295" t="s">
        <v>598</v>
      </c>
    </row>
    <row r="296" spans="1:4">
      <c r="A296" t="s">
        <v>934</v>
      </c>
      <c r="B296" t="s">
        <v>593</v>
      </c>
      <c r="C296" t="s">
        <v>921</v>
      </c>
      <c r="D296" t="s">
        <v>609</v>
      </c>
    </row>
    <row r="297" spans="1:4">
      <c r="A297" s="140"/>
      <c r="B297" s="138"/>
      <c r="C297" s="90"/>
      <c r="D297" s="138"/>
    </row>
    <row r="298" spans="1:4">
      <c r="A298" s="140"/>
      <c r="B298" s="138"/>
      <c r="C298" s="90"/>
      <c r="D298" s="138"/>
    </row>
    <row r="299" spans="1:4">
      <c r="A299" s="140"/>
      <c r="B299" s="138"/>
      <c r="C299" s="90"/>
      <c r="D299" s="138"/>
    </row>
    <row r="300" spans="1:4">
      <c r="A300" s="140"/>
      <c r="B300" s="138"/>
      <c r="C300" s="90"/>
      <c r="D300" s="138"/>
    </row>
    <row r="301" spans="1:4">
      <c r="A301" s="140"/>
      <c r="B301" s="138"/>
      <c r="C301" s="90"/>
      <c r="D301" s="138"/>
    </row>
    <row r="302" spans="1:4">
      <c r="A302" s="140"/>
      <c r="B302" s="138"/>
      <c r="C302" s="90"/>
      <c r="D302" s="138"/>
    </row>
    <row r="303" spans="1:4">
      <c r="A303" s="140"/>
      <c r="B303" s="138"/>
      <c r="C303" s="90"/>
      <c r="D303" s="138"/>
    </row>
    <row r="304" spans="1:4">
      <c r="A304" s="140"/>
      <c r="B304" s="138"/>
      <c r="C304" s="90"/>
      <c r="D304" s="138"/>
    </row>
    <row r="305" spans="1:4">
      <c r="A305" s="140"/>
      <c r="B305" s="138"/>
      <c r="C305" s="90"/>
      <c r="D305" s="138"/>
    </row>
    <row r="306" spans="1:4">
      <c r="A306" s="140"/>
      <c r="B306" s="138"/>
      <c r="C306" s="90"/>
      <c r="D306" s="138"/>
    </row>
    <row r="307" spans="1:4">
      <c r="A307" s="140"/>
      <c r="B307" s="138"/>
      <c r="C307" s="90"/>
      <c r="D307" s="138"/>
    </row>
    <row r="308" spans="1:4">
      <c r="A308" s="140"/>
      <c r="B308" s="138"/>
      <c r="C308" s="90"/>
      <c r="D308" s="138"/>
    </row>
    <row r="309" spans="1:4">
      <c r="A309" s="140"/>
      <c r="B309" s="138"/>
      <c r="C309" s="90"/>
      <c r="D309" s="138"/>
    </row>
    <row r="310" spans="1:4">
      <c r="A310" s="140"/>
      <c r="B310" s="138"/>
      <c r="C310" s="90"/>
      <c r="D310" s="138"/>
    </row>
    <row r="311" spans="1:4">
      <c r="A311" s="140"/>
      <c r="B311" s="138"/>
      <c r="C311" s="90"/>
      <c r="D311" s="138"/>
    </row>
    <row r="312" spans="1:4">
      <c r="A312" s="140"/>
      <c r="B312" s="138"/>
      <c r="C312" s="90"/>
      <c r="D312" s="138"/>
    </row>
    <row r="313" spans="1:4">
      <c r="A313" s="140"/>
      <c r="B313" s="138"/>
      <c r="C313" s="90"/>
      <c r="D313" s="138"/>
    </row>
    <row r="314" spans="1:4">
      <c r="A314" s="140"/>
      <c r="B314" s="138"/>
      <c r="C314" s="90"/>
      <c r="D314" s="138"/>
    </row>
    <row r="315" spans="1:4">
      <c r="A315" s="140"/>
      <c r="B315" s="138"/>
      <c r="C315" s="90"/>
      <c r="D315" s="138"/>
    </row>
    <row r="316" spans="1:4">
      <c r="A316" s="140"/>
      <c r="B316" s="138"/>
      <c r="C316" s="90"/>
      <c r="D316" s="138"/>
    </row>
    <row r="317" spans="1:4">
      <c r="A317" s="140"/>
      <c r="B317" s="138"/>
      <c r="C317" s="90"/>
      <c r="D317" s="138"/>
    </row>
    <row r="318" spans="1:4">
      <c r="A318" s="140"/>
      <c r="B318" s="138"/>
      <c r="C318" s="90"/>
      <c r="D318" s="138"/>
    </row>
    <row r="319" spans="1:4">
      <c r="A319" s="140"/>
      <c r="B319" s="138"/>
      <c r="C319" s="90"/>
      <c r="D319" s="138"/>
    </row>
    <row r="320" spans="1:4">
      <c r="A320" s="140"/>
      <c r="B320" s="138"/>
      <c r="C320" s="90"/>
      <c r="D320" s="138"/>
    </row>
    <row r="321" spans="1:4">
      <c r="A321" s="140"/>
      <c r="B321" s="138"/>
      <c r="C321" s="90"/>
      <c r="D321" s="138"/>
    </row>
    <row r="322" spans="1:4">
      <c r="A322" s="140"/>
      <c r="B322" s="138"/>
      <c r="C322" s="90"/>
      <c r="D322" s="138"/>
    </row>
    <row r="323" spans="1:4">
      <c r="A323" s="140"/>
      <c r="B323" s="138"/>
      <c r="C323" s="90"/>
      <c r="D323" s="138"/>
    </row>
    <row r="324" spans="1:4">
      <c r="A324" s="140"/>
      <c r="B324" s="138"/>
      <c r="C324" s="90"/>
      <c r="D324" s="138"/>
    </row>
    <row r="325" spans="1:4">
      <c r="A325" s="140"/>
      <c r="B325" s="138"/>
      <c r="C325" s="90"/>
      <c r="D325" s="138"/>
    </row>
    <row r="326" spans="1:4">
      <c r="A326" s="140"/>
      <c r="B326" s="138"/>
      <c r="C326" s="90"/>
      <c r="D326" s="138"/>
    </row>
    <row r="327" spans="1:4">
      <c r="A327" s="140"/>
      <c r="B327" s="138"/>
      <c r="C327" s="90"/>
      <c r="D327" s="138"/>
    </row>
    <row r="329" spans="1:4">
      <c r="A329" s="816" t="s">
        <v>318</v>
      </c>
      <c r="B329" s="816"/>
      <c r="C329" s="305">
        <f>COUNT(A7:C327)</f>
        <v>0</v>
      </c>
    </row>
  </sheetData>
  <mergeCells count="6">
    <mergeCell ref="A1:B1"/>
    <mergeCell ref="A329:B329"/>
    <mergeCell ref="A2:D2"/>
    <mergeCell ref="A3:D3"/>
    <mergeCell ref="A4:D4"/>
    <mergeCell ref="A5:D5"/>
  </mergeCells>
  <conditionalFormatting sqref="C6:C296">
    <cfRule type="expression" dxfId="4" priority="1">
      <formula>IF(FIND("B",C6)=1,TRUE,FALSE)</formula>
    </cfRule>
    <cfRule type="expression" dxfId="3" priority="2">
      <formula>IF(FIND("G",C6)=1,TRUE,FALSE)</formula>
    </cfRule>
    <cfRule type="expression" dxfId="2" priority="3">
      <formula>IF(FIND("Y",C6)=1,TRUE,FALSE)</formula>
    </cfRule>
    <cfRule type="expression" dxfId="1" priority="4">
      <formula>IF(FIND("R",C6)=1,TRUE,FALSE)</formula>
    </cfRule>
  </conditionalFormatting>
  <conditionalFormatting sqref="A6:A296">
    <cfRule type="duplicateValues" dxfId="0" priority="5"/>
  </conditionalFormatting>
  <hyperlinks>
    <hyperlink ref="A1" location="DASHBOARD!A1" display="Back to Dashboard" xr:uid="{00000000-0004-0000-1600-000000000000}"/>
    <hyperlink ref="D1" location="Inventory_Hompage!A1" display="Back to Dashboard" xr:uid="{00000000-0004-0000-1600-000001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1"/>
  <dimension ref="A1:D325"/>
  <sheetViews>
    <sheetView zoomScale="279" zoomScaleNormal="279" workbookViewId="0">
      <pane ySplit="2" topLeftCell="A3" activePane="bottomLeft" state="frozen"/>
      <selection pane="bottomLeft" activeCell="D1" sqref="D1"/>
    </sheetView>
  </sheetViews>
  <sheetFormatPr defaultRowHeight="15"/>
  <cols>
    <col min="1" max="1" width="10.85546875" style="143" customWidth="1"/>
    <col min="2" max="2" width="10" style="354" customWidth="1"/>
    <col min="3" max="3" width="51.85546875" customWidth="1"/>
    <col min="4" max="4" width="20.42578125" style="354" customWidth="1"/>
  </cols>
  <sheetData>
    <row r="1" spans="1:4" s="233" customFormat="1" ht="26.45" customHeight="1">
      <c r="A1" s="814" t="s">
        <v>313</v>
      </c>
      <c r="B1" s="815"/>
      <c r="C1" s="367" t="s">
        <v>998</v>
      </c>
      <c r="D1" s="312" t="s">
        <v>551</v>
      </c>
    </row>
    <row r="2" spans="1:4" ht="30">
      <c r="A2" s="365" t="s">
        <v>105</v>
      </c>
      <c r="B2" s="366" t="s">
        <v>304</v>
      </c>
      <c r="C2" s="365" t="s">
        <v>106</v>
      </c>
      <c r="D2" s="365" t="s">
        <v>107</v>
      </c>
    </row>
    <row r="3" spans="1:4" ht="15" customHeight="1">
      <c r="A3" s="489" t="s">
        <v>1112</v>
      </c>
      <c r="B3" s="216"/>
      <c r="C3" s="217" t="s">
        <v>1083</v>
      </c>
      <c r="D3" s="218" t="s">
        <v>1734</v>
      </c>
    </row>
    <row r="4" spans="1:4">
      <c r="A4" s="490" t="s">
        <v>1112</v>
      </c>
      <c r="B4" s="207"/>
      <c r="C4" s="90" t="s">
        <v>1083</v>
      </c>
      <c r="D4" s="218" t="s">
        <v>1733</v>
      </c>
    </row>
    <row r="5" spans="1:4">
      <c r="A5" s="490" t="s">
        <v>1112</v>
      </c>
      <c r="B5" s="207"/>
      <c r="C5" s="90" t="s">
        <v>1083</v>
      </c>
      <c r="D5" s="218" t="s">
        <v>1733</v>
      </c>
    </row>
    <row r="6" spans="1:4">
      <c r="A6" s="206"/>
      <c r="B6" s="207"/>
      <c r="C6" s="499" t="s">
        <v>1082</v>
      </c>
      <c r="D6" s="138"/>
    </row>
    <row r="7" spans="1:4">
      <c r="A7" s="490" t="s">
        <v>1113</v>
      </c>
      <c r="B7" s="207"/>
      <c r="C7" s="208" t="s">
        <v>1082</v>
      </c>
      <c r="D7" s="218" t="s">
        <v>1733</v>
      </c>
    </row>
    <row r="8" spans="1:4">
      <c r="A8" s="490" t="s">
        <v>1114</v>
      </c>
      <c r="B8" s="207"/>
      <c r="C8" s="209" t="s">
        <v>1082</v>
      </c>
      <c r="D8" s="218" t="s">
        <v>1733</v>
      </c>
    </row>
    <row r="9" spans="1:4">
      <c r="A9" s="490" t="s">
        <v>1115</v>
      </c>
      <c r="B9" s="207"/>
      <c r="C9" s="90" t="s">
        <v>1082</v>
      </c>
      <c r="D9" s="218" t="s">
        <v>1733</v>
      </c>
    </row>
    <row r="10" spans="1:4">
      <c r="A10" s="490" t="s">
        <v>1116</v>
      </c>
      <c r="B10" s="207"/>
      <c r="C10" s="90" t="s">
        <v>1082</v>
      </c>
      <c r="D10" s="218" t="s">
        <v>1733</v>
      </c>
    </row>
    <row r="11" spans="1:4">
      <c r="A11" s="490" t="s">
        <v>1117</v>
      </c>
      <c r="B11" s="207"/>
      <c r="C11" s="90" t="s">
        <v>1082</v>
      </c>
      <c r="D11" s="218" t="s">
        <v>1733</v>
      </c>
    </row>
    <row r="12" spans="1:4">
      <c r="A12" s="206"/>
      <c r="B12" s="207"/>
      <c r="C12" s="90" t="s">
        <v>1141</v>
      </c>
      <c r="D12" s="138" t="s">
        <v>1142</v>
      </c>
    </row>
    <row r="13" spans="1:4">
      <c r="A13" s="206"/>
      <c r="B13" s="207"/>
      <c r="C13" s="90" t="s">
        <v>1143</v>
      </c>
      <c r="D13" s="138" t="s">
        <v>1144</v>
      </c>
    </row>
    <row r="14" spans="1:4">
      <c r="A14" s="206"/>
      <c r="B14" s="207"/>
      <c r="C14" s="90" t="s">
        <v>1145</v>
      </c>
      <c r="D14" s="138" t="s">
        <v>1153</v>
      </c>
    </row>
    <row r="15" spans="1:4">
      <c r="A15" s="206"/>
      <c r="B15" s="207"/>
      <c r="C15" s="90" t="s">
        <v>1146</v>
      </c>
      <c r="D15" s="138" t="s">
        <v>1147</v>
      </c>
    </row>
    <row r="16" spans="1:4">
      <c r="A16" s="206"/>
      <c r="B16" s="207"/>
      <c r="C16" s="90" t="s">
        <v>1148</v>
      </c>
      <c r="D16" s="138" t="s">
        <v>1149</v>
      </c>
    </row>
    <row r="17" spans="1:4">
      <c r="A17" s="206"/>
      <c r="B17" s="207"/>
      <c r="C17" s="90" t="s">
        <v>1150</v>
      </c>
      <c r="D17" s="138" t="s">
        <v>1151</v>
      </c>
    </row>
    <row r="18" spans="1:4">
      <c r="A18" s="206"/>
      <c r="B18" s="207"/>
      <c r="C18" s="90" t="s">
        <v>1732</v>
      </c>
      <c r="D18" s="138" t="s">
        <v>1735</v>
      </c>
    </row>
    <row r="19" spans="1:4">
      <c r="A19" s="206"/>
      <c r="B19" s="207"/>
      <c r="C19" s="90" t="s">
        <v>1732</v>
      </c>
      <c r="D19" s="138" t="s">
        <v>1736</v>
      </c>
    </row>
    <row r="20" spans="1:4">
      <c r="A20" s="206"/>
      <c r="B20" s="207"/>
      <c r="C20" s="90"/>
      <c r="D20" s="138"/>
    </row>
    <row r="21" spans="1:4">
      <c r="A21" s="206"/>
      <c r="B21" s="207"/>
      <c r="C21" s="90"/>
      <c r="D21" s="138"/>
    </row>
    <row r="22" spans="1:4">
      <c r="A22" s="206"/>
      <c r="B22" s="207"/>
      <c r="C22" s="90"/>
      <c r="D22" s="138"/>
    </row>
    <row r="23" spans="1:4">
      <c r="A23" s="206"/>
      <c r="B23" s="207"/>
      <c r="C23" s="90"/>
      <c r="D23" s="138"/>
    </row>
    <row r="24" spans="1:4">
      <c r="A24" s="206"/>
      <c r="B24" s="207"/>
      <c r="C24" s="90"/>
      <c r="D24" s="138"/>
    </row>
    <row r="25" spans="1:4">
      <c r="A25" s="206"/>
      <c r="B25" s="207"/>
      <c r="C25" s="90"/>
      <c r="D25" s="138"/>
    </row>
    <row r="26" spans="1:4">
      <c r="A26" s="206"/>
      <c r="B26" s="207"/>
      <c r="C26" s="90"/>
      <c r="D26" s="138"/>
    </row>
    <row r="27" spans="1:4">
      <c r="A27" s="206"/>
      <c r="B27" s="207"/>
      <c r="C27" s="90"/>
      <c r="D27" s="138"/>
    </row>
    <row r="28" spans="1:4">
      <c r="A28" s="206"/>
      <c r="B28" s="207"/>
      <c r="C28" s="90"/>
      <c r="D28" s="138"/>
    </row>
    <row r="29" spans="1:4">
      <c r="A29" s="206"/>
      <c r="B29" s="207"/>
      <c r="C29" s="90"/>
      <c r="D29" s="138"/>
    </row>
    <row r="30" spans="1:4">
      <c r="A30" s="206"/>
      <c r="B30" s="207"/>
      <c r="C30" s="90"/>
      <c r="D30" s="138"/>
    </row>
    <row r="31" spans="1:4">
      <c r="A31" s="206"/>
      <c r="B31" s="207"/>
      <c r="C31" s="90"/>
      <c r="D31" s="138"/>
    </row>
    <row r="32" spans="1:4">
      <c r="A32" s="206"/>
      <c r="B32" s="207"/>
      <c r="C32" s="90"/>
      <c r="D32" s="138"/>
    </row>
    <row r="33" spans="1:4">
      <c r="A33" s="206"/>
      <c r="B33" s="207"/>
      <c r="C33" s="90"/>
      <c r="D33" s="138"/>
    </row>
    <row r="34" spans="1:4">
      <c r="A34" s="206"/>
      <c r="B34" s="207"/>
      <c r="C34" s="90"/>
      <c r="D34" s="138"/>
    </row>
    <row r="35" spans="1:4">
      <c r="A35" s="206"/>
      <c r="B35" s="207"/>
      <c r="C35" s="90"/>
      <c r="D35" s="138"/>
    </row>
    <row r="36" spans="1:4">
      <c r="A36" s="206"/>
      <c r="B36" s="207"/>
      <c r="C36" s="90"/>
      <c r="D36" s="138"/>
    </row>
    <row r="37" spans="1:4">
      <c r="A37" s="206"/>
      <c r="B37" s="207"/>
      <c r="C37" s="90"/>
      <c r="D37" s="138"/>
    </row>
    <row r="38" spans="1:4">
      <c r="A38" s="206"/>
      <c r="B38" s="207"/>
      <c r="C38" s="90"/>
      <c r="D38" s="138"/>
    </row>
    <row r="39" spans="1:4">
      <c r="A39" s="206"/>
      <c r="B39" s="207"/>
      <c r="C39" s="90"/>
      <c r="D39" s="138"/>
    </row>
    <row r="40" spans="1:4">
      <c r="A40" s="206"/>
      <c r="B40" s="207"/>
      <c r="C40" s="90"/>
      <c r="D40" s="138"/>
    </row>
    <row r="41" spans="1:4">
      <c r="A41" s="206"/>
      <c r="B41" s="207"/>
      <c r="C41" s="90"/>
      <c r="D41" s="138"/>
    </row>
    <row r="42" spans="1:4">
      <c r="A42" s="206"/>
      <c r="B42" s="207"/>
      <c r="C42" s="90"/>
      <c r="D42" s="138"/>
    </row>
    <row r="43" spans="1:4">
      <c r="A43" s="140"/>
      <c r="B43" s="138"/>
      <c r="C43" s="90"/>
      <c r="D43" s="138"/>
    </row>
    <row r="44" spans="1:4">
      <c r="A44" s="140"/>
      <c r="B44" s="138"/>
      <c r="C44" s="90"/>
      <c r="D44" s="138"/>
    </row>
    <row r="45" spans="1:4">
      <c r="A45" s="140"/>
      <c r="B45" s="138"/>
      <c r="C45" s="90"/>
      <c r="D45" s="138"/>
    </row>
    <row r="46" spans="1:4">
      <c r="A46" s="140"/>
      <c r="B46" s="138"/>
      <c r="C46" s="90"/>
      <c r="D46" s="138"/>
    </row>
    <row r="47" spans="1:4">
      <c r="A47" s="140"/>
      <c r="B47" s="138"/>
      <c r="C47" s="90"/>
      <c r="D47" s="138"/>
    </row>
    <row r="48" spans="1:4">
      <c r="A48" s="140"/>
      <c r="B48" s="138"/>
      <c r="C48" s="90"/>
      <c r="D48" s="138"/>
    </row>
    <row r="49" spans="1:4">
      <c r="A49" s="140"/>
      <c r="B49" s="138"/>
      <c r="C49" s="90"/>
      <c r="D49" s="138"/>
    </row>
    <row r="50" spans="1:4">
      <c r="A50" s="140"/>
      <c r="B50" s="138"/>
      <c r="C50" s="90"/>
      <c r="D50" s="138"/>
    </row>
    <row r="51" spans="1:4">
      <c r="A51" s="140"/>
      <c r="B51" s="138"/>
      <c r="C51" s="90"/>
      <c r="D51" s="138"/>
    </row>
    <row r="52" spans="1:4">
      <c r="A52" s="140"/>
      <c r="B52" s="138"/>
      <c r="C52" s="90"/>
      <c r="D52" s="138"/>
    </row>
    <row r="53" spans="1:4">
      <c r="A53" s="140"/>
      <c r="B53" s="138"/>
      <c r="C53" s="90"/>
      <c r="D53" s="138"/>
    </row>
    <row r="54" spans="1:4">
      <c r="A54" s="140"/>
      <c r="B54" s="138"/>
      <c r="C54" s="90"/>
      <c r="D54" s="138"/>
    </row>
    <row r="55" spans="1:4">
      <c r="A55" s="140"/>
      <c r="B55" s="138"/>
      <c r="C55" s="90"/>
      <c r="D55" s="138"/>
    </row>
    <row r="56" spans="1:4">
      <c r="A56" s="140"/>
      <c r="B56" s="138"/>
      <c r="C56" s="90"/>
      <c r="D56" s="138"/>
    </row>
    <row r="57" spans="1:4">
      <c r="A57" s="140"/>
      <c r="B57" s="138"/>
      <c r="C57" s="90"/>
      <c r="D57" s="138"/>
    </row>
    <row r="58" spans="1:4">
      <c r="A58" s="140"/>
      <c r="B58" s="138"/>
      <c r="C58" s="210"/>
      <c r="D58" s="138"/>
    </row>
    <row r="59" spans="1:4">
      <c r="A59" s="140"/>
      <c r="B59" s="138"/>
      <c r="C59" s="90"/>
      <c r="D59" s="138"/>
    </row>
    <row r="60" spans="1:4">
      <c r="A60" s="140"/>
      <c r="B60" s="138"/>
      <c r="C60" s="90"/>
      <c r="D60" s="138"/>
    </row>
    <row r="61" spans="1:4">
      <c r="A61" s="140"/>
      <c r="B61" s="138"/>
      <c r="C61" s="90"/>
      <c r="D61" s="138"/>
    </row>
    <row r="62" spans="1:4">
      <c r="A62" s="140"/>
      <c r="B62" s="138"/>
      <c r="C62" s="90"/>
      <c r="D62" s="138"/>
    </row>
    <row r="63" spans="1:4">
      <c r="A63" s="140"/>
      <c r="B63" s="138"/>
      <c r="C63" s="90"/>
      <c r="D63" s="138"/>
    </row>
    <row r="64" spans="1:4">
      <c r="A64" s="140"/>
      <c r="B64" s="138"/>
      <c r="C64" s="90"/>
      <c r="D64" s="138"/>
    </row>
    <row r="65" spans="1:4">
      <c r="A65" s="140"/>
      <c r="B65" s="138"/>
      <c r="C65" s="90"/>
      <c r="D65" s="138"/>
    </row>
    <row r="66" spans="1:4">
      <c r="A66" s="140"/>
      <c r="B66" s="138"/>
      <c r="C66" s="90"/>
      <c r="D66" s="138"/>
    </row>
    <row r="67" spans="1:4">
      <c r="A67" s="140"/>
      <c r="B67" s="138"/>
      <c r="C67" s="90"/>
      <c r="D67" s="138"/>
    </row>
    <row r="68" spans="1:4">
      <c r="A68" s="140"/>
      <c r="B68" s="138"/>
      <c r="C68" s="90"/>
      <c r="D68" s="138"/>
    </row>
    <row r="69" spans="1:4">
      <c r="A69" s="140"/>
      <c r="B69" s="138"/>
      <c r="C69" s="90"/>
      <c r="D69" s="138"/>
    </row>
    <row r="70" spans="1:4">
      <c r="A70" s="140"/>
      <c r="B70" s="138"/>
      <c r="C70" s="90"/>
      <c r="D70" s="138"/>
    </row>
    <row r="71" spans="1:4">
      <c r="A71" s="140"/>
      <c r="B71" s="138"/>
      <c r="C71" s="90"/>
      <c r="D71" s="138"/>
    </row>
    <row r="72" spans="1:4">
      <c r="A72" s="140"/>
      <c r="B72" s="138"/>
      <c r="C72" s="90"/>
      <c r="D72" s="138"/>
    </row>
    <row r="73" spans="1:4">
      <c r="A73" s="140"/>
      <c r="B73" s="138"/>
      <c r="C73" s="90"/>
      <c r="D73" s="138"/>
    </row>
    <row r="74" spans="1:4">
      <c r="A74" s="140"/>
      <c r="B74" s="138"/>
      <c r="C74" s="90"/>
      <c r="D74" s="138"/>
    </row>
    <row r="75" spans="1:4">
      <c r="A75" s="140"/>
      <c r="B75" s="138"/>
      <c r="C75" s="90"/>
      <c r="D75" s="138"/>
    </row>
    <row r="76" spans="1:4">
      <c r="A76" s="140"/>
      <c r="B76" s="138"/>
      <c r="C76" s="90"/>
      <c r="D76" s="138"/>
    </row>
    <row r="77" spans="1:4">
      <c r="A77" s="140"/>
      <c r="B77" s="138"/>
      <c r="C77" s="90"/>
      <c r="D77" s="138"/>
    </row>
    <row r="78" spans="1:4">
      <c r="A78" s="140"/>
      <c r="B78" s="138"/>
      <c r="C78" s="90"/>
      <c r="D78" s="138"/>
    </row>
    <row r="79" spans="1:4">
      <c r="A79" s="140"/>
      <c r="B79" s="138"/>
      <c r="C79" s="90"/>
      <c r="D79" s="138"/>
    </row>
    <row r="80" spans="1:4">
      <c r="A80" s="140"/>
      <c r="B80" s="138"/>
      <c r="C80" s="90"/>
      <c r="D80" s="138"/>
    </row>
    <row r="81" spans="1:4">
      <c r="A81" s="140"/>
      <c r="B81" s="138"/>
      <c r="C81" s="90"/>
      <c r="D81" s="138"/>
    </row>
    <row r="82" spans="1:4">
      <c r="A82" s="140"/>
      <c r="B82" s="138"/>
      <c r="C82" s="90"/>
      <c r="D82" s="138"/>
    </row>
    <row r="83" spans="1:4">
      <c r="A83" s="140"/>
      <c r="B83" s="138"/>
      <c r="C83" s="90"/>
      <c r="D83" s="138"/>
    </row>
    <row r="84" spans="1:4">
      <c r="A84" s="140"/>
      <c r="B84" s="138"/>
      <c r="C84" s="90"/>
      <c r="D84" s="138"/>
    </row>
    <row r="85" spans="1:4">
      <c r="A85" s="140"/>
      <c r="B85" s="138"/>
      <c r="C85" s="90"/>
      <c r="D85" s="138"/>
    </row>
    <row r="86" spans="1:4">
      <c r="A86" s="140"/>
      <c r="B86" s="138"/>
      <c r="C86" s="90"/>
      <c r="D86" s="138"/>
    </row>
    <row r="87" spans="1:4">
      <c r="A87" s="140"/>
      <c r="B87" s="138"/>
      <c r="C87" s="90"/>
      <c r="D87" s="138"/>
    </row>
    <row r="88" spans="1:4">
      <c r="A88" s="140"/>
      <c r="B88" s="138"/>
      <c r="C88" s="90"/>
      <c r="D88" s="138"/>
    </row>
    <row r="89" spans="1:4">
      <c r="A89" s="140"/>
      <c r="B89" s="138"/>
      <c r="C89" s="90"/>
      <c r="D89" s="138"/>
    </row>
    <row r="90" spans="1:4">
      <c r="A90" s="140"/>
      <c r="B90" s="138"/>
      <c r="C90" s="90"/>
      <c r="D90" s="138"/>
    </row>
    <row r="91" spans="1:4">
      <c r="A91" s="140"/>
      <c r="B91" s="138"/>
      <c r="C91" s="90"/>
      <c r="D91" s="138"/>
    </row>
    <row r="92" spans="1:4">
      <c r="A92" s="140"/>
      <c r="B92" s="138"/>
      <c r="C92" s="90"/>
      <c r="D92" s="138"/>
    </row>
    <row r="93" spans="1:4">
      <c r="A93" s="140"/>
      <c r="B93" s="138"/>
      <c r="C93" s="90"/>
      <c r="D93" s="138"/>
    </row>
    <row r="94" spans="1:4">
      <c r="A94" s="140"/>
      <c r="B94" s="138"/>
      <c r="C94" s="90"/>
      <c r="D94" s="138"/>
    </row>
    <row r="95" spans="1:4">
      <c r="A95" s="140"/>
      <c r="B95" s="138"/>
      <c r="C95" s="90"/>
      <c r="D95" s="138"/>
    </row>
    <row r="96" spans="1:4">
      <c r="A96" s="140"/>
      <c r="B96" s="138"/>
      <c r="C96" s="90"/>
      <c r="D96" s="138"/>
    </row>
    <row r="97" spans="1:4">
      <c r="A97" s="140"/>
      <c r="B97" s="138"/>
      <c r="C97" s="90"/>
      <c r="D97" s="138"/>
    </row>
    <row r="98" spans="1:4">
      <c r="A98" s="140"/>
      <c r="B98" s="138"/>
      <c r="C98" s="90"/>
      <c r="D98" s="138"/>
    </row>
    <row r="99" spans="1:4">
      <c r="A99" s="140"/>
      <c r="B99" s="138"/>
      <c r="C99" s="90"/>
      <c r="D99" s="138"/>
    </row>
    <row r="100" spans="1:4">
      <c r="A100" s="140"/>
      <c r="B100" s="138"/>
      <c r="C100" s="90"/>
      <c r="D100" s="138"/>
    </row>
    <row r="101" spans="1:4">
      <c r="A101" s="140"/>
      <c r="B101" s="138"/>
      <c r="C101" s="90"/>
      <c r="D101" s="138"/>
    </row>
    <row r="102" spans="1:4">
      <c r="A102" s="140"/>
      <c r="B102" s="138"/>
      <c r="C102" s="90"/>
      <c r="D102" s="138"/>
    </row>
    <row r="103" spans="1:4">
      <c r="A103" s="140"/>
      <c r="B103" s="138"/>
      <c r="C103" s="90"/>
      <c r="D103" s="138"/>
    </row>
    <row r="104" spans="1:4">
      <c r="A104" s="140"/>
      <c r="B104" s="138"/>
      <c r="C104" s="90"/>
      <c r="D104" s="138"/>
    </row>
    <row r="105" spans="1:4">
      <c r="A105" s="140"/>
      <c r="B105" s="138"/>
      <c r="C105" s="90"/>
      <c r="D105" s="138"/>
    </row>
    <row r="106" spans="1:4">
      <c r="A106" s="140"/>
      <c r="B106" s="138"/>
      <c r="C106" s="90"/>
      <c r="D106" s="138"/>
    </row>
    <row r="107" spans="1:4">
      <c r="A107" s="140"/>
      <c r="B107" s="138"/>
      <c r="C107" s="90"/>
      <c r="D107" s="138"/>
    </row>
    <row r="108" spans="1:4">
      <c r="A108" s="140"/>
      <c r="B108" s="138"/>
      <c r="C108" s="90"/>
      <c r="D108" s="138"/>
    </row>
    <row r="109" spans="1:4">
      <c r="A109" s="140"/>
      <c r="B109" s="138"/>
      <c r="C109" s="90"/>
      <c r="D109" s="138"/>
    </row>
    <row r="110" spans="1:4">
      <c r="A110" s="140"/>
      <c r="B110" s="138"/>
      <c r="C110" s="90"/>
      <c r="D110" s="138"/>
    </row>
    <row r="111" spans="1:4">
      <c r="A111" s="140"/>
      <c r="B111" s="138"/>
      <c r="C111" s="90"/>
      <c r="D111" s="138"/>
    </row>
    <row r="112" spans="1:4">
      <c r="A112" s="140"/>
      <c r="B112" s="138"/>
      <c r="C112" s="90"/>
      <c r="D112" s="138"/>
    </row>
    <row r="113" spans="1:4">
      <c r="A113" s="140"/>
      <c r="B113" s="138"/>
      <c r="C113" s="90"/>
      <c r="D113" s="138"/>
    </row>
    <row r="114" spans="1:4">
      <c r="A114" s="140"/>
      <c r="B114" s="138"/>
      <c r="C114" s="90"/>
      <c r="D114" s="138"/>
    </row>
    <row r="115" spans="1:4">
      <c r="A115" s="140"/>
      <c r="B115" s="138"/>
      <c r="C115" s="90"/>
      <c r="D115" s="138"/>
    </row>
    <row r="116" spans="1:4">
      <c r="A116" s="140"/>
      <c r="B116" s="138"/>
      <c r="C116" s="138"/>
      <c r="D116" s="138"/>
    </row>
    <row r="117" spans="1:4">
      <c r="A117" s="140"/>
      <c r="B117" s="138"/>
      <c r="C117" s="90"/>
      <c r="D117" s="138"/>
    </row>
    <row r="118" spans="1:4">
      <c r="A118" s="140"/>
      <c r="B118" s="138"/>
      <c r="C118" s="90"/>
      <c r="D118" s="138"/>
    </row>
    <row r="119" spans="1:4">
      <c r="A119" s="140"/>
      <c r="B119" s="138"/>
      <c r="C119" s="90"/>
      <c r="D119" s="138"/>
    </row>
    <row r="120" spans="1:4">
      <c r="A120" s="140"/>
      <c r="B120" s="138"/>
      <c r="C120" s="90"/>
      <c r="D120" s="138"/>
    </row>
    <row r="121" spans="1:4">
      <c r="A121" s="140"/>
      <c r="B121" s="138"/>
      <c r="C121" s="90"/>
      <c r="D121" s="138"/>
    </row>
    <row r="122" spans="1:4">
      <c r="A122" s="140"/>
      <c r="B122" s="138"/>
      <c r="C122" s="90"/>
      <c r="D122" s="138"/>
    </row>
    <row r="123" spans="1:4">
      <c r="A123" s="140"/>
      <c r="B123" s="138"/>
      <c r="C123" s="90"/>
      <c r="D123" s="138"/>
    </row>
    <row r="124" spans="1:4">
      <c r="A124" s="140"/>
      <c r="B124" s="138"/>
      <c r="C124" s="90"/>
      <c r="D124" s="138"/>
    </row>
    <row r="125" spans="1:4">
      <c r="A125" s="140"/>
      <c r="B125" s="138"/>
      <c r="C125" s="90"/>
      <c r="D125" s="138"/>
    </row>
    <row r="126" spans="1:4">
      <c r="A126" s="140"/>
      <c r="B126" s="138"/>
      <c r="C126" s="90"/>
      <c r="D126" s="138"/>
    </row>
    <row r="127" spans="1:4">
      <c r="A127" s="140"/>
      <c r="B127" s="138"/>
      <c r="C127" s="90"/>
      <c r="D127" s="138"/>
    </row>
    <row r="128" spans="1:4">
      <c r="A128" s="140"/>
      <c r="B128" s="138"/>
      <c r="C128" s="90"/>
      <c r="D128" s="138"/>
    </row>
    <row r="129" spans="1:4">
      <c r="A129" s="140"/>
      <c r="B129" s="138"/>
      <c r="C129" s="90"/>
      <c r="D129" s="138"/>
    </row>
    <row r="130" spans="1:4">
      <c r="A130" s="140"/>
      <c r="B130" s="138"/>
      <c r="C130" s="90"/>
      <c r="D130" s="138"/>
    </row>
    <row r="131" spans="1:4">
      <c r="A131" s="140"/>
      <c r="B131" s="138"/>
      <c r="C131" s="90"/>
      <c r="D131" s="138"/>
    </row>
    <row r="132" spans="1:4">
      <c r="A132" s="140"/>
      <c r="B132" s="138"/>
      <c r="C132" s="90"/>
      <c r="D132" s="138"/>
    </row>
    <row r="133" spans="1:4">
      <c r="A133" s="140"/>
      <c r="B133" s="138"/>
      <c r="C133" s="90"/>
      <c r="D133" s="138"/>
    </row>
    <row r="134" spans="1:4">
      <c r="A134" s="140"/>
      <c r="B134" s="138"/>
      <c r="C134" s="90"/>
      <c r="D134" s="138"/>
    </row>
    <row r="135" spans="1:4">
      <c r="A135" s="140"/>
      <c r="B135" s="138"/>
      <c r="C135" s="138"/>
      <c r="D135" s="138"/>
    </row>
    <row r="136" spans="1:4">
      <c r="A136" s="140"/>
      <c r="B136" s="138"/>
      <c r="C136" s="90"/>
      <c r="D136" s="138"/>
    </row>
    <row r="137" spans="1:4">
      <c r="A137" s="140"/>
      <c r="B137" s="138"/>
      <c r="C137" s="90"/>
      <c r="D137" s="138"/>
    </row>
    <row r="138" spans="1:4">
      <c r="A138" s="140"/>
      <c r="B138" s="138"/>
      <c r="C138" s="90"/>
      <c r="D138" s="138"/>
    </row>
    <row r="139" spans="1:4">
      <c r="A139" s="140"/>
      <c r="B139" s="138"/>
      <c r="C139" s="90"/>
      <c r="D139" s="138"/>
    </row>
    <row r="140" spans="1:4">
      <c r="A140" s="140"/>
      <c r="B140" s="138"/>
      <c r="C140" s="90"/>
      <c r="D140" s="138"/>
    </row>
    <row r="141" spans="1:4">
      <c r="A141" s="140"/>
      <c r="B141" s="138"/>
      <c r="C141" s="90"/>
      <c r="D141" s="138"/>
    </row>
    <row r="142" spans="1:4">
      <c r="A142" s="140"/>
      <c r="B142" s="138"/>
      <c r="C142" s="90"/>
      <c r="D142" s="138"/>
    </row>
    <row r="143" spans="1:4">
      <c r="A143" s="140"/>
      <c r="B143" s="138"/>
      <c r="C143" s="90"/>
      <c r="D143" s="138"/>
    </row>
    <row r="144" spans="1:4">
      <c r="A144" s="140"/>
      <c r="B144" s="138"/>
      <c r="C144" s="90"/>
      <c r="D144" s="138"/>
    </row>
    <row r="145" spans="1:4">
      <c r="A145" s="140"/>
      <c r="B145" s="138"/>
      <c r="C145" s="90"/>
      <c r="D145" s="138"/>
    </row>
    <row r="146" spans="1:4">
      <c r="A146" s="140"/>
      <c r="B146" s="138"/>
      <c r="C146" s="90"/>
      <c r="D146" s="138"/>
    </row>
    <row r="147" spans="1:4">
      <c r="A147" s="140"/>
      <c r="B147" s="138"/>
      <c r="C147" s="90"/>
      <c r="D147" s="138"/>
    </row>
    <row r="148" spans="1:4">
      <c r="A148" s="140"/>
      <c r="B148" s="138"/>
      <c r="C148" s="90"/>
      <c r="D148" s="138"/>
    </row>
    <row r="149" spans="1:4">
      <c r="A149" s="140"/>
      <c r="B149" s="138"/>
      <c r="C149" s="90"/>
      <c r="D149" s="138"/>
    </row>
    <row r="150" spans="1:4">
      <c r="A150" s="140"/>
      <c r="B150" s="138"/>
      <c r="C150" s="90"/>
      <c r="D150" s="138"/>
    </row>
    <row r="151" spans="1:4">
      <c r="A151" s="140"/>
      <c r="B151" s="138"/>
      <c r="C151" s="90"/>
      <c r="D151" s="138"/>
    </row>
    <row r="152" spans="1:4">
      <c r="A152" s="140"/>
      <c r="B152" s="138"/>
      <c r="C152" s="90"/>
      <c r="D152" s="138"/>
    </row>
    <row r="153" spans="1:4">
      <c r="A153" s="140"/>
      <c r="B153" s="138"/>
      <c r="C153" s="90"/>
      <c r="D153" s="138"/>
    </row>
    <row r="154" spans="1:4">
      <c r="A154" s="140"/>
      <c r="B154" s="138"/>
      <c r="C154" s="90"/>
      <c r="D154" s="138"/>
    </row>
    <row r="155" spans="1:4">
      <c r="A155" s="140"/>
      <c r="B155" s="138"/>
      <c r="C155" s="90"/>
      <c r="D155" s="138"/>
    </row>
    <row r="156" spans="1:4">
      <c r="A156" s="140"/>
      <c r="B156" s="138"/>
      <c r="C156" s="90"/>
      <c r="D156" s="138"/>
    </row>
    <row r="157" spans="1:4">
      <c r="A157" s="140"/>
      <c r="B157" s="138"/>
      <c r="C157" s="90"/>
      <c r="D157" s="138"/>
    </row>
    <row r="158" spans="1:4">
      <c r="A158" s="140"/>
      <c r="B158" s="138"/>
      <c r="C158" s="90"/>
      <c r="D158" s="138"/>
    </row>
    <row r="159" spans="1:4">
      <c r="A159" s="140"/>
      <c r="B159" s="138"/>
      <c r="C159" s="90"/>
      <c r="D159" s="138"/>
    </row>
    <row r="160" spans="1:4">
      <c r="A160" s="140"/>
      <c r="B160" s="138"/>
      <c r="C160" s="90"/>
      <c r="D160" s="138"/>
    </row>
    <row r="161" spans="1:4">
      <c r="A161" s="140"/>
      <c r="B161" s="138"/>
      <c r="C161" s="90"/>
      <c r="D161" s="138"/>
    </row>
    <row r="162" spans="1:4">
      <c r="A162" s="140"/>
      <c r="B162" s="138"/>
      <c r="C162" s="90"/>
      <c r="D162" s="138"/>
    </row>
    <row r="163" spans="1:4">
      <c r="A163" s="140"/>
      <c r="B163" s="138"/>
      <c r="C163" s="90"/>
      <c r="D163" s="138"/>
    </row>
    <row r="164" spans="1:4">
      <c r="A164" s="140"/>
      <c r="B164" s="138"/>
      <c r="C164" s="90"/>
      <c r="D164" s="138"/>
    </row>
    <row r="165" spans="1:4">
      <c r="A165" s="140"/>
      <c r="B165" s="138"/>
      <c r="C165" s="90"/>
      <c r="D165" s="138"/>
    </row>
    <row r="166" spans="1:4">
      <c r="A166" s="140"/>
      <c r="B166" s="138"/>
      <c r="C166" s="90"/>
      <c r="D166" s="138"/>
    </row>
    <row r="167" spans="1:4">
      <c r="A167" s="140"/>
      <c r="B167" s="138"/>
      <c r="C167" s="90"/>
      <c r="D167" s="138"/>
    </row>
    <row r="168" spans="1:4">
      <c r="A168" s="140"/>
      <c r="B168" s="138"/>
      <c r="C168" s="90"/>
      <c r="D168" s="138"/>
    </row>
    <row r="169" spans="1:4">
      <c r="A169" s="140"/>
      <c r="B169" s="138"/>
      <c r="C169" s="211"/>
      <c r="D169" s="138"/>
    </row>
    <row r="170" spans="1:4">
      <c r="A170" s="140"/>
      <c r="B170" s="138"/>
      <c r="C170" s="90"/>
      <c r="D170" s="138"/>
    </row>
    <row r="171" spans="1:4">
      <c r="A171" s="140"/>
      <c r="B171" s="138"/>
      <c r="C171" s="90"/>
      <c r="D171" s="138"/>
    </row>
    <row r="172" spans="1:4">
      <c r="A172" s="140"/>
      <c r="B172" s="138"/>
      <c r="C172" s="90"/>
      <c r="D172" s="138"/>
    </row>
    <row r="173" spans="1:4">
      <c r="A173" s="140"/>
      <c r="B173" s="138"/>
      <c r="C173" s="90"/>
      <c r="D173" s="138"/>
    </row>
    <row r="174" spans="1:4">
      <c r="A174" s="140"/>
      <c r="B174" s="138"/>
      <c r="C174" s="90"/>
      <c r="D174" s="138"/>
    </row>
    <row r="175" spans="1:4">
      <c r="A175" s="140"/>
      <c r="B175" s="138"/>
      <c r="C175" s="90"/>
      <c r="D175" s="138"/>
    </row>
    <row r="176" spans="1:4">
      <c r="A176" s="140"/>
      <c r="B176" s="138"/>
      <c r="C176" s="90"/>
      <c r="D176" s="138"/>
    </row>
    <row r="177" spans="1:4">
      <c r="A177" s="140"/>
      <c r="B177" s="138"/>
      <c r="C177" s="90"/>
      <c r="D177" s="138"/>
    </row>
    <row r="178" spans="1:4">
      <c r="A178" s="140"/>
      <c r="B178" s="138"/>
      <c r="C178" s="90"/>
      <c r="D178" s="138"/>
    </row>
    <row r="179" spans="1:4">
      <c r="A179" s="140"/>
      <c r="B179" s="138"/>
      <c r="C179" s="90"/>
      <c r="D179" s="138"/>
    </row>
    <row r="180" spans="1:4">
      <c r="A180" s="140"/>
      <c r="B180" s="138"/>
      <c r="C180" s="90"/>
      <c r="D180" s="138"/>
    </row>
    <row r="181" spans="1:4">
      <c r="A181" s="140"/>
      <c r="B181" s="138"/>
      <c r="C181" s="90"/>
      <c r="D181" s="138"/>
    </row>
    <row r="182" spans="1:4">
      <c r="A182" s="140"/>
      <c r="B182" s="138"/>
      <c r="C182" s="90"/>
      <c r="D182" s="138"/>
    </row>
    <row r="183" spans="1:4">
      <c r="A183" s="140"/>
      <c r="B183" s="138"/>
      <c r="C183" s="90"/>
      <c r="D183" s="138"/>
    </row>
    <row r="184" spans="1:4">
      <c r="A184" s="140"/>
      <c r="B184" s="138"/>
      <c r="C184" s="90"/>
      <c r="D184" s="138"/>
    </row>
    <row r="185" spans="1:4">
      <c r="A185" s="140"/>
      <c r="B185" s="138"/>
      <c r="C185" s="90"/>
      <c r="D185" s="138"/>
    </row>
    <row r="186" spans="1:4">
      <c r="A186" s="140"/>
      <c r="B186" s="138"/>
      <c r="C186" s="90"/>
      <c r="D186" s="138"/>
    </row>
    <row r="187" spans="1:4">
      <c r="A187" s="140"/>
      <c r="B187" s="138"/>
      <c r="C187" s="90"/>
      <c r="D187" s="138"/>
    </row>
    <row r="188" spans="1:4">
      <c r="A188" s="140"/>
      <c r="B188" s="138"/>
      <c r="C188" s="90"/>
      <c r="D188" s="138"/>
    </row>
    <row r="189" spans="1:4">
      <c r="A189" s="140"/>
      <c r="B189" s="138"/>
      <c r="C189" s="90"/>
      <c r="D189" s="138"/>
    </row>
    <row r="190" spans="1:4">
      <c r="A190" s="140"/>
      <c r="B190" s="138"/>
      <c r="C190" s="90"/>
      <c r="D190" s="138"/>
    </row>
    <row r="191" spans="1:4">
      <c r="A191" s="140"/>
      <c r="B191" s="138"/>
      <c r="C191" s="90"/>
      <c r="D191" s="138"/>
    </row>
    <row r="192" spans="1:4">
      <c r="A192" s="140"/>
      <c r="B192" s="138"/>
      <c r="C192" s="90"/>
      <c r="D192" s="138"/>
    </row>
    <row r="193" spans="1:4">
      <c r="A193" s="140"/>
      <c r="B193" s="138"/>
      <c r="C193" s="90"/>
      <c r="D193" s="138"/>
    </row>
    <row r="194" spans="1:4">
      <c r="A194" s="140"/>
      <c r="B194" s="138"/>
      <c r="C194" s="90"/>
      <c r="D194" s="138"/>
    </row>
    <row r="195" spans="1:4">
      <c r="A195" s="140"/>
      <c r="B195" s="138"/>
      <c r="C195" s="90"/>
      <c r="D195" s="138"/>
    </row>
    <row r="196" spans="1:4">
      <c r="A196" s="140"/>
      <c r="B196" s="138"/>
      <c r="C196" s="90"/>
      <c r="D196" s="138"/>
    </row>
    <row r="197" spans="1:4">
      <c r="A197" s="140"/>
      <c r="B197" s="138"/>
      <c r="C197" s="90"/>
      <c r="D197" s="138"/>
    </row>
    <row r="198" spans="1:4">
      <c r="A198" s="140"/>
      <c r="B198" s="138"/>
      <c r="C198" s="90"/>
      <c r="D198" s="138"/>
    </row>
    <row r="199" spans="1:4">
      <c r="A199" s="140"/>
      <c r="B199" s="138"/>
      <c r="C199" s="90"/>
      <c r="D199" s="138"/>
    </row>
    <row r="200" spans="1:4">
      <c r="A200" s="140"/>
      <c r="B200" s="138"/>
      <c r="C200" s="90"/>
      <c r="D200" s="138"/>
    </row>
    <row r="201" spans="1:4">
      <c r="A201" s="140"/>
      <c r="B201" s="138"/>
      <c r="C201" s="90"/>
      <c r="D201" s="138"/>
    </row>
    <row r="202" spans="1:4">
      <c r="A202" s="140"/>
      <c r="B202" s="138"/>
      <c r="C202" s="90"/>
      <c r="D202" s="138"/>
    </row>
    <row r="203" spans="1:4">
      <c r="A203" s="140"/>
      <c r="B203" s="138"/>
      <c r="C203" s="90"/>
      <c r="D203" s="138"/>
    </row>
    <row r="204" spans="1:4">
      <c r="A204" s="140"/>
      <c r="B204" s="138"/>
      <c r="C204" s="90"/>
      <c r="D204" s="138"/>
    </row>
    <row r="205" spans="1:4">
      <c r="A205" s="140"/>
      <c r="B205" s="138"/>
      <c r="C205" s="90"/>
      <c r="D205" s="138"/>
    </row>
    <row r="206" spans="1:4">
      <c r="A206" s="140"/>
      <c r="B206" s="138"/>
      <c r="C206" s="90"/>
      <c r="D206" s="138"/>
    </row>
    <row r="207" spans="1:4">
      <c r="A207" s="140"/>
      <c r="B207" s="138"/>
      <c r="C207" s="90"/>
      <c r="D207" s="138"/>
    </row>
    <row r="208" spans="1:4">
      <c r="A208" s="140"/>
      <c r="B208" s="138"/>
      <c r="C208" s="90"/>
      <c r="D208" s="138"/>
    </row>
    <row r="209" spans="1:4">
      <c r="A209" s="140"/>
      <c r="B209" s="138"/>
      <c r="C209" s="90"/>
      <c r="D209" s="138"/>
    </row>
    <row r="210" spans="1:4">
      <c r="A210" s="140"/>
      <c r="B210" s="138"/>
      <c r="C210" s="90"/>
      <c r="D210" s="138"/>
    </row>
    <row r="211" spans="1:4">
      <c r="A211" s="140"/>
      <c r="B211" s="138"/>
      <c r="C211" s="90"/>
      <c r="D211" s="138"/>
    </row>
    <row r="212" spans="1:4">
      <c r="A212" s="140"/>
      <c r="B212" s="138"/>
      <c r="C212" s="90"/>
      <c r="D212" s="138"/>
    </row>
    <row r="213" spans="1:4">
      <c r="A213" s="140"/>
      <c r="B213" s="138"/>
      <c r="C213" s="90"/>
      <c r="D213" s="138"/>
    </row>
    <row r="214" spans="1:4">
      <c r="A214" s="140"/>
      <c r="B214" s="138"/>
      <c r="C214" s="90"/>
      <c r="D214" s="138"/>
    </row>
    <row r="215" spans="1:4">
      <c r="A215" s="140"/>
      <c r="B215" s="138"/>
      <c r="C215" s="90"/>
      <c r="D215" s="138"/>
    </row>
    <row r="216" spans="1:4">
      <c r="A216" s="140"/>
      <c r="B216" s="138"/>
      <c r="C216" s="90"/>
      <c r="D216" s="138"/>
    </row>
    <row r="217" spans="1:4">
      <c r="A217" s="140"/>
      <c r="B217" s="138"/>
      <c r="C217" s="90"/>
      <c r="D217" s="138"/>
    </row>
    <row r="218" spans="1:4">
      <c r="A218" s="140"/>
      <c r="B218" s="138"/>
      <c r="C218" s="90"/>
      <c r="D218" s="138"/>
    </row>
    <row r="219" spans="1:4">
      <c r="A219" s="140"/>
      <c r="B219" s="138"/>
      <c r="C219" s="90"/>
      <c r="D219" s="138"/>
    </row>
    <row r="220" spans="1:4">
      <c r="A220" s="140"/>
      <c r="B220" s="138"/>
      <c r="C220" s="90"/>
      <c r="D220" s="138"/>
    </row>
    <row r="221" spans="1:4">
      <c r="A221" s="140"/>
      <c r="B221" s="138"/>
      <c r="C221" s="90"/>
      <c r="D221" s="138"/>
    </row>
    <row r="222" spans="1:4">
      <c r="A222" s="140"/>
      <c r="B222" s="138"/>
      <c r="C222" s="90"/>
      <c r="D222" s="138"/>
    </row>
    <row r="223" spans="1:4">
      <c r="A223" s="140"/>
      <c r="B223" s="138"/>
      <c r="C223" s="90"/>
      <c r="D223" s="138"/>
    </row>
    <row r="224" spans="1:4">
      <c r="A224" s="140"/>
      <c r="B224" s="138"/>
      <c r="C224" s="90"/>
      <c r="D224" s="138"/>
    </row>
    <row r="225" spans="1:4">
      <c r="A225" s="140"/>
      <c r="B225" s="138"/>
      <c r="C225" s="90"/>
      <c r="D225" s="138"/>
    </row>
    <row r="226" spans="1:4">
      <c r="A226" s="140"/>
      <c r="B226" s="138"/>
      <c r="C226" s="90"/>
      <c r="D226" s="138"/>
    </row>
    <row r="227" spans="1:4">
      <c r="A227" s="140"/>
      <c r="B227" s="138"/>
      <c r="C227" s="90"/>
      <c r="D227" s="138"/>
    </row>
    <row r="228" spans="1:4">
      <c r="A228" s="140"/>
      <c r="B228" s="138"/>
      <c r="C228" s="90"/>
      <c r="D228" s="138"/>
    </row>
    <row r="229" spans="1:4">
      <c r="A229" s="140"/>
      <c r="B229" s="138"/>
      <c r="C229" s="90"/>
      <c r="D229" s="138"/>
    </row>
    <row r="230" spans="1:4">
      <c r="A230" s="140"/>
      <c r="B230" s="138"/>
      <c r="C230" s="90"/>
      <c r="D230" s="138"/>
    </row>
    <row r="231" spans="1:4">
      <c r="A231" s="140"/>
      <c r="B231" s="138"/>
      <c r="C231" s="90"/>
      <c r="D231" s="138"/>
    </row>
    <row r="232" spans="1:4">
      <c r="A232" s="140"/>
      <c r="B232" s="138"/>
      <c r="C232" s="90"/>
      <c r="D232" s="138"/>
    </row>
    <row r="233" spans="1:4">
      <c r="A233" s="140"/>
      <c r="B233" s="138"/>
      <c r="C233" s="90"/>
      <c r="D233" s="138"/>
    </row>
    <row r="234" spans="1:4">
      <c r="A234" s="140"/>
      <c r="B234" s="138"/>
      <c r="C234" s="90"/>
      <c r="D234" s="138"/>
    </row>
    <row r="235" spans="1:4">
      <c r="A235" s="140"/>
      <c r="B235" s="138"/>
      <c r="C235" s="90"/>
      <c r="D235" s="138"/>
    </row>
    <row r="236" spans="1:4">
      <c r="A236" s="140"/>
      <c r="B236" s="138"/>
      <c r="C236" s="90"/>
      <c r="D236" s="138"/>
    </row>
    <row r="237" spans="1:4">
      <c r="A237" s="140"/>
      <c r="B237" s="138"/>
      <c r="C237" s="90"/>
      <c r="D237" s="138"/>
    </row>
    <row r="238" spans="1:4">
      <c r="A238" s="140"/>
      <c r="B238" s="138"/>
      <c r="C238" s="90"/>
      <c r="D238" s="138"/>
    </row>
    <row r="239" spans="1:4">
      <c r="A239" s="140"/>
      <c r="B239" s="138"/>
      <c r="C239" s="90"/>
      <c r="D239" s="138"/>
    </row>
    <row r="240" spans="1:4">
      <c r="A240" s="140"/>
      <c r="B240" s="138"/>
      <c r="C240" s="90"/>
      <c r="D240" s="138"/>
    </row>
    <row r="241" spans="1:4">
      <c r="A241" s="140"/>
      <c r="B241" s="138"/>
      <c r="C241" s="90"/>
      <c r="D241" s="138"/>
    </row>
    <row r="242" spans="1:4">
      <c r="A242" s="140"/>
      <c r="B242" s="138"/>
      <c r="C242" s="90"/>
      <c r="D242" s="138"/>
    </row>
    <row r="243" spans="1:4">
      <c r="A243" s="140"/>
      <c r="B243" s="138"/>
      <c r="C243" s="90"/>
      <c r="D243" s="138"/>
    </row>
    <row r="244" spans="1:4">
      <c r="A244" s="140"/>
      <c r="B244" s="138"/>
      <c r="C244" s="90"/>
      <c r="D244" s="138"/>
    </row>
    <row r="245" spans="1:4">
      <c r="A245" s="140"/>
      <c r="B245" s="138"/>
      <c r="C245" s="90"/>
      <c r="D245" s="138"/>
    </row>
    <row r="246" spans="1:4">
      <c r="A246" s="140"/>
      <c r="B246" s="138"/>
      <c r="C246" s="90"/>
      <c r="D246" s="138"/>
    </row>
    <row r="247" spans="1:4">
      <c r="A247" s="140"/>
      <c r="B247" s="138"/>
      <c r="C247" s="90"/>
      <c r="D247" s="138"/>
    </row>
    <row r="248" spans="1:4">
      <c r="A248" s="140"/>
      <c r="B248" s="138"/>
      <c r="C248" s="90"/>
      <c r="D248" s="138"/>
    </row>
    <row r="249" spans="1:4">
      <c r="A249" s="140"/>
      <c r="B249" s="138"/>
      <c r="C249" s="90"/>
      <c r="D249" s="138"/>
    </row>
    <row r="250" spans="1:4">
      <c r="A250" s="140"/>
      <c r="B250" s="138"/>
      <c r="C250" s="90"/>
      <c r="D250" s="138"/>
    </row>
    <row r="251" spans="1:4">
      <c r="A251" s="140"/>
      <c r="B251" s="138"/>
      <c r="C251" s="90"/>
      <c r="D251" s="138"/>
    </row>
    <row r="252" spans="1:4">
      <c r="A252" s="140"/>
      <c r="B252" s="138"/>
      <c r="C252" s="90"/>
      <c r="D252" s="138"/>
    </row>
    <row r="253" spans="1:4">
      <c r="A253" s="140"/>
      <c r="B253" s="138"/>
      <c r="C253" s="90"/>
      <c r="D253" s="138"/>
    </row>
    <row r="254" spans="1:4">
      <c r="A254" s="140"/>
      <c r="B254" s="138"/>
      <c r="C254" s="90"/>
      <c r="D254" s="138"/>
    </row>
    <row r="255" spans="1:4">
      <c r="A255" s="140"/>
      <c r="B255" s="138"/>
      <c r="C255" s="90"/>
      <c r="D255" s="138"/>
    </row>
    <row r="256" spans="1:4">
      <c r="A256" s="140"/>
      <c r="B256" s="138"/>
      <c r="C256" s="90"/>
      <c r="D256" s="138"/>
    </row>
    <row r="257" spans="1:4">
      <c r="A257" s="140"/>
      <c r="B257" s="138"/>
      <c r="C257" s="90"/>
      <c r="D257" s="138"/>
    </row>
    <row r="258" spans="1:4">
      <c r="A258" s="140"/>
      <c r="B258" s="138"/>
      <c r="C258" s="90"/>
      <c r="D258" s="138"/>
    </row>
    <row r="259" spans="1:4">
      <c r="A259" s="140"/>
      <c r="B259" s="138"/>
      <c r="C259" s="90"/>
      <c r="D259" s="138"/>
    </row>
    <row r="260" spans="1:4">
      <c r="A260" s="140"/>
      <c r="B260" s="138"/>
      <c r="C260" s="90"/>
      <c r="D260" s="138"/>
    </row>
    <row r="261" spans="1:4">
      <c r="A261" s="140"/>
      <c r="B261" s="138"/>
      <c r="C261" s="90"/>
      <c r="D261" s="138"/>
    </row>
    <row r="262" spans="1:4">
      <c r="A262" s="140"/>
      <c r="B262" s="138"/>
      <c r="C262" s="90"/>
      <c r="D262" s="138"/>
    </row>
    <row r="263" spans="1:4">
      <c r="A263" s="140"/>
      <c r="B263" s="138"/>
      <c r="C263" s="90"/>
      <c r="D263" s="138"/>
    </row>
    <row r="264" spans="1:4">
      <c r="A264" s="140"/>
      <c r="B264" s="138"/>
      <c r="C264" s="90"/>
      <c r="D264" s="138"/>
    </row>
    <row r="265" spans="1:4">
      <c r="A265" s="140"/>
      <c r="B265" s="138"/>
      <c r="C265" s="90"/>
      <c r="D265" s="138"/>
    </row>
    <row r="266" spans="1:4">
      <c r="A266" s="140"/>
      <c r="B266" s="138"/>
      <c r="C266" s="90"/>
      <c r="D266" s="138"/>
    </row>
    <row r="267" spans="1:4">
      <c r="A267" s="140"/>
      <c r="B267" s="138"/>
      <c r="C267" s="90"/>
      <c r="D267" s="138"/>
    </row>
    <row r="268" spans="1:4">
      <c r="A268" s="140"/>
      <c r="B268" s="138"/>
      <c r="C268" s="90"/>
      <c r="D268" s="138"/>
    </row>
    <row r="269" spans="1:4">
      <c r="A269" s="140"/>
      <c r="B269" s="138"/>
      <c r="C269" s="90"/>
      <c r="D269" s="138"/>
    </row>
    <row r="270" spans="1:4">
      <c r="A270" s="140"/>
      <c r="B270" s="138"/>
      <c r="C270" s="90"/>
      <c r="D270" s="138"/>
    </row>
    <row r="271" spans="1:4">
      <c r="A271" s="140"/>
      <c r="B271" s="138"/>
      <c r="C271" s="90"/>
      <c r="D271" s="138"/>
    </row>
    <row r="272" spans="1:4">
      <c r="A272" s="140"/>
      <c r="B272" s="138"/>
      <c r="C272" s="90"/>
      <c r="D272" s="138"/>
    </row>
    <row r="273" spans="1:4">
      <c r="A273" s="140"/>
      <c r="B273" s="138"/>
      <c r="C273" s="90"/>
      <c r="D273" s="138"/>
    </row>
    <row r="274" spans="1:4">
      <c r="A274" s="140"/>
      <c r="B274" s="138"/>
      <c r="C274" s="90"/>
      <c r="D274" s="138"/>
    </row>
    <row r="275" spans="1:4">
      <c r="A275" s="140"/>
      <c r="B275" s="138"/>
      <c r="C275" s="90"/>
      <c r="D275" s="138"/>
    </row>
    <row r="276" spans="1:4">
      <c r="A276" s="140"/>
      <c r="B276" s="138"/>
      <c r="C276" s="90"/>
      <c r="D276" s="138"/>
    </row>
    <row r="277" spans="1:4">
      <c r="A277" s="140"/>
      <c r="B277" s="138"/>
      <c r="C277" s="90"/>
      <c r="D277" s="138"/>
    </row>
    <row r="278" spans="1:4">
      <c r="A278" s="140"/>
      <c r="B278" s="138"/>
      <c r="C278" s="90"/>
      <c r="D278" s="138"/>
    </row>
    <row r="279" spans="1:4">
      <c r="A279" s="140"/>
      <c r="B279" s="138"/>
      <c r="C279" s="90"/>
      <c r="D279" s="138"/>
    </row>
    <row r="280" spans="1:4">
      <c r="A280" s="140"/>
      <c r="B280" s="138"/>
      <c r="C280" s="90"/>
      <c r="D280" s="138"/>
    </row>
    <row r="281" spans="1:4">
      <c r="A281" s="140"/>
      <c r="B281" s="138"/>
      <c r="C281" s="90"/>
      <c r="D281" s="138"/>
    </row>
    <row r="282" spans="1:4">
      <c r="A282" s="140"/>
      <c r="B282" s="138"/>
      <c r="C282" s="90"/>
      <c r="D282" s="138"/>
    </row>
    <row r="283" spans="1:4">
      <c r="A283" s="140"/>
      <c r="B283" s="138"/>
      <c r="C283" s="90"/>
      <c r="D283" s="138"/>
    </row>
    <row r="284" spans="1:4">
      <c r="A284" s="140"/>
      <c r="B284" s="138"/>
      <c r="C284" s="90"/>
      <c r="D284" s="138"/>
    </row>
    <row r="285" spans="1:4">
      <c r="A285" s="140"/>
      <c r="B285" s="138"/>
      <c r="C285" s="90"/>
      <c r="D285" s="138"/>
    </row>
    <row r="286" spans="1:4">
      <c r="A286" s="140"/>
      <c r="B286" s="138"/>
      <c r="C286" s="90"/>
      <c r="D286" s="138"/>
    </row>
    <row r="287" spans="1:4">
      <c r="A287" s="140"/>
      <c r="B287" s="138"/>
      <c r="C287" s="90"/>
      <c r="D287" s="138"/>
    </row>
    <row r="288" spans="1:4">
      <c r="A288" s="140"/>
      <c r="B288" s="138"/>
      <c r="C288" s="90"/>
      <c r="D288" s="138"/>
    </row>
    <row r="289" spans="1:4">
      <c r="A289" s="140"/>
      <c r="B289" s="138"/>
      <c r="C289" s="90"/>
      <c r="D289" s="138"/>
    </row>
    <row r="290" spans="1:4">
      <c r="A290" s="140"/>
      <c r="B290" s="138"/>
      <c r="C290" s="90"/>
      <c r="D290" s="138"/>
    </row>
    <row r="291" spans="1:4">
      <c r="A291" s="140"/>
      <c r="B291" s="138"/>
      <c r="C291" s="90"/>
      <c r="D291" s="138"/>
    </row>
    <row r="292" spans="1:4">
      <c r="A292" s="140"/>
      <c r="B292" s="138"/>
      <c r="C292" s="90"/>
      <c r="D292" s="138"/>
    </row>
    <row r="293" spans="1:4">
      <c r="A293" s="140"/>
      <c r="B293" s="138"/>
      <c r="C293" s="90"/>
      <c r="D293" s="138"/>
    </row>
    <row r="294" spans="1:4">
      <c r="A294" s="140"/>
      <c r="B294" s="138"/>
      <c r="C294" s="90"/>
      <c r="D294" s="138"/>
    </row>
    <row r="295" spans="1:4">
      <c r="A295" s="140"/>
      <c r="B295" s="138"/>
      <c r="C295" s="90"/>
      <c r="D295" s="138"/>
    </row>
    <row r="296" spans="1:4">
      <c r="A296" s="140"/>
      <c r="B296" s="138"/>
      <c r="C296" s="90"/>
      <c r="D296" s="138"/>
    </row>
    <row r="297" spans="1:4">
      <c r="A297" s="140"/>
      <c r="B297" s="138"/>
      <c r="C297" s="90"/>
      <c r="D297" s="138"/>
    </row>
    <row r="298" spans="1:4">
      <c r="A298" s="140"/>
      <c r="B298" s="138"/>
      <c r="C298" s="90"/>
      <c r="D298" s="138"/>
    </row>
    <row r="299" spans="1:4">
      <c r="A299" s="140"/>
      <c r="B299" s="138"/>
      <c r="C299" s="90"/>
      <c r="D299" s="138"/>
    </row>
    <row r="300" spans="1:4">
      <c r="A300" s="140"/>
      <c r="B300" s="138"/>
      <c r="C300" s="90"/>
      <c r="D300" s="138"/>
    </row>
    <row r="301" spans="1:4">
      <c r="A301" s="140"/>
      <c r="B301" s="138"/>
      <c r="C301" s="90"/>
      <c r="D301" s="138"/>
    </row>
    <row r="302" spans="1:4">
      <c r="A302" s="140"/>
      <c r="B302" s="138"/>
      <c r="C302" s="90"/>
      <c r="D302" s="138"/>
    </row>
    <row r="303" spans="1:4">
      <c r="A303" s="140"/>
      <c r="B303" s="138"/>
      <c r="C303" s="90"/>
      <c r="D303" s="138"/>
    </row>
    <row r="304" spans="1:4">
      <c r="A304" s="140"/>
      <c r="B304" s="138"/>
      <c r="C304" s="90"/>
      <c r="D304" s="138"/>
    </row>
    <row r="305" spans="1:4">
      <c r="A305" s="140"/>
      <c r="B305" s="138"/>
      <c r="C305" s="90"/>
      <c r="D305" s="138"/>
    </row>
    <row r="306" spans="1:4">
      <c r="A306" s="140"/>
      <c r="B306" s="138"/>
      <c r="C306" s="90"/>
      <c r="D306" s="138"/>
    </row>
    <row r="307" spans="1:4">
      <c r="A307" s="140"/>
      <c r="B307" s="138"/>
      <c r="C307" s="90"/>
      <c r="D307" s="138"/>
    </row>
    <row r="308" spans="1:4">
      <c r="A308" s="140"/>
      <c r="B308" s="138"/>
      <c r="C308" s="90"/>
      <c r="D308" s="138"/>
    </row>
    <row r="309" spans="1:4">
      <c r="A309" s="140"/>
      <c r="B309" s="138"/>
      <c r="C309" s="90"/>
      <c r="D309" s="138"/>
    </row>
    <row r="310" spans="1:4">
      <c r="A310" s="140"/>
      <c r="B310" s="138"/>
      <c r="C310" s="90"/>
      <c r="D310" s="138"/>
    </row>
    <row r="311" spans="1:4">
      <c r="A311" s="140"/>
      <c r="B311" s="138"/>
      <c r="C311" s="90"/>
      <c r="D311" s="138"/>
    </row>
    <row r="312" spans="1:4">
      <c r="A312" s="140"/>
      <c r="B312" s="138"/>
      <c r="C312" s="90"/>
      <c r="D312" s="138"/>
    </row>
    <row r="313" spans="1:4">
      <c r="A313" s="140"/>
      <c r="B313" s="138"/>
      <c r="C313" s="90"/>
      <c r="D313" s="138"/>
    </row>
    <row r="314" spans="1:4">
      <c r="A314" s="140"/>
      <c r="B314" s="138"/>
      <c r="C314" s="90"/>
      <c r="D314" s="138"/>
    </row>
    <row r="315" spans="1:4">
      <c r="A315" s="140"/>
      <c r="B315" s="138"/>
      <c r="C315" s="90"/>
      <c r="D315" s="138"/>
    </row>
    <row r="316" spans="1:4">
      <c r="A316" s="140"/>
      <c r="B316" s="138"/>
      <c r="C316" s="90"/>
      <c r="D316" s="138"/>
    </row>
    <row r="317" spans="1:4">
      <c r="A317" s="140"/>
      <c r="B317" s="138"/>
      <c r="C317" s="90"/>
      <c r="D317" s="138"/>
    </row>
    <row r="318" spans="1:4">
      <c r="A318" s="140"/>
      <c r="B318" s="138"/>
      <c r="C318" s="90"/>
      <c r="D318" s="138"/>
    </row>
    <row r="319" spans="1:4">
      <c r="A319" s="140"/>
      <c r="B319" s="138"/>
      <c r="C319" s="90"/>
      <c r="D319" s="138"/>
    </row>
    <row r="320" spans="1:4">
      <c r="A320" s="140"/>
      <c r="B320" s="138"/>
      <c r="C320" s="90"/>
      <c r="D320" s="138"/>
    </row>
    <row r="321" spans="1:4">
      <c r="A321" s="140"/>
      <c r="B321" s="138"/>
      <c r="C321" s="90"/>
      <c r="D321" s="138"/>
    </row>
    <row r="322" spans="1:4">
      <c r="A322" s="140"/>
      <c r="B322" s="138"/>
      <c r="C322" s="90"/>
      <c r="D322" s="138"/>
    </row>
    <row r="323" spans="1:4">
      <c r="A323" s="140"/>
      <c r="B323" s="138"/>
      <c r="C323" s="90"/>
      <c r="D323" s="138"/>
    </row>
    <row r="325" spans="1:4">
      <c r="A325" s="816"/>
      <c r="B325" s="816"/>
      <c r="C325" s="354"/>
    </row>
  </sheetData>
  <autoFilter ref="A2:D2" xr:uid="{00000000-0009-0000-0000-000017000000}"/>
  <mergeCells count="2">
    <mergeCell ref="A1:B1"/>
    <mergeCell ref="A325:B325"/>
  </mergeCells>
  <hyperlinks>
    <hyperlink ref="A1" location="DASHBOARD!A1" display="Back to Dashboard" xr:uid="{00000000-0004-0000-1700-000000000000}"/>
    <hyperlink ref="D1" location="Inventory_Hompage!A1" display="Back to Dashboard" xr:uid="{00000000-0004-0000-1700-000001000000}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3"/>
  <dimension ref="A1:D502"/>
  <sheetViews>
    <sheetView zoomScale="279" zoomScaleNormal="279" workbookViewId="0">
      <pane ySplit="2" topLeftCell="A281" activePane="bottomLeft" state="frozen"/>
      <selection pane="bottomLeft" sqref="A1:B1"/>
    </sheetView>
  </sheetViews>
  <sheetFormatPr defaultRowHeight="15"/>
  <cols>
    <col min="1" max="1" width="10.85546875" style="143" customWidth="1"/>
    <col min="2" max="2" width="10" style="1" customWidth="1"/>
    <col min="3" max="3" width="51.85546875" style="143" customWidth="1"/>
    <col min="4" max="4" width="20.42578125" style="143" customWidth="1"/>
  </cols>
  <sheetData>
    <row r="1" spans="1:4" s="233" customFormat="1" ht="26.45" customHeight="1">
      <c r="A1" s="814" t="s">
        <v>313</v>
      </c>
      <c r="B1" s="815"/>
      <c r="C1" s="311" t="s">
        <v>552</v>
      </c>
      <c r="D1" s="312" t="s">
        <v>551</v>
      </c>
    </row>
    <row r="2" spans="1:4" ht="33.75" customHeight="1">
      <c r="A2" s="234" t="s">
        <v>105</v>
      </c>
      <c r="B2" s="235" t="s">
        <v>304</v>
      </c>
      <c r="C2" s="234" t="s">
        <v>106</v>
      </c>
      <c r="D2" s="234" t="s">
        <v>107</v>
      </c>
    </row>
    <row r="3" spans="1:4" ht="15" customHeight="1">
      <c r="A3" s="215">
        <v>1</v>
      </c>
      <c r="B3" s="521" t="s">
        <v>108</v>
      </c>
      <c r="C3" s="508" t="s">
        <v>1286</v>
      </c>
      <c r="D3" s="510">
        <v>189</v>
      </c>
    </row>
    <row r="4" spans="1:4" ht="15" customHeight="1">
      <c r="A4" s="215">
        <v>1</v>
      </c>
      <c r="B4" s="521" t="s">
        <v>108</v>
      </c>
      <c r="C4" s="508" t="s">
        <v>1741</v>
      </c>
      <c r="D4" s="510">
        <v>300</v>
      </c>
    </row>
    <row r="5" spans="1:4" ht="15" customHeight="1">
      <c r="A5" s="215">
        <v>1</v>
      </c>
      <c r="B5" s="521" t="s">
        <v>108</v>
      </c>
      <c r="C5" s="508" t="s">
        <v>1284</v>
      </c>
      <c r="D5" s="510">
        <v>95</v>
      </c>
    </row>
    <row r="6" spans="1:4" ht="15" customHeight="1">
      <c r="A6" s="215">
        <v>1</v>
      </c>
      <c r="B6" s="521" t="s">
        <v>108</v>
      </c>
      <c r="C6" s="508" t="s">
        <v>1285</v>
      </c>
      <c r="D6" s="510">
        <v>92</v>
      </c>
    </row>
    <row r="7" spans="1:4" ht="15" customHeight="1">
      <c r="A7" s="215">
        <v>1</v>
      </c>
      <c r="B7" s="521" t="s">
        <v>108</v>
      </c>
      <c r="C7" s="508" t="s">
        <v>1287</v>
      </c>
      <c r="D7" s="510">
        <v>96</v>
      </c>
    </row>
    <row r="8" spans="1:4" ht="15" customHeight="1">
      <c r="A8" s="215">
        <v>1</v>
      </c>
      <c r="B8" s="521" t="s">
        <v>108</v>
      </c>
      <c r="C8" s="508" t="s">
        <v>1288</v>
      </c>
      <c r="D8" s="510">
        <v>98</v>
      </c>
    </row>
    <row r="9" spans="1:4" ht="15" customHeight="1">
      <c r="A9" s="215">
        <v>1</v>
      </c>
      <c r="B9" s="521" t="s">
        <v>108</v>
      </c>
      <c r="C9" s="508" t="s">
        <v>1289</v>
      </c>
      <c r="D9" s="510">
        <v>100</v>
      </c>
    </row>
    <row r="10" spans="1:4" ht="15" customHeight="1">
      <c r="A10" s="215">
        <v>1</v>
      </c>
      <c r="B10" s="521" t="s">
        <v>108</v>
      </c>
      <c r="C10" s="508" t="s">
        <v>1290</v>
      </c>
      <c r="D10" s="510">
        <v>89</v>
      </c>
    </row>
    <row r="11" spans="1:4" ht="15" customHeight="1">
      <c r="A11" s="215">
        <v>1</v>
      </c>
      <c r="B11" s="521" t="s">
        <v>108</v>
      </c>
      <c r="C11" s="508" t="s">
        <v>1291</v>
      </c>
      <c r="D11" s="510">
        <v>78</v>
      </c>
    </row>
    <row r="12" spans="1:4" ht="15" customHeight="1">
      <c r="A12" s="215">
        <v>1</v>
      </c>
      <c r="B12" s="521" t="s">
        <v>108</v>
      </c>
      <c r="C12" s="508" t="s">
        <v>1292</v>
      </c>
      <c r="D12" s="510">
        <v>44</v>
      </c>
    </row>
    <row r="13" spans="1:4" ht="15" customHeight="1">
      <c r="A13" s="215">
        <v>1</v>
      </c>
      <c r="B13" s="521" t="s">
        <v>108</v>
      </c>
      <c r="C13" s="508" t="s">
        <v>1293</v>
      </c>
      <c r="D13" s="510">
        <v>109</v>
      </c>
    </row>
    <row r="14" spans="1:4" ht="15" customHeight="1">
      <c r="A14" s="215">
        <v>1</v>
      </c>
      <c r="B14" s="521" t="s">
        <v>108</v>
      </c>
      <c r="C14" s="508" t="s">
        <v>1294</v>
      </c>
      <c r="D14" s="510">
        <v>58</v>
      </c>
    </row>
    <row r="15" spans="1:4" ht="15" customHeight="1">
      <c r="A15" s="215">
        <v>1</v>
      </c>
      <c r="B15" s="521" t="s">
        <v>108</v>
      </c>
      <c r="C15" s="508" t="s">
        <v>1295</v>
      </c>
      <c r="D15" s="510">
        <v>191</v>
      </c>
    </row>
    <row r="16" spans="1:4" ht="15" customHeight="1">
      <c r="A16" s="215">
        <v>1</v>
      </c>
      <c r="B16" s="521" t="s">
        <v>108</v>
      </c>
      <c r="C16" s="508" t="s">
        <v>1296</v>
      </c>
      <c r="D16" s="510">
        <v>151</v>
      </c>
    </row>
    <row r="17" spans="1:4" ht="15" customHeight="1">
      <c r="A17" s="215">
        <v>1</v>
      </c>
      <c r="B17" s="521" t="s">
        <v>108</v>
      </c>
      <c r="C17" s="508" t="s">
        <v>1740</v>
      </c>
      <c r="D17" s="510">
        <v>100</v>
      </c>
    </row>
    <row r="18" spans="1:4" ht="15" customHeight="1">
      <c r="A18" s="215">
        <v>1</v>
      </c>
      <c r="B18" s="521" t="s">
        <v>108</v>
      </c>
      <c r="C18" s="508" t="s">
        <v>1297</v>
      </c>
      <c r="D18" s="510">
        <v>185</v>
      </c>
    </row>
    <row r="19" spans="1:4" ht="15" customHeight="1">
      <c r="A19" s="215">
        <v>1</v>
      </c>
      <c r="B19" s="521" t="s">
        <v>108</v>
      </c>
      <c r="C19" s="508" t="s">
        <v>1298</v>
      </c>
      <c r="D19" s="510">
        <v>97</v>
      </c>
    </row>
    <row r="20" spans="1:4" ht="15" customHeight="1">
      <c r="A20" s="215">
        <v>1</v>
      </c>
      <c r="B20" s="521" t="s">
        <v>108</v>
      </c>
      <c r="C20" s="508" t="s">
        <v>1299</v>
      </c>
      <c r="D20" s="510">
        <v>69</v>
      </c>
    </row>
    <row r="21" spans="1:4" ht="15" customHeight="1">
      <c r="A21" s="215">
        <v>1</v>
      </c>
      <c r="B21" s="521" t="s">
        <v>108</v>
      </c>
      <c r="C21" s="508" t="s">
        <v>1300</v>
      </c>
      <c r="D21" s="510">
        <v>103</v>
      </c>
    </row>
    <row r="22" spans="1:4" ht="15" customHeight="1">
      <c r="A22" s="215">
        <v>1</v>
      </c>
      <c r="B22" s="521" t="s">
        <v>108</v>
      </c>
      <c r="C22" s="508" t="s">
        <v>1302</v>
      </c>
      <c r="D22" s="510">
        <v>50</v>
      </c>
    </row>
    <row r="23" spans="1:4" ht="15" customHeight="1">
      <c r="A23" s="215">
        <v>1</v>
      </c>
      <c r="B23" s="521" t="s">
        <v>108</v>
      </c>
      <c r="C23" s="508" t="s">
        <v>1301</v>
      </c>
      <c r="D23" s="510">
        <v>40</v>
      </c>
    </row>
    <row r="24" spans="1:4" ht="15" customHeight="1">
      <c r="A24" s="215">
        <v>1</v>
      </c>
      <c r="B24" s="521" t="s">
        <v>108</v>
      </c>
      <c r="C24" s="508" t="s">
        <v>1303</v>
      </c>
      <c r="D24" s="510">
        <v>89</v>
      </c>
    </row>
    <row r="25" spans="1:4" ht="15" customHeight="1">
      <c r="A25" s="215">
        <v>1</v>
      </c>
      <c r="B25" s="521" t="s">
        <v>108</v>
      </c>
      <c r="C25" s="508" t="s">
        <v>1304</v>
      </c>
      <c r="D25" s="510">
        <v>110</v>
      </c>
    </row>
    <row r="26" spans="1:4" ht="15" customHeight="1">
      <c r="A26" s="215">
        <v>1</v>
      </c>
      <c r="B26" s="521" t="s">
        <v>108</v>
      </c>
      <c r="C26" s="508" t="s">
        <v>1305</v>
      </c>
      <c r="D26" s="510">
        <v>167</v>
      </c>
    </row>
    <row r="27" spans="1:4" ht="15" customHeight="1">
      <c r="A27" s="215">
        <v>1</v>
      </c>
      <c r="B27" s="521" t="s">
        <v>108</v>
      </c>
      <c r="C27" s="508" t="s">
        <v>1306</v>
      </c>
      <c r="D27" s="510">
        <v>57</v>
      </c>
    </row>
    <row r="28" spans="1:4" ht="15" customHeight="1">
      <c r="A28" s="215">
        <v>1</v>
      </c>
      <c r="B28" s="521" t="s">
        <v>108</v>
      </c>
      <c r="C28" s="508" t="s">
        <v>1307</v>
      </c>
      <c r="D28" s="510">
        <v>119</v>
      </c>
    </row>
    <row r="29" spans="1:4" ht="15" customHeight="1">
      <c r="A29" s="215">
        <v>1</v>
      </c>
      <c r="B29" s="521" t="s">
        <v>108</v>
      </c>
      <c r="C29" s="508" t="s">
        <v>1308</v>
      </c>
      <c r="D29" s="510">
        <v>172</v>
      </c>
    </row>
    <row r="30" spans="1:4" ht="15" customHeight="1">
      <c r="A30" s="215">
        <v>1</v>
      </c>
      <c r="B30" s="521" t="s">
        <v>108</v>
      </c>
      <c r="C30" s="508" t="s">
        <v>1309</v>
      </c>
      <c r="D30" s="510">
        <v>99</v>
      </c>
    </row>
    <row r="31" spans="1:4" ht="15" customHeight="1">
      <c r="A31" s="215">
        <v>1</v>
      </c>
      <c r="B31" s="521" t="s">
        <v>108</v>
      </c>
      <c r="C31" s="508" t="s">
        <v>1310</v>
      </c>
      <c r="D31" s="510">
        <v>75</v>
      </c>
    </row>
    <row r="32" spans="1:4" ht="15" customHeight="1">
      <c r="A32" s="215">
        <v>1</v>
      </c>
      <c r="B32" s="521" t="s">
        <v>108</v>
      </c>
      <c r="C32" s="508" t="s">
        <v>1311</v>
      </c>
      <c r="D32" s="510">
        <v>55</v>
      </c>
    </row>
    <row r="33" spans="1:4" ht="15" customHeight="1">
      <c r="A33" s="215">
        <v>1</v>
      </c>
      <c r="B33" s="521" t="s">
        <v>108</v>
      </c>
      <c r="C33" s="508" t="s">
        <v>1312</v>
      </c>
      <c r="D33" s="510">
        <v>194</v>
      </c>
    </row>
    <row r="34" spans="1:4" ht="15" customHeight="1">
      <c r="A34" s="215">
        <v>1</v>
      </c>
      <c r="B34" s="521" t="s">
        <v>108</v>
      </c>
      <c r="C34" s="508" t="s">
        <v>1313</v>
      </c>
      <c r="D34" s="510">
        <v>184</v>
      </c>
    </row>
    <row r="35" spans="1:4" ht="15" customHeight="1">
      <c r="A35" s="215">
        <v>1</v>
      </c>
      <c r="B35" s="521" t="s">
        <v>108</v>
      </c>
      <c r="C35" s="508" t="s">
        <v>1314</v>
      </c>
      <c r="D35" s="510">
        <v>48</v>
      </c>
    </row>
    <row r="36" spans="1:4" ht="15" customHeight="1">
      <c r="A36" s="215">
        <v>1</v>
      </c>
      <c r="B36" s="521" t="s">
        <v>108</v>
      </c>
      <c r="C36" s="508" t="s">
        <v>1315</v>
      </c>
      <c r="D36" s="510">
        <v>93</v>
      </c>
    </row>
    <row r="37" spans="1:4" ht="15" customHeight="1">
      <c r="A37" s="215">
        <v>1</v>
      </c>
      <c r="B37" s="521" t="s">
        <v>108</v>
      </c>
      <c r="C37" s="508" t="s">
        <v>1316</v>
      </c>
      <c r="D37" s="510">
        <v>170</v>
      </c>
    </row>
    <row r="38" spans="1:4" ht="15" customHeight="1">
      <c r="A38" s="215">
        <v>1</v>
      </c>
      <c r="B38" s="521" t="s">
        <v>108</v>
      </c>
      <c r="C38" s="508" t="s">
        <v>1317</v>
      </c>
      <c r="D38" s="510">
        <v>82</v>
      </c>
    </row>
    <row r="39" spans="1:4" ht="15" customHeight="1">
      <c r="A39" s="215">
        <v>1</v>
      </c>
      <c r="B39" s="521" t="s">
        <v>108</v>
      </c>
      <c r="C39" s="508" t="s">
        <v>1318</v>
      </c>
      <c r="D39" s="510">
        <v>150</v>
      </c>
    </row>
    <row r="40" spans="1:4">
      <c r="A40" s="206">
        <v>2</v>
      </c>
      <c r="B40" s="106" t="s">
        <v>108</v>
      </c>
      <c r="C40" s="140" t="s">
        <v>1268</v>
      </c>
      <c r="D40" s="140">
        <v>98</v>
      </c>
    </row>
    <row r="41" spans="1:4">
      <c r="A41" s="206">
        <v>2</v>
      </c>
      <c r="B41" s="106" t="s">
        <v>108</v>
      </c>
      <c r="C41" s="140" t="s">
        <v>1269</v>
      </c>
      <c r="D41" s="140">
        <v>38</v>
      </c>
    </row>
    <row r="42" spans="1:4">
      <c r="A42" s="206">
        <v>2</v>
      </c>
      <c r="B42" s="106" t="s">
        <v>108</v>
      </c>
      <c r="C42" s="140" t="s">
        <v>1255</v>
      </c>
      <c r="D42" s="140">
        <v>60</v>
      </c>
    </row>
    <row r="43" spans="1:4">
      <c r="A43" s="206">
        <v>2</v>
      </c>
      <c r="B43" s="106" t="s">
        <v>108</v>
      </c>
      <c r="C43" s="206" t="s">
        <v>1256</v>
      </c>
      <c r="D43" s="140">
        <v>241</v>
      </c>
    </row>
    <row r="44" spans="1:4">
      <c r="A44" s="206">
        <v>2</v>
      </c>
      <c r="B44" s="106" t="s">
        <v>108</v>
      </c>
      <c r="C44" s="509" t="s">
        <v>1257</v>
      </c>
      <c r="D44" s="140">
        <v>294</v>
      </c>
    </row>
    <row r="45" spans="1:4">
      <c r="A45" s="206">
        <v>2</v>
      </c>
      <c r="B45" s="106" t="s">
        <v>108</v>
      </c>
      <c r="C45" s="206" t="s">
        <v>1258</v>
      </c>
      <c r="D45" s="140">
        <v>84</v>
      </c>
    </row>
    <row r="46" spans="1:4">
      <c r="A46" s="206">
        <v>2</v>
      </c>
      <c r="B46" s="106" t="s">
        <v>108</v>
      </c>
      <c r="C46" s="140" t="s">
        <v>1259</v>
      </c>
      <c r="D46" s="140">
        <v>115</v>
      </c>
    </row>
    <row r="47" spans="1:4">
      <c r="A47" s="206">
        <v>2</v>
      </c>
      <c r="B47" s="106" t="s">
        <v>108</v>
      </c>
      <c r="C47" s="140" t="s">
        <v>1260</v>
      </c>
      <c r="D47" s="140">
        <v>7</v>
      </c>
    </row>
    <row r="48" spans="1:4">
      <c r="A48" s="206">
        <v>2</v>
      </c>
      <c r="B48" s="106" t="s">
        <v>108</v>
      </c>
      <c r="C48" s="140" t="s">
        <v>1261</v>
      </c>
      <c r="D48" s="140">
        <v>50</v>
      </c>
    </row>
    <row r="49" spans="1:4">
      <c r="A49" s="206">
        <v>2</v>
      </c>
      <c r="B49" s="106" t="s">
        <v>108</v>
      </c>
      <c r="C49" s="140" t="s">
        <v>1262</v>
      </c>
      <c r="D49" s="140">
        <v>116</v>
      </c>
    </row>
    <row r="50" spans="1:4">
      <c r="A50" s="206">
        <v>2</v>
      </c>
      <c r="B50" s="106" t="s">
        <v>108</v>
      </c>
      <c r="C50" s="140" t="s">
        <v>1263</v>
      </c>
      <c r="D50" s="140">
        <v>128</v>
      </c>
    </row>
    <row r="51" spans="1:4">
      <c r="A51" s="206">
        <v>2</v>
      </c>
      <c r="B51" s="106" t="s">
        <v>108</v>
      </c>
      <c r="C51" s="140" t="s">
        <v>1264</v>
      </c>
      <c r="D51" s="140">
        <v>172</v>
      </c>
    </row>
    <row r="52" spans="1:4">
      <c r="A52" s="206">
        <v>2</v>
      </c>
      <c r="B52" s="106" t="s">
        <v>108</v>
      </c>
      <c r="C52" s="140" t="s">
        <v>1265</v>
      </c>
      <c r="D52" s="140">
        <v>211</v>
      </c>
    </row>
    <row r="53" spans="1:4">
      <c r="A53" s="206">
        <v>2</v>
      </c>
      <c r="B53" s="106" t="s">
        <v>108</v>
      </c>
      <c r="C53" s="140" t="s">
        <v>1266</v>
      </c>
      <c r="D53" s="140">
        <v>165</v>
      </c>
    </row>
    <row r="54" spans="1:4">
      <c r="A54" s="206">
        <v>2</v>
      </c>
      <c r="B54" s="106" t="s">
        <v>108</v>
      </c>
      <c r="C54" s="140" t="s">
        <v>1267</v>
      </c>
      <c r="D54" s="140">
        <v>161</v>
      </c>
    </row>
    <row r="55" spans="1:4">
      <c r="A55" s="206">
        <v>2</v>
      </c>
      <c r="B55" s="106" t="s">
        <v>108</v>
      </c>
      <c r="C55" s="140" t="s">
        <v>1270</v>
      </c>
      <c r="D55" s="140">
        <v>153</v>
      </c>
    </row>
    <row r="56" spans="1:4">
      <c r="A56" s="206">
        <v>2</v>
      </c>
      <c r="B56" s="106" t="s">
        <v>108</v>
      </c>
      <c r="C56" s="140" t="s">
        <v>1271</v>
      </c>
      <c r="D56" s="140">
        <v>1</v>
      </c>
    </row>
    <row r="57" spans="1:4">
      <c r="A57" s="206">
        <v>2</v>
      </c>
      <c r="B57" s="106" t="s">
        <v>108</v>
      </c>
      <c r="C57" s="140" t="s">
        <v>1272</v>
      </c>
      <c r="D57" s="140">
        <v>11</v>
      </c>
    </row>
    <row r="58" spans="1:4">
      <c r="A58" s="206">
        <v>2</v>
      </c>
      <c r="B58" s="106" t="s">
        <v>108</v>
      </c>
      <c r="C58" s="140" t="s">
        <v>1273</v>
      </c>
      <c r="D58" s="140">
        <v>50</v>
      </c>
    </row>
    <row r="59" spans="1:4">
      <c r="A59" s="206">
        <v>2</v>
      </c>
      <c r="B59" s="106" t="s">
        <v>108</v>
      </c>
      <c r="C59" s="140" t="s">
        <v>1274</v>
      </c>
      <c r="D59" s="140">
        <v>260</v>
      </c>
    </row>
    <row r="60" spans="1:4">
      <c r="A60" s="206">
        <v>2</v>
      </c>
      <c r="B60" s="106" t="s">
        <v>108</v>
      </c>
      <c r="C60" s="140" t="s">
        <v>1276</v>
      </c>
      <c r="D60" s="140">
        <v>38</v>
      </c>
    </row>
    <row r="61" spans="1:4">
      <c r="A61" s="206">
        <v>2</v>
      </c>
      <c r="B61" s="106" t="s">
        <v>108</v>
      </c>
      <c r="C61" s="140" t="s">
        <v>1275</v>
      </c>
      <c r="D61" s="140">
        <v>39</v>
      </c>
    </row>
    <row r="62" spans="1:4">
      <c r="A62" s="206">
        <v>2</v>
      </c>
      <c r="B62" s="106" t="s">
        <v>108</v>
      </c>
      <c r="C62" s="140" t="s">
        <v>1277</v>
      </c>
      <c r="D62" s="140">
        <v>173</v>
      </c>
    </row>
    <row r="63" spans="1:4">
      <c r="A63" s="206">
        <v>2</v>
      </c>
      <c r="B63" s="106" t="s">
        <v>108</v>
      </c>
      <c r="C63" s="140" t="s">
        <v>1278</v>
      </c>
      <c r="D63" s="140">
        <v>115</v>
      </c>
    </row>
    <row r="64" spans="1:4">
      <c r="A64" s="206">
        <v>2</v>
      </c>
      <c r="B64" s="106" t="s">
        <v>108</v>
      </c>
      <c r="C64" s="140" t="s">
        <v>1279</v>
      </c>
      <c r="D64" s="140">
        <v>32</v>
      </c>
    </row>
    <row r="65" spans="1:4">
      <c r="A65" s="206">
        <v>2</v>
      </c>
      <c r="B65" s="106" t="s">
        <v>108</v>
      </c>
      <c r="C65" s="140" t="s">
        <v>1280</v>
      </c>
      <c r="D65" s="140">
        <v>60</v>
      </c>
    </row>
    <row r="66" spans="1:4">
      <c r="A66" s="206">
        <v>2</v>
      </c>
      <c r="B66" s="106" t="s">
        <v>108</v>
      </c>
      <c r="C66" s="140" t="s">
        <v>1281</v>
      </c>
      <c r="D66" s="140">
        <v>71</v>
      </c>
    </row>
    <row r="67" spans="1:4">
      <c r="A67" s="206">
        <v>2</v>
      </c>
      <c r="B67" s="106" t="s">
        <v>108</v>
      </c>
      <c r="C67" s="140" t="s">
        <v>1282</v>
      </c>
      <c r="D67" s="140">
        <v>62</v>
      </c>
    </row>
    <row r="68" spans="1:4">
      <c r="A68" s="206">
        <v>2</v>
      </c>
      <c r="B68" s="106" t="s">
        <v>108</v>
      </c>
      <c r="C68" s="140" t="s">
        <v>1738</v>
      </c>
      <c r="D68" s="140">
        <v>35</v>
      </c>
    </row>
    <row r="69" spans="1:4">
      <c r="A69" s="206">
        <v>2</v>
      </c>
      <c r="B69" s="106" t="s">
        <v>108</v>
      </c>
      <c r="C69" s="140" t="s">
        <v>1739</v>
      </c>
      <c r="D69" s="140">
        <v>200</v>
      </c>
    </row>
    <row r="70" spans="1:4" ht="13.5" customHeight="1">
      <c r="A70" s="206">
        <v>2</v>
      </c>
      <c r="B70" s="106" t="s">
        <v>108</v>
      </c>
      <c r="C70" s="140" t="s">
        <v>1283</v>
      </c>
      <c r="D70" s="140">
        <v>21</v>
      </c>
    </row>
    <row r="71" spans="1:4">
      <c r="A71" s="206">
        <v>3</v>
      </c>
      <c r="B71" s="106" t="s">
        <v>108</v>
      </c>
      <c r="C71" s="140" t="s">
        <v>1323</v>
      </c>
      <c r="D71" s="140">
        <v>60</v>
      </c>
    </row>
    <row r="72" spans="1:4">
      <c r="A72" s="206">
        <v>3</v>
      </c>
      <c r="B72" s="106" t="s">
        <v>108</v>
      </c>
      <c r="C72" s="140" t="s">
        <v>1324</v>
      </c>
      <c r="D72" s="140">
        <v>52</v>
      </c>
    </row>
    <row r="73" spans="1:4">
      <c r="A73" s="206">
        <v>3</v>
      </c>
      <c r="B73" s="106" t="s">
        <v>108</v>
      </c>
      <c r="C73" s="140" t="s">
        <v>1325</v>
      </c>
      <c r="D73" s="140">
        <v>64</v>
      </c>
    </row>
    <row r="74" spans="1:4">
      <c r="A74" s="206">
        <v>3</v>
      </c>
      <c r="B74" s="106" t="s">
        <v>108</v>
      </c>
      <c r="C74" s="140" t="s">
        <v>1326</v>
      </c>
      <c r="D74" s="140">
        <v>200</v>
      </c>
    </row>
    <row r="75" spans="1:4">
      <c r="A75" s="206">
        <v>3</v>
      </c>
      <c r="B75" s="106" t="s">
        <v>108</v>
      </c>
      <c r="C75" s="140" t="s">
        <v>1327</v>
      </c>
      <c r="D75" s="140">
        <v>2</v>
      </c>
    </row>
    <row r="76" spans="1:4">
      <c r="A76" s="206">
        <v>3</v>
      </c>
      <c r="B76" s="106" t="s">
        <v>108</v>
      </c>
      <c r="C76" s="140" t="s">
        <v>1328</v>
      </c>
      <c r="D76" s="140">
        <v>147</v>
      </c>
    </row>
    <row r="77" spans="1:4">
      <c r="A77" s="206">
        <v>3</v>
      </c>
      <c r="B77" s="106" t="s">
        <v>108</v>
      </c>
      <c r="C77" s="140" t="s">
        <v>1329</v>
      </c>
      <c r="D77" s="140">
        <v>54</v>
      </c>
    </row>
    <row r="78" spans="1:4">
      <c r="A78" s="206">
        <v>3</v>
      </c>
      <c r="B78" s="106" t="s">
        <v>108</v>
      </c>
      <c r="C78" s="140" t="s">
        <v>1330</v>
      </c>
      <c r="D78" s="140">
        <v>59</v>
      </c>
    </row>
    <row r="79" spans="1:4">
      <c r="A79" s="206">
        <v>3</v>
      </c>
      <c r="B79" s="106" t="s">
        <v>108</v>
      </c>
      <c r="C79" s="140" t="s">
        <v>1331</v>
      </c>
      <c r="D79" s="140">
        <v>60</v>
      </c>
    </row>
    <row r="80" spans="1:4">
      <c r="A80" s="206">
        <v>4</v>
      </c>
      <c r="B80" s="106" t="s">
        <v>108</v>
      </c>
      <c r="C80" s="140" t="s">
        <v>1332</v>
      </c>
      <c r="D80" s="140">
        <v>177</v>
      </c>
    </row>
    <row r="81" spans="1:4">
      <c r="A81" s="206">
        <v>4</v>
      </c>
      <c r="B81" s="106" t="s">
        <v>108</v>
      </c>
      <c r="C81" s="140" t="s">
        <v>1333</v>
      </c>
      <c r="D81" s="140">
        <v>308</v>
      </c>
    </row>
    <row r="82" spans="1:4">
      <c r="A82" s="206">
        <v>4</v>
      </c>
      <c r="B82" s="106" t="s">
        <v>108</v>
      </c>
      <c r="C82" s="140" t="s">
        <v>1334</v>
      </c>
      <c r="D82" s="140">
        <v>130</v>
      </c>
    </row>
    <row r="83" spans="1:4">
      <c r="A83" s="206">
        <v>4</v>
      </c>
      <c r="B83" s="106" t="s">
        <v>108</v>
      </c>
      <c r="C83" s="140" t="s">
        <v>1335</v>
      </c>
      <c r="D83" s="140">
        <v>67</v>
      </c>
    </row>
    <row r="84" spans="1:4">
      <c r="A84" s="206">
        <v>4</v>
      </c>
      <c r="B84" s="106" t="s">
        <v>108</v>
      </c>
      <c r="C84" s="140" t="s">
        <v>1336</v>
      </c>
      <c r="D84" s="140">
        <v>248</v>
      </c>
    </row>
    <row r="85" spans="1:4">
      <c r="A85" s="206">
        <v>4</v>
      </c>
      <c r="B85" s="106" t="s">
        <v>108</v>
      </c>
      <c r="C85" s="140" t="s">
        <v>1337</v>
      </c>
      <c r="D85" s="140">
        <v>61</v>
      </c>
    </row>
    <row r="86" spans="1:4">
      <c r="A86" s="206">
        <v>4</v>
      </c>
      <c r="B86" s="106" t="s">
        <v>108</v>
      </c>
      <c r="C86" s="140" t="s">
        <v>1338</v>
      </c>
      <c r="D86" s="140">
        <v>61</v>
      </c>
    </row>
    <row r="87" spans="1:4">
      <c r="A87" s="206">
        <v>4</v>
      </c>
      <c r="B87" s="106" t="s">
        <v>108</v>
      </c>
      <c r="C87" s="140" t="s">
        <v>1339</v>
      </c>
      <c r="D87" s="140">
        <v>144</v>
      </c>
    </row>
    <row r="88" spans="1:4">
      <c r="A88" s="140">
        <v>5</v>
      </c>
      <c r="B88" s="106" t="s">
        <v>108</v>
      </c>
      <c r="C88" s="140" t="s">
        <v>1322</v>
      </c>
      <c r="D88" s="140">
        <v>48</v>
      </c>
    </row>
    <row r="89" spans="1:4">
      <c r="A89" s="140">
        <v>5</v>
      </c>
      <c r="B89" s="106" t="s">
        <v>108</v>
      </c>
      <c r="C89" s="140" t="s">
        <v>1340</v>
      </c>
      <c r="D89" s="140">
        <v>90</v>
      </c>
    </row>
    <row r="90" spans="1:4">
      <c r="A90" s="140">
        <v>5</v>
      </c>
      <c r="B90" s="106" t="s">
        <v>108</v>
      </c>
      <c r="C90" s="140" t="s">
        <v>1341</v>
      </c>
      <c r="D90" s="140">
        <v>44</v>
      </c>
    </row>
    <row r="91" spans="1:4">
      <c r="A91" s="140">
        <v>5</v>
      </c>
      <c r="B91" s="106" t="s">
        <v>108</v>
      </c>
      <c r="C91" s="140" t="s">
        <v>1342</v>
      </c>
      <c r="D91" s="140">
        <v>19</v>
      </c>
    </row>
    <row r="92" spans="1:4">
      <c r="A92" s="140">
        <v>5</v>
      </c>
      <c r="B92" s="106" t="s">
        <v>108</v>
      </c>
      <c r="C92" s="140" t="s">
        <v>1343</v>
      </c>
      <c r="D92" s="140">
        <v>79</v>
      </c>
    </row>
    <row r="93" spans="1:4">
      <c r="A93" s="140">
        <v>5</v>
      </c>
      <c r="B93" s="106" t="s">
        <v>108</v>
      </c>
      <c r="C93" s="140" t="s">
        <v>1344</v>
      </c>
      <c r="D93" s="140">
        <v>14</v>
      </c>
    </row>
    <row r="94" spans="1:4">
      <c r="A94" s="140">
        <v>5</v>
      </c>
      <c r="B94" s="106" t="s">
        <v>108</v>
      </c>
      <c r="C94" s="140" t="s">
        <v>1319</v>
      </c>
      <c r="D94" s="140">
        <v>123</v>
      </c>
    </row>
    <row r="95" spans="1:4">
      <c r="A95" s="140">
        <v>5</v>
      </c>
      <c r="B95" s="106" t="s">
        <v>108</v>
      </c>
      <c r="C95" s="140" t="s">
        <v>1345</v>
      </c>
      <c r="D95" s="140">
        <v>37</v>
      </c>
    </row>
    <row r="96" spans="1:4">
      <c r="A96" s="140">
        <v>5</v>
      </c>
      <c r="B96" s="106" t="s">
        <v>108</v>
      </c>
      <c r="C96" s="140" t="s">
        <v>1320</v>
      </c>
      <c r="D96" s="140">
        <v>272</v>
      </c>
    </row>
    <row r="97" spans="1:4">
      <c r="A97" s="140">
        <v>5</v>
      </c>
      <c r="B97" s="106" t="s">
        <v>108</v>
      </c>
      <c r="C97" s="511" t="s">
        <v>1321</v>
      </c>
      <c r="D97" s="140">
        <v>30</v>
      </c>
    </row>
    <row r="98" spans="1:4">
      <c r="A98" s="140">
        <v>6</v>
      </c>
      <c r="B98" s="106" t="s">
        <v>1347</v>
      </c>
      <c r="C98" s="140" t="s">
        <v>1348</v>
      </c>
      <c r="D98" s="140">
        <v>783</v>
      </c>
    </row>
    <row r="99" spans="1:4">
      <c r="A99" s="140">
        <v>6</v>
      </c>
      <c r="B99" s="106" t="s">
        <v>1346</v>
      </c>
      <c r="C99" s="140" t="s">
        <v>1349</v>
      </c>
      <c r="D99" s="140">
        <v>86</v>
      </c>
    </row>
    <row r="100" spans="1:4">
      <c r="A100" s="140">
        <v>6</v>
      </c>
      <c r="B100" s="106" t="s">
        <v>1346</v>
      </c>
      <c r="C100" s="140" t="s">
        <v>1350</v>
      </c>
      <c r="D100" s="140">
        <v>183</v>
      </c>
    </row>
    <row r="101" spans="1:4">
      <c r="A101" s="140">
        <v>6</v>
      </c>
      <c r="B101" s="106" t="s">
        <v>1346</v>
      </c>
      <c r="C101" s="140" t="s">
        <v>1770</v>
      </c>
      <c r="D101" s="140">
        <v>18</v>
      </c>
    </row>
    <row r="102" spans="1:4">
      <c r="A102" s="140">
        <v>6</v>
      </c>
      <c r="B102" s="106" t="s">
        <v>1346</v>
      </c>
      <c r="C102" s="140" t="s">
        <v>1343</v>
      </c>
      <c r="D102" s="140">
        <v>39</v>
      </c>
    </row>
    <row r="103" spans="1:4">
      <c r="A103" s="140">
        <v>6</v>
      </c>
      <c r="B103" s="106" t="s">
        <v>1346</v>
      </c>
      <c r="C103" s="140" t="s">
        <v>1351</v>
      </c>
      <c r="D103" s="140">
        <v>6</v>
      </c>
    </row>
    <row r="104" spans="1:4">
      <c r="A104" s="140">
        <v>6</v>
      </c>
      <c r="B104" s="106" t="s">
        <v>1347</v>
      </c>
      <c r="C104" s="140" t="s">
        <v>1354</v>
      </c>
      <c r="D104" s="140">
        <v>783</v>
      </c>
    </row>
    <row r="105" spans="1:4">
      <c r="A105" s="140">
        <v>6</v>
      </c>
      <c r="B105" s="106" t="s">
        <v>1346</v>
      </c>
      <c r="C105" s="140" t="s">
        <v>1355</v>
      </c>
      <c r="D105" s="140">
        <v>84</v>
      </c>
    </row>
    <row r="106" spans="1:4">
      <c r="A106" s="140">
        <v>6</v>
      </c>
      <c r="B106" s="106" t="s">
        <v>1346</v>
      </c>
      <c r="C106" s="140" t="s">
        <v>1356</v>
      </c>
      <c r="D106" s="140">
        <v>183</v>
      </c>
    </row>
    <row r="107" spans="1:4">
      <c r="A107" s="140">
        <v>6</v>
      </c>
      <c r="B107" s="106" t="s">
        <v>1346</v>
      </c>
      <c r="C107" s="140" t="s">
        <v>1771</v>
      </c>
      <c r="D107" s="140">
        <v>18</v>
      </c>
    </row>
    <row r="108" spans="1:4">
      <c r="A108" s="140">
        <v>6</v>
      </c>
      <c r="B108" s="106" t="s">
        <v>1346</v>
      </c>
      <c r="C108" s="140" t="s">
        <v>1357</v>
      </c>
      <c r="D108" s="140">
        <v>39</v>
      </c>
    </row>
    <row r="109" spans="1:4">
      <c r="A109" s="140">
        <v>6</v>
      </c>
      <c r="B109" s="106" t="s">
        <v>1346</v>
      </c>
      <c r="C109" s="140" t="s">
        <v>1358</v>
      </c>
      <c r="D109" s="140">
        <v>12</v>
      </c>
    </row>
    <row r="110" spans="1:4">
      <c r="A110" s="140">
        <v>7</v>
      </c>
      <c r="B110" s="106" t="s">
        <v>108</v>
      </c>
      <c r="C110" s="140" t="s">
        <v>2131</v>
      </c>
      <c r="D110" s="140">
        <v>1</v>
      </c>
    </row>
    <row r="111" spans="1:4">
      <c r="A111" s="140">
        <v>7</v>
      </c>
      <c r="B111" s="106" t="s">
        <v>1346</v>
      </c>
      <c r="C111" s="140" t="s">
        <v>1359</v>
      </c>
      <c r="D111" s="140">
        <v>15</v>
      </c>
    </row>
    <row r="112" spans="1:4">
      <c r="A112" s="140">
        <v>7</v>
      </c>
      <c r="B112" s="106" t="s">
        <v>1346</v>
      </c>
      <c r="C112" s="140" t="s">
        <v>1360</v>
      </c>
      <c r="D112" s="140">
        <v>14</v>
      </c>
    </row>
    <row r="113" spans="1:4">
      <c r="A113" s="140">
        <v>7</v>
      </c>
      <c r="B113" s="106" t="s">
        <v>1346</v>
      </c>
      <c r="C113" s="140" t="s">
        <v>1361</v>
      </c>
      <c r="D113" s="140">
        <v>39</v>
      </c>
    </row>
    <row r="114" spans="1:4">
      <c r="A114" s="140">
        <v>7</v>
      </c>
      <c r="B114" s="106" t="s">
        <v>1346</v>
      </c>
      <c r="C114" s="140" t="s">
        <v>1362</v>
      </c>
      <c r="D114" s="140">
        <v>12</v>
      </c>
    </row>
    <row r="115" spans="1:4">
      <c r="A115" s="140">
        <v>7</v>
      </c>
      <c r="B115" s="106" t="s">
        <v>108</v>
      </c>
      <c r="C115" s="140" t="s">
        <v>1363</v>
      </c>
      <c r="D115" s="140">
        <v>3</v>
      </c>
    </row>
    <row r="116" spans="1:4">
      <c r="A116" s="140">
        <v>7</v>
      </c>
      <c r="B116" s="106" t="s">
        <v>1346</v>
      </c>
      <c r="C116" s="140" t="s">
        <v>1364</v>
      </c>
      <c r="D116" s="140">
        <v>2</v>
      </c>
    </row>
    <row r="117" spans="1:4">
      <c r="A117" s="140">
        <v>7</v>
      </c>
      <c r="B117" s="106" t="s">
        <v>108</v>
      </c>
      <c r="C117" s="140" t="s">
        <v>1365</v>
      </c>
      <c r="D117" s="140">
        <v>15</v>
      </c>
    </row>
    <row r="118" spans="1:4">
      <c r="A118" s="140">
        <v>7</v>
      </c>
      <c r="B118" s="106" t="s">
        <v>1346</v>
      </c>
      <c r="C118" s="140" t="s">
        <v>1366</v>
      </c>
      <c r="D118" s="140">
        <v>1</v>
      </c>
    </row>
    <row r="119" spans="1:4">
      <c r="A119" s="140">
        <v>7</v>
      </c>
      <c r="B119" s="106" t="s">
        <v>1346</v>
      </c>
      <c r="C119" s="140" t="s">
        <v>1367</v>
      </c>
      <c r="D119" s="140">
        <v>3</v>
      </c>
    </row>
    <row r="120" spans="1:4">
      <c r="A120" s="140">
        <v>7</v>
      </c>
      <c r="B120" s="106" t="s">
        <v>1346</v>
      </c>
      <c r="C120" s="140" t="s">
        <v>1368</v>
      </c>
      <c r="D120" s="140">
        <v>1</v>
      </c>
    </row>
    <row r="121" spans="1:4">
      <c r="A121" s="140">
        <v>7</v>
      </c>
      <c r="B121" s="106" t="s">
        <v>1346</v>
      </c>
      <c r="C121" s="140" t="s">
        <v>1369</v>
      </c>
      <c r="D121" s="140">
        <v>1</v>
      </c>
    </row>
    <row r="122" spans="1:4">
      <c r="A122" s="140">
        <v>7</v>
      </c>
      <c r="B122" s="106" t="s">
        <v>1346</v>
      </c>
      <c r="C122" s="140" t="s">
        <v>1370</v>
      </c>
      <c r="D122" s="140">
        <v>3</v>
      </c>
    </row>
    <row r="123" spans="1:4">
      <c r="A123" s="140">
        <v>7</v>
      </c>
      <c r="B123" s="106" t="s">
        <v>1346</v>
      </c>
      <c r="C123" s="140" t="s">
        <v>1371</v>
      </c>
      <c r="D123" s="140">
        <v>14</v>
      </c>
    </row>
    <row r="124" spans="1:4">
      <c r="A124" s="140">
        <v>7</v>
      </c>
      <c r="B124" s="106" t="s">
        <v>1346</v>
      </c>
      <c r="C124" s="140" t="s">
        <v>1372</v>
      </c>
      <c r="D124" s="140">
        <v>5</v>
      </c>
    </row>
    <row r="125" spans="1:4">
      <c r="A125" s="140">
        <v>7</v>
      </c>
      <c r="B125" s="106" t="s">
        <v>1346</v>
      </c>
      <c r="C125" s="140" t="s">
        <v>1373</v>
      </c>
      <c r="D125" s="140">
        <v>1</v>
      </c>
    </row>
    <row r="126" spans="1:4">
      <c r="A126" s="140">
        <v>7</v>
      </c>
      <c r="B126" s="106" t="s">
        <v>1346</v>
      </c>
      <c r="C126" s="140" t="s">
        <v>1374</v>
      </c>
      <c r="D126" s="140">
        <v>3</v>
      </c>
    </row>
    <row r="127" spans="1:4">
      <c r="A127" s="140">
        <v>7</v>
      </c>
      <c r="B127" s="106" t="s">
        <v>1346</v>
      </c>
      <c r="C127" s="140" t="s">
        <v>1375</v>
      </c>
      <c r="D127" s="140">
        <v>20</v>
      </c>
    </row>
    <row r="128" spans="1:4">
      <c r="A128" s="140">
        <v>7</v>
      </c>
      <c r="B128" s="106" t="s">
        <v>108</v>
      </c>
      <c r="C128" s="140" t="s">
        <v>1376</v>
      </c>
      <c r="D128" s="140">
        <v>3</v>
      </c>
    </row>
    <row r="129" spans="1:4">
      <c r="A129" s="140">
        <v>8</v>
      </c>
      <c r="B129" s="106" t="s">
        <v>1346</v>
      </c>
      <c r="C129" s="140" t="s">
        <v>2127</v>
      </c>
      <c r="D129" s="140">
        <v>1</v>
      </c>
    </row>
    <row r="130" spans="1:4">
      <c r="A130" s="140">
        <v>8</v>
      </c>
      <c r="B130" s="106" t="s">
        <v>1346</v>
      </c>
      <c r="C130" s="140" t="s">
        <v>2126</v>
      </c>
      <c r="D130" s="140">
        <v>1</v>
      </c>
    </row>
    <row r="131" spans="1:4">
      <c r="A131" s="140">
        <v>8</v>
      </c>
      <c r="B131" s="106" t="s">
        <v>1346</v>
      </c>
      <c r="C131" s="140" t="s">
        <v>2125</v>
      </c>
      <c r="D131" s="140">
        <v>1</v>
      </c>
    </row>
    <row r="132" spans="1:4">
      <c r="A132" s="140">
        <v>8</v>
      </c>
      <c r="B132" s="106" t="s">
        <v>108</v>
      </c>
      <c r="C132" s="140" t="s">
        <v>2124</v>
      </c>
      <c r="D132" s="140">
        <v>8</v>
      </c>
    </row>
    <row r="133" spans="1:4">
      <c r="A133" s="140">
        <v>8</v>
      </c>
      <c r="B133" s="106" t="s">
        <v>108</v>
      </c>
      <c r="C133" s="140" t="s">
        <v>1377</v>
      </c>
      <c r="D133" s="140">
        <v>8</v>
      </c>
    </row>
    <row r="134" spans="1:4">
      <c r="A134" s="140">
        <v>8</v>
      </c>
      <c r="B134" s="106" t="s">
        <v>108</v>
      </c>
      <c r="C134" s="140" t="s">
        <v>1378</v>
      </c>
      <c r="D134" s="140">
        <v>70</v>
      </c>
    </row>
    <row r="135" spans="1:4">
      <c r="A135" s="140">
        <v>8</v>
      </c>
      <c r="B135" s="106" t="s">
        <v>108</v>
      </c>
      <c r="C135" s="140" t="s">
        <v>1379</v>
      </c>
      <c r="D135" s="140">
        <v>8</v>
      </c>
    </row>
    <row r="136" spans="1:4">
      <c r="A136" s="140">
        <v>8</v>
      </c>
      <c r="B136" s="106" t="s">
        <v>108</v>
      </c>
      <c r="C136" s="140" t="s">
        <v>1380</v>
      </c>
      <c r="D136" s="140">
        <v>12</v>
      </c>
    </row>
    <row r="137" spans="1:4">
      <c r="A137" s="140">
        <v>8</v>
      </c>
      <c r="B137" s="106" t="s">
        <v>108</v>
      </c>
      <c r="C137" s="512" t="s">
        <v>1352</v>
      </c>
      <c r="D137" s="140">
        <v>9</v>
      </c>
    </row>
    <row r="138" spans="1:4">
      <c r="A138" s="140">
        <v>8</v>
      </c>
      <c r="B138" s="106" t="s">
        <v>108</v>
      </c>
      <c r="C138" s="140" t="s">
        <v>1381</v>
      </c>
      <c r="D138" s="140">
        <v>3</v>
      </c>
    </row>
    <row r="139" spans="1:4">
      <c r="A139" s="140">
        <v>8</v>
      </c>
      <c r="B139" s="106" t="s">
        <v>108</v>
      </c>
      <c r="C139" s="140" t="s">
        <v>1382</v>
      </c>
      <c r="D139" s="140">
        <v>1</v>
      </c>
    </row>
    <row r="140" spans="1:4">
      <c r="A140" s="140">
        <v>8</v>
      </c>
      <c r="B140" s="106" t="s">
        <v>108</v>
      </c>
      <c r="C140" s="140" t="s">
        <v>1383</v>
      </c>
      <c r="D140" s="140">
        <v>1</v>
      </c>
    </row>
    <row r="141" spans="1:4">
      <c r="A141" s="140">
        <v>8</v>
      </c>
      <c r="B141" s="106" t="s">
        <v>108</v>
      </c>
      <c r="C141" s="140" t="s">
        <v>1384</v>
      </c>
      <c r="D141" s="140">
        <v>2</v>
      </c>
    </row>
    <row r="142" spans="1:4">
      <c r="A142" s="140">
        <v>8</v>
      </c>
      <c r="B142" s="106" t="s">
        <v>108</v>
      </c>
      <c r="C142" s="140" t="s">
        <v>1385</v>
      </c>
      <c r="D142" s="140">
        <v>4</v>
      </c>
    </row>
    <row r="143" spans="1:4">
      <c r="A143" s="140">
        <v>8</v>
      </c>
      <c r="B143" s="106" t="s">
        <v>108</v>
      </c>
      <c r="C143" s="140" t="s">
        <v>1386</v>
      </c>
      <c r="D143" s="140">
        <v>2</v>
      </c>
    </row>
    <row r="144" spans="1:4">
      <c r="A144" s="140">
        <v>8</v>
      </c>
      <c r="B144" s="106" t="s">
        <v>108</v>
      </c>
      <c r="C144" s="140" t="s">
        <v>1387</v>
      </c>
      <c r="D144" s="140">
        <v>10</v>
      </c>
    </row>
    <row r="145" spans="1:4">
      <c r="A145" s="140">
        <v>8</v>
      </c>
      <c r="B145" s="106" t="s">
        <v>108</v>
      </c>
      <c r="C145" s="140" t="s">
        <v>1388</v>
      </c>
      <c r="D145" s="140">
        <v>2</v>
      </c>
    </row>
    <row r="146" spans="1:4">
      <c r="A146" s="140">
        <v>8</v>
      </c>
      <c r="B146" s="106" t="s">
        <v>108</v>
      </c>
      <c r="C146" s="140" t="s">
        <v>1389</v>
      </c>
      <c r="D146" s="140">
        <v>7</v>
      </c>
    </row>
    <row r="147" spans="1:4">
      <c r="A147" s="140">
        <v>8</v>
      </c>
      <c r="B147" s="106" t="s">
        <v>108</v>
      </c>
      <c r="C147" s="140" t="s">
        <v>1390</v>
      </c>
      <c r="D147" s="140">
        <v>45</v>
      </c>
    </row>
    <row r="148" spans="1:4">
      <c r="A148" s="140">
        <v>8</v>
      </c>
      <c r="B148" s="106" t="s">
        <v>108</v>
      </c>
      <c r="C148" s="140" t="s">
        <v>1391</v>
      </c>
      <c r="D148" s="140">
        <v>33</v>
      </c>
    </row>
    <row r="149" spans="1:4">
      <c r="A149" s="140">
        <v>8</v>
      </c>
      <c r="B149" s="106" t="s">
        <v>108</v>
      </c>
      <c r="C149" s="140" t="s">
        <v>1392</v>
      </c>
      <c r="D149" s="140">
        <v>1</v>
      </c>
    </row>
    <row r="150" spans="1:4">
      <c r="A150" s="140">
        <v>8</v>
      </c>
      <c r="B150" s="106" t="s">
        <v>108</v>
      </c>
      <c r="C150" s="140" t="s">
        <v>1393</v>
      </c>
      <c r="D150" s="140">
        <v>1</v>
      </c>
    </row>
    <row r="151" spans="1:4">
      <c r="A151" s="140">
        <v>8</v>
      </c>
      <c r="B151" s="106" t="s">
        <v>108</v>
      </c>
      <c r="C151" s="140" t="s">
        <v>1353</v>
      </c>
      <c r="D151" s="140">
        <v>1</v>
      </c>
    </row>
    <row r="152" spans="1:4">
      <c r="A152" s="140">
        <v>8</v>
      </c>
      <c r="B152" s="106" t="s">
        <v>108</v>
      </c>
      <c r="C152" s="140" t="s">
        <v>1394</v>
      </c>
      <c r="D152" s="140">
        <v>10</v>
      </c>
    </row>
    <row r="153" spans="1:4">
      <c r="A153" s="140">
        <v>8</v>
      </c>
      <c r="B153" s="106" t="s">
        <v>108</v>
      </c>
      <c r="C153" s="140" t="s">
        <v>1395</v>
      </c>
      <c r="D153" s="140">
        <v>61</v>
      </c>
    </row>
    <row r="154" spans="1:4">
      <c r="A154" s="140">
        <v>8</v>
      </c>
      <c r="B154" s="106" t="s">
        <v>108</v>
      </c>
      <c r="C154" s="140" t="s">
        <v>1396</v>
      </c>
      <c r="D154" s="140">
        <v>112</v>
      </c>
    </row>
    <row r="155" spans="1:4">
      <c r="A155" s="140">
        <v>8</v>
      </c>
      <c r="B155" s="106" t="s">
        <v>108</v>
      </c>
      <c r="C155" s="140" t="s">
        <v>1397</v>
      </c>
      <c r="D155" s="140">
        <v>41</v>
      </c>
    </row>
    <row r="156" spans="1:4">
      <c r="A156" s="140">
        <v>8</v>
      </c>
      <c r="B156" s="106" t="s">
        <v>108</v>
      </c>
      <c r="C156" s="140" t="s">
        <v>1398</v>
      </c>
      <c r="D156" s="140">
        <v>9</v>
      </c>
    </row>
    <row r="157" spans="1:4">
      <c r="A157" s="140">
        <v>8</v>
      </c>
      <c r="B157" s="106" t="s">
        <v>108</v>
      </c>
      <c r="C157" s="140" t="s">
        <v>1399</v>
      </c>
      <c r="D157" s="140">
        <v>5</v>
      </c>
    </row>
    <row r="158" spans="1:4">
      <c r="A158" s="140">
        <v>8</v>
      </c>
      <c r="B158" s="106" t="s">
        <v>108</v>
      </c>
      <c r="C158" s="140" t="s">
        <v>1400</v>
      </c>
      <c r="D158" s="140">
        <v>25</v>
      </c>
    </row>
    <row r="159" spans="1:4">
      <c r="A159" s="140">
        <v>9</v>
      </c>
      <c r="B159" s="106" t="s">
        <v>108</v>
      </c>
      <c r="C159" s="140" t="s">
        <v>2130</v>
      </c>
      <c r="D159" s="140">
        <v>2</v>
      </c>
    </row>
    <row r="160" spans="1:4">
      <c r="A160" s="140">
        <v>9</v>
      </c>
      <c r="B160" s="106" t="s">
        <v>108</v>
      </c>
      <c r="C160" s="140" t="s">
        <v>2129</v>
      </c>
      <c r="D160" s="140">
        <v>2</v>
      </c>
    </row>
    <row r="161" spans="1:4">
      <c r="A161" s="140">
        <v>9</v>
      </c>
      <c r="B161" s="106" t="s">
        <v>108</v>
      </c>
      <c r="C161" s="140" t="s">
        <v>2128</v>
      </c>
      <c r="D161" s="140">
        <v>8</v>
      </c>
    </row>
    <row r="162" spans="1:4">
      <c r="A162" s="140">
        <v>9</v>
      </c>
      <c r="B162" s="106" t="s">
        <v>1346</v>
      </c>
      <c r="C162" s="140" t="s">
        <v>1401</v>
      </c>
      <c r="D162" s="140">
        <v>16</v>
      </c>
    </row>
    <row r="163" spans="1:4">
      <c r="A163" s="140">
        <v>9</v>
      </c>
      <c r="B163" s="106" t="s">
        <v>1346</v>
      </c>
      <c r="C163" s="140" t="s">
        <v>1402</v>
      </c>
      <c r="D163" s="140">
        <v>37</v>
      </c>
    </row>
    <row r="164" spans="1:4">
      <c r="A164" s="140">
        <v>9</v>
      </c>
      <c r="B164" s="106" t="s">
        <v>1346</v>
      </c>
      <c r="C164" s="140" t="s">
        <v>1403</v>
      </c>
      <c r="D164" s="140">
        <v>14</v>
      </c>
    </row>
    <row r="165" spans="1:4">
      <c r="A165" s="140">
        <v>9</v>
      </c>
      <c r="B165" s="106" t="s">
        <v>1346</v>
      </c>
      <c r="C165" s="140" t="s">
        <v>1404</v>
      </c>
      <c r="D165" s="140">
        <v>18</v>
      </c>
    </row>
    <row r="166" spans="1:4">
      <c r="A166" s="140">
        <v>9</v>
      </c>
      <c r="B166" s="106" t="s">
        <v>1346</v>
      </c>
      <c r="C166" s="140" t="s">
        <v>1405</v>
      </c>
      <c r="D166" s="140">
        <v>45</v>
      </c>
    </row>
    <row r="167" spans="1:4">
      <c r="A167" s="140">
        <v>9</v>
      </c>
      <c r="B167" s="106" t="s">
        <v>1346</v>
      </c>
      <c r="C167" s="140" t="s">
        <v>1406</v>
      </c>
      <c r="D167" s="140">
        <v>6</v>
      </c>
    </row>
    <row r="168" spans="1:4">
      <c r="A168" s="140">
        <v>9</v>
      </c>
      <c r="B168" s="106" t="s">
        <v>1346</v>
      </c>
      <c r="C168" s="140" t="s">
        <v>1407</v>
      </c>
      <c r="D168" s="140">
        <v>6</v>
      </c>
    </row>
    <row r="169" spans="1:4">
      <c r="A169" s="140">
        <v>9</v>
      </c>
      <c r="B169" s="106" t="s">
        <v>1346</v>
      </c>
      <c r="C169" s="140" t="s">
        <v>1408</v>
      </c>
      <c r="D169" s="140">
        <v>1</v>
      </c>
    </row>
    <row r="170" spans="1:4">
      <c r="A170" s="140">
        <v>9</v>
      </c>
      <c r="B170" s="106" t="s">
        <v>1346</v>
      </c>
      <c r="C170" s="140" t="s">
        <v>1409</v>
      </c>
      <c r="D170" s="140">
        <v>20</v>
      </c>
    </row>
    <row r="171" spans="1:4">
      <c r="A171" s="140">
        <v>9</v>
      </c>
      <c r="B171" s="106" t="s">
        <v>1346</v>
      </c>
      <c r="C171" s="140" t="s">
        <v>1410</v>
      </c>
      <c r="D171" s="140">
        <v>22</v>
      </c>
    </row>
    <row r="172" spans="1:4">
      <c r="A172" s="140">
        <v>9</v>
      </c>
      <c r="B172" s="106" t="s">
        <v>1346</v>
      </c>
      <c r="C172" s="140" t="s">
        <v>1411</v>
      </c>
      <c r="D172" s="140">
        <v>4</v>
      </c>
    </row>
    <row r="173" spans="1:4">
      <c r="A173" s="140">
        <v>9</v>
      </c>
      <c r="B173" s="106" t="s">
        <v>1346</v>
      </c>
      <c r="C173" s="140" t="s">
        <v>1412</v>
      </c>
      <c r="D173" s="140">
        <v>4</v>
      </c>
    </row>
    <row r="174" spans="1:4">
      <c r="A174" s="140">
        <v>9</v>
      </c>
      <c r="B174" s="106" t="s">
        <v>1346</v>
      </c>
      <c r="C174" s="140" t="s">
        <v>1413</v>
      </c>
      <c r="D174" s="140">
        <v>1</v>
      </c>
    </row>
    <row r="175" spans="1:4">
      <c r="A175" s="140">
        <v>9</v>
      </c>
      <c r="B175" s="106" t="s">
        <v>1346</v>
      </c>
      <c r="C175" s="140" t="s">
        <v>1414</v>
      </c>
      <c r="D175" s="140">
        <v>4</v>
      </c>
    </row>
    <row r="176" spans="1:4">
      <c r="A176" s="140">
        <v>9</v>
      </c>
      <c r="B176" s="106" t="s">
        <v>1346</v>
      </c>
      <c r="C176" s="140" t="s">
        <v>1415</v>
      </c>
      <c r="D176" s="140">
        <v>4</v>
      </c>
    </row>
    <row r="177" spans="1:4">
      <c r="A177" s="140">
        <v>9</v>
      </c>
      <c r="B177" s="106" t="s">
        <v>1346</v>
      </c>
      <c r="C177" s="140" t="s">
        <v>1416</v>
      </c>
      <c r="D177" s="140">
        <v>2</v>
      </c>
    </row>
    <row r="178" spans="1:4">
      <c r="A178" s="140">
        <v>9</v>
      </c>
      <c r="B178" s="106" t="s">
        <v>1346</v>
      </c>
      <c r="C178" s="140" t="s">
        <v>1413</v>
      </c>
      <c r="D178" s="140">
        <v>3</v>
      </c>
    </row>
    <row r="179" spans="1:4">
      <c r="A179" s="140">
        <v>9</v>
      </c>
      <c r="B179" s="106" t="s">
        <v>1346</v>
      </c>
      <c r="C179" s="140" t="s">
        <v>1417</v>
      </c>
      <c r="D179" s="140">
        <v>2</v>
      </c>
    </row>
    <row r="180" spans="1:4">
      <c r="A180" s="140">
        <v>10</v>
      </c>
      <c r="B180" s="106" t="s">
        <v>1346</v>
      </c>
      <c r="C180" s="140" t="s">
        <v>1418</v>
      </c>
      <c r="D180" s="140">
        <v>1</v>
      </c>
    </row>
    <row r="181" spans="1:4">
      <c r="A181" s="140">
        <v>10</v>
      </c>
      <c r="B181" s="106" t="s">
        <v>108</v>
      </c>
      <c r="C181" s="140" t="s">
        <v>1419</v>
      </c>
      <c r="D181" s="140">
        <v>62</v>
      </c>
    </row>
    <row r="182" spans="1:4">
      <c r="A182" s="140">
        <v>10</v>
      </c>
      <c r="B182" s="106" t="s">
        <v>108</v>
      </c>
      <c r="C182" s="140" t="s">
        <v>1420</v>
      </c>
      <c r="D182" s="140">
        <v>276</v>
      </c>
    </row>
    <row r="183" spans="1:4">
      <c r="A183" s="140">
        <v>10</v>
      </c>
      <c r="B183" s="106" t="s">
        <v>108</v>
      </c>
      <c r="C183" s="140" t="s">
        <v>1421</v>
      </c>
      <c r="D183" s="140">
        <v>102</v>
      </c>
    </row>
    <row r="184" spans="1:4">
      <c r="A184" s="140">
        <v>10</v>
      </c>
      <c r="B184" s="106" t="s">
        <v>108</v>
      </c>
      <c r="C184" s="140" t="s">
        <v>1422</v>
      </c>
      <c r="D184" s="140">
        <v>434</v>
      </c>
    </row>
    <row r="185" spans="1:4">
      <c r="A185" s="140">
        <v>11</v>
      </c>
      <c r="B185" s="106" t="s">
        <v>108</v>
      </c>
      <c r="C185" s="140" t="s">
        <v>1448</v>
      </c>
      <c r="D185" s="140">
        <v>2</v>
      </c>
    </row>
    <row r="186" spans="1:4">
      <c r="A186" s="140">
        <v>11</v>
      </c>
      <c r="B186" s="106" t="s">
        <v>108</v>
      </c>
      <c r="C186" s="140" t="s">
        <v>1449</v>
      </c>
      <c r="D186" s="140">
        <v>110</v>
      </c>
    </row>
    <row r="187" spans="1:4">
      <c r="A187" s="140">
        <v>11</v>
      </c>
      <c r="B187" s="106" t="s">
        <v>108</v>
      </c>
      <c r="C187" s="140" t="s">
        <v>1442</v>
      </c>
      <c r="D187" s="140">
        <v>6</v>
      </c>
    </row>
    <row r="188" spans="1:4">
      <c r="A188" s="140">
        <v>12</v>
      </c>
      <c r="B188" s="106" t="s">
        <v>108</v>
      </c>
      <c r="C188" s="140" t="s">
        <v>1443</v>
      </c>
      <c r="D188" s="140">
        <v>20</v>
      </c>
    </row>
    <row r="189" spans="1:4">
      <c r="A189" s="140">
        <v>12</v>
      </c>
      <c r="B189" s="106" t="s">
        <v>108</v>
      </c>
      <c r="C189" s="140" t="s">
        <v>1444</v>
      </c>
      <c r="D189" s="140">
        <v>1</v>
      </c>
    </row>
    <row r="190" spans="1:4">
      <c r="A190" s="140">
        <v>12</v>
      </c>
      <c r="B190" s="106" t="s">
        <v>108</v>
      </c>
      <c r="C190" s="140" t="s">
        <v>1445</v>
      </c>
      <c r="D190" s="140">
        <v>1</v>
      </c>
    </row>
    <row r="191" spans="1:4">
      <c r="A191" s="140">
        <v>12</v>
      </c>
      <c r="B191" s="106" t="s">
        <v>108</v>
      </c>
      <c r="C191" s="140" t="s">
        <v>1711</v>
      </c>
      <c r="D191" s="140">
        <v>2</v>
      </c>
    </row>
    <row r="192" spans="1:4">
      <c r="A192" s="140">
        <v>13</v>
      </c>
      <c r="B192" s="106" t="s">
        <v>108</v>
      </c>
      <c r="C192" s="140" t="s">
        <v>1743</v>
      </c>
      <c r="D192" s="140">
        <v>1</v>
      </c>
    </row>
    <row r="193" spans="1:4">
      <c r="A193" s="140">
        <v>14</v>
      </c>
      <c r="B193" s="106" t="s">
        <v>108</v>
      </c>
      <c r="C193" s="140" t="s">
        <v>1446</v>
      </c>
      <c r="D193" s="140">
        <v>960</v>
      </c>
    </row>
    <row r="194" spans="1:4">
      <c r="A194" s="140">
        <v>15</v>
      </c>
      <c r="B194" s="106" t="s">
        <v>108</v>
      </c>
      <c r="C194" s="140" t="s">
        <v>1460</v>
      </c>
      <c r="D194" s="140">
        <v>2</v>
      </c>
    </row>
    <row r="195" spans="1:4">
      <c r="A195" s="140">
        <v>15</v>
      </c>
      <c r="B195" s="106" t="s">
        <v>108</v>
      </c>
      <c r="C195" s="140" t="s">
        <v>1451</v>
      </c>
      <c r="D195" s="140">
        <v>4</v>
      </c>
    </row>
    <row r="196" spans="1:4">
      <c r="A196" s="140">
        <v>15</v>
      </c>
      <c r="B196" s="106" t="s">
        <v>108</v>
      </c>
      <c r="C196" s="140" t="s">
        <v>1452</v>
      </c>
      <c r="D196" s="140">
        <v>2</v>
      </c>
    </row>
    <row r="197" spans="1:4">
      <c r="A197" s="140">
        <v>15</v>
      </c>
      <c r="B197" s="106" t="s">
        <v>108</v>
      </c>
      <c r="C197" s="140" t="s">
        <v>1466</v>
      </c>
      <c r="D197" s="140">
        <v>4</v>
      </c>
    </row>
    <row r="198" spans="1:4">
      <c r="A198" s="140">
        <v>15</v>
      </c>
      <c r="B198" s="106" t="s">
        <v>108</v>
      </c>
      <c r="C198" s="140" t="s">
        <v>1453</v>
      </c>
      <c r="D198" s="140">
        <v>1</v>
      </c>
    </row>
    <row r="199" spans="1:4">
      <c r="A199" s="140">
        <v>15</v>
      </c>
      <c r="B199" s="106" t="s">
        <v>108</v>
      </c>
      <c r="C199" s="140" t="s">
        <v>1454</v>
      </c>
      <c r="D199" s="140">
        <v>1</v>
      </c>
    </row>
    <row r="200" spans="1:4">
      <c r="A200" s="140">
        <v>15</v>
      </c>
      <c r="B200" s="106" t="s">
        <v>108</v>
      </c>
      <c r="C200" s="140" t="s">
        <v>1455</v>
      </c>
      <c r="D200" s="140">
        <v>1</v>
      </c>
    </row>
    <row r="201" spans="1:4">
      <c r="A201" s="140">
        <v>15</v>
      </c>
      <c r="B201" s="106" t="s">
        <v>108</v>
      </c>
      <c r="C201" s="140" t="s">
        <v>1456</v>
      </c>
      <c r="D201" s="140">
        <v>3</v>
      </c>
    </row>
    <row r="202" spans="1:4">
      <c r="A202" s="140">
        <v>15</v>
      </c>
      <c r="B202" s="106" t="s">
        <v>108</v>
      </c>
      <c r="C202" s="140" t="s">
        <v>1457</v>
      </c>
      <c r="D202" s="140">
        <v>1</v>
      </c>
    </row>
    <row r="203" spans="1:4">
      <c r="A203" s="140">
        <v>15</v>
      </c>
      <c r="B203" s="106" t="s">
        <v>108</v>
      </c>
      <c r="C203" s="140" t="s">
        <v>1459</v>
      </c>
      <c r="D203" s="140">
        <v>2</v>
      </c>
    </row>
    <row r="204" spans="1:4">
      <c r="A204" s="140">
        <v>15</v>
      </c>
      <c r="B204" s="106" t="s">
        <v>108</v>
      </c>
      <c r="C204" s="140" t="s">
        <v>1458</v>
      </c>
      <c r="D204" s="140">
        <v>1</v>
      </c>
    </row>
    <row r="205" spans="1:4">
      <c r="A205" s="140">
        <v>15</v>
      </c>
      <c r="B205" s="106" t="s">
        <v>108</v>
      </c>
      <c r="C205" s="140" t="s">
        <v>1462</v>
      </c>
      <c r="D205" s="140">
        <v>2</v>
      </c>
    </row>
    <row r="206" spans="1:4">
      <c r="A206" s="140">
        <v>15</v>
      </c>
      <c r="B206" s="106" t="s">
        <v>108</v>
      </c>
      <c r="C206" s="140" t="s">
        <v>1463</v>
      </c>
      <c r="D206" s="140">
        <v>1</v>
      </c>
    </row>
    <row r="207" spans="1:4">
      <c r="A207" s="140">
        <v>15</v>
      </c>
      <c r="B207" s="106" t="s">
        <v>108</v>
      </c>
      <c r="C207" s="140" t="s">
        <v>1464</v>
      </c>
      <c r="D207" s="140">
        <v>1</v>
      </c>
    </row>
    <row r="208" spans="1:4">
      <c r="A208" s="140">
        <v>15</v>
      </c>
      <c r="B208" s="106" t="s">
        <v>108</v>
      </c>
      <c r="C208" s="140" t="s">
        <v>1465</v>
      </c>
      <c r="D208" s="140">
        <v>1</v>
      </c>
    </row>
    <row r="209" spans="1:4">
      <c r="A209" s="140">
        <v>16</v>
      </c>
      <c r="B209" s="106" t="s">
        <v>108</v>
      </c>
      <c r="C209" s="140" t="s">
        <v>1447</v>
      </c>
      <c r="D209" s="140">
        <v>1</v>
      </c>
    </row>
    <row r="210" spans="1:4">
      <c r="A210" s="140">
        <v>16</v>
      </c>
      <c r="B210" s="106" t="s">
        <v>108</v>
      </c>
      <c r="C210" s="140" t="s">
        <v>1450</v>
      </c>
      <c r="D210" s="140">
        <v>13</v>
      </c>
    </row>
    <row r="211" spans="1:4">
      <c r="A211" s="140">
        <v>16</v>
      </c>
      <c r="B211" s="106" t="s">
        <v>108</v>
      </c>
      <c r="C211" s="140" t="s">
        <v>1461</v>
      </c>
      <c r="D211" s="140">
        <v>2</v>
      </c>
    </row>
    <row r="212" spans="1:4">
      <c r="A212" s="140">
        <v>17</v>
      </c>
      <c r="B212" s="106" t="s">
        <v>108</v>
      </c>
      <c r="C212" s="140" t="s">
        <v>1742</v>
      </c>
      <c r="D212" s="140">
        <v>3</v>
      </c>
    </row>
    <row r="213" spans="1:4">
      <c r="A213" s="140">
        <v>18</v>
      </c>
      <c r="B213" s="106" t="s">
        <v>108</v>
      </c>
      <c r="C213" s="140" t="s">
        <v>1534</v>
      </c>
      <c r="D213" s="140">
        <v>1992</v>
      </c>
    </row>
    <row r="214" spans="1:4">
      <c r="A214" s="140">
        <v>18</v>
      </c>
      <c r="B214" s="106" t="s">
        <v>108</v>
      </c>
      <c r="C214" s="140" t="s">
        <v>1535</v>
      </c>
      <c r="D214" s="140">
        <v>1</v>
      </c>
    </row>
    <row r="215" spans="1:4">
      <c r="A215" s="140">
        <v>18</v>
      </c>
      <c r="B215" s="106" t="s">
        <v>108</v>
      </c>
      <c r="C215" s="140" t="s">
        <v>1536</v>
      </c>
      <c r="D215" s="140">
        <v>3</v>
      </c>
    </row>
    <row r="216" spans="1:4">
      <c r="A216" s="140">
        <v>18</v>
      </c>
      <c r="B216" s="106" t="s">
        <v>108</v>
      </c>
      <c r="C216" s="140" t="s">
        <v>1537</v>
      </c>
      <c r="D216" s="140">
        <v>1</v>
      </c>
    </row>
    <row r="217" spans="1:4">
      <c r="A217" s="140">
        <v>18</v>
      </c>
      <c r="B217" s="106" t="s">
        <v>108</v>
      </c>
      <c r="C217" s="140" t="s">
        <v>1538</v>
      </c>
      <c r="D217" s="140">
        <v>3</v>
      </c>
    </row>
    <row r="218" spans="1:4">
      <c r="A218" s="140">
        <v>18</v>
      </c>
      <c r="B218" s="106" t="s">
        <v>108</v>
      </c>
      <c r="C218" s="140" t="s">
        <v>1539</v>
      </c>
      <c r="D218" s="140">
        <v>1</v>
      </c>
    </row>
    <row r="219" spans="1:4">
      <c r="A219" s="140">
        <v>18</v>
      </c>
      <c r="B219" s="106" t="s">
        <v>1521</v>
      </c>
      <c r="C219" s="140" t="s">
        <v>1540</v>
      </c>
      <c r="D219" s="140">
        <v>2</v>
      </c>
    </row>
    <row r="220" spans="1:4">
      <c r="A220" s="140">
        <v>18</v>
      </c>
      <c r="B220" s="106" t="s">
        <v>1521</v>
      </c>
      <c r="C220" s="140" t="s">
        <v>1541</v>
      </c>
      <c r="D220" s="140">
        <v>1</v>
      </c>
    </row>
    <row r="221" spans="1:4">
      <c r="A221" s="140">
        <v>18</v>
      </c>
      <c r="B221" s="106" t="s">
        <v>1521</v>
      </c>
      <c r="C221" s="140" t="s">
        <v>1542</v>
      </c>
      <c r="D221" s="140">
        <v>1</v>
      </c>
    </row>
    <row r="222" spans="1:4">
      <c r="A222" s="140">
        <v>18</v>
      </c>
      <c r="B222" s="106" t="s">
        <v>1521</v>
      </c>
      <c r="C222" s="140" t="s">
        <v>1539</v>
      </c>
      <c r="D222" s="140">
        <v>1</v>
      </c>
    </row>
    <row r="223" spans="1:4">
      <c r="A223" s="140">
        <v>18</v>
      </c>
      <c r="B223" s="106" t="s">
        <v>1521</v>
      </c>
      <c r="C223" s="140" t="s">
        <v>1543</v>
      </c>
      <c r="D223" s="140">
        <v>1</v>
      </c>
    </row>
    <row r="224" spans="1:4">
      <c r="A224" s="140">
        <v>18</v>
      </c>
      <c r="B224" s="106" t="s">
        <v>1521</v>
      </c>
      <c r="C224" s="140" t="s">
        <v>1544</v>
      </c>
      <c r="D224" s="140">
        <v>20</v>
      </c>
    </row>
    <row r="225" spans="1:4">
      <c r="A225" s="140">
        <v>18</v>
      </c>
      <c r="B225" s="106" t="s">
        <v>1521</v>
      </c>
      <c r="C225" s="140" t="s">
        <v>1545</v>
      </c>
      <c r="D225" s="140">
        <v>1</v>
      </c>
    </row>
    <row r="226" spans="1:4">
      <c r="A226" s="140">
        <v>18</v>
      </c>
      <c r="B226" s="106" t="s">
        <v>1521</v>
      </c>
      <c r="C226" s="140" t="s">
        <v>1546</v>
      </c>
      <c r="D226" s="140">
        <v>2</v>
      </c>
    </row>
    <row r="227" spans="1:4">
      <c r="A227" s="140">
        <v>18</v>
      </c>
      <c r="B227" s="106" t="s">
        <v>1521</v>
      </c>
      <c r="C227" s="140" t="s">
        <v>1547</v>
      </c>
      <c r="D227" s="140">
        <v>3</v>
      </c>
    </row>
    <row r="228" spans="1:4">
      <c r="A228" s="140">
        <v>18</v>
      </c>
      <c r="B228" s="106" t="s">
        <v>1521</v>
      </c>
      <c r="C228" s="140" t="s">
        <v>1548</v>
      </c>
      <c r="D228" s="140">
        <v>1</v>
      </c>
    </row>
    <row r="229" spans="1:4">
      <c r="A229" s="140">
        <v>19</v>
      </c>
      <c r="B229" s="106" t="s">
        <v>108</v>
      </c>
      <c r="C229" s="140" t="s">
        <v>1509</v>
      </c>
      <c r="D229" s="140">
        <v>5</v>
      </c>
    </row>
    <row r="230" spans="1:4">
      <c r="A230" s="140">
        <v>19</v>
      </c>
      <c r="B230" s="106" t="s">
        <v>108</v>
      </c>
      <c r="C230" s="140" t="s">
        <v>1507</v>
      </c>
      <c r="D230" s="140">
        <v>6</v>
      </c>
    </row>
    <row r="231" spans="1:4">
      <c r="A231" s="140">
        <v>19</v>
      </c>
      <c r="B231" s="106" t="s">
        <v>108</v>
      </c>
      <c r="C231" s="140" t="s">
        <v>1508</v>
      </c>
      <c r="D231" s="140">
        <v>1</v>
      </c>
    </row>
    <row r="232" spans="1:4">
      <c r="A232" s="140">
        <v>19</v>
      </c>
      <c r="B232" s="106" t="s">
        <v>108</v>
      </c>
      <c r="C232" s="140" t="s">
        <v>1510</v>
      </c>
      <c r="D232" s="140">
        <v>3</v>
      </c>
    </row>
    <row r="233" spans="1:4">
      <c r="A233" s="140">
        <v>19</v>
      </c>
      <c r="B233" s="106" t="s">
        <v>108</v>
      </c>
      <c r="C233" s="140" t="s">
        <v>1511</v>
      </c>
      <c r="D233" s="140">
        <v>10</v>
      </c>
    </row>
    <row r="234" spans="1:4">
      <c r="A234" s="140">
        <v>19</v>
      </c>
      <c r="B234" s="106" t="s">
        <v>108</v>
      </c>
      <c r="C234" s="140" t="s">
        <v>1512</v>
      </c>
      <c r="D234" s="140">
        <v>50</v>
      </c>
    </row>
    <row r="235" spans="1:4">
      <c r="A235" s="140">
        <v>19</v>
      </c>
      <c r="B235" s="106" t="s">
        <v>108</v>
      </c>
      <c r="C235" s="140" t="s">
        <v>1513</v>
      </c>
      <c r="D235" s="140">
        <v>1</v>
      </c>
    </row>
    <row r="236" spans="1:4">
      <c r="A236" s="140">
        <v>19</v>
      </c>
      <c r="B236" s="106" t="s">
        <v>108</v>
      </c>
      <c r="C236" s="140" t="s">
        <v>1514</v>
      </c>
      <c r="D236" s="140">
        <v>1</v>
      </c>
    </row>
    <row r="237" spans="1:4">
      <c r="A237" s="140">
        <v>19</v>
      </c>
      <c r="B237" s="106" t="s">
        <v>1521</v>
      </c>
      <c r="C237" s="140" t="s">
        <v>1510</v>
      </c>
      <c r="D237" s="140">
        <v>100</v>
      </c>
    </row>
    <row r="238" spans="1:4">
      <c r="A238" s="140">
        <v>19</v>
      </c>
      <c r="B238" s="106" t="s">
        <v>1521</v>
      </c>
      <c r="C238" s="140" t="s">
        <v>1515</v>
      </c>
      <c r="D238" s="140">
        <v>10</v>
      </c>
    </row>
    <row r="239" spans="1:4">
      <c r="A239" s="140">
        <v>19</v>
      </c>
      <c r="B239" s="106" t="s">
        <v>1521</v>
      </c>
      <c r="C239" s="140" t="s">
        <v>1516</v>
      </c>
      <c r="D239" s="140">
        <v>4</v>
      </c>
    </row>
    <row r="240" spans="1:4">
      <c r="A240" s="140">
        <v>19</v>
      </c>
      <c r="B240" s="106" t="s">
        <v>1521</v>
      </c>
      <c r="C240" s="140" t="s">
        <v>1517</v>
      </c>
      <c r="D240" s="140">
        <v>1</v>
      </c>
    </row>
    <row r="241" spans="1:4">
      <c r="A241" s="140">
        <v>19</v>
      </c>
      <c r="B241" s="106" t="s">
        <v>1521</v>
      </c>
      <c r="C241" s="140" t="s">
        <v>1518</v>
      </c>
      <c r="D241" s="140">
        <v>1</v>
      </c>
    </row>
    <row r="242" spans="1:4">
      <c r="A242" s="140">
        <v>19</v>
      </c>
      <c r="B242" s="106" t="s">
        <v>1521</v>
      </c>
      <c r="C242" s="140" t="s">
        <v>1519</v>
      </c>
      <c r="D242" s="140">
        <v>1</v>
      </c>
    </row>
    <row r="243" spans="1:4">
      <c r="A243" s="140">
        <v>19</v>
      </c>
      <c r="B243" s="106" t="s">
        <v>1521</v>
      </c>
      <c r="C243" s="140" t="s">
        <v>1520</v>
      </c>
      <c r="D243" s="140">
        <v>1</v>
      </c>
    </row>
    <row r="244" spans="1:4">
      <c r="A244" s="140">
        <v>21</v>
      </c>
      <c r="B244" s="106" t="s">
        <v>1471</v>
      </c>
      <c r="C244" s="140" t="s">
        <v>1473</v>
      </c>
      <c r="D244" s="140">
        <v>10</v>
      </c>
    </row>
    <row r="245" spans="1:4">
      <c r="A245" s="140">
        <v>21</v>
      </c>
      <c r="B245" s="106" t="s">
        <v>1472</v>
      </c>
      <c r="C245" s="140" t="s">
        <v>1474</v>
      </c>
      <c r="D245" s="140">
        <v>6</v>
      </c>
    </row>
    <row r="246" spans="1:4">
      <c r="A246" s="140">
        <v>21</v>
      </c>
      <c r="B246" s="106" t="s">
        <v>1471</v>
      </c>
      <c r="C246" s="140" t="s">
        <v>1475</v>
      </c>
      <c r="D246" s="140">
        <v>2</v>
      </c>
    </row>
    <row r="247" spans="1:4">
      <c r="A247" s="140">
        <v>21</v>
      </c>
      <c r="B247" s="106" t="s">
        <v>1471</v>
      </c>
      <c r="C247" s="140" t="s">
        <v>1476</v>
      </c>
      <c r="D247" s="140">
        <v>2</v>
      </c>
    </row>
    <row r="248" spans="1:4">
      <c r="A248" s="140">
        <v>21</v>
      </c>
      <c r="B248" s="106" t="s">
        <v>1477</v>
      </c>
      <c r="C248" s="140" t="s">
        <v>1478</v>
      </c>
      <c r="D248" s="140">
        <v>2</v>
      </c>
    </row>
    <row r="249" spans="1:4">
      <c r="A249" s="140">
        <v>21</v>
      </c>
      <c r="B249" s="106" t="s">
        <v>1477</v>
      </c>
      <c r="C249" s="140" t="s">
        <v>1479</v>
      </c>
      <c r="D249" s="140">
        <v>1</v>
      </c>
    </row>
    <row r="250" spans="1:4">
      <c r="A250" s="140">
        <v>21</v>
      </c>
      <c r="B250" s="106" t="s">
        <v>1477</v>
      </c>
      <c r="C250" s="140" t="s">
        <v>1480</v>
      </c>
      <c r="D250" s="140">
        <v>1</v>
      </c>
    </row>
    <row r="251" spans="1:4">
      <c r="A251" s="140">
        <v>21</v>
      </c>
      <c r="B251" s="106" t="s">
        <v>1477</v>
      </c>
      <c r="C251" s="140" t="s">
        <v>1481</v>
      </c>
      <c r="D251" s="140">
        <v>1</v>
      </c>
    </row>
    <row r="252" spans="1:4">
      <c r="A252" s="140">
        <v>21</v>
      </c>
      <c r="B252" s="106" t="s">
        <v>1477</v>
      </c>
      <c r="C252" s="140" t="s">
        <v>1482</v>
      </c>
      <c r="D252" s="140">
        <v>4</v>
      </c>
    </row>
    <row r="253" spans="1:4">
      <c r="A253" s="140">
        <v>21</v>
      </c>
      <c r="B253" s="106" t="s">
        <v>1477</v>
      </c>
      <c r="C253" s="140" t="s">
        <v>1483</v>
      </c>
      <c r="D253" s="140">
        <v>10</v>
      </c>
    </row>
    <row r="254" spans="1:4">
      <c r="A254" s="140">
        <v>21</v>
      </c>
      <c r="B254" s="106" t="s">
        <v>1477</v>
      </c>
      <c r="C254" s="140" t="s">
        <v>1484</v>
      </c>
      <c r="D254" s="140">
        <v>4</v>
      </c>
    </row>
    <row r="255" spans="1:4">
      <c r="A255" s="140">
        <v>22</v>
      </c>
      <c r="B255" s="106" t="s">
        <v>1471</v>
      </c>
      <c r="C255" s="140" t="s">
        <v>1485</v>
      </c>
      <c r="D255" s="140">
        <v>1</v>
      </c>
    </row>
    <row r="256" spans="1:4">
      <c r="A256" s="140">
        <v>22</v>
      </c>
      <c r="B256" s="106" t="s">
        <v>1471</v>
      </c>
      <c r="C256" s="140" t="s">
        <v>1486</v>
      </c>
      <c r="D256" s="140">
        <v>4</v>
      </c>
    </row>
    <row r="257" spans="1:4">
      <c r="A257" s="140">
        <v>22</v>
      </c>
      <c r="B257" s="106" t="s">
        <v>1477</v>
      </c>
      <c r="C257" s="140" t="s">
        <v>1487</v>
      </c>
      <c r="D257" s="140">
        <v>4</v>
      </c>
    </row>
    <row r="258" spans="1:4">
      <c r="A258" s="140">
        <v>22</v>
      </c>
      <c r="B258" s="106" t="s">
        <v>1477</v>
      </c>
      <c r="C258" s="140" t="s">
        <v>1488</v>
      </c>
      <c r="D258" s="140">
        <v>2</v>
      </c>
    </row>
    <row r="259" spans="1:4">
      <c r="A259" s="140">
        <v>22</v>
      </c>
      <c r="B259" s="106" t="s">
        <v>1477</v>
      </c>
      <c r="C259" s="140" t="s">
        <v>1489</v>
      </c>
      <c r="D259" s="140">
        <v>4</v>
      </c>
    </row>
    <row r="260" spans="1:4">
      <c r="A260" s="140">
        <v>23</v>
      </c>
      <c r="B260" s="106" t="s">
        <v>1471</v>
      </c>
      <c r="C260" s="140" t="s">
        <v>1485</v>
      </c>
      <c r="D260" s="140">
        <v>2</v>
      </c>
    </row>
    <row r="261" spans="1:4">
      <c r="A261" s="140">
        <v>23</v>
      </c>
      <c r="B261" s="106" t="s">
        <v>1471</v>
      </c>
      <c r="C261" s="140" t="s">
        <v>1486</v>
      </c>
      <c r="D261" s="140">
        <v>4</v>
      </c>
    </row>
    <row r="262" spans="1:4">
      <c r="A262" s="140">
        <v>23</v>
      </c>
      <c r="B262" s="106" t="s">
        <v>1471</v>
      </c>
      <c r="C262" s="140" t="s">
        <v>1490</v>
      </c>
      <c r="D262" s="140">
        <v>4</v>
      </c>
    </row>
    <row r="263" spans="1:4">
      <c r="A263" s="140">
        <v>23</v>
      </c>
      <c r="B263" s="106" t="s">
        <v>1471</v>
      </c>
      <c r="C263" s="140" t="s">
        <v>1491</v>
      </c>
      <c r="D263" s="140">
        <v>1</v>
      </c>
    </row>
    <row r="264" spans="1:4">
      <c r="A264" s="140">
        <v>23</v>
      </c>
      <c r="B264" s="106" t="s">
        <v>1471</v>
      </c>
      <c r="C264" s="140" t="s">
        <v>1492</v>
      </c>
      <c r="D264" s="140">
        <v>1</v>
      </c>
    </row>
    <row r="265" spans="1:4">
      <c r="A265" s="140">
        <v>23</v>
      </c>
      <c r="B265" s="106" t="s">
        <v>1477</v>
      </c>
      <c r="C265" s="140" t="s">
        <v>1489</v>
      </c>
      <c r="D265" s="140">
        <v>1</v>
      </c>
    </row>
    <row r="266" spans="1:4">
      <c r="A266" s="140">
        <v>23</v>
      </c>
      <c r="B266" s="106" t="s">
        <v>1477</v>
      </c>
      <c r="C266" s="140" t="s">
        <v>1493</v>
      </c>
      <c r="D266" s="140">
        <v>2</v>
      </c>
    </row>
    <row r="267" spans="1:4">
      <c r="A267" s="140">
        <v>23</v>
      </c>
      <c r="B267" s="106" t="s">
        <v>1477</v>
      </c>
      <c r="C267" s="140" t="s">
        <v>1494</v>
      </c>
      <c r="D267" s="140">
        <v>2</v>
      </c>
    </row>
    <row r="268" spans="1:4">
      <c r="A268" s="140">
        <v>24</v>
      </c>
      <c r="B268" s="106" t="s">
        <v>1472</v>
      </c>
      <c r="C268" s="140" t="s">
        <v>1493</v>
      </c>
      <c r="D268" s="140">
        <v>2</v>
      </c>
    </row>
    <row r="269" spans="1:4">
      <c r="A269" s="140">
        <v>24</v>
      </c>
      <c r="B269" s="106" t="s">
        <v>1471</v>
      </c>
      <c r="C269" s="140" t="s">
        <v>1489</v>
      </c>
      <c r="D269" s="140">
        <v>1</v>
      </c>
    </row>
    <row r="270" spans="1:4">
      <c r="A270" s="140">
        <v>24</v>
      </c>
      <c r="B270" s="106" t="s">
        <v>1471</v>
      </c>
      <c r="C270" s="140" t="s">
        <v>1495</v>
      </c>
      <c r="D270" s="140">
        <v>2</v>
      </c>
    </row>
    <row r="271" spans="1:4">
      <c r="A271" s="140">
        <v>24</v>
      </c>
      <c r="B271" s="106" t="s">
        <v>1471</v>
      </c>
      <c r="C271" s="140" t="s">
        <v>1482</v>
      </c>
      <c r="D271" s="140">
        <v>3</v>
      </c>
    </row>
    <row r="272" spans="1:4">
      <c r="A272" s="140">
        <v>24</v>
      </c>
      <c r="B272" s="106" t="s">
        <v>1477</v>
      </c>
      <c r="C272" s="140" t="s">
        <v>1485</v>
      </c>
      <c r="D272" s="140">
        <v>2</v>
      </c>
    </row>
    <row r="273" spans="1:4">
      <c r="A273" s="140">
        <v>24</v>
      </c>
      <c r="B273" s="106" t="s">
        <v>1477</v>
      </c>
      <c r="C273" s="140" t="s">
        <v>1486</v>
      </c>
      <c r="D273" s="140">
        <v>4</v>
      </c>
    </row>
    <row r="274" spans="1:4">
      <c r="A274" s="140">
        <v>24</v>
      </c>
      <c r="B274" s="106" t="s">
        <v>1477</v>
      </c>
      <c r="C274" s="140" t="s">
        <v>1490</v>
      </c>
      <c r="D274" s="140">
        <v>4</v>
      </c>
    </row>
    <row r="275" spans="1:4">
      <c r="A275" s="140">
        <v>25</v>
      </c>
      <c r="B275" s="106" t="s">
        <v>1471</v>
      </c>
      <c r="C275" s="140" t="s">
        <v>1496</v>
      </c>
      <c r="D275" s="140">
        <v>1</v>
      </c>
    </row>
    <row r="276" spans="1:4">
      <c r="A276" s="140">
        <v>25</v>
      </c>
      <c r="B276" s="106" t="s">
        <v>1471</v>
      </c>
      <c r="C276" s="140" t="s">
        <v>1474</v>
      </c>
      <c r="D276" s="140">
        <v>4</v>
      </c>
    </row>
    <row r="277" spans="1:4">
      <c r="A277" s="140">
        <v>25</v>
      </c>
      <c r="B277" s="106" t="s">
        <v>1471</v>
      </c>
      <c r="C277" s="140" t="s">
        <v>1476</v>
      </c>
      <c r="D277" s="140">
        <v>2</v>
      </c>
    </row>
    <row r="278" spans="1:4">
      <c r="A278" s="140">
        <v>25</v>
      </c>
      <c r="B278" s="106" t="s">
        <v>1471</v>
      </c>
      <c r="C278" s="140" t="s">
        <v>1475</v>
      </c>
      <c r="D278" s="140">
        <v>2</v>
      </c>
    </row>
    <row r="279" spans="1:4">
      <c r="A279" s="140">
        <v>25</v>
      </c>
      <c r="B279" s="106" t="s">
        <v>1477</v>
      </c>
      <c r="C279" s="140" t="s">
        <v>1478</v>
      </c>
      <c r="D279" s="140">
        <v>2</v>
      </c>
    </row>
    <row r="280" spans="1:4">
      <c r="A280" s="140">
        <v>25</v>
      </c>
      <c r="B280" s="106" t="s">
        <v>1477</v>
      </c>
      <c r="C280" s="140" t="s">
        <v>1497</v>
      </c>
      <c r="D280" s="140">
        <v>1</v>
      </c>
    </row>
    <row r="281" spans="1:4">
      <c r="A281" s="140">
        <v>25</v>
      </c>
      <c r="B281" s="106" t="s">
        <v>1477</v>
      </c>
      <c r="C281" s="140" t="s">
        <v>1498</v>
      </c>
      <c r="D281" s="140">
        <v>1</v>
      </c>
    </row>
    <row r="282" spans="1:4">
      <c r="A282" s="140">
        <v>25</v>
      </c>
      <c r="B282" s="106" t="s">
        <v>1477</v>
      </c>
      <c r="C282" s="140" t="s">
        <v>1480</v>
      </c>
      <c r="D282" s="140">
        <v>1</v>
      </c>
    </row>
    <row r="283" spans="1:4">
      <c r="A283" s="140">
        <v>25</v>
      </c>
      <c r="B283" s="106" t="s">
        <v>1477</v>
      </c>
      <c r="C283" s="140" t="s">
        <v>1483</v>
      </c>
      <c r="D283" s="140">
        <v>1</v>
      </c>
    </row>
    <row r="284" spans="1:4">
      <c r="A284" s="140">
        <v>26</v>
      </c>
      <c r="B284" s="106" t="s">
        <v>1471</v>
      </c>
      <c r="C284" s="140" t="s">
        <v>1478</v>
      </c>
      <c r="D284" s="140">
        <v>2</v>
      </c>
    </row>
    <row r="285" spans="1:4">
      <c r="A285" s="140">
        <v>26</v>
      </c>
      <c r="B285" s="106" t="s">
        <v>1471</v>
      </c>
      <c r="C285" s="140" t="s">
        <v>1497</v>
      </c>
      <c r="D285" s="140">
        <v>1</v>
      </c>
    </row>
    <row r="286" spans="1:4">
      <c r="A286" s="140">
        <v>26</v>
      </c>
      <c r="B286" s="106" t="s">
        <v>1471</v>
      </c>
      <c r="C286" s="140" t="s">
        <v>1483</v>
      </c>
      <c r="D286" s="140">
        <v>1</v>
      </c>
    </row>
    <row r="287" spans="1:4">
      <c r="A287" s="140">
        <v>26</v>
      </c>
      <c r="B287" s="106" t="s">
        <v>1471</v>
      </c>
      <c r="C287" s="140" t="s">
        <v>1480</v>
      </c>
      <c r="D287" s="140">
        <v>3</v>
      </c>
    </row>
    <row r="288" spans="1:4">
      <c r="A288" s="140">
        <v>26</v>
      </c>
      <c r="B288" s="106" t="s">
        <v>1471</v>
      </c>
      <c r="C288" s="140" t="s">
        <v>1499</v>
      </c>
      <c r="D288" s="140">
        <v>3</v>
      </c>
    </row>
    <row r="289" spans="1:4">
      <c r="A289" s="140">
        <v>26</v>
      </c>
      <c r="B289" s="106" t="s">
        <v>1471</v>
      </c>
      <c r="C289" s="140" t="s">
        <v>1500</v>
      </c>
      <c r="D289" s="140">
        <v>4</v>
      </c>
    </row>
    <row r="290" spans="1:4">
      <c r="A290" s="140">
        <v>26</v>
      </c>
      <c r="B290" s="106" t="s">
        <v>1471</v>
      </c>
      <c r="C290" s="140" t="s">
        <v>1501</v>
      </c>
      <c r="D290" s="140">
        <v>1</v>
      </c>
    </row>
    <row r="291" spans="1:4">
      <c r="A291" s="140">
        <v>26</v>
      </c>
      <c r="B291" s="106" t="s">
        <v>1477</v>
      </c>
      <c r="C291" s="140" t="s">
        <v>1476</v>
      </c>
      <c r="D291" s="140">
        <v>3</v>
      </c>
    </row>
    <row r="292" spans="1:4">
      <c r="A292" s="140">
        <v>26</v>
      </c>
      <c r="B292" s="106" t="s">
        <v>1477</v>
      </c>
      <c r="C292" s="140" t="s">
        <v>1474</v>
      </c>
      <c r="D292" s="140">
        <v>2</v>
      </c>
    </row>
    <row r="293" spans="1:4">
      <c r="A293" s="140">
        <v>26</v>
      </c>
      <c r="B293" s="106" t="s">
        <v>1477</v>
      </c>
      <c r="C293" s="140" t="s">
        <v>1473</v>
      </c>
      <c r="D293" s="140">
        <v>2</v>
      </c>
    </row>
    <row r="294" spans="1:4">
      <c r="A294" s="140">
        <v>26</v>
      </c>
      <c r="B294" s="106" t="s">
        <v>1477</v>
      </c>
      <c r="C294" s="140" t="s">
        <v>1475</v>
      </c>
      <c r="D294" s="140">
        <v>4</v>
      </c>
    </row>
    <row r="295" spans="1:4">
      <c r="A295" s="140">
        <v>27</v>
      </c>
      <c r="B295" s="106" t="s">
        <v>1471</v>
      </c>
      <c r="C295" s="140" t="s">
        <v>1475</v>
      </c>
      <c r="D295" s="140">
        <v>2</v>
      </c>
    </row>
    <row r="296" spans="1:4">
      <c r="A296" s="140">
        <v>27</v>
      </c>
      <c r="B296" s="106" t="s">
        <v>1471</v>
      </c>
      <c r="C296" s="140" t="s">
        <v>1502</v>
      </c>
      <c r="D296" s="140">
        <v>1</v>
      </c>
    </row>
    <row r="297" spans="1:4">
      <c r="A297" s="140">
        <v>27</v>
      </c>
      <c r="B297" s="106" t="s">
        <v>1471</v>
      </c>
      <c r="C297" s="140" t="s">
        <v>1503</v>
      </c>
      <c r="D297" s="140">
        <v>1</v>
      </c>
    </row>
    <row r="298" spans="1:4">
      <c r="A298" s="140">
        <v>27</v>
      </c>
      <c r="B298" s="106" t="s">
        <v>1471</v>
      </c>
      <c r="C298" s="140" t="s">
        <v>1504</v>
      </c>
      <c r="D298" s="140">
        <v>1</v>
      </c>
    </row>
    <row r="299" spans="1:4">
      <c r="A299" s="140">
        <v>27</v>
      </c>
      <c r="B299" s="106" t="s">
        <v>1477</v>
      </c>
      <c r="C299" s="140" t="s">
        <v>1502</v>
      </c>
      <c r="D299" s="140">
        <v>1</v>
      </c>
    </row>
    <row r="300" spans="1:4">
      <c r="A300" s="140">
        <v>27</v>
      </c>
      <c r="B300" s="106" t="s">
        <v>1477</v>
      </c>
      <c r="C300" s="140" t="s">
        <v>1479</v>
      </c>
      <c r="D300" s="140">
        <v>1</v>
      </c>
    </row>
    <row r="301" spans="1:4">
      <c r="A301" s="140">
        <v>27</v>
      </c>
      <c r="B301" s="106" t="s">
        <v>1477</v>
      </c>
      <c r="C301" s="140" t="s">
        <v>1483</v>
      </c>
      <c r="D301" s="140">
        <v>1</v>
      </c>
    </row>
    <row r="302" spans="1:4">
      <c r="A302" s="140">
        <v>27</v>
      </c>
      <c r="B302" s="106" t="s">
        <v>1477</v>
      </c>
      <c r="C302" s="140" t="s">
        <v>1501</v>
      </c>
      <c r="D302" s="140">
        <v>2</v>
      </c>
    </row>
    <row r="303" spans="1:4">
      <c r="A303" s="140">
        <v>27</v>
      </c>
      <c r="B303" s="106" t="s">
        <v>1477</v>
      </c>
      <c r="C303" s="140" t="s">
        <v>1480</v>
      </c>
      <c r="D303" s="140">
        <v>3</v>
      </c>
    </row>
    <row r="304" spans="1:4">
      <c r="A304" s="140">
        <v>28</v>
      </c>
      <c r="B304" s="106" t="s">
        <v>1471</v>
      </c>
      <c r="C304" s="140" t="s">
        <v>1505</v>
      </c>
      <c r="D304" s="140">
        <v>1</v>
      </c>
    </row>
    <row r="305" spans="1:4">
      <c r="A305" s="140">
        <v>28</v>
      </c>
      <c r="B305" s="106" t="s">
        <v>1471</v>
      </c>
      <c r="C305" s="140" t="s">
        <v>1486</v>
      </c>
      <c r="D305" s="140">
        <v>2</v>
      </c>
    </row>
    <row r="306" spans="1:4">
      <c r="A306" s="140">
        <v>28</v>
      </c>
      <c r="B306" s="106" t="s">
        <v>1471</v>
      </c>
      <c r="C306" s="140" t="s">
        <v>1490</v>
      </c>
      <c r="D306" s="140">
        <v>2</v>
      </c>
    </row>
    <row r="307" spans="1:4">
      <c r="A307" s="140">
        <v>28</v>
      </c>
      <c r="B307" s="106" t="s">
        <v>1477</v>
      </c>
      <c r="C307" s="140" t="s">
        <v>1489</v>
      </c>
      <c r="D307" s="140">
        <v>1</v>
      </c>
    </row>
    <row r="308" spans="1:4">
      <c r="A308" s="140">
        <v>28</v>
      </c>
      <c r="B308" s="106" t="s">
        <v>1477</v>
      </c>
      <c r="C308" s="140" t="s">
        <v>1485</v>
      </c>
      <c r="D308" s="140">
        <v>2</v>
      </c>
    </row>
    <row r="309" spans="1:4">
      <c r="A309" s="140">
        <v>28</v>
      </c>
      <c r="B309" s="106" t="s">
        <v>1477</v>
      </c>
      <c r="C309" s="140" t="s">
        <v>1506</v>
      </c>
      <c r="D309" s="140">
        <v>2</v>
      </c>
    </row>
    <row r="310" spans="1:4">
      <c r="A310" s="140">
        <v>29</v>
      </c>
      <c r="B310" s="106" t="s">
        <v>108</v>
      </c>
      <c r="C310" s="140" t="s">
        <v>2018</v>
      </c>
      <c r="D310" s="140">
        <v>4</v>
      </c>
    </row>
    <row r="311" spans="1:4">
      <c r="A311" s="140">
        <v>29</v>
      </c>
      <c r="B311" s="106" t="s">
        <v>108</v>
      </c>
      <c r="C311" s="140" t="s">
        <v>1710</v>
      </c>
      <c r="D311" s="140">
        <v>2</v>
      </c>
    </row>
    <row r="312" spans="1:4">
      <c r="A312" s="140">
        <v>29</v>
      </c>
      <c r="B312" s="106" t="s">
        <v>108</v>
      </c>
      <c r="C312" s="140" t="s">
        <v>1709</v>
      </c>
      <c r="D312" s="140">
        <v>1</v>
      </c>
    </row>
    <row r="313" spans="1:4">
      <c r="A313" s="140">
        <v>29</v>
      </c>
      <c r="B313" s="106" t="s">
        <v>1521</v>
      </c>
      <c r="C313" s="140" t="s">
        <v>1522</v>
      </c>
      <c r="D313" s="140">
        <v>1</v>
      </c>
    </row>
    <row r="314" spans="1:4">
      <c r="A314" s="140">
        <v>29</v>
      </c>
      <c r="B314" s="106" t="s">
        <v>1521</v>
      </c>
      <c r="C314" s="140" t="s">
        <v>1523</v>
      </c>
      <c r="D314" s="140">
        <v>4</v>
      </c>
    </row>
    <row r="315" spans="1:4">
      <c r="A315" s="140">
        <v>29</v>
      </c>
      <c r="B315" s="106" t="s">
        <v>1521</v>
      </c>
      <c r="C315" s="140" t="s">
        <v>1524</v>
      </c>
      <c r="D315" s="140">
        <v>2</v>
      </c>
    </row>
    <row r="316" spans="1:4">
      <c r="A316" s="140">
        <v>30</v>
      </c>
      <c r="B316" s="106" t="s">
        <v>108</v>
      </c>
      <c r="C316" s="140" t="s">
        <v>1708</v>
      </c>
      <c r="D316" s="140">
        <v>1</v>
      </c>
    </row>
    <row r="317" spans="1:4">
      <c r="A317" s="140">
        <v>30</v>
      </c>
      <c r="B317" s="106" t="s">
        <v>108</v>
      </c>
      <c r="C317" s="140" t="s">
        <v>1704</v>
      </c>
      <c r="D317" s="140">
        <v>1</v>
      </c>
    </row>
    <row r="318" spans="1:4">
      <c r="A318" s="140">
        <v>30</v>
      </c>
      <c r="B318" s="106" t="s">
        <v>108</v>
      </c>
      <c r="C318" s="140" t="s">
        <v>1707</v>
      </c>
      <c r="D318" s="140">
        <v>1</v>
      </c>
    </row>
    <row r="319" spans="1:4">
      <c r="A319" s="140">
        <v>30</v>
      </c>
      <c r="B319" s="106" t="s">
        <v>1521</v>
      </c>
      <c r="C319" s="140" t="s">
        <v>1525</v>
      </c>
      <c r="D319" s="140">
        <v>1</v>
      </c>
    </row>
    <row r="320" spans="1:4">
      <c r="A320" s="140">
        <v>31</v>
      </c>
      <c r="B320" s="106" t="s">
        <v>108</v>
      </c>
      <c r="C320" s="140" t="s">
        <v>1549</v>
      </c>
      <c r="D320" s="140">
        <v>3</v>
      </c>
    </row>
    <row r="321" spans="1:4">
      <c r="A321" s="140">
        <v>31</v>
      </c>
      <c r="B321" s="106" t="s">
        <v>1521</v>
      </c>
      <c r="C321" s="140" t="s">
        <v>1526</v>
      </c>
      <c r="D321" s="140">
        <v>2</v>
      </c>
    </row>
    <row r="322" spans="1:4">
      <c r="A322" s="140">
        <v>31</v>
      </c>
      <c r="B322" s="106" t="s">
        <v>1521</v>
      </c>
      <c r="C322" s="140" t="s">
        <v>1525</v>
      </c>
      <c r="D322" s="140">
        <v>1</v>
      </c>
    </row>
    <row r="323" spans="1:4">
      <c r="A323" s="140">
        <v>32</v>
      </c>
      <c r="B323" s="106" t="s">
        <v>108</v>
      </c>
      <c r="C323" s="140" t="s">
        <v>1706</v>
      </c>
      <c r="D323" s="140">
        <v>2</v>
      </c>
    </row>
    <row r="324" spans="1:4">
      <c r="A324" s="140">
        <v>32</v>
      </c>
      <c r="B324" s="106" t="s">
        <v>108</v>
      </c>
      <c r="C324" s="140" t="s">
        <v>1705</v>
      </c>
      <c r="D324" s="140">
        <v>8</v>
      </c>
    </row>
    <row r="325" spans="1:4">
      <c r="A325" s="140">
        <v>32</v>
      </c>
      <c r="B325" s="106" t="s">
        <v>1521</v>
      </c>
      <c r="C325" s="140" t="s">
        <v>1523</v>
      </c>
      <c r="D325" s="140">
        <v>1</v>
      </c>
    </row>
    <row r="326" spans="1:4">
      <c r="A326" s="140">
        <v>32</v>
      </c>
      <c r="B326" s="106" t="s">
        <v>1521</v>
      </c>
      <c r="C326" s="140" t="s">
        <v>1527</v>
      </c>
      <c r="D326" s="140">
        <v>1</v>
      </c>
    </row>
    <row r="327" spans="1:4">
      <c r="A327" s="140">
        <v>32</v>
      </c>
      <c r="B327" s="106" t="s">
        <v>1521</v>
      </c>
      <c r="C327" s="140" t="s">
        <v>1528</v>
      </c>
      <c r="D327" s="140">
        <v>3</v>
      </c>
    </row>
    <row r="328" spans="1:4">
      <c r="A328" s="140">
        <v>32</v>
      </c>
      <c r="B328" s="106" t="s">
        <v>1521</v>
      </c>
      <c r="C328" s="140" t="s">
        <v>1529</v>
      </c>
      <c r="D328" s="140">
        <v>2</v>
      </c>
    </row>
    <row r="329" spans="1:4">
      <c r="A329" s="140">
        <v>32</v>
      </c>
      <c r="B329" s="106" t="s">
        <v>1521</v>
      </c>
      <c r="C329" s="140" t="s">
        <v>1530</v>
      </c>
      <c r="D329" s="140">
        <v>1</v>
      </c>
    </row>
    <row r="330" spans="1:4">
      <c r="A330" s="140">
        <v>33</v>
      </c>
      <c r="B330" s="106" t="s">
        <v>108</v>
      </c>
      <c r="C330" s="140" t="s">
        <v>1704</v>
      </c>
      <c r="D330" s="140">
        <v>1</v>
      </c>
    </row>
    <row r="331" spans="1:4">
      <c r="A331" s="140">
        <v>33</v>
      </c>
      <c r="B331" s="106" t="s">
        <v>108</v>
      </c>
      <c r="C331" s="140" t="s">
        <v>1703</v>
      </c>
      <c r="D331" s="140">
        <v>1</v>
      </c>
    </row>
    <row r="332" spans="1:4">
      <c r="A332" s="140">
        <v>33</v>
      </c>
      <c r="B332" s="106" t="s">
        <v>1521</v>
      </c>
      <c r="C332" s="140" t="s">
        <v>1525</v>
      </c>
      <c r="D332" s="140">
        <v>2</v>
      </c>
    </row>
    <row r="333" spans="1:4">
      <c r="A333" s="140">
        <v>34</v>
      </c>
      <c r="B333" s="106" t="s">
        <v>108</v>
      </c>
      <c r="C333" s="140" t="s">
        <v>1549</v>
      </c>
      <c r="D333" s="140">
        <v>3</v>
      </c>
    </row>
    <row r="334" spans="1:4">
      <c r="A334" s="140">
        <v>34</v>
      </c>
      <c r="B334" s="106" t="s">
        <v>1521</v>
      </c>
      <c r="C334" s="140" t="s">
        <v>1525</v>
      </c>
      <c r="D334" s="140">
        <v>3</v>
      </c>
    </row>
    <row r="335" spans="1:4">
      <c r="A335" s="140">
        <v>34</v>
      </c>
      <c r="B335" s="106" t="s">
        <v>1521</v>
      </c>
      <c r="C335" s="140" t="s">
        <v>1526</v>
      </c>
      <c r="D335" s="140">
        <v>1</v>
      </c>
    </row>
    <row r="336" spans="1:4">
      <c r="A336" s="140">
        <v>35</v>
      </c>
      <c r="B336" s="106" t="s">
        <v>108</v>
      </c>
      <c r="C336" s="140" t="s">
        <v>209</v>
      </c>
      <c r="D336" s="140">
        <v>1</v>
      </c>
    </row>
    <row r="337" spans="1:4">
      <c r="A337" s="140">
        <v>35</v>
      </c>
      <c r="B337" s="106" t="s">
        <v>108</v>
      </c>
      <c r="C337" s="140" t="s">
        <v>1550</v>
      </c>
      <c r="D337" s="140">
        <v>2</v>
      </c>
    </row>
    <row r="338" spans="1:4">
      <c r="A338" s="140">
        <v>35</v>
      </c>
      <c r="B338" s="106" t="s">
        <v>108</v>
      </c>
      <c r="C338" s="140" t="s">
        <v>1551</v>
      </c>
      <c r="D338" s="140">
        <v>8</v>
      </c>
    </row>
    <row r="339" spans="1:4">
      <c r="A339" s="140">
        <v>35</v>
      </c>
      <c r="B339" s="106" t="s">
        <v>108</v>
      </c>
      <c r="C339" s="140" t="s">
        <v>1552</v>
      </c>
      <c r="D339" s="140">
        <v>2</v>
      </c>
    </row>
    <row r="340" spans="1:4">
      <c r="A340" s="140">
        <v>35</v>
      </c>
      <c r="B340" s="106" t="s">
        <v>108</v>
      </c>
      <c r="C340" s="140" t="s">
        <v>1553</v>
      </c>
      <c r="D340" s="140">
        <v>2</v>
      </c>
    </row>
    <row r="341" spans="1:4">
      <c r="A341" s="140">
        <v>35</v>
      </c>
      <c r="B341" s="106" t="s">
        <v>108</v>
      </c>
      <c r="C341" s="140" t="s">
        <v>1554</v>
      </c>
      <c r="D341" s="140">
        <v>3</v>
      </c>
    </row>
    <row r="342" spans="1:4">
      <c r="A342" s="140">
        <v>35</v>
      </c>
      <c r="B342" s="106" t="s">
        <v>1521</v>
      </c>
      <c r="C342" s="140" t="s">
        <v>1531</v>
      </c>
      <c r="D342" s="140">
        <v>1</v>
      </c>
    </row>
    <row r="343" spans="1:4">
      <c r="A343" s="140">
        <v>35</v>
      </c>
      <c r="B343" s="106" t="s">
        <v>1521</v>
      </c>
      <c r="C343" s="140" t="s">
        <v>1532</v>
      </c>
      <c r="D343" s="140">
        <v>12</v>
      </c>
    </row>
    <row r="344" spans="1:4">
      <c r="A344" s="140">
        <v>35</v>
      </c>
      <c r="B344" s="106" t="s">
        <v>1521</v>
      </c>
      <c r="C344" s="140" t="s">
        <v>1533</v>
      </c>
      <c r="D344" s="140">
        <v>1</v>
      </c>
    </row>
    <row r="345" spans="1:4">
      <c r="A345" s="140">
        <v>36</v>
      </c>
      <c r="B345" s="106" t="s">
        <v>108</v>
      </c>
      <c r="C345" s="140" t="s">
        <v>1555</v>
      </c>
      <c r="D345" s="140">
        <v>1</v>
      </c>
    </row>
    <row r="346" spans="1:4">
      <c r="A346" s="140">
        <v>36</v>
      </c>
      <c r="B346" s="106" t="s">
        <v>108</v>
      </c>
      <c r="C346" s="140" t="s">
        <v>1556</v>
      </c>
      <c r="D346" s="140">
        <v>24</v>
      </c>
    </row>
    <row r="347" spans="1:4">
      <c r="A347" s="140">
        <v>36</v>
      </c>
      <c r="B347" s="106" t="s">
        <v>108</v>
      </c>
      <c r="C347" s="140" t="s">
        <v>1557</v>
      </c>
      <c r="D347" s="140">
        <v>24</v>
      </c>
    </row>
    <row r="348" spans="1:4">
      <c r="A348" s="140">
        <v>36</v>
      </c>
      <c r="B348" s="106" t="s">
        <v>108</v>
      </c>
      <c r="C348" s="140" t="s">
        <v>1558</v>
      </c>
      <c r="D348" s="140">
        <v>12</v>
      </c>
    </row>
    <row r="349" spans="1:4">
      <c r="A349" s="140">
        <v>36</v>
      </c>
      <c r="B349" s="106" t="s">
        <v>108</v>
      </c>
      <c r="C349" s="140" t="s">
        <v>1559</v>
      </c>
      <c r="D349" s="140">
        <v>35</v>
      </c>
    </row>
    <row r="350" spans="1:4">
      <c r="A350" s="140">
        <v>36</v>
      </c>
      <c r="B350" s="106" t="s">
        <v>108</v>
      </c>
      <c r="C350" s="140" t="s">
        <v>1560</v>
      </c>
      <c r="D350" s="140">
        <v>12</v>
      </c>
    </row>
    <row r="351" spans="1:4">
      <c r="A351" s="140">
        <v>36</v>
      </c>
      <c r="B351" s="106" t="s">
        <v>108</v>
      </c>
      <c r="C351" s="140" t="s">
        <v>1561</v>
      </c>
      <c r="D351" s="140">
        <v>36</v>
      </c>
    </row>
    <row r="352" spans="1:4">
      <c r="A352" s="140">
        <v>36</v>
      </c>
      <c r="B352" s="106" t="s">
        <v>108</v>
      </c>
      <c r="C352" s="140" t="s">
        <v>1562</v>
      </c>
      <c r="D352" s="140">
        <v>24</v>
      </c>
    </row>
    <row r="353" spans="1:4">
      <c r="A353" s="140">
        <v>36</v>
      </c>
      <c r="B353" s="106" t="s">
        <v>108</v>
      </c>
      <c r="C353" s="140" t="s">
        <v>1563</v>
      </c>
      <c r="D353" s="140">
        <v>24</v>
      </c>
    </row>
    <row r="354" spans="1:4">
      <c r="A354" s="140">
        <v>36</v>
      </c>
      <c r="B354" s="106" t="s">
        <v>108</v>
      </c>
      <c r="C354" s="140" t="s">
        <v>1564</v>
      </c>
      <c r="D354" s="140">
        <v>23</v>
      </c>
    </row>
    <row r="355" spans="1:4">
      <c r="A355" s="140">
        <v>36</v>
      </c>
      <c r="B355" s="106" t="s">
        <v>108</v>
      </c>
      <c r="C355" s="140" t="s">
        <v>1565</v>
      </c>
      <c r="D355" s="140">
        <v>72</v>
      </c>
    </row>
    <row r="356" spans="1:4">
      <c r="A356" s="140">
        <v>36</v>
      </c>
      <c r="B356" s="106" t="s">
        <v>1521</v>
      </c>
      <c r="C356" s="140" t="s">
        <v>1343</v>
      </c>
      <c r="D356" s="140">
        <v>46</v>
      </c>
    </row>
    <row r="357" spans="1:4">
      <c r="A357" s="140">
        <v>36</v>
      </c>
      <c r="B357" s="106" t="s">
        <v>1521</v>
      </c>
      <c r="C357" s="140" t="s">
        <v>1322</v>
      </c>
      <c r="D357" s="140">
        <v>66</v>
      </c>
    </row>
    <row r="358" spans="1:4">
      <c r="A358" s="140">
        <v>36</v>
      </c>
      <c r="B358" s="106" t="s">
        <v>1521</v>
      </c>
      <c r="C358" s="140" t="s">
        <v>1319</v>
      </c>
      <c r="D358" s="140">
        <v>72</v>
      </c>
    </row>
    <row r="359" spans="1:4">
      <c r="A359" s="140">
        <v>36</v>
      </c>
      <c r="B359" s="106" t="s">
        <v>1521</v>
      </c>
      <c r="C359" s="140" t="s">
        <v>1341</v>
      </c>
      <c r="D359" s="140">
        <v>120</v>
      </c>
    </row>
    <row r="360" spans="1:4">
      <c r="A360" s="140">
        <v>36</v>
      </c>
      <c r="B360" s="106" t="s">
        <v>1521</v>
      </c>
      <c r="C360" s="140" t="s">
        <v>1321</v>
      </c>
      <c r="D360" s="140">
        <v>12</v>
      </c>
    </row>
    <row r="361" spans="1:4">
      <c r="A361" s="140">
        <v>36</v>
      </c>
      <c r="B361" s="106" t="s">
        <v>1521</v>
      </c>
      <c r="C361" s="140" t="s">
        <v>1340</v>
      </c>
      <c r="D361" s="140">
        <v>32</v>
      </c>
    </row>
    <row r="362" spans="1:4">
      <c r="A362" s="140">
        <v>37</v>
      </c>
      <c r="B362" s="106" t="s">
        <v>108</v>
      </c>
      <c r="C362" s="140" t="s">
        <v>1700</v>
      </c>
      <c r="D362" s="140">
        <v>56</v>
      </c>
    </row>
    <row r="363" spans="1:4">
      <c r="A363" s="140">
        <v>38</v>
      </c>
      <c r="B363" s="106" t="s">
        <v>108</v>
      </c>
      <c r="C363" s="140" t="s">
        <v>1702</v>
      </c>
      <c r="D363" s="140">
        <v>1</v>
      </c>
    </row>
    <row r="364" spans="1:4">
      <c r="A364" s="140">
        <v>38</v>
      </c>
      <c r="B364" s="106" t="s">
        <v>108</v>
      </c>
      <c r="C364" s="140" t="s">
        <v>1701</v>
      </c>
      <c r="D364" s="140">
        <v>1</v>
      </c>
    </row>
    <row r="365" spans="1:4">
      <c r="A365" s="140">
        <v>39</v>
      </c>
      <c r="B365" s="106" t="s">
        <v>108</v>
      </c>
      <c r="C365" s="140" t="s">
        <v>1566</v>
      </c>
      <c r="D365" s="140">
        <v>1</v>
      </c>
    </row>
    <row r="366" spans="1:4">
      <c r="A366" s="140">
        <v>40</v>
      </c>
      <c r="B366" s="106" t="s">
        <v>108</v>
      </c>
      <c r="C366" s="140" t="s">
        <v>1567</v>
      </c>
      <c r="D366" s="140">
        <v>1</v>
      </c>
    </row>
    <row r="367" spans="1:4">
      <c r="A367" s="140">
        <v>40</v>
      </c>
      <c r="B367" s="106" t="s">
        <v>108</v>
      </c>
      <c r="C367" s="140" t="s">
        <v>1571</v>
      </c>
      <c r="D367" s="140">
        <v>6</v>
      </c>
    </row>
    <row r="368" spans="1:4">
      <c r="A368" s="140">
        <v>40</v>
      </c>
      <c r="B368" s="106" t="s">
        <v>108</v>
      </c>
      <c r="C368" s="140" t="s">
        <v>1570</v>
      </c>
      <c r="D368" s="140">
        <v>2</v>
      </c>
    </row>
    <row r="369" spans="1:4">
      <c r="A369" s="140">
        <v>40</v>
      </c>
      <c r="B369" s="106" t="s">
        <v>108</v>
      </c>
      <c r="C369" s="140" t="s">
        <v>1569</v>
      </c>
      <c r="D369" s="140">
        <v>1</v>
      </c>
    </row>
    <row r="370" spans="1:4">
      <c r="A370" s="140">
        <v>41</v>
      </c>
      <c r="B370" s="106" t="s">
        <v>108</v>
      </c>
      <c r="C370" s="140" t="s">
        <v>1568</v>
      </c>
      <c r="D370" s="140">
        <v>0</v>
      </c>
    </row>
    <row r="371" spans="1:4">
      <c r="A371" s="140">
        <v>41</v>
      </c>
      <c r="B371" s="106" t="s">
        <v>108</v>
      </c>
      <c r="C371" s="140" t="s">
        <v>1572</v>
      </c>
      <c r="D371" s="140">
        <v>25</v>
      </c>
    </row>
    <row r="372" spans="1:4">
      <c r="A372" s="140">
        <v>41</v>
      </c>
      <c r="B372" s="106" t="s">
        <v>108</v>
      </c>
      <c r="C372" s="140" t="s">
        <v>1573</v>
      </c>
      <c r="D372" s="140">
        <v>10</v>
      </c>
    </row>
    <row r="373" spans="1:4">
      <c r="A373" s="140">
        <v>41</v>
      </c>
      <c r="B373" s="106" t="s">
        <v>108</v>
      </c>
      <c r="C373" s="140" t="s">
        <v>1574</v>
      </c>
      <c r="D373" s="140">
        <v>30</v>
      </c>
    </row>
    <row r="374" spans="1:4">
      <c r="A374" s="140">
        <v>42</v>
      </c>
      <c r="B374" s="106" t="s">
        <v>108</v>
      </c>
      <c r="C374" s="140" t="s">
        <v>1575</v>
      </c>
      <c r="D374" s="140">
        <v>10</v>
      </c>
    </row>
    <row r="375" spans="1:4">
      <c r="A375" s="140">
        <v>43</v>
      </c>
      <c r="B375" s="106" t="s">
        <v>108</v>
      </c>
      <c r="C375" s="140" t="s">
        <v>1698</v>
      </c>
      <c r="D375" s="140">
        <v>1</v>
      </c>
    </row>
    <row r="376" spans="1:4">
      <c r="A376" s="140">
        <v>43</v>
      </c>
      <c r="B376" s="106" t="s">
        <v>108</v>
      </c>
      <c r="C376" s="140" t="s">
        <v>1699</v>
      </c>
      <c r="D376" s="140">
        <v>4</v>
      </c>
    </row>
    <row r="377" spans="1:4">
      <c r="A377" s="140">
        <v>43</v>
      </c>
      <c r="B377" s="106" t="s">
        <v>108</v>
      </c>
      <c r="C377" s="140" t="s">
        <v>1576</v>
      </c>
      <c r="D377" s="140">
        <v>6</v>
      </c>
    </row>
    <row r="378" spans="1:4">
      <c r="A378" s="140">
        <v>44</v>
      </c>
      <c r="B378" s="106" t="s">
        <v>108</v>
      </c>
      <c r="C378" s="140" t="s">
        <v>1577</v>
      </c>
      <c r="D378" s="140">
        <v>7</v>
      </c>
    </row>
    <row r="379" spans="1:4">
      <c r="A379" s="140">
        <v>45</v>
      </c>
      <c r="B379" s="106" t="s">
        <v>108</v>
      </c>
      <c r="C379" s="140" t="s">
        <v>1578</v>
      </c>
      <c r="D379" s="140">
        <v>1</v>
      </c>
    </row>
    <row r="380" spans="1:4">
      <c r="A380" s="140">
        <v>45</v>
      </c>
      <c r="B380" s="106" t="s">
        <v>108</v>
      </c>
      <c r="C380" s="140" t="s">
        <v>1579</v>
      </c>
      <c r="D380" s="140">
        <v>1</v>
      </c>
    </row>
    <row r="381" spans="1:4">
      <c r="A381" s="140">
        <v>45</v>
      </c>
      <c r="B381" s="106" t="s">
        <v>108</v>
      </c>
      <c r="C381" s="140" t="s">
        <v>1580</v>
      </c>
      <c r="D381" s="140">
        <v>2</v>
      </c>
    </row>
    <row r="382" spans="1:4">
      <c r="A382" s="140">
        <v>45</v>
      </c>
      <c r="B382" s="106" t="s">
        <v>108</v>
      </c>
      <c r="C382" s="140" t="s">
        <v>1581</v>
      </c>
      <c r="D382" s="140">
        <v>2</v>
      </c>
    </row>
    <row r="383" spans="1:4">
      <c r="A383" s="140">
        <v>46</v>
      </c>
      <c r="B383" s="106" t="s">
        <v>108</v>
      </c>
      <c r="C383" s="140" t="s">
        <v>1590</v>
      </c>
      <c r="D383" s="140">
        <v>2</v>
      </c>
    </row>
    <row r="384" spans="1:4">
      <c r="A384" s="140">
        <v>47</v>
      </c>
      <c r="B384" s="106" t="s">
        <v>108</v>
      </c>
      <c r="C384" s="140" t="s">
        <v>1549</v>
      </c>
      <c r="D384" s="140">
        <v>9</v>
      </c>
    </row>
    <row r="385" spans="1:4">
      <c r="A385" s="140">
        <v>48</v>
      </c>
      <c r="B385" s="106" t="s">
        <v>108</v>
      </c>
      <c r="C385" s="140" t="s">
        <v>1549</v>
      </c>
      <c r="D385" s="140">
        <v>9</v>
      </c>
    </row>
    <row r="386" spans="1:4">
      <c r="A386" s="140">
        <v>48</v>
      </c>
      <c r="B386" s="106" t="s">
        <v>108</v>
      </c>
      <c r="C386" s="140" t="s">
        <v>1591</v>
      </c>
      <c r="D386" s="140">
        <v>9</v>
      </c>
    </row>
    <row r="387" spans="1:4">
      <c r="A387" s="140">
        <v>49</v>
      </c>
      <c r="B387" s="106" t="s">
        <v>108</v>
      </c>
      <c r="C387" s="140" t="s">
        <v>1549</v>
      </c>
      <c r="D387" s="140">
        <v>2</v>
      </c>
    </row>
    <row r="388" spans="1:4">
      <c r="A388" s="140">
        <v>49</v>
      </c>
      <c r="B388" s="106" t="s">
        <v>108</v>
      </c>
      <c r="C388" s="140" t="s">
        <v>1523</v>
      </c>
      <c r="D388" s="140">
        <v>1</v>
      </c>
    </row>
    <row r="389" spans="1:4">
      <c r="A389" s="140">
        <v>49</v>
      </c>
      <c r="B389" s="106" t="s">
        <v>108</v>
      </c>
      <c r="C389" s="140" t="s">
        <v>1526</v>
      </c>
      <c r="D389" s="140">
        <v>7</v>
      </c>
    </row>
    <row r="390" spans="1:4">
      <c r="A390" s="140">
        <v>50</v>
      </c>
      <c r="B390" s="106" t="s">
        <v>108</v>
      </c>
      <c r="C390" s="140" t="s">
        <v>1523</v>
      </c>
      <c r="D390" s="140">
        <v>2</v>
      </c>
    </row>
    <row r="391" spans="1:4">
      <c r="A391" s="140">
        <v>50</v>
      </c>
      <c r="B391" s="106" t="s">
        <v>108</v>
      </c>
      <c r="C391" s="140" t="s">
        <v>1526</v>
      </c>
      <c r="D391" s="140">
        <v>4</v>
      </c>
    </row>
    <row r="392" spans="1:4">
      <c r="A392" s="140">
        <v>51</v>
      </c>
      <c r="B392" s="106" t="s">
        <v>108</v>
      </c>
      <c r="C392" s="140" t="s">
        <v>1523</v>
      </c>
      <c r="D392" s="140">
        <v>2</v>
      </c>
    </row>
    <row r="393" spans="1:4">
      <c r="A393" s="140">
        <v>51</v>
      </c>
      <c r="B393" s="106" t="s">
        <v>108</v>
      </c>
      <c r="C393" s="140" t="s">
        <v>1526</v>
      </c>
      <c r="D393" s="140">
        <v>8</v>
      </c>
    </row>
    <row r="394" spans="1:4">
      <c r="A394" s="140">
        <v>52</v>
      </c>
      <c r="B394" s="106" t="s">
        <v>108</v>
      </c>
      <c r="C394" s="140" t="s">
        <v>1549</v>
      </c>
      <c r="D394" s="140">
        <v>2</v>
      </c>
    </row>
    <row r="395" spans="1:4">
      <c r="A395" s="140">
        <v>53</v>
      </c>
      <c r="B395" s="106" t="s">
        <v>108</v>
      </c>
      <c r="C395" s="140" t="s">
        <v>1523</v>
      </c>
      <c r="D395" s="140">
        <v>9</v>
      </c>
    </row>
    <row r="396" spans="1:4">
      <c r="A396" s="140">
        <v>53</v>
      </c>
      <c r="B396" s="106" t="s">
        <v>108</v>
      </c>
      <c r="C396" s="140" t="s">
        <v>1526</v>
      </c>
      <c r="D396" s="140">
        <v>7</v>
      </c>
    </row>
    <row r="397" spans="1:4">
      <c r="A397" s="140">
        <v>53</v>
      </c>
      <c r="B397" s="106" t="s">
        <v>108</v>
      </c>
      <c r="C397" s="140" t="s">
        <v>1549</v>
      </c>
      <c r="D397" s="140">
        <v>2</v>
      </c>
    </row>
    <row r="398" spans="1:4">
      <c r="A398" s="140">
        <v>54</v>
      </c>
      <c r="B398" s="106" t="s">
        <v>108</v>
      </c>
      <c r="C398" s="140" t="s">
        <v>1523</v>
      </c>
      <c r="D398" s="140">
        <v>1</v>
      </c>
    </row>
    <row r="399" spans="1:4">
      <c r="A399" s="140">
        <v>54</v>
      </c>
      <c r="B399" s="106" t="s">
        <v>108</v>
      </c>
      <c r="C399" s="140" t="s">
        <v>1526</v>
      </c>
      <c r="D399" s="140">
        <v>1</v>
      </c>
    </row>
    <row r="400" spans="1:4">
      <c r="A400" s="140">
        <v>54</v>
      </c>
      <c r="B400" s="106" t="s">
        <v>108</v>
      </c>
      <c r="C400" s="140" t="s">
        <v>1549</v>
      </c>
      <c r="D400" s="140">
        <v>2</v>
      </c>
    </row>
    <row r="401" spans="1:4">
      <c r="A401" s="140">
        <v>54</v>
      </c>
      <c r="B401" s="106" t="s">
        <v>108</v>
      </c>
      <c r="C401" s="140" t="s">
        <v>1499</v>
      </c>
      <c r="D401" s="140">
        <v>1</v>
      </c>
    </row>
    <row r="402" spans="1:4">
      <c r="A402" s="140">
        <v>55</v>
      </c>
      <c r="B402" s="106" t="s">
        <v>108</v>
      </c>
      <c r="C402" s="140" t="s">
        <v>1549</v>
      </c>
      <c r="D402" s="140">
        <v>10</v>
      </c>
    </row>
    <row r="403" spans="1:4">
      <c r="A403" s="140">
        <v>56</v>
      </c>
      <c r="B403" s="106" t="s">
        <v>108</v>
      </c>
      <c r="C403" s="140" t="s">
        <v>1549</v>
      </c>
      <c r="D403" s="140">
        <v>9</v>
      </c>
    </row>
    <row r="404" spans="1:4">
      <c r="A404" s="140">
        <v>57</v>
      </c>
      <c r="B404" s="106" t="s">
        <v>108</v>
      </c>
      <c r="C404" s="140" t="s">
        <v>1523</v>
      </c>
      <c r="D404" s="140">
        <v>9</v>
      </c>
    </row>
    <row r="405" spans="1:4">
      <c r="A405" s="140">
        <v>57</v>
      </c>
      <c r="B405" s="106" t="s">
        <v>108</v>
      </c>
      <c r="C405" s="140" t="s">
        <v>1526</v>
      </c>
      <c r="D405" s="140">
        <v>10</v>
      </c>
    </row>
    <row r="406" spans="1:4">
      <c r="A406" s="140">
        <v>57</v>
      </c>
      <c r="B406" s="106" t="s">
        <v>108</v>
      </c>
      <c r="C406" s="140" t="s">
        <v>1549</v>
      </c>
      <c r="D406" s="140">
        <v>2</v>
      </c>
    </row>
    <row r="407" spans="1:4">
      <c r="A407" s="140">
        <v>58</v>
      </c>
      <c r="B407" s="106" t="s">
        <v>108</v>
      </c>
      <c r="C407" s="140" t="s">
        <v>1523</v>
      </c>
      <c r="D407" s="140">
        <v>1</v>
      </c>
    </row>
    <row r="408" spans="1:4">
      <c r="A408" s="140">
        <v>58</v>
      </c>
      <c r="B408" s="106" t="s">
        <v>108</v>
      </c>
      <c r="C408" s="140" t="s">
        <v>1526</v>
      </c>
      <c r="D408" s="140">
        <v>10</v>
      </c>
    </row>
    <row r="409" spans="1:4">
      <c r="A409" s="140">
        <v>58</v>
      </c>
      <c r="B409" s="106" t="s">
        <v>108</v>
      </c>
      <c r="C409" s="140" t="s">
        <v>1549</v>
      </c>
      <c r="D409" s="140">
        <v>2</v>
      </c>
    </row>
    <row r="410" spans="1:4">
      <c r="A410" s="140">
        <v>59</v>
      </c>
      <c r="B410" s="106" t="s">
        <v>108</v>
      </c>
      <c r="C410" s="140" t="s">
        <v>1592</v>
      </c>
      <c r="D410" s="140">
        <v>1</v>
      </c>
    </row>
    <row r="411" spans="1:4">
      <c r="A411" s="140">
        <v>59</v>
      </c>
      <c r="B411" s="106" t="s">
        <v>108</v>
      </c>
      <c r="C411" s="140" t="s">
        <v>1593</v>
      </c>
      <c r="D411" s="140">
        <v>2</v>
      </c>
    </row>
    <row r="412" spans="1:4">
      <c r="A412" s="140">
        <v>59</v>
      </c>
      <c r="B412" s="106" t="s">
        <v>108</v>
      </c>
      <c r="C412" s="140" t="s">
        <v>1594</v>
      </c>
      <c r="D412" s="140">
        <v>1</v>
      </c>
    </row>
    <row r="413" spans="1:4">
      <c r="A413" s="140">
        <v>60</v>
      </c>
      <c r="B413" s="106" t="s">
        <v>108</v>
      </c>
      <c r="C413" s="140" t="s">
        <v>1526</v>
      </c>
      <c r="D413" s="140">
        <v>20</v>
      </c>
    </row>
    <row r="414" spans="1:4">
      <c r="A414" s="140">
        <v>60</v>
      </c>
      <c r="B414" s="106" t="s">
        <v>108</v>
      </c>
      <c r="C414" s="140" t="s">
        <v>1595</v>
      </c>
      <c r="D414" s="140">
        <v>2</v>
      </c>
    </row>
    <row r="415" spans="1:4">
      <c r="A415" s="140">
        <v>60</v>
      </c>
      <c r="B415" s="106" t="s">
        <v>108</v>
      </c>
      <c r="C415" s="140" t="s">
        <v>1581</v>
      </c>
      <c r="D415" s="140">
        <v>2</v>
      </c>
    </row>
    <row r="416" spans="1:4">
      <c r="A416" s="140">
        <v>64</v>
      </c>
      <c r="B416" s="106" t="s">
        <v>108</v>
      </c>
      <c r="C416" s="140" t="s">
        <v>1596</v>
      </c>
      <c r="D416" s="140">
        <v>1</v>
      </c>
    </row>
    <row r="417" spans="1:4">
      <c r="A417" s="140">
        <v>64</v>
      </c>
      <c r="B417" s="106" t="s">
        <v>108</v>
      </c>
      <c r="C417" s="140" t="s">
        <v>1597</v>
      </c>
      <c r="D417" s="140">
        <v>10</v>
      </c>
    </row>
    <row r="418" spans="1:4">
      <c r="A418" s="140">
        <v>64</v>
      </c>
      <c r="B418" s="106" t="s">
        <v>108</v>
      </c>
      <c r="C418" s="140" t="s">
        <v>1598</v>
      </c>
      <c r="D418" s="140">
        <v>10</v>
      </c>
    </row>
    <row r="419" spans="1:4">
      <c r="A419" s="140">
        <v>64</v>
      </c>
      <c r="B419" s="106" t="s">
        <v>108</v>
      </c>
      <c r="C419" s="140" t="s">
        <v>1599</v>
      </c>
      <c r="D419" s="140">
        <v>20</v>
      </c>
    </row>
    <row r="420" spans="1:4">
      <c r="A420" s="140">
        <v>64</v>
      </c>
      <c r="B420" s="106" t="s">
        <v>108</v>
      </c>
      <c r="C420" s="140" t="s">
        <v>1600</v>
      </c>
      <c r="D420" s="140">
        <v>2</v>
      </c>
    </row>
    <row r="421" spans="1:4">
      <c r="A421" s="140">
        <v>64</v>
      </c>
      <c r="B421" s="106" t="s">
        <v>108</v>
      </c>
      <c r="C421" s="140" t="s">
        <v>1601</v>
      </c>
      <c r="D421" s="140">
        <v>1</v>
      </c>
    </row>
    <row r="422" spans="1:4">
      <c r="A422" s="140">
        <v>64</v>
      </c>
      <c r="B422" s="106" t="s">
        <v>108</v>
      </c>
      <c r="C422" s="140" t="s">
        <v>1602</v>
      </c>
      <c r="D422" s="140">
        <v>20</v>
      </c>
    </row>
    <row r="423" spans="1:4">
      <c r="A423" s="140">
        <v>64</v>
      </c>
      <c r="B423" s="106" t="s">
        <v>108</v>
      </c>
      <c r="C423" s="140" t="s">
        <v>1603</v>
      </c>
      <c r="D423" s="140">
        <v>6</v>
      </c>
    </row>
    <row r="424" spans="1:4">
      <c r="A424" s="140">
        <v>64</v>
      </c>
      <c r="B424" s="106" t="s">
        <v>108</v>
      </c>
      <c r="C424" s="140" t="s">
        <v>1604</v>
      </c>
      <c r="D424" s="140">
        <v>1</v>
      </c>
    </row>
    <row r="425" spans="1:4">
      <c r="A425" s="140">
        <v>64</v>
      </c>
      <c r="B425" s="106" t="s">
        <v>108</v>
      </c>
      <c r="C425" s="140" t="s">
        <v>1605</v>
      </c>
      <c r="D425" s="140">
        <v>3</v>
      </c>
    </row>
    <row r="426" spans="1:4">
      <c r="A426" s="140">
        <v>64</v>
      </c>
      <c r="B426" s="106" t="s">
        <v>108</v>
      </c>
      <c r="C426" s="140" t="s">
        <v>1606</v>
      </c>
      <c r="D426" s="140">
        <v>1</v>
      </c>
    </row>
    <row r="427" spans="1:4">
      <c r="A427" s="140">
        <v>64</v>
      </c>
      <c r="B427" s="106" t="s">
        <v>108</v>
      </c>
      <c r="C427" s="140" t="s">
        <v>1607</v>
      </c>
      <c r="D427" s="140">
        <v>1</v>
      </c>
    </row>
    <row r="428" spans="1:4">
      <c r="A428" s="140">
        <v>64</v>
      </c>
      <c r="B428" s="106" t="s">
        <v>108</v>
      </c>
      <c r="C428" s="140" t="s">
        <v>1608</v>
      </c>
      <c r="D428" s="140">
        <v>5</v>
      </c>
    </row>
    <row r="429" spans="1:4">
      <c r="A429" s="140">
        <v>64</v>
      </c>
      <c r="B429" s="106" t="s">
        <v>108</v>
      </c>
      <c r="C429" s="517" t="s">
        <v>1609</v>
      </c>
      <c r="D429" s="140">
        <v>2</v>
      </c>
    </row>
    <row r="430" spans="1:4">
      <c r="A430" s="140">
        <v>64</v>
      </c>
      <c r="B430" s="106" t="s">
        <v>108</v>
      </c>
      <c r="C430" s="517" t="s">
        <v>1280</v>
      </c>
      <c r="D430" s="518">
        <v>2</v>
      </c>
    </row>
    <row r="431" spans="1:4">
      <c r="A431" s="140">
        <v>64</v>
      </c>
      <c r="B431" s="106" t="s">
        <v>108</v>
      </c>
      <c r="C431" s="517" t="s">
        <v>1339</v>
      </c>
      <c r="D431" s="518">
        <v>1</v>
      </c>
    </row>
    <row r="432" spans="1:4">
      <c r="A432" s="140">
        <v>64</v>
      </c>
      <c r="B432" s="106" t="s">
        <v>108</v>
      </c>
      <c r="C432" s="517" t="s">
        <v>1283</v>
      </c>
      <c r="D432" s="518">
        <v>1</v>
      </c>
    </row>
    <row r="433" spans="1:4">
      <c r="A433" s="140">
        <v>64</v>
      </c>
      <c r="B433" s="106" t="s">
        <v>108</v>
      </c>
      <c r="C433" s="517" t="s">
        <v>1610</v>
      </c>
      <c r="D433" s="518">
        <v>10</v>
      </c>
    </row>
    <row r="434" spans="1:4">
      <c r="A434" s="140">
        <v>64</v>
      </c>
      <c r="B434" s="106" t="s">
        <v>108</v>
      </c>
      <c r="C434" s="517" t="s">
        <v>1611</v>
      </c>
      <c r="D434" s="518">
        <v>2</v>
      </c>
    </row>
    <row r="435" spans="1:4">
      <c r="A435" s="140">
        <v>64</v>
      </c>
      <c r="B435" s="106" t="s">
        <v>108</v>
      </c>
      <c r="C435" s="517" t="s">
        <v>1612</v>
      </c>
      <c r="D435" s="518">
        <v>3</v>
      </c>
    </row>
    <row r="436" spans="1:4">
      <c r="A436" s="140">
        <v>64</v>
      </c>
      <c r="B436" s="106" t="s">
        <v>108</v>
      </c>
      <c r="C436" s="517" t="s">
        <v>1613</v>
      </c>
      <c r="D436" s="518">
        <v>1</v>
      </c>
    </row>
    <row r="437" spans="1:4">
      <c r="A437" s="140">
        <v>64</v>
      </c>
      <c r="B437" s="106" t="s">
        <v>108</v>
      </c>
      <c r="C437" s="517" t="s">
        <v>1614</v>
      </c>
      <c r="D437" s="518">
        <v>1</v>
      </c>
    </row>
    <row r="438" spans="1:4">
      <c r="A438" s="140">
        <v>64</v>
      </c>
      <c r="B438" s="106" t="s">
        <v>108</v>
      </c>
      <c r="C438" s="517" t="s">
        <v>1615</v>
      </c>
      <c r="D438" s="518">
        <v>1</v>
      </c>
    </row>
    <row r="439" spans="1:4">
      <c r="A439" s="140">
        <v>64</v>
      </c>
      <c r="B439" s="106" t="s">
        <v>108</v>
      </c>
      <c r="C439" s="517" t="s">
        <v>1616</v>
      </c>
      <c r="D439" s="518">
        <v>1</v>
      </c>
    </row>
    <row r="440" spans="1:4">
      <c r="A440" s="143">
        <v>65</v>
      </c>
      <c r="B440" s="106" t="s">
        <v>108</v>
      </c>
      <c r="C440" s="517" t="s">
        <v>1526</v>
      </c>
      <c r="D440" s="518">
        <v>1</v>
      </c>
    </row>
    <row r="441" spans="1:4">
      <c r="A441" s="143">
        <v>65</v>
      </c>
      <c r="B441" s="106" t="s">
        <v>108</v>
      </c>
      <c r="C441" s="517" t="s">
        <v>1617</v>
      </c>
      <c r="D441" s="518">
        <v>2</v>
      </c>
    </row>
    <row r="442" spans="1:4">
      <c r="A442" s="143">
        <v>65</v>
      </c>
      <c r="B442" s="106" t="s">
        <v>108</v>
      </c>
      <c r="C442" s="517" t="s">
        <v>1618</v>
      </c>
      <c r="D442" s="518">
        <v>6</v>
      </c>
    </row>
    <row r="443" spans="1:4">
      <c r="A443" s="143">
        <v>65</v>
      </c>
      <c r="B443" s="106" t="s">
        <v>108</v>
      </c>
      <c r="C443" s="517" t="s">
        <v>1619</v>
      </c>
      <c r="D443" s="518">
        <v>1</v>
      </c>
    </row>
    <row r="444" spans="1:4">
      <c r="A444" s="143">
        <v>65</v>
      </c>
      <c r="B444" s="106" t="s">
        <v>108</v>
      </c>
      <c r="C444" s="517" t="s">
        <v>1527</v>
      </c>
      <c r="D444" s="518">
        <v>1</v>
      </c>
    </row>
    <row r="445" spans="1:4">
      <c r="A445" s="143">
        <v>65</v>
      </c>
      <c r="B445" s="106" t="s">
        <v>108</v>
      </c>
      <c r="C445" s="517" t="s">
        <v>1591</v>
      </c>
      <c r="D445" s="518">
        <v>1</v>
      </c>
    </row>
    <row r="446" spans="1:4">
      <c r="A446" s="143">
        <v>66</v>
      </c>
      <c r="B446" s="106" t="s">
        <v>108</v>
      </c>
      <c r="C446" s="517" t="s">
        <v>1620</v>
      </c>
      <c r="D446" s="518">
        <v>2</v>
      </c>
    </row>
    <row r="447" spans="1:4">
      <c r="A447" s="143">
        <v>67</v>
      </c>
      <c r="B447" s="106" t="s">
        <v>108</v>
      </c>
      <c r="C447" s="517" t="s">
        <v>1526</v>
      </c>
      <c r="D447" s="518">
        <v>9</v>
      </c>
    </row>
    <row r="448" spans="1:4">
      <c r="A448" s="143">
        <v>67</v>
      </c>
      <c r="B448" s="106" t="s">
        <v>108</v>
      </c>
      <c r="C448" s="517" t="s">
        <v>1523</v>
      </c>
      <c r="D448" s="518">
        <v>2</v>
      </c>
    </row>
    <row r="449" spans="1:4">
      <c r="A449" s="143">
        <v>68</v>
      </c>
      <c r="B449" s="1" t="s">
        <v>108</v>
      </c>
      <c r="C449" s="517" t="s">
        <v>1633</v>
      </c>
      <c r="D449" s="518">
        <v>2</v>
      </c>
    </row>
    <row r="450" spans="1:4">
      <c r="A450" s="143">
        <v>68</v>
      </c>
      <c r="B450" s="1" t="s">
        <v>108</v>
      </c>
      <c r="C450" s="517" t="s">
        <v>1634</v>
      </c>
      <c r="D450" s="518">
        <v>1</v>
      </c>
    </row>
    <row r="451" spans="1:4">
      <c r="A451" s="143">
        <v>69</v>
      </c>
      <c r="B451" s="1" t="s">
        <v>108</v>
      </c>
      <c r="C451" s="517" t="s">
        <v>1635</v>
      </c>
      <c r="D451" s="518">
        <v>1</v>
      </c>
    </row>
    <row r="452" spans="1:4">
      <c r="A452" s="143">
        <v>70</v>
      </c>
      <c r="B452" s="1" t="s">
        <v>108</v>
      </c>
      <c r="C452" s="517" t="s">
        <v>1637</v>
      </c>
      <c r="D452" s="518">
        <v>8</v>
      </c>
    </row>
    <row r="453" spans="1:4">
      <c r="A453" s="143">
        <v>70</v>
      </c>
      <c r="B453" s="1" t="s">
        <v>108</v>
      </c>
      <c r="C453" s="517" t="s">
        <v>1638</v>
      </c>
      <c r="D453" s="518">
        <v>11</v>
      </c>
    </row>
    <row r="454" spans="1:4">
      <c r="A454" s="143">
        <v>70</v>
      </c>
      <c r="B454" s="1" t="s">
        <v>108</v>
      </c>
      <c r="C454" s="517" t="s">
        <v>1639</v>
      </c>
      <c r="D454" s="518">
        <v>30</v>
      </c>
    </row>
    <row r="455" spans="1:4">
      <c r="A455" s="143">
        <v>70</v>
      </c>
      <c r="B455" s="1" t="s">
        <v>108</v>
      </c>
      <c r="C455" s="517" t="s">
        <v>1474</v>
      </c>
      <c r="D455" s="518">
        <v>30</v>
      </c>
    </row>
    <row r="456" spans="1:4">
      <c r="A456" s="143">
        <v>70</v>
      </c>
      <c r="B456" s="1" t="s">
        <v>108</v>
      </c>
      <c r="C456" s="517" t="s">
        <v>1640</v>
      </c>
      <c r="D456" s="518">
        <v>4</v>
      </c>
    </row>
    <row r="457" spans="1:4">
      <c r="A457" s="143">
        <v>71</v>
      </c>
      <c r="B457" s="1" t="s">
        <v>108</v>
      </c>
      <c r="C457" s="517" t="s">
        <v>1642</v>
      </c>
      <c r="D457" s="518">
        <v>15</v>
      </c>
    </row>
    <row r="458" spans="1:4">
      <c r="A458" s="143">
        <v>71</v>
      </c>
      <c r="B458" s="1" t="s">
        <v>108</v>
      </c>
      <c r="C458" s="517" t="s">
        <v>1641</v>
      </c>
      <c r="D458" s="518">
        <v>40</v>
      </c>
    </row>
    <row r="459" spans="1:4">
      <c r="A459" s="143">
        <v>72</v>
      </c>
      <c r="B459" s="1" t="s">
        <v>108</v>
      </c>
      <c r="C459" s="517" t="s">
        <v>1643</v>
      </c>
      <c r="D459" s="518">
        <v>40</v>
      </c>
    </row>
    <row r="460" spans="1:4">
      <c r="A460" s="143">
        <v>72</v>
      </c>
      <c r="B460" s="1" t="s">
        <v>108</v>
      </c>
      <c r="C460" s="517" t="s">
        <v>1636</v>
      </c>
      <c r="D460" s="518">
        <v>4</v>
      </c>
    </row>
    <row r="461" spans="1:4">
      <c r="A461" s="143">
        <v>72</v>
      </c>
      <c r="B461" s="1" t="s">
        <v>1346</v>
      </c>
      <c r="C461" s="517" t="s">
        <v>1533</v>
      </c>
      <c r="D461" s="518">
        <v>17</v>
      </c>
    </row>
    <row r="462" spans="1:4">
      <c r="A462" s="143">
        <v>72</v>
      </c>
      <c r="B462" s="1" t="s">
        <v>1346</v>
      </c>
      <c r="C462" s="517" t="s">
        <v>1644</v>
      </c>
      <c r="D462" s="518">
        <v>13</v>
      </c>
    </row>
    <row r="463" spans="1:4">
      <c r="A463" s="143">
        <v>73</v>
      </c>
      <c r="B463" s="1" t="s">
        <v>1346</v>
      </c>
      <c r="C463" s="517" t="s">
        <v>1645</v>
      </c>
      <c r="D463" s="518">
        <v>3</v>
      </c>
    </row>
    <row r="464" spans="1:4">
      <c r="A464" s="143">
        <v>73</v>
      </c>
      <c r="B464" s="1" t="s">
        <v>108</v>
      </c>
      <c r="C464" s="517" t="s">
        <v>1646</v>
      </c>
      <c r="D464" s="518">
        <v>7</v>
      </c>
    </row>
    <row r="465" spans="1:4">
      <c r="A465" s="143">
        <v>73</v>
      </c>
      <c r="B465" s="1" t="s">
        <v>108</v>
      </c>
      <c r="C465" s="517" t="s">
        <v>1636</v>
      </c>
      <c r="D465" s="518">
        <v>45</v>
      </c>
    </row>
    <row r="466" spans="1:4">
      <c r="A466" s="143">
        <v>74</v>
      </c>
      <c r="B466" s="1" t="s">
        <v>108</v>
      </c>
      <c r="C466" s="517" t="s">
        <v>1651</v>
      </c>
      <c r="D466" s="518">
        <v>8</v>
      </c>
    </row>
    <row r="467" spans="1:4">
      <c r="A467" s="143">
        <v>74</v>
      </c>
      <c r="B467" s="1" t="s">
        <v>108</v>
      </c>
      <c r="C467" s="517" t="s">
        <v>1652</v>
      </c>
      <c r="D467" s="518">
        <v>1274</v>
      </c>
    </row>
    <row r="468" spans="1:4">
      <c r="A468" s="143">
        <v>74</v>
      </c>
      <c r="B468" s="1" t="s">
        <v>108</v>
      </c>
      <c r="C468" s="517" t="s">
        <v>1653</v>
      </c>
      <c r="D468" s="518">
        <v>100</v>
      </c>
    </row>
    <row r="469" spans="1:4">
      <c r="A469" s="143">
        <v>75</v>
      </c>
      <c r="B469" s="1" t="s">
        <v>108</v>
      </c>
      <c r="C469" s="517" t="s">
        <v>1654</v>
      </c>
      <c r="D469" s="518">
        <v>17</v>
      </c>
    </row>
    <row r="470" spans="1:4">
      <c r="A470" s="143">
        <v>75</v>
      </c>
      <c r="B470" s="1" t="s">
        <v>108</v>
      </c>
      <c r="C470" s="517" t="s">
        <v>1652</v>
      </c>
      <c r="D470" s="518">
        <v>156</v>
      </c>
    </row>
    <row r="471" spans="1:4">
      <c r="A471" s="143">
        <v>75</v>
      </c>
      <c r="B471" s="1" t="s">
        <v>108</v>
      </c>
      <c r="C471" s="517" t="s">
        <v>1651</v>
      </c>
      <c r="D471" s="518">
        <v>48</v>
      </c>
    </row>
    <row r="472" spans="1:4">
      <c r="A472" s="143">
        <v>76</v>
      </c>
      <c r="B472" s="1" t="s">
        <v>108</v>
      </c>
      <c r="C472" s="517" t="s">
        <v>1655</v>
      </c>
      <c r="D472" s="518">
        <v>4312</v>
      </c>
    </row>
    <row r="473" spans="1:4">
      <c r="A473" s="143">
        <v>76</v>
      </c>
      <c r="B473" s="1" t="s">
        <v>108</v>
      </c>
      <c r="C473" s="517" t="s">
        <v>1581</v>
      </c>
      <c r="D473" s="518">
        <v>28</v>
      </c>
    </row>
    <row r="474" spans="1:4">
      <c r="A474" s="143">
        <v>77</v>
      </c>
      <c r="B474" s="1" t="s">
        <v>108</v>
      </c>
      <c r="C474" s="517" t="s">
        <v>1656</v>
      </c>
      <c r="D474" s="518">
        <v>4</v>
      </c>
    </row>
    <row r="475" spans="1:4">
      <c r="A475" s="143">
        <v>77</v>
      </c>
      <c r="B475" s="1" t="s">
        <v>108</v>
      </c>
      <c r="C475" s="517" t="s">
        <v>1657</v>
      </c>
      <c r="D475" s="518">
        <v>15</v>
      </c>
    </row>
    <row r="476" spans="1:4">
      <c r="A476" s="143">
        <v>77</v>
      </c>
      <c r="B476" s="1" t="s">
        <v>108</v>
      </c>
      <c r="C476" s="517" t="s">
        <v>1658</v>
      </c>
      <c r="D476" s="518">
        <v>6</v>
      </c>
    </row>
    <row r="477" spans="1:4">
      <c r="A477" s="143">
        <v>77</v>
      </c>
      <c r="B477" s="1" t="s">
        <v>108</v>
      </c>
      <c r="C477" s="517" t="s">
        <v>1659</v>
      </c>
      <c r="D477" s="518">
        <v>7</v>
      </c>
    </row>
    <row r="478" spans="1:4">
      <c r="A478" s="143">
        <v>77</v>
      </c>
      <c r="B478" s="1" t="s">
        <v>108</v>
      </c>
      <c r="C478" s="517" t="s">
        <v>1660</v>
      </c>
      <c r="D478" s="518">
        <v>2</v>
      </c>
    </row>
    <row r="479" spans="1:4">
      <c r="A479" s="143">
        <v>77</v>
      </c>
      <c r="B479" s="1" t="s">
        <v>108</v>
      </c>
      <c r="C479" s="517" t="s">
        <v>1661</v>
      </c>
      <c r="D479" s="518">
        <v>2</v>
      </c>
    </row>
    <row r="480" spans="1:4">
      <c r="A480" s="143">
        <v>78</v>
      </c>
      <c r="B480" s="1" t="s">
        <v>1471</v>
      </c>
      <c r="C480" s="517" t="s">
        <v>1687</v>
      </c>
      <c r="D480" s="518">
        <v>4</v>
      </c>
    </row>
    <row r="481" spans="1:4">
      <c r="A481" s="143">
        <v>78</v>
      </c>
      <c r="B481" s="1" t="s">
        <v>108</v>
      </c>
      <c r="C481" s="517" t="s">
        <v>1688</v>
      </c>
      <c r="D481" s="518">
        <v>1</v>
      </c>
    </row>
    <row r="482" spans="1:4">
      <c r="A482" s="143">
        <v>78</v>
      </c>
      <c r="B482" s="1" t="s">
        <v>108</v>
      </c>
      <c r="C482" s="517" t="s">
        <v>1689</v>
      </c>
      <c r="D482" s="518">
        <v>2</v>
      </c>
    </row>
    <row r="483" spans="1:4">
      <c r="A483" s="143">
        <v>78</v>
      </c>
      <c r="B483" s="1" t="s">
        <v>108</v>
      </c>
      <c r="C483" s="517" t="s">
        <v>1690</v>
      </c>
      <c r="D483" s="518">
        <v>1</v>
      </c>
    </row>
    <row r="484" spans="1:4">
      <c r="A484" s="143">
        <v>79</v>
      </c>
      <c r="B484" s="1" t="s">
        <v>108</v>
      </c>
      <c r="C484" s="517" t="s">
        <v>1687</v>
      </c>
      <c r="D484" s="518">
        <v>1</v>
      </c>
    </row>
    <row r="485" spans="1:4">
      <c r="A485" s="143">
        <v>79</v>
      </c>
      <c r="B485" s="1" t="s">
        <v>1346</v>
      </c>
      <c r="C485" s="517" t="s">
        <v>1691</v>
      </c>
      <c r="D485" s="518">
        <v>1</v>
      </c>
    </row>
    <row r="486" spans="1:4">
      <c r="A486" s="143">
        <v>80</v>
      </c>
      <c r="B486" s="1" t="s">
        <v>108</v>
      </c>
      <c r="C486" s="520" t="s">
        <v>1692</v>
      </c>
      <c r="D486" s="518">
        <v>6</v>
      </c>
    </row>
    <row r="487" spans="1:4">
      <c r="A487" s="143">
        <v>81</v>
      </c>
      <c r="B487" s="1" t="s">
        <v>108</v>
      </c>
      <c r="C487" s="520" t="s">
        <v>1693</v>
      </c>
      <c r="D487" s="518">
        <v>1</v>
      </c>
    </row>
    <row r="488" spans="1:4">
      <c r="A488" s="143">
        <v>81</v>
      </c>
      <c r="B488" s="1" t="s">
        <v>108</v>
      </c>
      <c r="C488" s="520" t="s">
        <v>210</v>
      </c>
      <c r="D488" s="518">
        <v>7</v>
      </c>
    </row>
    <row r="489" spans="1:4">
      <c r="A489" s="143">
        <v>81</v>
      </c>
      <c r="B489" s="1" t="s">
        <v>108</v>
      </c>
      <c r="C489" s="520" t="s">
        <v>1526</v>
      </c>
      <c r="D489" s="518">
        <v>1</v>
      </c>
    </row>
    <row r="490" spans="1:4" ht="15" customHeight="1">
      <c r="A490" s="143">
        <v>82</v>
      </c>
      <c r="B490" s="1" t="s">
        <v>108</v>
      </c>
      <c r="C490" s="520" t="s">
        <v>1526</v>
      </c>
      <c r="D490" s="518">
        <v>2</v>
      </c>
    </row>
    <row r="491" spans="1:4" ht="14.25" customHeight="1">
      <c r="A491" s="143">
        <v>83</v>
      </c>
      <c r="B491" s="1" t="s">
        <v>108</v>
      </c>
      <c r="C491" s="520" t="s">
        <v>1691</v>
      </c>
      <c r="D491" s="518">
        <v>2</v>
      </c>
    </row>
    <row r="492" spans="1:4" ht="14.25" customHeight="1">
      <c r="A492" s="143">
        <v>84</v>
      </c>
      <c r="B492" s="1" t="s">
        <v>108</v>
      </c>
      <c r="C492" s="520" t="s">
        <v>1694</v>
      </c>
      <c r="D492" s="518">
        <v>12</v>
      </c>
    </row>
    <row r="493" spans="1:4" ht="72" customHeight="1">
      <c r="A493" s="143">
        <v>85</v>
      </c>
      <c r="B493" s="1" t="s">
        <v>108</v>
      </c>
      <c r="C493" s="520" t="s">
        <v>1691</v>
      </c>
      <c r="D493" s="518">
        <v>1</v>
      </c>
    </row>
    <row r="494" spans="1:4">
      <c r="A494" s="143">
        <v>86</v>
      </c>
      <c r="B494" s="1" t="s">
        <v>108</v>
      </c>
      <c r="C494" s="520" t="s">
        <v>1695</v>
      </c>
      <c r="D494" s="518">
        <v>12</v>
      </c>
    </row>
    <row r="495" spans="1:4">
      <c r="A495" s="143">
        <v>87</v>
      </c>
      <c r="B495" s="1" t="s">
        <v>108</v>
      </c>
      <c r="C495" s="520" t="s">
        <v>1696</v>
      </c>
      <c r="D495" s="518">
        <v>500</v>
      </c>
    </row>
    <row r="496" spans="1:4">
      <c r="A496" s="143">
        <v>88</v>
      </c>
      <c r="B496" s="1" t="s">
        <v>108</v>
      </c>
      <c r="C496" s="520" t="s">
        <v>1697</v>
      </c>
      <c r="D496" s="518">
        <v>24</v>
      </c>
    </row>
    <row r="497" spans="1:4">
      <c r="A497" s="143">
        <v>89</v>
      </c>
      <c r="B497" s="1" t="s">
        <v>108</v>
      </c>
      <c r="C497" s="520" t="s">
        <v>1691</v>
      </c>
      <c r="D497" s="518">
        <v>0</v>
      </c>
    </row>
    <row r="498" spans="1:4">
      <c r="A498" s="143">
        <v>90</v>
      </c>
      <c r="B498" s="1" t="s">
        <v>108</v>
      </c>
      <c r="C498" s="520" t="s">
        <v>1691</v>
      </c>
      <c r="D498" s="518">
        <v>12</v>
      </c>
    </row>
    <row r="499" spans="1:4">
      <c r="A499" s="143">
        <v>91</v>
      </c>
      <c r="B499" s="1" t="s">
        <v>108</v>
      </c>
      <c r="C499" s="520" t="s">
        <v>1691</v>
      </c>
      <c r="D499" s="518">
        <v>12</v>
      </c>
    </row>
    <row r="500" spans="1:4">
      <c r="C500" s="520"/>
      <c r="D500" s="518">
        <v>12</v>
      </c>
    </row>
    <row r="501" spans="1:4">
      <c r="A501" s="821" t="s">
        <v>318</v>
      </c>
      <c r="B501" s="821"/>
      <c r="D501" s="518"/>
    </row>
    <row r="502" spans="1:4">
      <c r="D502" s="143" t="s">
        <v>1895</v>
      </c>
    </row>
  </sheetData>
  <autoFilter ref="A2:D501" xr:uid="{00000000-0009-0000-0000-000018000000}"/>
  <mergeCells count="2">
    <mergeCell ref="A501:B501"/>
    <mergeCell ref="A1:B1"/>
  </mergeCells>
  <hyperlinks>
    <hyperlink ref="A1" location="DASHBOARD!A1" display="Back to Dashboard" xr:uid="{00000000-0004-0000-1800-000000000000}"/>
    <hyperlink ref="D1" location="Inventory_Hompage!A1" display="Back to Dashboard" xr:uid="{00000000-0004-0000-1800-000001000000}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BN323"/>
  <sheetViews>
    <sheetView zoomScale="167" zoomScaleNormal="167" workbookViewId="0">
      <selection activeCell="F4" sqref="F4"/>
    </sheetView>
  </sheetViews>
  <sheetFormatPr defaultRowHeight="15"/>
  <cols>
    <col min="1" max="1" width="0.85546875" customWidth="1"/>
    <col min="2" max="2" width="35.85546875" customWidth="1"/>
    <col min="3" max="3" width="0.85546875" customWidth="1"/>
    <col min="4" max="4" width="35.85546875" customWidth="1"/>
    <col min="5" max="5" width="0.85546875" customWidth="1"/>
    <col min="6" max="6" width="35.85546875" customWidth="1"/>
    <col min="7" max="7" width="0.85546875" customWidth="1"/>
    <col min="8" max="66" width="8.7109375" style="6"/>
  </cols>
  <sheetData>
    <row r="1" spans="1:66" s="233" customFormat="1" ht="36.950000000000003" customHeight="1">
      <c r="A1" s="824" t="s">
        <v>313</v>
      </c>
      <c r="B1" s="825"/>
      <c r="C1" s="825"/>
      <c r="D1" s="825"/>
      <c r="E1" s="825"/>
      <c r="F1" s="825"/>
      <c r="G1" s="826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09"/>
      <c r="BB1" s="309"/>
      <c r="BC1" s="309"/>
      <c r="BD1" s="309"/>
      <c r="BE1" s="309"/>
      <c r="BF1" s="309"/>
      <c r="BG1" s="309"/>
      <c r="BH1" s="309"/>
      <c r="BI1" s="309"/>
      <c r="BJ1" s="309"/>
      <c r="BK1" s="309"/>
      <c r="BL1" s="309"/>
      <c r="BM1" s="309"/>
      <c r="BN1" s="309"/>
    </row>
    <row r="2" spans="1:66" ht="3.95" customHeight="1">
      <c r="A2" s="267"/>
      <c r="B2" s="6"/>
      <c r="C2" s="6"/>
      <c r="D2" s="6"/>
      <c r="E2" s="6"/>
      <c r="F2" s="6"/>
      <c r="G2" s="6"/>
    </row>
    <row r="3" spans="1:66" ht="54" customHeight="1">
      <c r="A3" s="6"/>
      <c r="B3" s="823" t="s">
        <v>547</v>
      </c>
      <c r="C3" s="823"/>
      <c r="D3" s="823"/>
      <c r="E3" s="823"/>
      <c r="F3" s="823"/>
      <c r="G3" s="6"/>
      <c r="I3" s="310" t="s">
        <v>2</v>
      </c>
    </row>
    <row r="4" spans="1:66" ht="73.5" customHeight="1">
      <c r="A4" s="6"/>
      <c r="B4" s="506" t="s">
        <v>548</v>
      </c>
      <c r="C4" s="248"/>
      <c r="D4" s="307" t="s">
        <v>549</v>
      </c>
      <c r="E4" s="248"/>
      <c r="F4" s="308" t="s">
        <v>550</v>
      </c>
      <c r="G4" s="6"/>
      <c r="I4" s="310"/>
    </row>
    <row r="5" spans="1:66" ht="3.95" customHeight="1">
      <c r="A5" s="6"/>
      <c r="B5" s="248"/>
      <c r="C5" s="248"/>
      <c r="D5" s="248"/>
      <c r="E5" s="248"/>
      <c r="F5" s="248"/>
      <c r="G5" s="6"/>
      <c r="I5" s="310"/>
    </row>
    <row r="6" spans="1:66" s="494" customFormat="1" ht="15.6" customHeight="1">
      <c r="A6" s="493"/>
      <c r="B6" s="827" t="s">
        <v>1126</v>
      </c>
      <c r="C6" s="827"/>
      <c r="D6" s="827"/>
      <c r="E6" s="493"/>
      <c r="F6" s="828" t="s">
        <v>999</v>
      </c>
      <c r="G6" s="493"/>
      <c r="H6" s="493"/>
      <c r="I6" s="493"/>
      <c r="J6" s="493"/>
      <c r="K6" s="493"/>
      <c r="L6" s="493"/>
      <c r="M6" s="493"/>
      <c r="N6" s="493"/>
      <c r="O6" s="493"/>
      <c r="P6" s="493"/>
      <c r="Q6" s="493"/>
      <c r="R6" s="493"/>
      <c r="S6" s="493"/>
      <c r="T6" s="493"/>
      <c r="U6" s="493"/>
      <c r="V6" s="493"/>
      <c r="W6" s="493"/>
      <c r="X6" s="493"/>
      <c r="Y6" s="493"/>
      <c r="Z6" s="493"/>
      <c r="AA6" s="493"/>
      <c r="AB6" s="493"/>
      <c r="AC6" s="493"/>
      <c r="AD6" s="493"/>
      <c r="AE6" s="493"/>
      <c r="AF6" s="493"/>
      <c r="AG6" s="493"/>
      <c r="AH6" s="493"/>
      <c r="AI6" s="493"/>
      <c r="AJ6" s="493"/>
      <c r="AK6" s="493"/>
      <c r="AL6" s="493"/>
      <c r="AM6" s="493"/>
      <c r="AN6" s="493"/>
      <c r="AO6" s="493"/>
      <c r="AP6" s="493"/>
      <c r="AQ6" s="493"/>
      <c r="AR6" s="493"/>
      <c r="AS6" s="493"/>
      <c r="AT6" s="493"/>
      <c r="AU6" s="493"/>
      <c r="AV6" s="493"/>
      <c r="AW6" s="493"/>
      <c r="AX6" s="493"/>
      <c r="AY6" s="493"/>
      <c r="AZ6" s="493"/>
      <c r="BA6" s="493"/>
      <c r="BB6" s="493"/>
      <c r="BC6" s="493"/>
      <c r="BD6" s="493"/>
      <c r="BE6" s="493"/>
      <c r="BF6" s="493"/>
      <c r="BG6" s="493"/>
      <c r="BH6" s="493"/>
      <c r="BI6" s="493"/>
      <c r="BJ6" s="493"/>
      <c r="BK6" s="493"/>
      <c r="BL6" s="493"/>
      <c r="BM6" s="493"/>
      <c r="BN6" s="493"/>
    </row>
    <row r="7" spans="1:66" s="494" customFormat="1" ht="14.45" customHeight="1">
      <c r="A7" s="493"/>
      <c r="B7" s="495" t="s">
        <v>575</v>
      </c>
      <c r="C7" s="492"/>
      <c r="D7" s="492" t="s">
        <v>576</v>
      </c>
      <c r="E7" s="492"/>
      <c r="F7" s="829"/>
      <c r="G7" s="493"/>
      <c r="H7" s="493"/>
      <c r="I7" s="493"/>
      <c r="J7" s="493"/>
      <c r="K7" s="493"/>
      <c r="L7" s="493"/>
      <c r="M7" s="493"/>
      <c r="N7" s="493"/>
      <c r="O7" s="493"/>
      <c r="P7" s="493"/>
      <c r="Q7" s="493"/>
      <c r="R7" s="493"/>
      <c r="S7" s="493"/>
      <c r="T7" s="493"/>
      <c r="U7" s="493"/>
      <c r="V7" s="493"/>
      <c r="W7" s="493"/>
      <c r="X7" s="493"/>
      <c r="Y7" s="493"/>
      <c r="Z7" s="493"/>
      <c r="AA7" s="493"/>
      <c r="AB7" s="493"/>
      <c r="AC7" s="493"/>
      <c r="AD7" s="493"/>
      <c r="AE7" s="493"/>
      <c r="AF7" s="493"/>
      <c r="AG7" s="493"/>
      <c r="AH7" s="493"/>
      <c r="AI7" s="493"/>
      <c r="AJ7" s="493"/>
      <c r="AK7" s="493"/>
      <c r="AL7" s="493"/>
      <c r="AM7" s="493"/>
      <c r="AN7" s="493"/>
      <c r="AO7" s="493"/>
      <c r="AP7" s="493"/>
      <c r="AQ7" s="493"/>
      <c r="AR7" s="493"/>
      <c r="AS7" s="493"/>
      <c r="AT7" s="493"/>
      <c r="AU7" s="493"/>
      <c r="AV7" s="493"/>
      <c r="AW7" s="493"/>
      <c r="AX7" s="493"/>
      <c r="AY7" s="493"/>
      <c r="AZ7" s="493"/>
      <c r="BA7" s="493"/>
      <c r="BB7" s="493"/>
      <c r="BC7" s="493"/>
      <c r="BD7" s="493"/>
      <c r="BE7" s="493"/>
      <c r="BF7" s="493"/>
      <c r="BG7" s="493"/>
      <c r="BH7" s="493"/>
      <c r="BI7" s="493"/>
      <c r="BJ7" s="493"/>
      <c r="BK7" s="493"/>
      <c r="BL7" s="493"/>
      <c r="BM7" s="493"/>
      <c r="BN7" s="493"/>
    </row>
    <row r="8" spans="1:66" s="494" customFormat="1" ht="14.45" customHeight="1">
      <c r="A8" s="493"/>
      <c r="B8" s="495" t="s">
        <v>577</v>
      </c>
      <c r="C8" s="492"/>
      <c r="D8" s="496">
        <v>95</v>
      </c>
      <c r="E8" s="492"/>
      <c r="F8" s="829"/>
      <c r="G8" s="493"/>
      <c r="H8" s="493"/>
      <c r="I8" s="493"/>
      <c r="J8" s="493"/>
      <c r="K8" s="493"/>
      <c r="L8" s="493"/>
      <c r="M8" s="493"/>
      <c r="N8" s="493"/>
      <c r="O8" s="493"/>
      <c r="P8" s="493"/>
      <c r="Q8" s="493"/>
      <c r="R8" s="493"/>
      <c r="S8" s="493"/>
      <c r="T8" s="493"/>
      <c r="U8" s="493"/>
      <c r="V8" s="493"/>
      <c r="W8" s="493"/>
      <c r="X8" s="493"/>
      <c r="Y8" s="493"/>
      <c r="Z8" s="493"/>
      <c r="AA8" s="493"/>
      <c r="AB8" s="493"/>
      <c r="AC8" s="493"/>
      <c r="AD8" s="493"/>
      <c r="AE8" s="493"/>
      <c r="AF8" s="493"/>
      <c r="AG8" s="493"/>
      <c r="AH8" s="493"/>
      <c r="AI8" s="493"/>
      <c r="AJ8" s="493"/>
      <c r="AK8" s="493"/>
      <c r="AL8" s="493"/>
      <c r="AM8" s="493"/>
      <c r="AN8" s="493"/>
      <c r="AO8" s="493"/>
      <c r="AP8" s="493"/>
      <c r="AQ8" s="493"/>
      <c r="AR8" s="493"/>
      <c r="AS8" s="493"/>
      <c r="AT8" s="493"/>
      <c r="AU8" s="493"/>
      <c r="AV8" s="493"/>
      <c r="AW8" s="493"/>
      <c r="AX8" s="493"/>
      <c r="AY8" s="493"/>
      <c r="AZ8" s="493"/>
      <c r="BA8" s="493"/>
      <c r="BB8" s="493"/>
      <c r="BC8" s="493"/>
      <c r="BD8" s="493"/>
      <c r="BE8" s="493"/>
      <c r="BF8" s="493"/>
      <c r="BG8" s="493"/>
      <c r="BH8" s="493"/>
      <c r="BI8" s="493"/>
      <c r="BJ8" s="493"/>
      <c r="BK8" s="493"/>
      <c r="BL8" s="493"/>
      <c r="BM8" s="493"/>
      <c r="BN8" s="493"/>
    </row>
    <row r="9" spans="1:66" s="494" customFormat="1">
      <c r="A9" s="493"/>
      <c r="B9" s="495" t="s">
        <v>578</v>
      </c>
      <c r="C9" s="492"/>
      <c r="D9" s="496">
        <v>60</v>
      </c>
      <c r="E9" s="492"/>
      <c r="F9" s="829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3"/>
      <c r="BC9" s="493"/>
      <c r="BD9" s="493"/>
      <c r="BE9" s="493"/>
      <c r="BF9" s="493"/>
      <c r="BG9" s="493"/>
      <c r="BH9" s="493"/>
      <c r="BI9" s="493"/>
      <c r="BJ9" s="493"/>
      <c r="BK9" s="493"/>
      <c r="BL9" s="493"/>
      <c r="BM9" s="493"/>
      <c r="BN9" s="493"/>
    </row>
    <row r="10" spans="1:66" s="494" customFormat="1">
      <c r="A10" s="493"/>
      <c r="B10" s="495" t="s">
        <v>1121</v>
      </c>
      <c r="C10" s="492"/>
      <c r="D10" s="496" t="s">
        <v>1622</v>
      </c>
      <c r="E10" s="492"/>
      <c r="F10" s="492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3"/>
      <c r="BC10" s="493"/>
      <c r="BD10" s="493"/>
      <c r="BE10" s="493"/>
      <c r="BF10" s="493"/>
      <c r="BG10" s="493"/>
      <c r="BH10" s="493"/>
      <c r="BI10" s="493"/>
      <c r="BJ10" s="493"/>
      <c r="BK10" s="493"/>
      <c r="BL10" s="493"/>
      <c r="BM10" s="493"/>
      <c r="BN10" s="493"/>
    </row>
    <row r="11" spans="1:66" s="494" customFormat="1">
      <c r="A11" s="493"/>
      <c r="B11" s="495" t="s">
        <v>1122</v>
      </c>
      <c r="C11" s="492"/>
      <c r="D11" s="496" t="s">
        <v>1623</v>
      </c>
      <c r="E11" s="492"/>
      <c r="F11" s="492"/>
      <c r="G11" s="493"/>
      <c r="H11" s="493"/>
      <c r="I11" s="493"/>
      <c r="J11" s="493"/>
      <c r="K11" s="493"/>
      <c r="L11" s="493"/>
      <c r="M11" s="493"/>
      <c r="N11" s="493"/>
      <c r="O11" s="493"/>
      <c r="P11" s="493"/>
      <c r="Q11" s="493"/>
      <c r="R11" s="493"/>
      <c r="S11" s="493"/>
      <c r="T11" s="493"/>
      <c r="U11" s="493"/>
      <c r="V11" s="493"/>
      <c r="W11" s="493"/>
      <c r="X11" s="493"/>
      <c r="Y11" s="493"/>
      <c r="Z11" s="493"/>
      <c r="AA11" s="493"/>
      <c r="AB11" s="493"/>
      <c r="AC11" s="493"/>
      <c r="AD11" s="493"/>
      <c r="AE11" s="493"/>
      <c r="AF11" s="493"/>
      <c r="AG11" s="493"/>
      <c r="AH11" s="493"/>
      <c r="AI11" s="493"/>
      <c r="AJ11" s="493"/>
      <c r="AK11" s="493"/>
      <c r="AL11" s="493"/>
      <c r="AM11" s="493"/>
      <c r="AN11" s="493"/>
      <c r="AO11" s="493"/>
      <c r="AP11" s="493"/>
      <c r="AQ11" s="493"/>
      <c r="AR11" s="493"/>
      <c r="AS11" s="493"/>
      <c r="AT11" s="493"/>
      <c r="AU11" s="493"/>
      <c r="AV11" s="493"/>
      <c r="AW11" s="493"/>
      <c r="AX11" s="493"/>
      <c r="AY11" s="493"/>
      <c r="AZ11" s="493"/>
      <c r="BA11" s="493"/>
      <c r="BB11" s="493"/>
      <c r="BC11" s="493"/>
      <c r="BD11" s="493"/>
      <c r="BE11" s="493"/>
      <c r="BF11" s="493"/>
      <c r="BG11" s="493"/>
      <c r="BH11" s="493"/>
      <c r="BI11" s="493"/>
      <c r="BJ11" s="493"/>
      <c r="BK11" s="493"/>
      <c r="BL11" s="493"/>
      <c r="BM11" s="493"/>
      <c r="BN11" s="493"/>
    </row>
    <row r="12" spans="1:66" s="494" customFormat="1">
      <c r="A12" s="493"/>
      <c r="B12" s="495" t="s">
        <v>1123</v>
      </c>
      <c r="C12" s="492"/>
      <c r="D12" s="496" t="s">
        <v>1624</v>
      </c>
      <c r="E12" s="492"/>
      <c r="F12" s="492"/>
      <c r="G12" s="493"/>
      <c r="H12" s="493"/>
      <c r="I12" s="493"/>
      <c r="J12" s="493"/>
      <c r="K12" s="493"/>
      <c r="L12" s="493"/>
      <c r="M12" s="493"/>
      <c r="N12" s="493"/>
      <c r="O12" s="493"/>
      <c r="P12" s="493"/>
      <c r="Q12" s="493"/>
      <c r="R12" s="493"/>
      <c r="S12" s="493"/>
      <c r="T12" s="493"/>
      <c r="U12" s="493"/>
      <c r="V12" s="493"/>
      <c r="W12" s="493"/>
      <c r="X12" s="493"/>
      <c r="Y12" s="493"/>
      <c r="Z12" s="493"/>
      <c r="AA12" s="493"/>
      <c r="AB12" s="493"/>
      <c r="AC12" s="493"/>
      <c r="AD12" s="493"/>
      <c r="AE12" s="493"/>
      <c r="AF12" s="493"/>
      <c r="AG12" s="493"/>
      <c r="AH12" s="493"/>
      <c r="AI12" s="493"/>
      <c r="AJ12" s="493"/>
      <c r="AK12" s="493"/>
      <c r="AL12" s="493"/>
      <c r="AM12" s="493"/>
      <c r="AN12" s="493"/>
      <c r="AO12" s="493"/>
      <c r="AP12" s="493"/>
      <c r="AQ12" s="493"/>
      <c r="AR12" s="493"/>
      <c r="AS12" s="493"/>
      <c r="AT12" s="493"/>
      <c r="AU12" s="493"/>
      <c r="AV12" s="493"/>
      <c r="AW12" s="493"/>
      <c r="AX12" s="493"/>
      <c r="AY12" s="493"/>
      <c r="AZ12" s="493"/>
      <c r="BA12" s="493"/>
      <c r="BB12" s="493"/>
      <c r="BC12" s="493"/>
      <c r="BD12" s="493"/>
      <c r="BE12" s="493"/>
      <c r="BF12" s="493"/>
      <c r="BG12" s="493"/>
      <c r="BH12" s="493"/>
      <c r="BI12" s="493"/>
      <c r="BJ12" s="493"/>
      <c r="BK12" s="493"/>
      <c r="BL12" s="493"/>
      <c r="BM12" s="493"/>
      <c r="BN12" s="493"/>
    </row>
    <row r="13" spans="1:66" s="494" customFormat="1">
      <c r="A13" s="493"/>
      <c r="B13" s="495" t="s">
        <v>1125</v>
      </c>
      <c r="C13" s="492"/>
      <c r="D13" s="496">
        <v>2</v>
      </c>
      <c r="E13" s="492"/>
      <c r="F13" s="492"/>
      <c r="G13" s="493"/>
      <c r="H13" s="493"/>
      <c r="I13" s="493"/>
      <c r="J13" s="493"/>
      <c r="K13" s="493"/>
      <c r="L13" s="493"/>
      <c r="M13" s="493"/>
      <c r="N13" s="493"/>
      <c r="O13" s="493"/>
      <c r="P13" s="493"/>
      <c r="Q13" s="493"/>
      <c r="R13" s="493"/>
      <c r="S13" s="493"/>
      <c r="T13" s="493"/>
      <c r="U13" s="493"/>
      <c r="V13" s="493"/>
      <c r="W13" s="493"/>
      <c r="X13" s="493"/>
      <c r="Y13" s="493"/>
      <c r="Z13" s="493"/>
      <c r="AA13" s="493"/>
      <c r="AB13" s="493"/>
      <c r="AC13" s="493"/>
      <c r="AD13" s="493"/>
      <c r="AE13" s="493"/>
      <c r="AF13" s="493"/>
      <c r="AG13" s="493"/>
      <c r="AH13" s="493"/>
      <c r="AI13" s="493"/>
      <c r="AJ13" s="493"/>
      <c r="AK13" s="493"/>
      <c r="AL13" s="493"/>
      <c r="AM13" s="493"/>
      <c r="AN13" s="493"/>
      <c r="AO13" s="493"/>
      <c r="AP13" s="493"/>
      <c r="AQ13" s="493"/>
      <c r="AR13" s="493"/>
      <c r="AS13" s="493"/>
      <c r="AT13" s="493"/>
      <c r="AU13" s="493"/>
      <c r="AV13" s="493"/>
      <c r="AW13" s="493"/>
      <c r="AX13" s="493"/>
      <c r="AY13" s="493"/>
      <c r="AZ13" s="493"/>
      <c r="BA13" s="493"/>
      <c r="BB13" s="493"/>
      <c r="BC13" s="493"/>
      <c r="BD13" s="493"/>
      <c r="BE13" s="493"/>
      <c r="BF13" s="493"/>
      <c r="BG13" s="493"/>
      <c r="BH13" s="493"/>
      <c r="BI13" s="493"/>
      <c r="BJ13" s="493"/>
      <c r="BK13" s="493"/>
      <c r="BL13" s="493"/>
      <c r="BM13" s="493"/>
      <c r="BN13" s="493"/>
    </row>
    <row r="14" spans="1:66" s="494" customFormat="1">
      <c r="A14" s="493"/>
      <c r="B14" s="495" t="s">
        <v>1124</v>
      </c>
      <c r="C14" s="492"/>
      <c r="D14" s="496">
        <v>2</v>
      </c>
      <c r="E14" s="492"/>
      <c r="F14" s="492"/>
      <c r="G14" s="493"/>
      <c r="H14" s="493"/>
      <c r="I14" s="493"/>
      <c r="J14" s="493"/>
      <c r="K14" s="493"/>
      <c r="L14" s="493"/>
      <c r="M14" s="493"/>
      <c r="N14" s="493"/>
      <c r="O14" s="493"/>
      <c r="P14" s="493"/>
      <c r="Q14" s="493"/>
      <c r="R14" s="493"/>
      <c r="S14" s="493"/>
      <c r="T14" s="493"/>
      <c r="U14" s="493"/>
      <c r="V14" s="493"/>
      <c r="W14" s="493"/>
      <c r="X14" s="493"/>
      <c r="Y14" s="493"/>
      <c r="Z14" s="493"/>
      <c r="AA14" s="493"/>
      <c r="AB14" s="493"/>
      <c r="AC14" s="493"/>
      <c r="AD14" s="493"/>
      <c r="AE14" s="493"/>
      <c r="AF14" s="493"/>
      <c r="AG14" s="493"/>
      <c r="AH14" s="493"/>
      <c r="AI14" s="493"/>
      <c r="AJ14" s="493"/>
      <c r="AK14" s="493"/>
      <c r="AL14" s="493"/>
      <c r="AM14" s="493"/>
      <c r="AN14" s="493"/>
      <c r="AO14" s="493"/>
      <c r="AP14" s="493"/>
      <c r="AQ14" s="493"/>
      <c r="AR14" s="493"/>
      <c r="AS14" s="493"/>
      <c r="AT14" s="493"/>
      <c r="AU14" s="493"/>
      <c r="AV14" s="493"/>
      <c r="AW14" s="493"/>
      <c r="AX14" s="493"/>
      <c r="AY14" s="493"/>
      <c r="AZ14" s="493"/>
      <c r="BA14" s="493"/>
      <c r="BB14" s="493"/>
      <c r="BC14" s="493"/>
      <c r="BD14" s="493"/>
      <c r="BE14" s="493"/>
      <c r="BF14" s="493"/>
      <c r="BG14" s="493"/>
      <c r="BH14" s="493"/>
      <c r="BI14" s="493"/>
      <c r="BJ14" s="493"/>
      <c r="BK14" s="493"/>
      <c r="BL14" s="493"/>
      <c r="BM14" s="493"/>
      <c r="BN14" s="493"/>
    </row>
    <row r="15" spans="1:66" ht="16.5">
      <c r="A15" s="6"/>
      <c r="B15" s="822" t="s">
        <v>2038</v>
      </c>
      <c r="C15" s="822"/>
      <c r="D15" s="822"/>
      <c r="E15" s="822"/>
      <c r="F15" s="822"/>
      <c r="G15" s="6"/>
    </row>
    <row r="16" spans="1:66">
      <c r="A16" s="6"/>
      <c r="B16" s="6"/>
      <c r="C16" s="6"/>
      <c r="D16" s="6"/>
      <c r="E16" s="6"/>
      <c r="F16" s="6"/>
      <c r="G16" s="6"/>
    </row>
    <row r="17" spans="1:7">
      <c r="A17" s="6"/>
      <c r="B17" s="6"/>
      <c r="C17" s="6"/>
      <c r="D17" s="6"/>
      <c r="E17" s="6"/>
      <c r="F17" s="6"/>
      <c r="G17" s="6"/>
    </row>
    <row r="18" spans="1:7">
      <c r="A18" s="6"/>
      <c r="B18" s="6"/>
      <c r="C18" s="6"/>
      <c r="D18" s="6"/>
      <c r="E18" s="6"/>
      <c r="F18" s="6"/>
      <c r="G18" s="6"/>
    </row>
    <row r="19" spans="1:7">
      <c r="A19" s="6"/>
      <c r="B19" s="6"/>
      <c r="C19" s="6"/>
      <c r="D19" s="6"/>
      <c r="E19" s="6"/>
      <c r="F19" s="6"/>
      <c r="G19" s="6"/>
    </row>
    <row r="20" spans="1:7">
      <c r="A20" s="6"/>
      <c r="B20" s="6"/>
      <c r="C20" s="6"/>
      <c r="D20" s="6"/>
      <c r="E20" s="6"/>
      <c r="F20" s="6"/>
      <c r="G20" s="6"/>
    </row>
    <row r="21" spans="1:7">
      <c r="A21" s="6"/>
      <c r="B21" s="6"/>
      <c r="C21" s="6"/>
      <c r="D21" s="6"/>
      <c r="E21" s="6"/>
      <c r="F21" s="6"/>
      <c r="G21" s="6"/>
    </row>
    <row r="22" spans="1:7">
      <c r="A22" s="6"/>
      <c r="B22" s="6"/>
      <c r="C22" s="6"/>
      <c r="D22" s="6"/>
      <c r="E22" s="6"/>
      <c r="F22" s="6"/>
      <c r="G22" s="6"/>
    </row>
    <row r="23" spans="1:7">
      <c r="A23" s="6"/>
      <c r="B23" s="6"/>
      <c r="C23" s="6"/>
      <c r="D23" s="6"/>
      <c r="E23" s="6"/>
      <c r="F23" s="6"/>
      <c r="G23" s="6"/>
    </row>
    <row r="24" spans="1:7">
      <c r="A24" s="6"/>
      <c r="B24" s="6"/>
      <c r="C24" s="6"/>
      <c r="D24" s="6"/>
      <c r="E24" s="6"/>
      <c r="F24" s="6"/>
      <c r="G24" s="6"/>
    </row>
    <row r="25" spans="1:7">
      <c r="A25" s="6"/>
      <c r="B25" s="6"/>
      <c r="C25" s="6"/>
      <c r="D25" s="6"/>
      <c r="E25" s="6"/>
      <c r="F25" s="6"/>
      <c r="G25" s="6"/>
    </row>
    <row r="26" spans="1:7">
      <c r="A26" s="6"/>
      <c r="B26" s="6"/>
      <c r="C26" s="6"/>
      <c r="D26" s="6"/>
      <c r="E26" s="6"/>
      <c r="F26" s="6"/>
      <c r="G26" s="6"/>
    </row>
    <row r="27" spans="1:7">
      <c r="A27" s="6"/>
      <c r="B27" s="6"/>
      <c r="C27" s="6"/>
      <c r="D27" s="6"/>
      <c r="E27" s="6"/>
      <c r="F27" s="6"/>
      <c r="G27" s="6"/>
    </row>
    <row r="28" spans="1:7">
      <c r="A28" s="6"/>
      <c r="B28" s="6"/>
      <c r="C28" s="6"/>
      <c r="D28" s="6"/>
      <c r="E28" s="6"/>
      <c r="F28" s="6"/>
      <c r="G28" s="6"/>
    </row>
    <row r="29" spans="1:7">
      <c r="A29" s="6"/>
      <c r="B29" s="6"/>
      <c r="C29" s="6"/>
      <c r="D29" s="6"/>
      <c r="E29" s="6"/>
      <c r="F29" s="6"/>
      <c r="G29" s="6"/>
    </row>
    <row r="30" spans="1:7">
      <c r="A30" s="6"/>
      <c r="B30" s="6"/>
      <c r="C30" s="6"/>
      <c r="D30" s="6"/>
      <c r="E30" s="6"/>
      <c r="F30" s="6"/>
      <c r="G30" s="6"/>
    </row>
    <row r="31" spans="1:7">
      <c r="A31" s="6"/>
      <c r="B31" s="6"/>
      <c r="C31" s="6"/>
      <c r="D31" s="6"/>
      <c r="E31" s="6"/>
      <c r="F31" s="6"/>
      <c r="G31" s="6"/>
    </row>
    <row r="32" spans="1:7">
      <c r="A32" s="6"/>
      <c r="B32" s="6"/>
      <c r="C32" s="6"/>
      <c r="D32" s="6"/>
      <c r="E32" s="6"/>
      <c r="F32" s="6"/>
      <c r="G32" s="6"/>
    </row>
    <row r="33" spans="1:7">
      <c r="A33" s="6"/>
      <c r="B33" s="6"/>
      <c r="C33" s="6"/>
      <c r="D33" s="6"/>
      <c r="E33" s="6"/>
      <c r="F33" s="6"/>
      <c r="G33" s="6"/>
    </row>
    <row r="34" spans="1:7">
      <c r="A34" s="6"/>
      <c r="B34" s="6"/>
      <c r="C34" s="6"/>
      <c r="D34" s="6"/>
      <c r="E34" s="6"/>
      <c r="F34" s="6"/>
      <c r="G34" s="6"/>
    </row>
    <row r="35" spans="1:7">
      <c r="A35" s="6"/>
      <c r="B35" s="6"/>
      <c r="C35" s="6"/>
      <c r="D35" s="6"/>
      <c r="E35" s="6"/>
      <c r="F35" s="6"/>
      <c r="G35" s="6"/>
    </row>
    <row r="36" spans="1:7">
      <c r="A36" s="6"/>
      <c r="B36" s="6"/>
      <c r="C36" s="6"/>
      <c r="D36" s="6"/>
      <c r="E36" s="6"/>
      <c r="F36" s="6"/>
      <c r="G36" s="6"/>
    </row>
    <row r="37" spans="1:7">
      <c r="A37" s="6"/>
      <c r="B37" s="6"/>
      <c r="C37" s="6"/>
      <c r="D37" s="6"/>
      <c r="E37" s="6"/>
      <c r="F37" s="6"/>
      <c r="G37" s="6"/>
    </row>
    <row r="38" spans="1:7">
      <c r="A38" s="6"/>
      <c r="B38" s="6"/>
      <c r="C38" s="6"/>
      <c r="D38" s="6"/>
      <c r="E38" s="6"/>
      <c r="F38" s="6"/>
      <c r="G38" s="6"/>
    </row>
    <row r="39" spans="1:7">
      <c r="A39" s="6"/>
      <c r="B39" s="6"/>
      <c r="C39" s="6"/>
      <c r="D39" s="6"/>
      <c r="E39" s="6"/>
      <c r="F39" s="6"/>
      <c r="G39" s="6"/>
    </row>
    <row r="40" spans="1:7">
      <c r="A40" s="6"/>
      <c r="B40" s="6"/>
      <c r="C40" s="6"/>
      <c r="D40" s="6"/>
      <c r="E40" s="6"/>
      <c r="F40" s="6"/>
      <c r="G40" s="6"/>
    </row>
    <row r="41" spans="1:7">
      <c r="A41" s="6"/>
      <c r="B41" s="6"/>
      <c r="C41" s="6"/>
      <c r="D41" s="6"/>
      <c r="E41" s="6"/>
      <c r="F41" s="6"/>
      <c r="G41" s="6"/>
    </row>
    <row r="42" spans="1:7">
      <c r="A42" s="6"/>
      <c r="B42" s="6"/>
      <c r="C42" s="6"/>
      <c r="D42" s="6"/>
      <c r="E42" s="6"/>
      <c r="F42" s="6"/>
      <c r="G42" s="6"/>
    </row>
    <row r="43" spans="1:7">
      <c r="A43" s="6"/>
      <c r="B43" s="6"/>
      <c r="C43" s="6"/>
      <c r="D43" s="6"/>
      <c r="E43" s="6"/>
      <c r="F43" s="6"/>
      <c r="G43" s="6"/>
    </row>
    <row r="44" spans="1:7">
      <c r="A44" s="6"/>
      <c r="B44" s="6"/>
      <c r="C44" s="6"/>
      <c r="D44" s="6"/>
      <c r="E44" s="6"/>
      <c r="F44" s="6"/>
      <c r="G44" s="6"/>
    </row>
    <row r="45" spans="1:7">
      <c r="A45" s="6"/>
      <c r="B45" s="6"/>
      <c r="C45" s="6"/>
      <c r="D45" s="6"/>
      <c r="E45" s="6"/>
      <c r="F45" s="6"/>
      <c r="G45" s="6"/>
    </row>
    <row r="46" spans="1:7">
      <c r="A46" s="6"/>
      <c r="B46" s="6"/>
      <c r="C46" s="6"/>
      <c r="D46" s="6"/>
      <c r="E46" s="6"/>
      <c r="F46" s="6"/>
      <c r="G46" s="6"/>
    </row>
    <row r="47" spans="1:7">
      <c r="A47" s="6"/>
      <c r="B47" s="6"/>
      <c r="C47" s="6"/>
      <c r="D47" s="6"/>
      <c r="E47" s="6"/>
      <c r="F47" s="6"/>
      <c r="G47" s="6"/>
    </row>
    <row r="48" spans="1:7">
      <c r="A48" s="6"/>
      <c r="B48" s="6"/>
      <c r="C48" s="6"/>
      <c r="D48" s="6"/>
      <c r="E48" s="6"/>
      <c r="F48" s="6"/>
      <c r="G48" s="6"/>
    </row>
    <row r="49" spans="1:7">
      <c r="A49" s="6"/>
      <c r="B49" s="6"/>
      <c r="C49" s="6"/>
      <c r="D49" s="6"/>
      <c r="E49" s="6"/>
      <c r="F49" s="6"/>
      <c r="G49" s="6"/>
    </row>
    <row r="50" spans="1:7">
      <c r="A50" s="6"/>
      <c r="B50" s="6"/>
      <c r="C50" s="6"/>
      <c r="D50" s="6"/>
      <c r="E50" s="6"/>
      <c r="F50" s="6"/>
      <c r="G50" s="6"/>
    </row>
    <row r="51" spans="1:7">
      <c r="A51" s="6"/>
      <c r="B51" s="6"/>
      <c r="C51" s="6"/>
      <c r="D51" s="6"/>
      <c r="E51" s="6"/>
      <c r="F51" s="6"/>
      <c r="G51" s="6"/>
    </row>
    <row r="52" spans="1:7">
      <c r="A52" s="6"/>
      <c r="B52" s="6"/>
      <c r="C52" s="6"/>
      <c r="D52" s="6"/>
      <c r="E52" s="6"/>
      <c r="F52" s="6"/>
      <c r="G52" s="6"/>
    </row>
    <row r="53" spans="1:7">
      <c r="A53" s="6"/>
      <c r="B53" s="6"/>
      <c r="C53" s="6"/>
      <c r="D53" s="6"/>
      <c r="E53" s="6"/>
      <c r="F53" s="6"/>
      <c r="G53" s="6"/>
    </row>
    <row r="54" spans="1:7">
      <c r="A54" s="6"/>
      <c r="B54" s="6"/>
      <c r="C54" s="6"/>
      <c r="D54" s="6"/>
      <c r="E54" s="6"/>
      <c r="F54" s="6"/>
      <c r="G54" s="6"/>
    </row>
    <row r="55" spans="1:7">
      <c r="A55" s="6"/>
      <c r="B55" s="6"/>
      <c r="C55" s="6"/>
      <c r="D55" s="6"/>
      <c r="E55" s="6"/>
      <c r="F55" s="6"/>
      <c r="G55" s="6"/>
    </row>
    <row r="56" spans="1:7">
      <c r="A56" s="6"/>
      <c r="B56" s="6"/>
      <c r="C56" s="6"/>
      <c r="D56" s="6"/>
      <c r="E56" s="6"/>
      <c r="F56" s="6"/>
      <c r="G56" s="6"/>
    </row>
    <row r="57" spans="1:7">
      <c r="A57" s="6"/>
      <c r="B57" s="6"/>
      <c r="C57" s="6"/>
      <c r="D57" s="6"/>
      <c r="E57" s="6"/>
      <c r="F57" s="6"/>
      <c r="G57" s="6"/>
    </row>
    <row r="58" spans="1:7">
      <c r="A58" s="6"/>
      <c r="B58" s="6"/>
      <c r="C58" s="6"/>
      <c r="D58" s="6"/>
      <c r="E58" s="6"/>
      <c r="F58" s="6"/>
      <c r="G58" s="6"/>
    </row>
    <row r="59" spans="1:7">
      <c r="A59" s="6"/>
      <c r="B59" s="6"/>
      <c r="C59" s="6"/>
      <c r="D59" s="6"/>
      <c r="E59" s="6"/>
      <c r="F59" s="6"/>
      <c r="G59" s="6"/>
    </row>
    <row r="60" spans="1:7">
      <c r="A60" s="6"/>
      <c r="B60" s="6"/>
      <c r="C60" s="6"/>
      <c r="D60" s="6"/>
      <c r="E60" s="6"/>
      <c r="F60" s="6"/>
      <c r="G60" s="6"/>
    </row>
    <row r="61" spans="1:7">
      <c r="A61" s="6"/>
      <c r="B61" s="6"/>
      <c r="C61" s="6"/>
      <c r="D61" s="6"/>
      <c r="E61" s="6"/>
      <c r="F61" s="6"/>
      <c r="G61" s="6"/>
    </row>
    <row r="62" spans="1:7">
      <c r="A62" s="6"/>
      <c r="B62" s="6"/>
      <c r="C62" s="6"/>
      <c r="D62" s="6"/>
      <c r="E62" s="6"/>
      <c r="F62" s="6"/>
      <c r="G62" s="6"/>
    </row>
    <row r="63" spans="1:7">
      <c r="A63" s="6"/>
      <c r="B63" s="6"/>
      <c r="C63" s="6"/>
      <c r="D63" s="6"/>
      <c r="E63" s="6"/>
      <c r="F63" s="6"/>
      <c r="G63" s="6"/>
    </row>
    <row r="64" spans="1:7">
      <c r="A64" s="6"/>
      <c r="B64" s="6"/>
      <c r="C64" s="6"/>
      <c r="D64" s="6"/>
      <c r="E64" s="6"/>
      <c r="F64" s="6"/>
      <c r="G64" s="6"/>
    </row>
    <row r="65" spans="1:7">
      <c r="A65" s="6"/>
      <c r="B65" s="6"/>
      <c r="C65" s="6"/>
      <c r="D65" s="6"/>
      <c r="E65" s="6"/>
      <c r="F65" s="6"/>
      <c r="G65" s="6"/>
    </row>
    <row r="66" spans="1:7">
      <c r="A66" s="6"/>
      <c r="B66" s="6"/>
      <c r="C66" s="6"/>
      <c r="D66" s="6"/>
      <c r="E66" s="6"/>
      <c r="F66" s="6"/>
      <c r="G66" s="6"/>
    </row>
    <row r="67" spans="1:7">
      <c r="A67" s="6"/>
      <c r="B67" s="6"/>
      <c r="C67" s="6"/>
      <c r="D67" s="6"/>
      <c r="E67" s="6"/>
      <c r="F67" s="6"/>
      <c r="G67" s="6"/>
    </row>
    <row r="68" spans="1:7">
      <c r="A68" s="6"/>
      <c r="B68" s="6"/>
      <c r="C68" s="6"/>
      <c r="D68" s="6"/>
      <c r="E68" s="6"/>
      <c r="F68" s="6"/>
      <c r="G68" s="6"/>
    </row>
    <row r="69" spans="1:7">
      <c r="A69" s="6"/>
      <c r="B69" s="6"/>
      <c r="C69" s="6"/>
      <c r="D69" s="6"/>
      <c r="E69" s="6"/>
      <c r="F69" s="6"/>
      <c r="G69" s="6"/>
    </row>
    <row r="70" spans="1:7">
      <c r="A70" s="6"/>
      <c r="B70" s="6"/>
      <c r="C70" s="6"/>
      <c r="D70" s="6"/>
      <c r="E70" s="6"/>
      <c r="F70" s="6"/>
      <c r="G70" s="6"/>
    </row>
    <row r="71" spans="1:7">
      <c r="A71" s="6"/>
      <c r="B71" s="6"/>
      <c r="C71" s="6"/>
      <c r="D71" s="6"/>
      <c r="E71" s="6"/>
      <c r="F71" s="6"/>
      <c r="G71" s="6"/>
    </row>
    <row r="72" spans="1:7">
      <c r="A72" s="6"/>
      <c r="B72" s="6"/>
      <c r="C72" s="6"/>
      <c r="D72" s="6"/>
      <c r="E72" s="6"/>
      <c r="F72" s="6"/>
      <c r="G72" s="6"/>
    </row>
    <row r="73" spans="1:7">
      <c r="A73" s="6"/>
      <c r="B73" s="6"/>
      <c r="C73" s="6"/>
      <c r="D73" s="6"/>
      <c r="E73" s="6"/>
      <c r="F73" s="6"/>
      <c r="G73" s="6"/>
    </row>
    <row r="74" spans="1:7">
      <c r="A74" s="6"/>
      <c r="B74" s="6"/>
      <c r="C74" s="6"/>
      <c r="D74" s="6"/>
      <c r="E74" s="6"/>
      <c r="F74" s="6"/>
      <c r="G74" s="6"/>
    </row>
    <row r="75" spans="1:7">
      <c r="A75" s="6"/>
      <c r="B75" s="6"/>
      <c r="C75" s="6"/>
      <c r="D75" s="6"/>
      <c r="E75" s="6"/>
      <c r="F75" s="6"/>
      <c r="G75" s="6"/>
    </row>
    <row r="76" spans="1:7">
      <c r="A76" s="6"/>
      <c r="B76" s="6"/>
      <c r="C76" s="6"/>
      <c r="D76" s="6"/>
      <c r="E76" s="6"/>
      <c r="F76" s="6"/>
      <c r="G76" s="6"/>
    </row>
    <row r="77" spans="1:7">
      <c r="A77" s="6"/>
      <c r="B77" s="6"/>
      <c r="C77" s="6"/>
      <c r="D77" s="6"/>
      <c r="E77" s="6"/>
      <c r="F77" s="6"/>
      <c r="G77" s="6"/>
    </row>
    <row r="78" spans="1:7">
      <c r="A78" s="6"/>
      <c r="B78" s="6"/>
      <c r="C78" s="6"/>
      <c r="D78" s="6"/>
      <c r="E78" s="6"/>
      <c r="F78" s="6"/>
      <c r="G78" s="6"/>
    </row>
    <row r="79" spans="1:7">
      <c r="A79" s="6"/>
      <c r="B79" s="6"/>
      <c r="C79" s="6"/>
      <c r="D79" s="6"/>
      <c r="E79" s="6"/>
      <c r="F79" s="6"/>
      <c r="G79" s="6"/>
    </row>
    <row r="80" spans="1:7">
      <c r="A80" s="6"/>
      <c r="B80" s="6"/>
      <c r="C80" s="6"/>
      <c r="D80" s="6"/>
      <c r="E80" s="6"/>
      <c r="F80" s="6"/>
      <c r="G80" s="6"/>
    </row>
    <row r="81" spans="1:7">
      <c r="A81" s="6"/>
      <c r="B81" s="6"/>
      <c r="C81" s="6"/>
      <c r="D81" s="6"/>
      <c r="E81" s="6"/>
      <c r="F81" s="6"/>
      <c r="G81" s="6"/>
    </row>
    <row r="82" spans="1:7">
      <c r="A82" s="6"/>
      <c r="B82" s="6"/>
      <c r="C82" s="6"/>
      <c r="D82" s="6"/>
      <c r="E82" s="6"/>
      <c r="F82" s="6"/>
      <c r="G82" s="6"/>
    </row>
    <row r="83" spans="1:7">
      <c r="A83" s="6"/>
      <c r="B83" s="6"/>
      <c r="C83" s="6"/>
      <c r="D83" s="6"/>
      <c r="E83" s="6"/>
      <c r="F83" s="6"/>
      <c r="G83" s="6"/>
    </row>
    <row r="84" spans="1:7">
      <c r="A84" s="6"/>
      <c r="B84" s="6"/>
      <c r="C84" s="6"/>
      <c r="D84" s="6"/>
      <c r="E84" s="6"/>
      <c r="F84" s="6"/>
      <c r="G84" s="6"/>
    </row>
    <row r="85" spans="1:7">
      <c r="A85" s="6"/>
      <c r="B85" s="6"/>
      <c r="C85" s="6"/>
      <c r="D85" s="6"/>
      <c r="E85" s="6"/>
      <c r="F85" s="6"/>
      <c r="G85" s="6"/>
    </row>
    <row r="86" spans="1:7">
      <c r="A86" s="6"/>
      <c r="B86" s="6"/>
      <c r="C86" s="6"/>
      <c r="D86" s="6"/>
      <c r="E86" s="6"/>
      <c r="F86" s="6"/>
      <c r="G86" s="6"/>
    </row>
    <row r="87" spans="1:7">
      <c r="A87" s="6"/>
      <c r="B87" s="6"/>
      <c r="C87" s="6"/>
      <c r="D87" s="6"/>
      <c r="E87" s="6"/>
      <c r="F87" s="6"/>
      <c r="G87" s="6"/>
    </row>
    <row r="88" spans="1:7">
      <c r="A88" s="6"/>
      <c r="B88" s="6"/>
      <c r="C88" s="6"/>
      <c r="D88" s="6"/>
      <c r="E88" s="6"/>
      <c r="F88" s="6"/>
      <c r="G88" s="6"/>
    </row>
    <row r="89" spans="1:7">
      <c r="A89" s="6"/>
      <c r="B89" s="6"/>
      <c r="C89" s="6"/>
      <c r="D89" s="6"/>
      <c r="E89" s="6"/>
      <c r="F89" s="6"/>
      <c r="G89" s="6"/>
    </row>
    <row r="90" spans="1:7">
      <c r="A90" s="6"/>
      <c r="B90" s="6"/>
      <c r="C90" s="6"/>
      <c r="D90" s="6"/>
      <c r="E90" s="6"/>
      <c r="F90" s="6"/>
      <c r="G90" s="6"/>
    </row>
    <row r="91" spans="1:7">
      <c r="A91" s="6"/>
      <c r="B91" s="6"/>
      <c r="C91" s="6"/>
      <c r="D91" s="6"/>
      <c r="E91" s="6"/>
      <c r="F91" s="6"/>
      <c r="G91" s="6"/>
    </row>
    <row r="92" spans="1:7">
      <c r="A92" s="6"/>
      <c r="B92" s="6"/>
      <c r="C92" s="6"/>
      <c r="D92" s="6"/>
      <c r="E92" s="6"/>
      <c r="F92" s="6"/>
      <c r="G92" s="6"/>
    </row>
    <row r="93" spans="1:7">
      <c r="A93" s="6"/>
      <c r="B93" s="6"/>
      <c r="C93" s="6"/>
      <c r="D93" s="6"/>
      <c r="E93" s="6"/>
      <c r="F93" s="6"/>
      <c r="G93" s="6"/>
    </row>
    <row r="94" spans="1:7">
      <c r="A94" s="6"/>
      <c r="B94" s="6"/>
      <c r="C94" s="6"/>
      <c r="D94" s="6"/>
      <c r="E94" s="6"/>
      <c r="F94" s="6"/>
      <c r="G94" s="6"/>
    </row>
    <row r="95" spans="1:7">
      <c r="A95" s="6"/>
      <c r="B95" s="6"/>
      <c r="C95" s="6"/>
      <c r="D95" s="6"/>
      <c r="E95" s="6"/>
      <c r="F95" s="6"/>
      <c r="G95" s="6"/>
    </row>
    <row r="96" spans="1:7">
      <c r="A96" s="6"/>
      <c r="B96" s="6"/>
      <c r="C96" s="6"/>
      <c r="D96" s="6"/>
      <c r="E96" s="6"/>
      <c r="F96" s="6"/>
      <c r="G96" s="6"/>
    </row>
    <row r="97" spans="1:7">
      <c r="A97" s="6"/>
      <c r="B97" s="6"/>
      <c r="C97" s="6"/>
      <c r="D97" s="6"/>
      <c r="E97" s="6"/>
      <c r="F97" s="6"/>
      <c r="G97" s="6"/>
    </row>
    <row r="98" spans="1:7">
      <c r="A98" s="6"/>
      <c r="B98" s="6"/>
      <c r="C98" s="6"/>
      <c r="D98" s="6"/>
      <c r="E98" s="6"/>
      <c r="F98" s="6"/>
      <c r="G98" s="6"/>
    </row>
    <row r="99" spans="1:7">
      <c r="A99" s="6"/>
      <c r="B99" s="6"/>
      <c r="C99" s="6"/>
      <c r="D99" s="6"/>
      <c r="E99" s="6"/>
      <c r="F99" s="6"/>
      <c r="G99" s="6"/>
    </row>
    <row r="100" spans="1:7">
      <c r="A100" s="6"/>
      <c r="B100" s="6"/>
      <c r="C100" s="6"/>
      <c r="D100" s="6"/>
      <c r="E100" s="6"/>
      <c r="F100" s="6"/>
      <c r="G100" s="6"/>
    </row>
    <row r="101" spans="1:7">
      <c r="A101" s="6"/>
      <c r="B101" s="6"/>
      <c r="C101" s="6"/>
      <c r="D101" s="6"/>
      <c r="E101" s="6"/>
      <c r="F101" s="6"/>
      <c r="G101" s="6"/>
    </row>
    <row r="102" spans="1:7">
      <c r="A102" s="6"/>
      <c r="B102" s="6"/>
      <c r="C102" s="6"/>
      <c r="D102" s="6"/>
      <c r="E102" s="6"/>
      <c r="F102" s="6"/>
      <c r="G102" s="6"/>
    </row>
    <row r="103" spans="1:7">
      <c r="A103" s="6"/>
      <c r="B103" s="6"/>
      <c r="C103" s="6"/>
      <c r="D103" s="6"/>
      <c r="E103" s="6"/>
      <c r="F103" s="6"/>
      <c r="G103" s="6"/>
    </row>
    <row r="104" spans="1:7">
      <c r="A104" s="6"/>
      <c r="B104" s="6"/>
      <c r="C104" s="6"/>
      <c r="D104" s="6"/>
      <c r="E104" s="6"/>
      <c r="F104" s="6"/>
      <c r="G104" s="6"/>
    </row>
    <row r="105" spans="1:7">
      <c r="A105" s="6"/>
      <c r="B105" s="6"/>
      <c r="C105" s="6"/>
      <c r="D105" s="6"/>
      <c r="E105" s="6"/>
      <c r="F105" s="6"/>
      <c r="G105" s="6"/>
    </row>
    <row r="106" spans="1:7">
      <c r="A106" s="6"/>
      <c r="B106" s="6"/>
      <c r="C106" s="6"/>
      <c r="D106" s="6"/>
      <c r="E106" s="6"/>
      <c r="F106" s="6"/>
      <c r="G106" s="6"/>
    </row>
    <row r="107" spans="1:7">
      <c r="A107" s="6"/>
      <c r="B107" s="6"/>
      <c r="C107" s="6"/>
      <c r="D107" s="6"/>
      <c r="E107" s="6"/>
      <c r="F107" s="6"/>
      <c r="G107" s="6"/>
    </row>
    <row r="108" spans="1:7">
      <c r="A108" s="6"/>
      <c r="B108" s="6"/>
      <c r="C108" s="6"/>
      <c r="D108" s="6"/>
      <c r="E108" s="6"/>
      <c r="F108" s="6"/>
      <c r="G108" s="6"/>
    </row>
    <row r="109" spans="1:7">
      <c r="A109" s="6"/>
      <c r="B109" s="6"/>
      <c r="C109" s="6"/>
      <c r="D109" s="6"/>
      <c r="E109" s="6"/>
      <c r="F109" s="6"/>
      <c r="G109" s="6"/>
    </row>
    <row r="110" spans="1:7">
      <c r="A110" s="6"/>
      <c r="B110" s="6"/>
      <c r="C110" s="6"/>
      <c r="D110" s="6"/>
      <c r="E110" s="6"/>
      <c r="F110" s="6"/>
      <c r="G110" s="6"/>
    </row>
    <row r="111" spans="1:7">
      <c r="A111" s="6"/>
      <c r="B111" s="6"/>
      <c r="C111" s="6"/>
      <c r="D111" s="6"/>
      <c r="E111" s="6"/>
      <c r="F111" s="6"/>
      <c r="G111" s="6"/>
    </row>
    <row r="112" spans="1:7">
      <c r="A112" s="6"/>
      <c r="B112" s="6"/>
      <c r="C112" s="6"/>
      <c r="D112" s="6"/>
      <c r="E112" s="6"/>
      <c r="F112" s="6"/>
      <c r="G112" s="6"/>
    </row>
    <row r="113" spans="1:7">
      <c r="A113" s="6"/>
      <c r="B113" s="6"/>
      <c r="C113" s="6"/>
      <c r="D113" s="6"/>
      <c r="E113" s="6"/>
      <c r="F113" s="6"/>
      <c r="G113" s="6"/>
    </row>
    <row r="114" spans="1:7">
      <c r="A114" s="6"/>
      <c r="B114" s="6"/>
      <c r="C114" s="6"/>
      <c r="D114" s="6"/>
      <c r="E114" s="6"/>
      <c r="F114" s="6"/>
      <c r="G114" s="6"/>
    </row>
    <row r="115" spans="1:7">
      <c r="A115" s="6"/>
      <c r="B115" s="6"/>
      <c r="C115" s="6"/>
      <c r="D115" s="6"/>
      <c r="E115" s="6"/>
      <c r="F115" s="6"/>
      <c r="G115" s="6"/>
    </row>
    <row r="116" spans="1:7">
      <c r="A116" s="6"/>
      <c r="B116" s="6"/>
      <c r="C116" s="6"/>
      <c r="D116" s="6"/>
      <c r="E116" s="6"/>
      <c r="F116" s="6"/>
      <c r="G116" s="6"/>
    </row>
    <row r="117" spans="1:7">
      <c r="A117" s="6"/>
      <c r="B117" s="6"/>
      <c r="C117" s="6"/>
      <c r="D117" s="6"/>
      <c r="E117" s="6"/>
      <c r="F117" s="6"/>
      <c r="G117" s="6"/>
    </row>
    <row r="118" spans="1:7">
      <c r="A118" s="6"/>
      <c r="B118" s="6"/>
      <c r="C118" s="6"/>
      <c r="D118" s="6"/>
      <c r="E118" s="6"/>
      <c r="F118" s="6"/>
      <c r="G118" s="6"/>
    </row>
    <row r="119" spans="1:7">
      <c r="A119" s="6"/>
      <c r="B119" s="6"/>
      <c r="C119" s="6"/>
      <c r="D119" s="6"/>
      <c r="E119" s="6"/>
      <c r="F119" s="6"/>
      <c r="G119" s="6"/>
    </row>
    <row r="120" spans="1:7">
      <c r="A120" s="6"/>
      <c r="B120" s="6"/>
      <c r="C120" s="6"/>
      <c r="D120" s="6"/>
      <c r="E120" s="6"/>
      <c r="F120" s="6"/>
      <c r="G120" s="6"/>
    </row>
    <row r="121" spans="1:7">
      <c r="A121" s="6"/>
      <c r="B121" s="6"/>
      <c r="C121" s="6"/>
      <c r="D121" s="6"/>
      <c r="E121" s="6"/>
      <c r="F121" s="6"/>
      <c r="G121" s="6"/>
    </row>
    <row r="122" spans="1:7">
      <c r="A122" s="6"/>
      <c r="B122" s="6"/>
      <c r="C122" s="6"/>
      <c r="D122" s="6"/>
      <c r="E122" s="6"/>
      <c r="F122" s="6"/>
      <c r="G122" s="6"/>
    </row>
    <row r="123" spans="1:7">
      <c r="A123" s="6"/>
      <c r="B123" s="6"/>
      <c r="C123" s="6"/>
      <c r="D123" s="6"/>
      <c r="E123" s="6"/>
      <c r="F123" s="6"/>
      <c r="G123" s="6"/>
    </row>
    <row r="124" spans="1:7">
      <c r="A124" s="6"/>
      <c r="B124" s="6"/>
      <c r="C124" s="6"/>
      <c r="D124" s="6"/>
      <c r="E124" s="6"/>
      <c r="F124" s="6"/>
      <c r="G124" s="6"/>
    </row>
    <row r="125" spans="1:7">
      <c r="A125" s="6"/>
      <c r="B125" s="6"/>
      <c r="C125" s="6"/>
      <c r="D125" s="6"/>
      <c r="E125" s="6"/>
      <c r="F125" s="6"/>
      <c r="G125" s="6"/>
    </row>
    <row r="126" spans="1:7">
      <c r="A126" s="6"/>
      <c r="B126" s="6"/>
      <c r="C126" s="6"/>
      <c r="D126" s="6"/>
      <c r="E126" s="6"/>
      <c r="F126" s="6"/>
      <c r="G126" s="6"/>
    </row>
    <row r="127" spans="1:7">
      <c r="A127" s="6"/>
      <c r="B127" s="6"/>
      <c r="C127" s="6"/>
      <c r="D127" s="6"/>
      <c r="E127" s="6"/>
      <c r="F127" s="6"/>
      <c r="G127" s="6"/>
    </row>
    <row r="128" spans="1:7">
      <c r="A128" s="6"/>
      <c r="B128" s="6"/>
      <c r="C128" s="6"/>
      <c r="D128" s="6"/>
      <c r="E128" s="6"/>
      <c r="F128" s="6"/>
      <c r="G128" s="6"/>
    </row>
    <row r="129" spans="1:7">
      <c r="A129" s="6"/>
      <c r="B129" s="6"/>
      <c r="C129" s="6"/>
      <c r="D129" s="6"/>
      <c r="E129" s="6"/>
      <c r="F129" s="6"/>
      <c r="G129" s="6"/>
    </row>
    <row r="130" spans="1:7">
      <c r="A130" s="6"/>
      <c r="B130" s="6"/>
      <c r="C130" s="6"/>
      <c r="D130" s="6"/>
      <c r="E130" s="6"/>
      <c r="F130" s="6"/>
      <c r="G130" s="6"/>
    </row>
    <row r="131" spans="1:7">
      <c r="A131" s="6"/>
      <c r="B131" s="6"/>
      <c r="C131" s="6"/>
      <c r="D131" s="6"/>
      <c r="E131" s="6"/>
      <c r="F131" s="6"/>
      <c r="G131" s="6"/>
    </row>
    <row r="132" spans="1:7">
      <c r="A132" s="6"/>
      <c r="B132" s="6"/>
      <c r="C132" s="6"/>
      <c r="D132" s="6"/>
      <c r="E132" s="6"/>
      <c r="F132" s="6"/>
      <c r="G132" s="6"/>
    </row>
    <row r="133" spans="1:7">
      <c r="A133" s="6"/>
      <c r="B133" s="6"/>
      <c r="C133" s="6"/>
      <c r="D133" s="6"/>
      <c r="E133" s="6"/>
      <c r="F133" s="6"/>
      <c r="G133" s="6"/>
    </row>
    <row r="134" spans="1:7">
      <c r="A134" s="6"/>
      <c r="B134" s="6"/>
      <c r="C134" s="6"/>
      <c r="D134" s="6"/>
      <c r="E134" s="6"/>
      <c r="F134" s="6"/>
      <c r="G134" s="6"/>
    </row>
    <row r="135" spans="1:7">
      <c r="A135" s="6"/>
      <c r="B135" s="6"/>
      <c r="C135" s="6"/>
      <c r="D135" s="6"/>
      <c r="E135" s="6"/>
      <c r="F135" s="6"/>
      <c r="G135" s="6"/>
    </row>
    <row r="136" spans="1:7">
      <c r="A136" s="6"/>
      <c r="B136" s="6"/>
      <c r="C136" s="6"/>
      <c r="D136" s="6"/>
      <c r="E136" s="6"/>
      <c r="F136" s="6"/>
      <c r="G136" s="6"/>
    </row>
    <row r="137" spans="1:7">
      <c r="A137" s="6"/>
      <c r="B137" s="6"/>
      <c r="C137" s="6"/>
      <c r="D137" s="6"/>
      <c r="E137" s="6"/>
      <c r="F137" s="6"/>
      <c r="G137" s="6"/>
    </row>
    <row r="138" spans="1:7">
      <c r="A138" s="6"/>
      <c r="B138" s="6"/>
      <c r="C138" s="6"/>
      <c r="D138" s="6"/>
      <c r="E138" s="6"/>
      <c r="F138" s="6"/>
      <c r="G138" s="6"/>
    </row>
    <row r="139" spans="1:7">
      <c r="A139" s="6"/>
      <c r="B139" s="6"/>
      <c r="C139" s="6"/>
      <c r="D139" s="6"/>
      <c r="E139" s="6"/>
      <c r="F139" s="6"/>
      <c r="G139" s="6"/>
    </row>
    <row r="140" spans="1:7">
      <c r="A140" s="6"/>
      <c r="B140" s="6"/>
      <c r="C140" s="6"/>
      <c r="D140" s="6"/>
      <c r="E140" s="6"/>
      <c r="F140" s="6"/>
      <c r="G140" s="6"/>
    </row>
    <row r="141" spans="1:7">
      <c r="A141" s="6"/>
      <c r="B141" s="6"/>
      <c r="C141" s="6"/>
      <c r="D141" s="6"/>
      <c r="E141" s="6"/>
      <c r="F141" s="6"/>
      <c r="G141" s="6"/>
    </row>
    <row r="142" spans="1:7">
      <c r="A142" s="6"/>
      <c r="B142" s="6"/>
      <c r="C142" s="6"/>
      <c r="D142" s="6"/>
      <c r="E142" s="6"/>
      <c r="F142" s="6"/>
      <c r="G142" s="6"/>
    </row>
    <row r="143" spans="1:7">
      <c r="A143" s="6"/>
      <c r="B143" s="6"/>
      <c r="C143" s="6"/>
      <c r="D143" s="6"/>
      <c r="E143" s="6"/>
      <c r="F143" s="6"/>
      <c r="G143" s="6"/>
    </row>
    <row r="144" spans="1:7">
      <c r="A144" s="6"/>
      <c r="B144" s="6"/>
      <c r="C144" s="6"/>
      <c r="D144" s="6"/>
      <c r="E144" s="6"/>
      <c r="F144" s="6"/>
      <c r="G144" s="6"/>
    </row>
    <row r="145" spans="1:7">
      <c r="A145" s="6"/>
      <c r="B145" s="6"/>
      <c r="C145" s="6"/>
      <c r="D145" s="6"/>
      <c r="E145" s="6"/>
      <c r="F145" s="6"/>
      <c r="G145" s="6"/>
    </row>
    <row r="146" spans="1:7">
      <c r="A146" s="6"/>
      <c r="B146" s="6"/>
      <c r="C146" s="6"/>
      <c r="D146" s="6"/>
      <c r="E146" s="6"/>
      <c r="F146" s="6"/>
      <c r="G146" s="6"/>
    </row>
    <row r="147" spans="1:7">
      <c r="A147" s="6"/>
      <c r="B147" s="6"/>
      <c r="C147" s="6"/>
      <c r="D147" s="6"/>
      <c r="E147" s="6"/>
      <c r="F147" s="6"/>
      <c r="G147" s="6"/>
    </row>
    <row r="148" spans="1:7">
      <c r="A148" s="6"/>
      <c r="B148" s="6"/>
      <c r="C148" s="6"/>
      <c r="D148" s="6"/>
      <c r="E148" s="6"/>
      <c r="F148" s="6"/>
      <c r="G148" s="6"/>
    </row>
    <row r="149" spans="1:7">
      <c r="A149" s="6"/>
      <c r="B149" s="6"/>
      <c r="C149" s="6"/>
      <c r="D149" s="6"/>
      <c r="E149" s="6"/>
      <c r="F149" s="6"/>
      <c r="G149" s="6"/>
    </row>
    <row r="150" spans="1:7">
      <c r="A150" s="6"/>
      <c r="B150" s="6"/>
      <c r="C150" s="6"/>
      <c r="D150" s="6"/>
      <c r="E150" s="6"/>
      <c r="F150" s="6"/>
      <c r="G150" s="6"/>
    </row>
    <row r="151" spans="1:7">
      <c r="A151" s="6"/>
      <c r="B151" s="6"/>
      <c r="C151" s="6"/>
      <c r="D151" s="6"/>
      <c r="E151" s="6"/>
      <c r="F151" s="6"/>
      <c r="G151" s="6"/>
    </row>
    <row r="152" spans="1:7">
      <c r="A152" s="6"/>
      <c r="B152" s="6"/>
      <c r="C152" s="6"/>
      <c r="D152" s="6"/>
      <c r="E152" s="6"/>
      <c r="F152" s="6"/>
      <c r="G152" s="6"/>
    </row>
    <row r="153" spans="1:7">
      <c r="A153" s="6"/>
      <c r="B153" s="6"/>
      <c r="C153" s="6"/>
      <c r="D153" s="6"/>
      <c r="E153" s="6"/>
      <c r="F153" s="6"/>
      <c r="G153" s="6"/>
    </row>
    <row r="154" spans="1:7">
      <c r="A154" s="6"/>
      <c r="B154" s="6"/>
      <c r="C154" s="6"/>
      <c r="D154" s="6"/>
      <c r="E154" s="6"/>
      <c r="F154" s="6"/>
      <c r="G154" s="6"/>
    </row>
    <row r="155" spans="1:7">
      <c r="A155" s="6"/>
      <c r="B155" s="6"/>
      <c r="C155" s="6"/>
      <c r="D155" s="6"/>
      <c r="E155" s="6"/>
      <c r="F155" s="6"/>
      <c r="G155" s="6"/>
    </row>
    <row r="156" spans="1:7">
      <c r="A156" s="6"/>
      <c r="B156" s="6"/>
      <c r="C156" s="6"/>
      <c r="D156" s="6"/>
      <c r="E156" s="6"/>
      <c r="F156" s="6"/>
      <c r="G156" s="6"/>
    </row>
    <row r="157" spans="1:7">
      <c r="A157" s="6"/>
      <c r="B157" s="6"/>
      <c r="C157" s="6"/>
      <c r="D157" s="6"/>
      <c r="E157" s="6"/>
      <c r="F157" s="6"/>
      <c r="G157" s="6"/>
    </row>
    <row r="158" spans="1:7">
      <c r="A158" s="6"/>
      <c r="B158" s="6"/>
      <c r="C158" s="6"/>
      <c r="D158" s="6"/>
      <c r="E158" s="6"/>
      <c r="F158" s="6"/>
      <c r="G158" s="6"/>
    </row>
    <row r="159" spans="1:7">
      <c r="A159" s="6"/>
      <c r="B159" s="6"/>
      <c r="C159" s="6"/>
      <c r="D159" s="6"/>
      <c r="E159" s="6"/>
      <c r="F159" s="6"/>
      <c r="G159" s="6"/>
    </row>
    <row r="160" spans="1:7">
      <c r="A160" s="6"/>
      <c r="B160" s="6"/>
      <c r="C160" s="6"/>
      <c r="D160" s="6"/>
      <c r="E160" s="6"/>
      <c r="F160" s="6"/>
      <c r="G160" s="6"/>
    </row>
    <row r="161" spans="1:7">
      <c r="A161" s="6"/>
      <c r="B161" s="6"/>
      <c r="C161" s="6"/>
      <c r="D161" s="6"/>
      <c r="E161" s="6"/>
      <c r="F161" s="6"/>
      <c r="G161" s="6"/>
    </row>
    <row r="162" spans="1:7">
      <c r="A162" s="6"/>
      <c r="B162" s="6"/>
      <c r="C162" s="6"/>
      <c r="D162" s="6"/>
      <c r="E162" s="6"/>
      <c r="F162" s="6"/>
      <c r="G162" s="6"/>
    </row>
    <row r="163" spans="1:7">
      <c r="A163" s="6"/>
      <c r="B163" s="6"/>
      <c r="C163" s="6"/>
      <c r="D163" s="6"/>
      <c r="E163" s="6"/>
      <c r="F163" s="6"/>
      <c r="G163" s="6"/>
    </row>
    <row r="164" spans="1:7">
      <c r="A164" s="6"/>
      <c r="B164" s="6"/>
      <c r="C164" s="6"/>
      <c r="D164" s="6"/>
      <c r="E164" s="6"/>
      <c r="F164" s="6"/>
      <c r="G164" s="6"/>
    </row>
    <row r="165" spans="1:7">
      <c r="A165" s="6"/>
      <c r="B165" s="6"/>
      <c r="C165" s="6"/>
      <c r="D165" s="6"/>
      <c r="E165" s="6"/>
      <c r="F165" s="6"/>
      <c r="G165" s="6"/>
    </row>
    <row r="166" spans="1:7">
      <c r="A166" s="6"/>
      <c r="B166" s="6"/>
      <c r="C166" s="6"/>
      <c r="D166" s="6"/>
      <c r="E166" s="6"/>
      <c r="F166" s="6"/>
      <c r="G166" s="6"/>
    </row>
    <row r="167" spans="1:7">
      <c r="A167" s="6"/>
      <c r="B167" s="6"/>
      <c r="C167" s="6"/>
      <c r="D167" s="6"/>
      <c r="E167" s="6"/>
      <c r="F167" s="6"/>
      <c r="G167" s="6"/>
    </row>
    <row r="168" spans="1:7">
      <c r="A168" s="6"/>
      <c r="B168" s="6"/>
      <c r="C168" s="6"/>
      <c r="D168" s="6"/>
      <c r="E168" s="6"/>
      <c r="F168" s="6"/>
      <c r="G168" s="6"/>
    </row>
    <row r="169" spans="1:7">
      <c r="A169" s="6"/>
      <c r="B169" s="6"/>
      <c r="C169" s="6"/>
      <c r="D169" s="6"/>
      <c r="E169" s="6"/>
      <c r="F169" s="6"/>
      <c r="G169" s="6"/>
    </row>
    <row r="170" spans="1:7">
      <c r="A170" s="6"/>
      <c r="B170" s="6"/>
      <c r="C170" s="6"/>
      <c r="D170" s="6"/>
      <c r="E170" s="6"/>
      <c r="F170" s="6"/>
      <c r="G170" s="6"/>
    </row>
    <row r="171" spans="1:7">
      <c r="A171" s="6"/>
      <c r="B171" s="6"/>
      <c r="C171" s="6"/>
      <c r="D171" s="6"/>
      <c r="E171" s="6"/>
      <c r="F171" s="6"/>
      <c r="G171" s="6"/>
    </row>
    <row r="172" spans="1:7">
      <c r="A172" s="6"/>
      <c r="B172" s="6"/>
      <c r="C172" s="6"/>
      <c r="D172" s="6"/>
      <c r="E172" s="6"/>
      <c r="F172" s="6"/>
      <c r="G172" s="6"/>
    </row>
    <row r="173" spans="1:7">
      <c r="A173" s="6"/>
      <c r="B173" s="6"/>
      <c r="C173" s="6"/>
      <c r="D173" s="6"/>
      <c r="E173" s="6"/>
      <c r="F173" s="6"/>
      <c r="G173" s="6"/>
    </row>
    <row r="174" spans="1:7">
      <c r="A174" s="6"/>
      <c r="B174" s="6"/>
      <c r="C174" s="6"/>
      <c r="D174" s="6"/>
      <c r="E174" s="6"/>
      <c r="F174" s="6"/>
      <c r="G174" s="6"/>
    </row>
    <row r="175" spans="1:7">
      <c r="A175" s="6"/>
      <c r="B175" s="6"/>
      <c r="C175" s="6"/>
      <c r="D175" s="6"/>
      <c r="E175" s="6"/>
      <c r="F175" s="6"/>
      <c r="G175" s="6"/>
    </row>
    <row r="176" spans="1:7">
      <c r="A176" s="6"/>
      <c r="B176" s="6"/>
      <c r="C176" s="6"/>
      <c r="D176" s="6"/>
      <c r="E176" s="6"/>
      <c r="F176" s="6"/>
      <c r="G176" s="6"/>
    </row>
    <row r="177" spans="1:7">
      <c r="A177" s="6"/>
      <c r="B177" s="6"/>
      <c r="C177" s="6"/>
      <c r="D177" s="6"/>
      <c r="E177" s="6"/>
      <c r="F177" s="6"/>
      <c r="G177" s="6"/>
    </row>
    <row r="178" spans="1:7">
      <c r="A178" s="6"/>
      <c r="B178" s="6"/>
      <c r="C178" s="6"/>
      <c r="D178" s="6"/>
      <c r="E178" s="6"/>
      <c r="F178" s="6"/>
      <c r="G178" s="6"/>
    </row>
    <row r="179" spans="1:7">
      <c r="A179" s="6"/>
      <c r="B179" s="6"/>
      <c r="C179" s="6"/>
      <c r="D179" s="6"/>
      <c r="E179" s="6"/>
      <c r="F179" s="6"/>
      <c r="G179" s="6"/>
    </row>
    <row r="180" spans="1:7">
      <c r="A180" s="6"/>
      <c r="B180" s="6"/>
      <c r="C180" s="6"/>
      <c r="D180" s="6"/>
      <c r="E180" s="6"/>
      <c r="F180" s="6"/>
      <c r="G180" s="6"/>
    </row>
    <row r="181" spans="1:7">
      <c r="A181" s="6"/>
      <c r="B181" s="6"/>
      <c r="C181" s="6"/>
      <c r="D181" s="6"/>
      <c r="E181" s="6"/>
      <c r="F181" s="6"/>
      <c r="G181" s="6"/>
    </row>
    <row r="182" spans="1:7">
      <c r="A182" s="6"/>
      <c r="B182" s="6"/>
      <c r="C182" s="6"/>
      <c r="D182" s="6"/>
      <c r="E182" s="6"/>
      <c r="F182" s="6"/>
      <c r="G182" s="6"/>
    </row>
    <row r="183" spans="1:7">
      <c r="A183" s="6"/>
      <c r="B183" s="6"/>
      <c r="C183" s="6"/>
      <c r="D183" s="6"/>
      <c r="E183" s="6"/>
      <c r="F183" s="6"/>
      <c r="G183" s="6"/>
    </row>
    <row r="184" spans="1:7">
      <c r="A184" s="6"/>
      <c r="B184" s="6"/>
      <c r="C184" s="6"/>
      <c r="D184" s="6"/>
      <c r="E184" s="6"/>
      <c r="F184" s="6"/>
      <c r="G184" s="6"/>
    </row>
    <row r="185" spans="1:7">
      <c r="A185" s="6"/>
      <c r="B185" s="6"/>
      <c r="C185" s="6"/>
      <c r="D185" s="6"/>
      <c r="E185" s="6"/>
      <c r="F185" s="6"/>
      <c r="G185" s="6"/>
    </row>
    <row r="186" spans="1:7">
      <c r="A186" s="6"/>
      <c r="B186" s="6"/>
      <c r="C186" s="6"/>
      <c r="D186" s="6"/>
      <c r="E186" s="6"/>
      <c r="F186" s="6"/>
      <c r="G186" s="6"/>
    </row>
    <row r="187" spans="1:7">
      <c r="A187" s="6"/>
      <c r="B187" s="6"/>
      <c r="C187" s="6"/>
      <c r="D187" s="6"/>
      <c r="E187" s="6"/>
      <c r="F187" s="6"/>
      <c r="G187" s="6"/>
    </row>
    <row r="188" spans="1:7">
      <c r="A188" s="6"/>
      <c r="B188" s="6"/>
      <c r="C188" s="6"/>
      <c r="D188" s="6"/>
      <c r="E188" s="6"/>
      <c r="F188" s="6"/>
      <c r="G188" s="6"/>
    </row>
    <row r="189" spans="1:7">
      <c r="A189" s="6"/>
      <c r="B189" s="6"/>
      <c r="C189" s="6"/>
      <c r="D189" s="6"/>
      <c r="E189" s="6"/>
      <c r="F189" s="6"/>
      <c r="G189" s="6"/>
    </row>
    <row r="190" spans="1:7">
      <c r="A190" s="6"/>
      <c r="B190" s="6"/>
      <c r="C190" s="6"/>
      <c r="D190" s="6"/>
      <c r="E190" s="6"/>
      <c r="F190" s="6"/>
      <c r="G190" s="6"/>
    </row>
    <row r="191" spans="1:7">
      <c r="A191" s="6"/>
      <c r="B191" s="6"/>
      <c r="C191" s="6"/>
      <c r="D191" s="6"/>
      <c r="E191" s="6"/>
      <c r="F191" s="6"/>
      <c r="G191" s="6"/>
    </row>
    <row r="192" spans="1:7">
      <c r="A192" s="6"/>
      <c r="B192" s="6"/>
      <c r="C192" s="6"/>
      <c r="D192" s="6"/>
      <c r="E192" s="6"/>
      <c r="F192" s="6"/>
      <c r="G192" s="6"/>
    </row>
    <row r="193" spans="1:7">
      <c r="A193" s="6"/>
      <c r="B193" s="6"/>
      <c r="C193" s="6"/>
      <c r="D193" s="6"/>
      <c r="E193" s="6"/>
      <c r="F193" s="6"/>
      <c r="G193" s="6"/>
    </row>
    <row r="194" spans="1:7">
      <c r="A194" s="6"/>
      <c r="B194" s="6"/>
      <c r="C194" s="6"/>
      <c r="D194" s="6"/>
      <c r="E194" s="6"/>
      <c r="F194" s="6"/>
      <c r="G194" s="6"/>
    </row>
    <row r="195" spans="1:7">
      <c r="A195" s="6"/>
      <c r="B195" s="6"/>
      <c r="C195" s="6"/>
      <c r="D195" s="6"/>
      <c r="E195" s="6"/>
      <c r="F195" s="6"/>
      <c r="G195" s="6"/>
    </row>
    <row r="196" spans="1:7">
      <c r="A196" s="6"/>
      <c r="B196" s="6"/>
      <c r="C196" s="6"/>
      <c r="D196" s="6"/>
      <c r="E196" s="6"/>
      <c r="F196" s="6"/>
      <c r="G196" s="6"/>
    </row>
    <row r="197" spans="1:7">
      <c r="A197" s="6"/>
      <c r="B197" s="6"/>
      <c r="C197" s="6"/>
      <c r="D197" s="6"/>
      <c r="E197" s="6"/>
      <c r="F197" s="6"/>
      <c r="G197" s="6"/>
    </row>
    <row r="198" spans="1:7">
      <c r="A198" s="6"/>
      <c r="B198" s="6"/>
      <c r="C198" s="6"/>
      <c r="D198" s="6"/>
      <c r="E198" s="6"/>
      <c r="F198" s="6"/>
      <c r="G198" s="6"/>
    </row>
    <row r="199" spans="1:7">
      <c r="A199" s="6"/>
      <c r="B199" s="6"/>
      <c r="C199" s="6"/>
      <c r="D199" s="6"/>
      <c r="E199" s="6"/>
      <c r="F199" s="6"/>
      <c r="G199" s="6"/>
    </row>
    <row r="200" spans="1:7">
      <c r="A200" s="6"/>
      <c r="B200" s="6"/>
      <c r="C200" s="6"/>
      <c r="D200" s="6"/>
      <c r="E200" s="6"/>
      <c r="F200" s="6"/>
      <c r="G200" s="6"/>
    </row>
    <row r="201" spans="1:7">
      <c r="A201" s="6"/>
      <c r="B201" s="6"/>
      <c r="C201" s="6"/>
      <c r="D201" s="6"/>
      <c r="E201" s="6"/>
      <c r="F201" s="6"/>
      <c r="G201" s="6"/>
    </row>
    <row r="202" spans="1:7">
      <c r="A202" s="6"/>
      <c r="B202" s="6"/>
      <c r="C202" s="6"/>
      <c r="D202" s="6"/>
      <c r="E202" s="6"/>
      <c r="F202" s="6"/>
      <c r="G202" s="6"/>
    </row>
    <row r="203" spans="1:7">
      <c r="A203" s="6"/>
      <c r="B203" s="6"/>
      <c r="C203" s="6"/>
      <c r="D203" s="6"/>
      <c r="E203" s="6"/>
      <c r="F203" s="6"/>
      <c r="G203" s="6"/>
    </row>
    <row r="204" spans="1:7">
      <c r="A204" s="6"/>
      <c r="B204" s="6"/>
      <c r="C204" s="6"/>
      <c r="D204" s="6"/>
      <c r="E204" s="6"/>
      <c r="F204" s="6"/>
      <c r="G204" s="6"/>
    </row>
    <row r="205" spans="1:7">
      <c r="A205" s="6"/>
      <c r="B205" s="6"/>
      <c r="C205" s="6"/>
      <c r="D205" s="6"/>
      <c r="E205" s="6"/>
      <c r="F205" s="6"/>
      <c r="G205" s="6"/>
    </row>
    <row r="206" spans="1:7">
      <c r="A206" s="6"/>
      <c r="B206" s="6"/>
      <c r="C206" s="6"/>
      <c r="D206" s="6"/>
      <c r="E206" s="6"/>
      <c r="F206" s="6"/>
      <c r="G206" s="6"/>
    </row>
    <row r="207" spans="1:7">
      <c r="A207" s="6"/>
      <c r="B207" s="6"/>
      <c r="C207" s="6"/>
      <c r="D207" s="6"/>
      <c r="E207" s="6"/>
      <c r="F207" s="6"/>
      <c r="G207" s="6"/>
    </row>
    <row r="208" spans="1:7">
      <c r="A208" s="6"/>
      <c r="B208" s="6"/>
      <c r="C208" s="6"/>
      <c r="D208" s="6"/>
      <c r="E208" s="6"/>
      <c r="F208" s="6"/>
      <c r="G208" s="6"/>
    </row>
    <row r="209" spans="1:7">
      <c r="A209" s="6"/>
      <c r="B209" s="6"/>
      <c r="C209" s="6"/>
      <c r="D209" s="6"/>
      <c r="E209" s="6"/>
      <c r="F209" s="6"/>
      <c r="G209" s="6"/>
    </row>
    <row r="210" spans="1:7">
      <c r="A210" s="6"/>
      <c r="B210" s="6"/>
      <c r="C210" s="6"/>
      <c r="D210" s="6"/>
      <c r="E210" s="6"/>
      <c r="F210" s="6"/>
      <c r="G210" s="6"/>
    </row>
    <row r="211" spans="1:7">
      <c r="A211" s="6"/>
      <c r="B211" s="6"/>
      <c r="C211" s="6"/>
      <c r="D211" s="6"/>
      <c r="E211" s="6"/>
      <c r="F211" s="6"/>
      <c r="G211" s="6"/>
    </row>
    <row r="212" spans="1:7">
      <c r="A212" s="6"/>
      <c r="B212" s="6"/>
      <c r="C212" s="6"/>
      <c r="D212" s="6"/>
      <c r="E212" s="6"/>
      <c r="F212" s="6"/>
      <c r="G212" s="6"/>
    </row>
    <row r="213" spans="1:7">
      <c r="A213" s="6"/>
      <c r="B213" s="6"/>
      <c r="C213" s="6"/>
      <c r="D213" s="6"/>
      <c r="E213" s="6"/>
      <c r="F213" s="6"/>
      <c r="G213" s="6"/>
    </row>
    <row r="214" spans="1:7">
      <c r="A214" s="6"/>
      <c r="B214" s="6"/>
      <c r="C214" s="6"/>
      <c r="D214" s="6"/>
      <c r="E214" s="6"/>
      <c r="F214" s="6"/>
      <c r="G214" s="6"/>
    </row>
    <row r="215" spans="1:7">
      <c r="A215" s="6"/>
      <c r="B215" s="6"/>
      <c r="C215" s="6"/>
      <c r="D215" s="6"/>
      <c r="E215" s="6"/>
      <c r="F215" s="6"/>
      <c r="G215" s="6"/>
    </row>
    <row r="216" spans="1:7">
      <c r="A216" s="6"/>
      <c r="B216" s="6"/>
      <c r="C216" s="6"/>
      <c r="D216" s="6"/>
      <c r="E216" s="6"/>
      <c r="F216" s="6"/>
      <c r="G216" s="6"/>
    </row>
    <row r="217" spans="1:7">
      <c r="A217" s="6"/>
      <c r="B217" s="6"/>
      <c r="C217" s="6"/>
      <c r="D217" s="6"/>
      <c r="E217" s="6"/>
      <c r="F217" s="6"/>
      <c r="G217" s="6"/>
    </row>
    <row r="218" spans="1:7">
      <c r="A218" s="6"/>
      <c r="B218" s="6"/>
      <c r="C218" s="6"/>
      <c r="D218" s="6"/>
      <c r="E218" s="6"/>
      <c r="F218" s="6"/>
      <c r="G218" s="6"/>
    </row>
    <row r="219" spans="1:7">
      <c r="A219" s="6"/>
      <c r="B219" s="6"/>
      <c r="C219" s="6"/>
      <c r="D219" s="6"/>
      <c r="E219" s="6"/>
      <c r="F219" s="6"/>
      <c r="G219" s="6"/>
    </row>
    <row r="220" spans="1:7">
      <c r="A220" s="6"/>
      <c r="B220" s="6"/>
      <c r="C220" s="6"/>
      <c r="D220" s="6"/>
      <c r="E220" s="6"/>
      <c r="F220" s="6"/>
      <c r="G220" s="6"/>
    </row>
    <row r="221" spans="1:7">
      <c r="A221" s="6"/>
      <c r="B221" s="6"/>
      <c r="C221" s="6"/>
      <c r="D221" s="6"/>
      <c r="E221" s="6"/>
      <c r="F221" s="6"/>
      <c r="G221" s="6"/>
    </row>
    <row r="222" spans="1:7">
      <c r="A222" s="6"/>
      <c r="B222" s="6"/>
      <c r="C222" s="6"/>
      <c r="D222" s="6"/>
      <c r="E222" s="6"/>
      <c r="F222" s="6"/>
      <c r="G222" s="6"/>
    </row>
    <row r="223" spans="1:7">
      <c r="A223" s="6"/>
      <c r="B223" s="6"/>
      <c r="C223" s="6"/>
      <c r="D223" s="6"/>
      <c r="E223" s="6"/>
      <c r="F223" s="6"/>
      <c r="G223" s="6"/>
    </row>
    <row r="224" spans="1:7">
      <c r="A224" s="6"/>
      <c r="B224" s="6"/>
      <c r="C224" s="6"/>
      <c r="D224" s="6"/>
      <c r="E224" s="6"/>
      <c r="F224" s="6"/>
      <c r="G224" s="6"/>
    </row>
    <row r="225" spans="1:7">
      <c r="A225" s="6"/>
      <c r="B225" s="6"/>
      <c r="C225" s="6"/>
      <c r="D225" s="6"/>
      <c r="E225" s="6"/>
      <c r="F225" s="6"/>
      <c r="G225" s="6"/>
    </row>
    <row r="226" spans="1:7">
      <c r="A226" s="6"/>
      <c r="B226" s="6"/>
      <c r="C226" s="6"/>
      <c r="D226" s="6"/>
      <c r="E226" s="6"/>
      <c r="F226" s="6"/>
      <c r="G226" s="6"/>
    </row>
    <row r="227" spans="1:7">
      <c r="A227" s="6"/>
      <c r="B227" s="6"/>
      <c r="C227" s="6"/>
      <c r="D227" s="6"/>
      <c r="E227" s="6"/>
      <c r="F227" s="6"/>
      <c r="G227" s="6"/>
    </row>
    <row r="228" spans="1:7">
      <c r="A228" s="6"/>
      <c r="B228" s="6"/>
      <c r="C228" s="6"/>
      <c r="D228" s="6"/>
      <c r="E228" s="6"/>
      <c r="F228" s="6"/>
      <c r="G228" s="6"/>
    </row>
    <row r="229" spans="1:7">
      <c r="A229" s="6"/>
      <c r="B229" s="6"/>
      <c r="C229" s="6"/>
      <c r="D229" s="6"/>
      <c r="E229" s="6"/>
      <c r="F229" s="6"/>
      <c r="G229" s="6"/>
    </row>
    <row r="230" spans="1:7">
      <c r="A230" s="6"/>
      <c r="B230" s="6"/>
      <c r="C230" s="6"/>
      <c r="D230" s="6"/>
      <c r="E230" s="6"/>
      <c r="F230" s="6"/>
      <c r="G230" s="6"/>
    </row>
    <row r="231" spans="1:7">
      <c r="A231" s="6"/>
      <c r="B231" s="6"/>
      <c r="C231" s="6"/>
      <c r="D231" s="6"/>
      <c r="E231" s="6"/>
      <c r="F231" s="6"/>
      <c r="G231" s="6"/>
    </row>
    <row r="232" spans="1:7">
      <c r="A232" s="6"/>
      <c r="B232" s="6"/>
      <c r="C232" s="6"/>
      <c r="D232" s="6"/>
      <c r="E232" s="6"/>
      <c r="F232" s="6"/>
      <c r="G232" s="6"/>
    </row>
    <row r="233" spans="1:7">
      <c r="A233" s="6"/>
      <c r="B233" s="6"/>
      <c r="C233" s="6"/>
      <c r="D233" s="6"/>
      <c r="E233" s="6"/>
      <c r="F233" s="6"/>
      <c r="G233" s="6"/>
    </row>
    <row r="234" spans="1:7">
      <c r="A234" s="6"/>
      <c r="B234" s="6"/>
      <c r="C234" s="6"/>
      <c r="D234" s="6"/>
      <c r="E234" s="6"/>
      <c r="F234" s="6"/>
      <c r="G234" s="6"/>
    </row>
    <row r="235" spans="1:7">
      <c r="A235" s="6"/>
      <c r="B235" s="6"/>
      <c r="C235" s="6"/>
      <c r="D235" s="6"/>
      <c r="E235" s="6"/>
      <c r="F235" s="6"/>
      <c r="G235" s="6"/>
    </row>
    <row r="236" spans="1:7">
      <c r="A236" s="6"/>
      <c r="B236" s="6"/>
      <c r="C236" s="6"/>
      <c r="D236" s="6"/>
      <c r="E236" s="6"/>
      <c r="F236" s="6"/>
      <c r="G236" s="6"/>
    </row>
    <row r="237" spans="1:7">
      <c r="A237" s="6"/>
      <c r="B237" s="6"/>
      <c r="C237" s="6"/>
      <c r="D237" s="6"/>
      <c r="E237" s="6"/>
      <c r="F237" s="6"/>
      <c r="G237" s="6"/>
    </row>
    <row r="238" spans="1:7">
      <c r="A238" s="6"/>
      <c r="B238" s="6"/>
      <c r="C238" s="6"/>
      <c r="D238" s="6"/>
      <c r="E238" s="6"/>
      <c r="F238" s="6"/>
      <c r="G238" s="6"/>
    </row>
    <row r="239" spans="1:7">
      <c r="A239" s="6"/>
      <c r="B239" s="6"/>
      <c r="C239" s="6"/>
      <c r="D239" s="6"/>
      <c r="E239" s="6"/>
      <c r="F239" s="6"/>
      <c r="G239" s="6"/>
    </row>
    <row r="240" spans="1:7">
      <c r="A240" s="6"/>
      <c r="B240" s="6"/>
      <c r="C240" s="6"/>
      <c r="D240" s="6"/>
      <c r="E240" s="6"/>
      <c r="F240" s="6"/>
      <c r="G240" s="6"/>
    </row>
    <row r="241" spans="1:7">
      <c r="A241" s="6"/>
      <c r="B241" s="6"/>
      <c r="C241" s="6"/>
      <c r="D241" s="6"/>
      <c r="E241" s="6"/>
      <c r="F241" s="6"/>
      <c r="G241" s="6"/>
    </row>
    <row r="242" spans="1:7">
      <c r="A242" s="6"/>
      <c r="B242" s="6"/>
      <c r="C242" s="6"/>
      <c r="D242" s="6"/>
      <c r="E242" s="6"/>
      <c r="F242" s="6"/>
      <c r="G242" s="6"/>
    </row>
    <row r="243" spans="1:7">
      <c r="A243" s="6"/>
      <c r="B243" s="6"/>
      <c r="C243" s="6"/>
      <c r="D243" s="6"/>
      <c r="E243" s="6"/>
      <c r="F243" s="6"/>
      <c r="G243" s="6"/>
    </row>
    <row r="244" spans="1:7">
      <c r="A244" s="6"/>
      <c r="B244" s="6"/>
      <c r="C244" s="6"/>
      <c r="D244" s="6"/>
      <c r="E244" s="6"/>
      <c r="F244" s="6"/>
      <c r="G244" s="6"/>
    </row>
    <row r="245" spans="1:7">
      <c r="A245" s="6"/>
      <c r="B245" s="6"/>
      <c r="C245" s="6"/>
      <c r="D245" s="6"/>
      <c r="E245" s="6"/>
      <c r="F245" s="6"/>
      <c r="G245" s="6"/>
    </row>
    <row r="246" spans="1:7">
      <c r="A246" s="6"/>
      <c r="B246" s="6"/>
      <c r="C246" s="6"/>
      <c r="D246" s="6"/>
      <c r="E246" s="6"/>
      <c r="F246" s="6"/>
      <c r="G246" s="6"/>
    </row>
    <row r="247" spans="1:7">
      <c r="A247" s="6"/>
      <c r="B247" s="6"/>
      <c r="C247" s="6"/>
      <c r="D247" s="6"/>
      <c r="E247" s="6"/>
      <c r="F247" s="6"/>
      <c r="G247" s="6"/>
    </row>
    <row r="248" spans="1:7">
      <c r="A248" s="6"/>
      <c r="B248" s="6"/>
      <c r="C248" s="6"/>
      <c r="D248" s="6"/>
      <c r="E248" s="6"/>
      <c r="F248" s="6"/>
      <c r="G248" s="6"/>
    </row>
    <row r="249" spans="1:7">
      <c r="A249" s="6"/>
      <c r="B249" s="6"/>
      <c r="C249" s="6"/>
      <c r="D249" s="6"/>
      <c r="E249" s="6"/>
      <c r="F249" s="6"/>
      <c r="G249" s="6"/>
    </row>
    <row r="250" spans="1:7">
      <c r="A250" s="6"/>
      <c r="B250" s="6"/>
      <c r="C250" s="6"/>
      <c r="D250" s="6"/>
      <c r="E250" s="6"/>
      <c r="F250" s="6"/>
      <c r="G250" s="6"/>
    </row>
    <row r="251" spans="1:7">
      <c r="A251" s="6"/>
      <c r="B251" s="6"/>
      <c r="C251" s="6"/>
      <c r="D251" s="6"/>
      <c r="E251" s="6"/>
      <c r="F251" s="6"/>
      <c r="G251" s="6"/>
    </row>
    <row r="252" spans="1:7">
      <c r="A252" s="6"/>
      <c r="B252" s="6"/>
      <c r="C252" s="6"/>
      <c r="D252" s="6"/>
      <c r="E252" s="6"/>
      <c r="F252" s="6"/>
      <c r="G252" s="6"/>
    </row>
    <row r="253" spans="1:7">
      <c r="A253" s="6"/>
      <c r="B253" s="6"/>
      <c r="C253" s="6"/>
      <c r="D253" s="6"/>
      <c r="E253" s="6"/>
      <c r="F253" s="6"/>
      <c r="G253" s="6"/>
    </row>
    <row r="254" spans="1:7">
      <c r="A254" s="6"/>
      <c r="B254" s="6"/>
      <c r="C254" s="6"/>
      <c r="D254" s="6"/>
      <c r="E254" s="6"/>
      <c r="F254" s="6"/>
      <c r="G254" s="6"/>
    </row>
    <row r="255" spans="1:7">
      <c r="A255" s="6"/>
      <c r="B255" s="6"/>
      <c r="C255" s="6"/>
      <c r="D255" s="6"/>
      <c r="E255" s="6"/>
      <c r="F255" s="6"/>
      <c r="G255" s="6"/>
    </row>
    <row r="256" spans="1:7">
      <c r="A256" s="6"/>
      <c r="B256" s="6"/>
      <c r="C256" s="6"/>
      <c r="D256" s="6"/>
      <c r="E256" s="6"/>
      <c r="F256" s="6"/>
      <c r="G256" s="6"/>
    </row>
    <row r="257" spans="1:7">
      <c r="A257" s="6"/>
      <c r="B257" s="6"/>
      <c r="C257" s="6"/>
      <c r="D257" s="6"/>
      <c r="E257" s="6"/>
      <c r="F257" s="6"/>
      <c r="G257" s="6"/>
    </row>
    <row r="258" spans="1:7">
      <c r="A258" s="6"/>
      <c r="B258" s="6"/>
      <c r="C258" s="6"/>
      <c r="D258" s="6"/>
      <c r="E258" s="6"/>
      <c r="F258" s="6"/>
      <c r="G258" s="6"/>
    </row>
    <row r="259" spans="1:7">
      <c r="A259" s="6"/>
      <c r="B259" s="6"/>
      <c r="C259" s="6"/>
      <c r="D259" s="6"/>
      <c r="E259" s="6"/>
      <c r="F259" s="6"/>
      <c r="G259" s="6"/>
    </row>
    <row r="260" spans="1:7">
      <c r="A260" s="6"/>
      <c r="B260" s="6"/>
      <c r="C260" s="6"/>
      <c r="D260" s="6"/>
      <c r="E260" s="6"/>
      <c r="F260" s="6"/>
      <c r="G260" s="6"/>
    </row>
    <row r="261" spans="1:7">
      <c r="A261" s="6"/>
      <c r="B261" s="6"/>
      <c r="C261" s="6"/>
      <c r="D261" s="6"/>
      <c r="E261" s="6"/>
      <c r="F261" s="6"/>
      <c r="G261" s="6"/>
    </row>
    <row r="262" spans="1:7">
      <c r="A262" s="6"/>
      <c r="B262" s="6"/>
      <c r="C262" s="6"/>
      <c r="D262" s="6"/>
      <c r="E262" s="6"/>
      <c r="F262" s="6"/>
      <c r="G262" s="6"/>
    </row>
    <row r="263" spans="1:7">
      <c r="A263" s="6"/>
      <c r="B263" s="6"/>
      <c r="C263" s="6"/>
      <c r="D263" s="6"/>
      <c r="E263" s="6"/>
      <c r="F263" s="6"/>
      <c r="G263" s="6"/>
    </row>
    <row r="264" spans="1:7">
      <c r="A264" s="6"/>
      <c r="B264" s="6"/>
      <c r="C264" s="6"/>
      <c r="D264" s="6"/>
      <c r="E264" s="6"/>
      <c r="F264" s="6"/>
      <c r="G264" s="6"/>
    </row>
    <row r="265" spans="1:7">
      <c r="A265" s="6"/>
      <c r="B265" s="6"/>
      <c r="C265" s="6"/>
      <c r="D265" s="6"/>
      <c r="E265" s="6"/>
      <c r="F265" s="6"/>
      <c r="G265" s="6"/>
    </row>
    <row r="266" spans="1:7">
      <c r="A266" s="6"/>
      <c r="B266" s="6"/>
      <c r="C266" s="6"/>
      <c r="D266" s="6"/>
      <c r="E266" s="6"/>
      <c r="F266" s="6"/>
      <c r="G266" s="6"/>
    </row>
    <row r="267" spans="1:7">
      <c r="A267" s="6"/>
      <c r="B267" s="6"/>
      <c r="C267" s="6"/>
      <c r="D267" s="6"/>
      <c r="E267" s="6"/>
      <c r="F267" s="6"/>
      <c r="G267" s="6"/>
    </row>
    <row r="268" spans="1:7">
      <c r="A268" s="6"/>
      <c r="B268" s="6"/>
      <c r="C268" s="6"/>
      <c r="D268" s="6"/>
      <c r="E268" s="6"/>
      <c r="F268" s="6"/>
      <c r="G268" s="6"/>
    </row>
    <row r="269" spans="1:7">
      <c r="A269" s="6"/>
      <c r="B269" s="6"/>
      <c r="C269" s="6"/>
      <c r="D269" s="6"/>
      <c r="E269" s="6"/>
      <c r="F269" s="6"/>
      <c r="G269" s="6"/>
    </row>
    <row r="270" spans="1:7">
      <c r="A270" s="6"/>
      <c r="B270" s="6"/>
      <c r="C270" s="6"/>
      <c r="D270" s="6"/>
      <c r="E270" s="6"/>
      <c r="F270" s="6"/>
      <c r="G270" s="6"/>
    </row>
    <row r="271" spans="1:7">
      <c r="A271" s="6"/>
      <c r="B271" s="6"/>
      <c r="C271" s="6"/>
      <c r="D271" s="6"/>
      <c r="E271" s="6"/>
      <c r="F271" s="6"/>
      <c r="G271" s="6"/>
    </row>
    <row r="272" spans="1:7">
      <c r="A272" s="6"/>
      <c r="B272" s="6"/>
      <c r="C272" s="6"/>
      <c r="D272" s="6"/>
      <c r="E272" s="6"/>
      <c r="F272" s="6"/>
      <c r="G272" s="6"/>
    </row>
    <row r="273" spans="1:7">
      <c r="A273" s="6"/>
      <c r="B273" s="6"/>
      <c r="C273" s="6"/>
      <c r="D273" s="6"/>
      <c r="E273" s="6"/>
      <c r="F273" s="6"/>
      <c r="G273" s="6"/>
    </row>
    <row r="274" spans="1:7">
      <c r="A274" s="6"/>
      <c r="B274" s="6"/>
      <c r="C274" s="6"/>
      <c r="D274" s="6"/>
      <c r="E274" s="6"/>
      <c r="F274" s="6"/>
      <c r="G274" s="6"/>
    </row>
    <row r="275" spans="1:7">
      <c r="A275" s="6"/>
      <c r="B275" s="6"/>
      <c r="C275" s="6"/>
      <c r="D275" s="6"/>
      <c r="E275" s="6"/>
      <c r="F275" s="6"/>
      <c r="G275" s="6"/>
    </row>
    <row r="276" spans="1:7">
      <c r="A276" s="6"/>
      <c r="B276" s="6"/>
      <c r="C276" s="6"/>
      <c r="D276" s="6"/>
      <c r="E276" s="6"/>
      <c r="F276" s="6"/>
      <c r="G276" s="6"/>
    </row>
    <row r="277" spans="1:7">
      <c r="A277" s="6"/>
      <c r="B277" s="6"/>
      <c r="C277" s="6"/>
      <c r="D277" s="6"/>
      <c r="E277" s="6"/>
      <c r="F277" s="6"/>
      <c r="G277" s="6"/>
    </row>
    <row r="278" spans="1:7">
      <c r="A278" s="6"/>
      <c r="B278" s="6"/>
      <c r="C278" s="6"/>
      <c r="D278" s="6"/>
      <c r="E278" s="6"/>
      <c r="F278" s="6"/>
      <c r="G278" s="6"/>
    </row>
    <row r="279" spans="1:7">
      <c r="A279" s="6"/>
      <c r="B279" s="6"/>
      <c r="C279" s="6"/>
      <c r="D279" s="6"/>
      <c r="E279" s="6"/>
      <c r="F279" s="6"/>
      <c r="G279" s="6"/>
    </row>
    <row r="280" spans="1:7">
      <c r="A280" s="6"/>
      <c r="B280" s="6"/>
      <c r="C280" s="6"/>
      <c r="D280" s="6"/>
      <c r="E280" s="6"/>
      <c r="F280" s="6"/>
      <c r="G280" s="6"/>
    </row>
    <row r="281" spans="1:7">
      <c r="A281" s="6"/>
      <c r="B281" s="6"/>
      <c r="C281" s="6"/>
      <c r="D281" s="6"/>
      <c r="E281" s="6"/>
      <c r="F281" s="6"/>
      <c r="G281" s="6"/>
    </row>
    <row r="282" spans="1:7">
      <c r="A282" s="6"/>
      <c r="B282" s="6"/>
      <c r="C282" s="6"/>
      <c r="D282" s="6"/>
      <c r="E282" s="6"/>
      <c r="F282" s="6"/>
      <c r="G282" s="6"/>
    </row>
    <row r="283" spans="1:7">
      <c r="A283" s="6"/>
      <c r="B283" s="6"/>
      <c r="C283" s="6"/>
      <c r="D283" s="6"/>
      <c r="E283" s="6"/>
      <c r="F283" s="6"/>
      <c r="G283" s="6"/>
    </row>
    <row r="284" spans="1:7">
      <c r="A284" s="6"/>
      <c r="B284" s="6"/>
      <c r="C284" s="6"/>
      <c r="D284" s="6"/>
      <c r="E284" s="6"/>
      <c r="F284" s="6"/>
      <c r="G284" s="6"/>
    </row>
    <row r="285" spans="1:7">
      <c r="A285" s="6"/>
      <c r="B285" s="6"/>
      <c r="C285" s="6"/>
      <c r="D285" s="6"/>
      <c r="E285" s="6"/>
      <c r="F285" s="6"/>
      <c r="G285" s="6"/>
    </row>
    <row r="286" spans="1:7">
      <c r="A286" s="6"/>
      <c r="B286" s="6"/>
      <c r="C286" s="6"/>
      <c r="D286" s="6"/>
      <c r="E286" s="6"/>
      <c r="F286" s="6"/>
      <c r="G286" s="6"/>
    </row>
    <row r="287" spans="1:7">
      <c r="A287" s="6"/>
      <c r="B287" s="6"/>
      <c r="C287" s="6"/>
      <c r="D287" s="6"/>
      <c r="E287" s="6"/>
      <c r="F287" s="6"/>
      <c r="G287" s="6"/>
    </row>
    <row r="288" spans="1:7">
      <c r="A288" s="6"/>
      <c r="B288" s="6"/>
      <c r="C288" s="6"/>
      <c r="D288" s="6"/>
      <c r="E288" s="6"/>
      <c r="F288" s="6"/>
      <c r="G288" s="6"/>
    </row>
    <row r="289" spans="1:7">
      <c r="A289" s="6"/>
      <c r="B289" s="6"/>
      <c r="C289" s="6"/>
      <c r="D289" s="6"/>
      <c r="E289" s="6"/>
      <c r="F289" s="6"/>
      <c r="G289" s="6"/>
    </row>
    <row r="290" spans="1:7">
      <c r="A290" s="6"/>
      <c r="B290" s="6"/>
      <c r="C290" s="6"/>
      <c r="D290" s="6"/>
      <c r="E290" s="6"/>
      <c r="F290" s="6"/>
      <c r="G290" s="6"/>
    </row>
    <row r="291" spans="1:7">
      <c r="A291" s="6"/>
      <c r="B291" s="6"/>
      <c r="C291" s="6"/>
      <c r="D291" s="6"/>
      <c r="E291" s="6"/>
      <c r="F291" s="6"/>
      <c r="G291" s="6"/>
    </row>
    <row r="292" spans="1:7">
      <c r="A292" s="6"/>
      <c r="B292" s="6"/>
      <c r="C292" s="6"/>
      <c r="D292" s="6"/>
      <c r="E292" s="6"/>
      <c r="F292" s="6"/>
      <c r="G292" s="6"/>
    </row>
    <row r="293" spans="1:7">
      <c r="A293" s="6"/>
      <c r="B293" s="6"/>
      <c r="C293" s="6"/>
      <c r="D293" s="6"/>
      <c r="E293" s="6"/>
      <c r="F293" s="6"/>
      <c r="G293" s="6"/>
    </row>
    <row r="294" spans="1:7">
      <c r="A294" s="6"/>
      <c r="B294" s="6"/>
      <c r="C294" s="6"/>
      <c r="D294" s="6"/>
      <c r="E294" s="6"/>
      <c r="F294" s="6"/>
      <c r="G294" s="6"/>
    </row>
    <row r="295" spans="1:7">
      <c r="A295" s="6"/>
      <c r="B295" s="6"/>
      <c r="C295" s="6"/>
      <c r="D295" s="6"/>
      <c r="E295" s="6"/>
      <c r="F295" s="6"/>
      <c r="G295" s="6"/>
    </row>
    <row r="296" spans="1:7">
      <c r="A296" s="6"/>
      <c r="B296" s="6"/>
      <c r="C296" s="6"/>
      <c r="D296" s="6"/>
      <c r="E296" s="6"/>
      <c r="F296" s="6"/>
      <c r="G296" s="6"/>
    </row>
    <row r="297" spans="1:7">
      <c r="A297" s="6"/>
      <c r="B297" s="6"/>
      <c r="C297" s="6"/>
      <c r="D297" s="6"/>
      <c r="E297" s="6"/>
      <c r="F297" s="6"/>
      <c r="G297" s="6"/>
    </row>
    <row r="298" spans="1:7">
      <c r="A298" s="6"/>
      <c r="B298" s="6"/>
      <c r="C298" s="6"/>
      <c r="D298" s="6"/>
      <c r="E298" s="6"/>
      <c r="F298" s="6"/>
      <c r="G298" s="6"/>
    </row>
    <row r="299" spans="1:7">
      <c r="A299" s="6"/>
      <c r="B299" s="6"/>
      <c r="C299" s="6"/>
      <c r="D299" s="6"/>
      <c r="E299" s="6"/>
      <c r="F299" s="6"/>
      <c r="G299" s="6"/>
    </row>
    <row r="300" spans="1:7">
      <c r="A300" s="6"/>
      <c r="B300" s="6"/>
      <c r="C300" s="6"/>
      <c r="D300" s="6"/>
      <c r="E300" s="6"/>
      <c r="F300" s="6"/>
      <c r="G300" s="6"/>
    </row>
    <row r="301" spans="1:7">
      <c r="A301" s="6"/>
      <c r="B301" s="6"/>
      <c r="C301" s="6"/>
      <c r="D301" s="6"/>
      <c r="E301" s="6"/>
      <c r="F301" s="6"/>
      <c r="G301" s="6"/>
    </row>
    <row r="302" spans="1:7">
      <c r="A302" s="6"/>
      <c r="B302" s="6"/>
      <c r="C302" s="6"/>
      <c r="D302" s="6"/>
      <c r="E302" s="6"/>
      <c r="F302" s="6"/>
      <c r="G302" s="6"/>
    </row>
    <row r="303" spans="1:7">
      <c r="A303" s="6"/>
      <c r="B303" s="6"/>
      <c r="C303" s="6"/>
      <c r="D303" s="6"/>
      <c r="E303" s="6"/>
      <c r="F303" s="6"/>
      <c r="G303" s="6"/>
    </row>
    <row r="304" spans="1:7">
      <c r="A304" s="6"/>
      <c r="B304" s="6"/>
      <c r="C304" s="6"/>
      <c r="D304" s="6"/>
      <c r="E304" s="6"/>
      <c r="F304" s="6"/>
      <c r="G304" s="6"/>
    </row>
    <row r="305" spans="1:7">
      <c r="A305" s="6"/>
      <c r="B305" s="6"/>
      <c r="C305" s="6"/>
      <c r="D305" s="6"/>
      <c r="E305" s="6"/>
      <c r="F305" s="6"/>
      <c r="G305" s="6"/>
    </row>
    <row r="306" spans="1:7">
      <c r="A306" s="6"/>
      <c r="B306" s="6"/>
      <c r="C306" s="6"/>
      <c r="D306" s="6"/>
      <c r="E306" s="6"/>
      <c r="F306" s="6"/>
      <c r="G306" s="6"/>
    </row>
    <row r="307" spans="1:7">
      <c r="A307" s="6"/>
      <c r="B307" s="6"/>
      <c r="C307" s="6"/>
      <c r="D307" s="6"/>
      <c r="E307" s="6"/>
      <c r="F307" s="6"/>
      <c r="G307" s="6"/>
    </row>
    <row r="308" spans="1:7">
      <c r="A308" s="6"/>
      <c r="B308" s="6"/>
      <c r="C308" s="6"/>
      <c r="D308" s="6"/>
      <c r="E308" s="6"/>
      <c r="F308" s="6"/>
      <c r="G308" s="6"/>
    </row>
    <row r="309" spans="1:7">
      <c r="A309" s="6"/>
      <c r="B309" s="6"/>
      <c r="C309" s="6"/>
      <c r="D309" s="6"/>
      <c r="E309" s="6"/>
      <c r="F309" s="6"/>
      <c r="G309" s="6"/>
    </row>
    <row r="310" spans="1:7">
      <c r="A310" s="6"/>
      <c r="B310" s="6"/>
      <c r="C310" s="6"/>
      <c r="D310" s="6"/>
      <c r="E310" s="6"/>
      <c r="F310" s="6"/>
      <c r="G310" s="6"/>
    </row>
    <row r="311" spans="1:7">
      <c r="A311" s="6"/>
      <c r="B311" s="6"/>
      <c r="C311" s="6"/>
      <c r="D311" s="6"/>
      <c r="E311" s="6"/>
      <c r="F311" s="6"/>
      <c r="G311" s="6"/>
    </row>
    <row r="312" spans="1:7">
      <c r="A312" s="6"/>
      <c r="B312" s="6"/>
      <c r="C312" s="6"/>
      <c r="D312" s="6"/>
      <c r="E312" s="6"/>
      <c r="F312" s="6"/>
      <c r="G312" s="6"/>
    </row>
    <row r="313" spans="1:7">
      <c r="A313" s="6"/>
      <c r="B313" s="6"/>
      <c r="C313" s="6"/>
      <c r="D313" s="6"/>
      <c r="E313" s="6"/>
      <c r="F313" s="6"/>
      <c r="G313" s="6"/>
    </row>
    <row r="314" spans="1:7">
      <c r="A314" s="6"/>
      <c r="B314" s="6"/>
      <c r="C314" s="6"/>
      <c r="D314" s="6"/>
      <c r="E314" s="6"/>
      <c r="F314" s="6"/>
      <c r="G314" s="6"/>
    </row>
    <row r="315" spans="1:7">
      <c r="A315" s="6"/>
      <c r="B315" s="6"/>
      <c r="C315" s="6"/>
      <c r="D315" s="6"/>
      <c r="E315" s="6"/>
      <c r="F315" s="6"/>
      <c r="G315" s="6"/>
    </row>
    <row r="316" spans="1:7">
      <c r="A316" s="6"/>
      <c r="B316" s="6"/>
      <c r="C316" s="6"/>
      <c r="D316" s="6"/>
      <c r="E316" s="6"/>
      <c r="F316" s="6"/>
      <c r="G316" s="6"/>
    </row>
    <row r="317" spans="1:7">
      <c r="A317" s="6"/>
      <c r="B317" s="6"/>
      <c r="C317" s="6"/>
      <c r="D317" s="6"/>
      <c r="E317" s="6"/>
      <c r="F317" s="6"/>
      <c r="G317" s="6"/>
    </row>
    <row r="318" spans="1:7">
      <c r="A318" s="6"/>
      <c r="B318" s="6"/>
      <c r="C318" s="6"/>
      <c r="D318" s="6"/>
      <c r="E318" s="6"/>
      <c r="F318" s="6"/>
      <c r="G318" s="6"/>
    </row>
    <row r="319" spans="1:7">
      <c r="A319" s="6"/>
      <c r="B319" s="6"/>
      <c r="C319" s="6"/>
      <c r="D319" s="6"/>
      <c r="E319" s="6"/>
      <c r="F319" s="6"/>
      <c r="G319" s="6"/>
    </row>
    <row r="320" spans="1:7">
      <c r="A320" s="6"/>
      <c r="B320" s="6"/>
      <c r="C320" s="6"/>
      <c r="D320" s="6"/>
      <c r="E320" s="6"/>
      <c r="F320" s="6"/>
      <c r="G320" s="6"/>
    </row>
    <row r="321" spans="1:7">
      <c r="A321" s="6"/>
      <c r="B321" s="6"/>
      <c r="C321" s="6"/>
      <c r="D321" s="6"/>
      <c r="E321" s="6"/>
      <c r="F321" s="6"/>
      <c r="G321" s="6"/>
    </row>
    <row r="322" spans="1:7">
      <c r="A322" s="6"/>
      <c r="B322" s="6"/>
      <c r="C322" s="6"/>
      <c r="D322" s="6"/>
      <c r="E322" s="6"/>
      <c r="F322" s="6"/>
      <c r="G322" s="6"/>
    </row>
    <row r="323" spans="1:7">
      <c r="A323" s="6"/>
      <c r="B323" s="6"/>
      <c r="C323" s="6"/>
      <c r="D323" s="6"/>
      <c r="E323" s="6"/>
      <c r="F323" s="6"/>
      <c r="G323" s="6"/>
    </row>
  </sheetData>
  <mergeCells count="5">
    <mergeCell ref="B15:F15"/>
    <mergeCell ref="B3:F3"/>
    <mergeCell ref="A1:G1"/>
    <mergeCell ref="B6:D6"/>
    <mergeCell ref="F6:F9"/>
  </mergeCells>
  <hyperlinks>
    <hyperlink ref="B4" location="Inventory_WRM!A1" display="WRM Inventory" xr:uid="{00000000-0004-0000-1900-000000000000}"/>
    <hyperlink ref="D4" location="Inventory_Missing!A3" display="What's missing" xr:uid="{00000000-0004-0000-1900-000001000000}"/>
    <hyperlink ref="F4" location="Inventory_CONEX!A1" display="XXXXXXXCONEX InventoryXXXXX" xr:uid="{00000000-0004-0000-1900-000002000000}"/>
    <hyperlink ref="A1" location="DASHBOARD!A1" display="Back to Dashboard" xr:uid="{00000000-0004-0000-1900-000003000000}"/>
    <hyperlink ref="F6:F8" location="Inventory_Chemicals!A1" display="Inventory_Chemicals!A1" xr:uid="{00000000-0004-0000-1900-000004000000}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5">
    <pageSetUpPr fitToPage="1"/>
  </sheetPr>
  <dimension ref="A1:J64"/>
  <sheetViews>
    <sheetView zoomScale="214" zoomScaleNormal="214" zoomScaleSheetLayoutView="160" workbookViewId="0">
      <pane ySplit="6" topLeftCell="A7" activePane="bottomLeft" state="frozen"/>
      <selection activeCell="G10" sqref="G10"/>
      <selection pane="bottomLeft" sqref="A1:E1"/>
    </sheetView>
  </sheetViews>
  <sheetFormatPr defaultRowHeight="15"/>
  <cols>
    <col min="1" max="1" width="0.7109375" customWidth="1"/>
    <col min="3" max="3" width="10.5703125" bestFit="1" customWidth="1"/>
    <col min="4" max="4" width="10.5703125" customWidth="1"/>
    <col min="6" max="6" width="0.85546875" customWidth="1"/>
    <col min="7" max="7" width="44.7109375" bestFit="1" customWidth="1"/>
    <col min="8" max="8" width="7.140625" style="1" customWidth="1"/>
    <col min="9" max="9" width="9.28515625" style="1" customWidth="1"/>
    <col min="10" max="10" width="1.140625" customWidth="1"/>
    <col min="11" max="11" width="17.42578125" bestFit="1" customWidth="1"/>
  </cols>
  <sheetData>
    <row r="1" spans="1:10" s="233" customFormat="1" ht="26.45" customHeight="1">
      <c r="A1" s="847" t="s">
        <v>313</v>
      </c>
      <c r="B1" s="848"/>
      <c r="C1" s="848"/>
      <c r="D1" s="848"/>
      <c r="E1" s="849"/>
      <c r="F1" s="846" t="s">
        <v>381</v>
      </c>
      <c r="G1" s="846"/>
      <c r="H1" s="846"/>
      <c r="I1" s="846"/>
      <c r="J1" s="846"/>
    </row>
    <row r="2" spans="1:10" ht="5.0999999999999996" customHeight="1" thickBot="1">
      <c r="A2" s="6"/>
      <c r="B2" s="68"/>
      <c r="C2" s="67"/>
      <c r="D2" s="67"/>
      <c r="E2" s="67"/>
      <c r="F2" s="67"/>
      <c r="G2" s="67"/>
      <c r="H2" s="67"/>
      <c r="I2" s="67"/>
      <c r="J2" s="6"/>
    </row>
    <row r="3" spans="1:10" ht="42.6" customHeight="1">
      <c r="A3" s="6"/>
      <c r="B3" s="832" t="s">
        <v>173</v>
      </c>
      <c r="C3" s="832"/>
      <c r="D3" s="830">
        <f>I47</f>
        <v>243</v>
      </c>
      <c r="E3" s="830"/>
      <c r="F3" s="67"/>
      <c r="G3" s="850" t="s">
        <v>308</v>
      </c>
      <c r="H3" s="850"/>
      <c r="I3" s="850"/>
      <c r="J3" s="6"/>
    </row>
    <row r="4" spans="1:10" ht="18.75" customHeight="1">
      <c r="A4" s="6"/>
      <c r="B4" s="833"/>
      <c r="C4" s="833"/>
      <c r="D4" s="831"/>
      <c r="E4" s="831"/>
      <c r="F4" s="67"/>
      <c r="G4" s="850"/>
      <c r="H4" s="850"/>
      <c r="I4" s="850"/>
      <c r="J4" s="6"/>
    </row>
    <row r="5" spans="1:10" ht="3.6" customHeight="1">
      <c r="A5" s="6"/>
      <c r="B5" s="68"/>
      <c r="C5" s="67"/>
      <c r="D5" s="67"/>
      <c r="E5" s="67"/>
      <c r="F5" s="67"/>
      <c r="G5" s="67"/>
      <c r="H5" s="69"/>
      <c r="I5" s="69"/>
      <c r="J5" s="6"/>
    </row>
    <row r="6" spans="1:10" ht="18" customHeight="1">
      <c r="A6" s="6"/>
      <c r="B6" s="98" t="s">
        <v>95</v>
      </c>
      <c r="C6" s="98" t="s">
        <v>96</v>
      </c>
      <c r="D6" s="98" t="s">
        <v>112</v>
      </c>
      <c r="E6" s="98" t="s">
        <v>113</v>
      </c>
      <c r="F6" s="113"/>
      <c r="G6" s="98" t="s">
        <v>114</v>
      </c>
      <c r="H6" s="102" t="s">
        <v>137</v>
      </c>
      <c r="I6" s="102" t="s">
        <v>136</v>
      </c>
      <c r="J6" s="112"/>
    </row>
    <row r="7" spans="1:10">
      <c r="A7" s="6"/>
      <c r="B7" s="840" t="s">
        <v>96</v>
      </c>
      <c r="C7" s="843" t="s">
        <v>139</v>
      </c>
      <c r="D7" s="101" t="s">
        <v>109</v>
      </c>
      <c r="E7" s="101" t="s">
        <v>161</v>
      </c>
      <c r="F7" s="99"/>
      <c r="G7" s="2" t="s">
        <v>167</v>
      </c>
      <c r="H7" s="95">
        <v>1</v>
      </c>
      <c r="I7" s="95">
        <v>4</v>
      </c>
      <c r="J7" s="6"/>
    </row>
    <row r="8" spans="1:10">
      <c r="A8" s="6"/>
      <c r="B8" s="841"/>
      <c r="C8" s="845"/>
      <c r="D8" s="101" t="s">
        <v>109</v>
      </c>
      <c r="E8" s="101" t="s">
        <v>160</v>
      </c>
      <c r="F8" s="99"/>
      <c r="G8" s="2" t="s">
        <v>146</v>
      </c>
      <c r="H8" s="95">
        <v>3</v>
      </c>
      <c r="I8" s="95">
        <v>3</v>
      </c>
      <c r="J8" s="6"/>
    </row>
    <row r="9" spans="1:10">
      <c r="A9" s="6"/>
      <c r="B9" s="842"/>
      <c r="C9" s="844"/>
      <c r="D9" s="101" t="s">
        <v>160</v>
      </c>
      <c r="E9" s="101" t="s">
        <v>161</v>
      </c>
      <c r="F9" s="99"/>
      <c r="G9" s="2" t="s">
        <v>147</v>
      </c>
      <c r="H9" s="95">
        <v>3</v>
      </c>
      <c r="I9" s="95">
        <v>1</v>
      </c>
      <c r="J9" s="6"/>
    </row>
    <row r="10" spans="1:10">
      <c r="A10" s="6"/>
      <c r="B10" s="840" t="s">
        <v>96</v>
      </c>
      <c r="C10" s="843" t="s">
        <v>140</v>
      </c>
      <c r="D10" s="101" t="s">
        <v>109</v>
      </c>
      <c r="E10" s="101" t="s">
        <v>160</v>
      </c>
      <c r="F10" s="99"/>
      <c r="G10" s="2" t="s">
        <v>146</v>
      </c>
      <c r="H10" s="95">
        <v>4</v>
      </c>
      <c r="I10" s="95">
        <v>2</v>
      </c>
      <c r="J10" s="6"/>
    </row>
    <row r="11" spans="1:10">
      <c r="A11" s="6"/>
      <c r="B11" s="841"/>
      <c r="C11" s="845"/>
      <c r="D11" s="101" t="s">
        <v>160</v>
      </c>
      <c r="E11" s="101" t="s">
        <v>161</v>
      </c>
      <c r="F11" s="99"/>
      <c r="G11" s="2" t="s">
        <v>147</v>
      </c>
      <c r="H11" s="95">
        <v>4</v>
      </c>
      <c r="I11" s="95">
        <v>3</v>
      </c>
      <c r="J11" s="6"/>
    </row>
    <row r="12" spans="1:10">
      <c r="A12" s="6"/>
      <c r="B12" s="842"/>
      <c r="C12" s="844"/>
      <c r="D12" s="101" t="s">
        <v>163</v>
      </c>
      <c r="E12" s="101" t="s">
        <v>164</v>
      </c>
      <c r="F12" s="99"/>
      <c r="G12" s="2" t="s">
        <v>162</v>
      </c>
      <c r="H12" s="95">
        <v>4</v>
      </c>
      <c r="I12" s="95">
        <v>1</v>
      </c>
      <c r="J12" s="6"/>
    </row>
    <row r="13" spans="1:10">
      <c r="A13" s="6"/>
      <c r="B13" s="840" t="s">
        <v>96</v>
      </c>
      <c r="C13" s="843" t="s">
        <v>141</v>
      </c>
      <c r="D13" s="101" t="s">
        <v>109</v>
      </c>
      <c r="E13" s="101" t="s">
        <v>160</v>
      </c>
      <c r="F13" s="99"/>
      <c r="G13" s="2" t="s">
        <v>146</v>
      </c>
      <c r="H13" s="95">
        <v>4</v>
      </c>
      <c r="I13" s="95">
        <v>3</v>
      </c>
      <c r="J13" s="6"/>
    </row>
    <row r="14" spans="1:10">
      <c r="A14" s="6"/>
      <c r="B14" s="841"/>
      <c r="C14" s="845"/>
      <c r="D14" s="101" t="s">
        <v>160</v>
      </c>
      <c r="E14" s="101" t="s">
        <v>161</v>
      </c>
      <c r="F14" s="99"/>
      <c r="G14" s="2" t="s">
        <v>147</v>
      </c>
      <c r="H14" s="95">
        <v>4</v>
      </c>
      <c r="I14" s="95">
        <v>1</v>
      </c>
      <c r="J14" s="6"/>
    </row>
    <row r="15" spans="1:10">
      <c r="A15" s="6"/>
      <c r="B15" s="842"/>
      <c r="C15" s="844"/>
      <c r="D15" s="101" t="s">
        <v>163</v>
      </c>
      <c r="E15" s="101" t="s">
        <v>164</v>
      </c>
      <c r="F15" s="99"/>
      <c r="G15" s="2" t="s">
        <v>168</v>
      </c>
      <c r="H15" s="95">
        <v>4</v>
      </c>
      <c r="I15" s="95">
        <v>1</v>
      </c>
      <c r="J15" s="6"/>
    </row>
    <row r="16" spans="1:10">
      <c r="A16" s="6"/>
      <c r="B16" s="840" t="s">
        <v>96</v>
      </c>
      <c r="C16" s="843" t="s">
        <v>142</v>
      </c>
      <c r="D16" s="101" t="s">
        <v>109</v>
      </c>
      <c r="E16" s="101" t="s">
        <v>160</v>
      </c>
      <c r="F16" s="99"/>
      <c r="G16" s="2" t="s">
        <v>146</v>
      </c>
      <c r="H16" s="95">
        <v>4</v>
      </c>
      <c r="I16" s="95">
        <v>2</v>
      </c>
      <c r="J16" s="6"/>
    </row>
    <row r="17" spans="1:10">
      <c r="A17" s="6"/>
      <c r="B17" s="842"/>
      <c r="C17" s="844"/>
      <c r="D17" s="101" t="s">
        <v>160</v>
      </c>
      <c r="E17" s="101" t="s">
        <v>161</v>
      </c>
      <c r="F17" s="99"/>
      <c r="G17" s="2" t="s">
        <v>147</v>
      </c>
      <c r="H17" s="95">
        <v>4</v>
      </c>
      <c r="I17" s="95">
        <v>3</v>
      </c>
      <c r="J17" s="6"/>
    </row>
    <row r="18" spans="1:10">
      <c r="A18" s="6"/>
      <c r="B18" s="840" t="s">
        <v>96</v>
      </c>
      <c r="C18" s="843" t="s">
        <v>143</v>
      </c>
      <c r="D18" s="101" t="s">
        <v>109</v>
      </c>
      <c r="E18" s="101" t="s">
        <v>160</v>
      </c>
      <c r="F18" s="99"/>
      <c r="G18" s="2" t="s">
        <v>146</v>
      </c>
      <c r="H18" s="95">
        <v>4</v>
      </c>
      <c r="I18" s="95">
        <v>2</v>
      </c>
      <c r="J18" s="6"/>
    </row>
    <row r="19" spans="1:10">
      <c r="A19" s="6"/>
      <c r="B19" s="841"/>
      <c r="C19" s="845"/>
      <c r="D19" s="101" t="s">
        <v>160</v>
      </c>
      <c r="E19" s="101" t="s">
        <v>161</v>
      </c>
      <c r="F19" s="99"/>
      <c r="G19" s="2" t="s">
        <v>147</v>
      </c>
      <c r="H19" s="95">
        <v>4</v>
      </c>
      <c r="I19" s="95">
        <v>3</v>
      </c>
      <c r="J19" s="6"/>
    </row>
    <row r="20" spans="1:10">
      <c r="A20" s="6"/>
      <c r="B20" s="842"/>
      <c r="C20" s="844"/>
      <c r="D20" s="101" t="s">
        <v>163</v>
      </c>
      <c r="E20" s="101" t="s">
        <v>164</v>
      </c>
      <c r="F20" s="99"/>
      <c r="G20" s="2" t="s">
        <v>162</v>
      </c>
      <c r="H20" s="95">
        <v>4</v>
      </c>
      <c r="I20" s="95">
        <v>1</v>
      </c>
      <c r="J20" s="6"/>
    </row>
    <row r="21" spans="1:10">
      <c r="A21" s="6"/>
      <c r="B21" s="840" t="s">
        <v>96</v>
      </c>
      <c r="C21" s="843" t="s">
        <v>144</v>
      </c>
      <c r="D21" s="101" t="s">
        <v>109</v>
      </c>
      <c r="E21" s="101" t="s">
        <v>160</v>
      </c>
      <c r="F21" s="99"/>
      <c r="G21" s="2" t="s">
        <v>146</v>
      </c>
      <c r="H21" s="95">
        <v>4</v>
      </c>
      <c r="I21" s="95">
        <v>2</v>
      </c>
      <c r="J21" s="6"/>
    </row>
    <row r="22" spans="1:10">
      <c r="A22" s="6"/>
      <c r="B22" s="842"/>
      <c r="C22" s="844"/>
      <c r="D22" s="101" t="s">
        <v>160</v>
      </c>
      <c r="E22" s="101" t="s">
        <v>161</v>
      </c>
      <c r="F22" s="99"/>
      <c r="G22" s="2" t="s">
        <v>147</v>
      </c>
      <c r="H22" s="95">
        <v>4</v>
      </c>
      <c r="I22" s="95">
        <v>3</v>
      </c>
      <c r="J22" s="6"/>
    </row>
    <row r="23" spans="1:10">
      <c r="A23" s="6"/>
      <c r="B23" s="840" t="s">
        <v>96</v>
      </c>
      <c r="C23" s="843" t="s">
        <v>145</v>
      </c>
      <c r="D23" s="101" t="s">
        <v>109</v>
      </c>
      <c r="E23" s="101" t="s">
        <v>160</v>
      </c>
      <c r="F23" s="99"/>
      <c r="G23" s="2" t="s">
        <v>146</v>
      </c>
      <c r="H23" s="95">
        <v>4</v>
      </c>
      <c r="I23" s="95">
        <v>2</v>
      </c>
      <c r="J23" s="6"/>
    </row>
    <row r="24" spans="1:10">
      <c r="A24" s="6"/>
      <c r="B24" s="842"/>
      <c r="C24" s="844"/>
      <c r="D24" s="101" t="s">
        <v>160</v>
      </c>
      <c r="E24" s="101" t="s">
        <v>161</v>
      </c>
      <c r="F24" s="99"/>
      <c r="G24" s="2" t="s">
        <v>147</v>
      </c>
      <c r="H24" s="95">
        <v>4</v>
      </c>
      <c r="I24" s="95">
        <v>3</v>
      </c>
      <c r="J24" s="6"/>
    </row>
    <row r="25" spans="1:10">
      <c r="A25" s="6"/>
      <c r="B25" s="837" t="s">
        <v>97</v>
      </c>
      <c r="C25" s="834" t="s">
        <v>139</v>
      </c>
      <c r="D25" s="100" t="s">
        <v>117</v>
      </c>
      <c r="E25" s="100" t="s">
        <v>120</v>
      </c>
      <c r="F25" s="99"/>
      <c r="G25" s="5" t="s">
        <v>146</v>
      </c>
      <c r="H25" s="4">
        <v>3</v>
      </c>
      <c r="I25" s="4">
        <v>3</v>
      </c>
      <c r="J25" s="6"/>
    </row>
    <row r="26" spans="1:10">
      <c r="A26" s="6"/>
      <c r="B26" s="838"/>
      <c r="C26" s="835"/>
      <c r="D26" s="100" t="s">
        <v>159</v>
      </c>
      <c r="E26" s="100" t="s">
        <v>124</v>
      </c>
      <c r="F26" s="99"/>
      <c r="G26" s="5" t="s">
        <v>147</v>
      </c>
      <c r="H26" s="4">
        <v>3</v>
      </c>
      <c r="I26" s="4">
        <v>1</v>
      </c>
      <c r="J26" s="6"/>
    </row>
    <row r="27" spans="1:10">
      <c r="A27" s="6"/>
      <c r="B27" s="839"/>
      <c r="C27" s="836"/>
      <c r="D27" s="100" t="s">
        <v>124</v>
      </c>
      <c r="E27" s="100" t="s">
        <v>115</v>
      </c>
      <c r="F27" s="99"/>
      <c r="G27" s="5" t="s">
        <v>148</v>
      </c>
      <c r="H27" s="4">
        <v>3</v>
      </c>
      <c r="I27" s="4">
        <v>2</v>
      </c>
      <c r="J27" s="6"/>
    </row>
    <row r="28" spans="1:10">
      <c r="A28" s="6"/>
      <c r="B28" s="837" t="s">
        <v>97</v>
      </c>
      <c r="C28" s="834" t="s">
        <v>140</v>
      </c>
      <c r="D28" s="100" t="s">
        <v>117</v>
      </c>
      <c r="E28" s="100" t="s">
        <v>120</v>
      </c>
      <c r="F28" s="99"/>
      <c r="G28" s="5" t="s">
        <v>146</v>
      </c>
      <c r="H28" s="4">
        <v>3</v>
      </c>
      <c r="I28" s="4">
        <v>3</v>
      </c>
      <c r="J28" s="6"/>
    </row>
    <row r="29" spans="1:10">
      <c r="A29" s="6"/>
      <c r="B29" s="839"/>
      <c r="C29" s="836"/>
      <c r="D29" s="100" t="s">
        <v>159</v>
      </c>
      <c r="E29" s="100" t="s">
        <v>124</v>
      </c>
      <c r="F29" s="99"/>
      <c r="G29" s="5" t="s">
        <v>147</v>
      </c>
      <c r="H29" s="4">
        <v>3</v>
      </c>
      <c r="I29" s="4">
        <v>1</v>
      </c>
      <c r="J29" s="6"/>
    </row>
    <row r="30" spans="1:10">
      <c r="A30" s="6"/>
      <c r="B30" s="837" t="s">
        <v>97</v>
      </c>
      <c r="C30" s="834" t="s">
        <v>141</v>
      </c>
      <c r="D30" s="100" t="s">
        <v>117</v>
      </c>
      <c r="E30" s="100" t="s">
        <v>120</v>
      </c>
      <c r="F30" s="99"/>
      <c r="G30" s="5" t="s">
        <v>146</v>
      </c>
      <c r="H30" s="4">
        <v>3</v>
      </c>
      <c r="I30" s="4">
        <v>3</v>
      </c>
      <c r="J30" s="6"/>
    </row>
    <row r="31" spans="1:10">
      <c r="A31" s="6"/>
      <c r="B31" s="838"/>
      <c r="C31" s="835"/>
      <c r="D31" s="100" t="s">
        <v>159</v>
      </c>
      <c r="E31" s="100" t="s">
        <v>124</v>
      </c>
      <c r="F31" s="99"/>
      <c r="G31" s="5" t="s">
        <v>147</v>
      </c>
      <c r="H31" s="4">
        <v>3</v>
      </c>
      <c r="I31" s="4">
        <v>1</v>
      </c>
      <c r="J31" s="6"/>
    </row>
    <row r="32" spans="1:10">
      <c r="A32" s="6"/>
      <c r="B32" s="839"/>
      <c r="C32" s="836"/>
      <c r="D32" s="100" t="s">
        <v>124</v>
      </c>
      <c r="E32" s="100" t="s">
        <v>115</v>
      </c>
      <c r="F32" s="99"/>
      <c r="G32" s="100" t="s">
        <v>169</v>
      </c>
      <c r="H32" s="4">
        <v>3</v>
      </c>
      <c r="I32" s="4">
        <v>2</v>
      </c>
      <c r="J32" s="6"/>
    </row>
    <row r="33" spans="1:10">
      <c r="A33" s="6"/>
      <c r="B33" s="837" t="s">
        <v>97</v>
      </c>
      <c r="C33" s="834" t="s">
        <v>142</v>
      </c>
      <c r="D33" s="100" t="s">
        <v>117</v>
      </c>
      <c r="E33" s="100" t="s">
        <v>120</v>
      </c>
      <c r="F33" s="99"/>
      <c r="G33" s="5" t="s">
        <v>146</v>
      </c>
      <c r="H33" s="4">
        <v>3</v>
      </c>
      <c r="I33" s="4">
        <v>3</v>
      </c>
      <c r="J33" s="6"/>
    </row>
    <row r="34" spans="1:10">
      <c r="A34" s="6"/>
      <c r="B34" s="838"/>
      <c r="C34" s="835"/>
      <c r="D34" s="100" t="s">
        <v>159</v>
      </c>
      <c r="E34" s="100" t="s">
        <v>124</v>
      </c>
      <c r="F34" s="99"/>
      <c r="G34" s="5" t="s">
        <v>147</v>
      </c>
      <c r="H34" s="4">
        <v>3</v>
      </c>
      <c r="I34" s="4">
        <v>1</v>
      </c>
      <c r="J34" s="6"/>
    </row>
    <row r="35" spans="1:10">
      <c r="A35" s="6"/>
      <c r="B35" s="839"/>
      <c r="C35" s="836"/>
      <c r="D35" s="100" t="s">
        <v>124</v>
      </c>
      <c r="E35" s="100" t="s">
        <v>115</v>
      </c>
      <c r="F35" s="99"/>
      <c r="G35" s="5" t="s">
        <v>148</v>
      </c>
      <c r="H35" s="4">
        <v>3</v>
      </c>
      <c r="I35" s="4">
        <v>2</v>
      </c>
      <c r="J35" s="6"/>
    </row>
    <row r="36" spans="1:10">
      <c r="A36" s="6"/>
      <c r="B36" s="837" t="s">
        <v>97</v>
      </c>
      <c r="C36" s="834" t="s">
        <v>143</v>
      </c>
      <c r="D36" s="100" t="s">
        <v>117</v>
      </c>
      <c r="E36" s="100" t="s">
        <v>120</v>
      </c>
      <c r="F36" s="99"/>
      <c r="G36" s="5" t="s">
        <v>146</v>
      </c>
      <c r="H36" s="4">
        <v>3</v>
      </c>
      <c r="I36" s="4">
        <v>3</v>
      </c>
      <c r="J36" s="6"/>
    </row>
    <row r="37" spans="1:10">
      <c r="A37" s="6"/>
      <c r="B37" s="839"/>
      <c r="C37" s="836"/>
      <c r="D37" s="100" t="s">
        <v>159</v>
      </c>
      <c r="E37" s="100" t="s">
        <v>124</v>
      </c>
      <c r="F37" s="99"/>
      <c r="G37" s="5" t="s">
        <v>147</v>
      </c>
      <c r="H37" s="4">
        <v>3</v>
      </c>
      <c r="I37" s="4">
        <v>1</v>
      </c>
      <c r="J37" s="6"/>
    </row>
    <row r="38" spans="1:10">
      <c r="A38" s="6"/>
      <c r="B38" s="837" t="s">
        <v>97</v>
      </c>
      <c r="C38" s="834" t="s">
        <v>144</v>
      </c>
      <c r="D38" s="100" t="s">
        <v>117</v>
      </c>
      <c r="E38" s="100" t="s">
        <v>120</v>
      </c>
      <c r="F38" s="99"/>
      <c r="G38" s="5" t="s">
        <v>146</v>
      </c>
      <c r="H38" s="4">
        <v>3</v>
      </c>
      <c r="I38" s="4">
        <v>3</v>
      </c>
      <c r="J38" s="6"/>
    </row>
    <row r="39" spans="1:10">
      <c r="A39" s="6"/>
      <c r="B39" s="839"/>
      <c r="C39" s="836"/>
      <c r="D39" s="100" t="s">
        <v>159</v>
      </c>
      <c r="E39" s="100" t="s">
        <v>124</v>
      </c>
      <c r="F39" s="99"/>
      <c r="G39" s="5" t="s">
        <v>147</v>
      </c>
      <c r="H39" s="4">
        <v>3</v>
      </c>
      <c r="I39" s="4">
        <v>1</v>
      </c>
      <c r="J39" s="6"/>
    </row>
    <row r="40" spans="1:10">
      <c r="A40" s="6"/>
      <c r="B40" s="837" t="s">
        <v>97</v>
      </c>
      <c r="C40" s="834" t="s">
        <v>145</v>
      </c>
      <c r="D40" s="100" t="s">
        <v>117</v>
      </c>
      <c r="E40" s="100" t="s">
        <v>120</v>
      </c>
      <c r="F40" s="99"/>
      <c r="G40" s="5" t="s">
        <v>146</v>
      </c>
      <c r="H40" s="4">
        <v>3</v>
      </c>
      <c r="I40" s="4">
        <v>3</v>
      </c>
      <c r="J40" s="6"/>
    </row>
    <row r="41" spans="1:10">
      <c r="A41" s="6"/>
      <c r="B41" s="839"/>
      <c r="C41" s="836"/>
      <c r="D41" s="100" t="s">
        <v>159</v>
      </c>
      <c r="E41" s="100" t="s">
        <v>124</v>
      </c>
      <c r="F41" s="99"/>
      <c r="G41" s="5" t="s">
        <v>147</v>
      </c>
      <c r="H41" s="4">
        <v>3</v>
      </c>
      <c r="I41" s="4">
        <v>1</v>
      </c>
      <c r="J41" s="6"/>
    </row>
    <row r="42" spans="1:10">
      <c r="A42" s="6"/>
      <c r="B42" s="322" t="s">
        <v>98</v>
      </c>
      <c r="C42" s="323" t="s">
        <v>139</v>
      </c>
      <c r="D42" s="101" t="s">
        <v>132</v>
      </c>
      <c r="E42" s="101" t="s">
        <v>943</v>
      </c>
      <c r="F42" s="99"/>
      <c r="G42" s="2" t="s">
        <v>147</v>
      </c>
      <c r="H42" s="95">
        <v>2</v>
      </c>
      <c r="I42" s="95">
        <v>2</v>
      </c>
      <c r="J42" s="6"/>
    </row>
    <row r="43" spans="1:10">
      <c r="A43" s="6"/>
      <c r="B43" s="322" t="s">
        <v>98</v>
      </c>
      <c r="C43" s="323" t="s">
        <v>140</v>
      </c>
      <c r="D43" s="101" t="s">
        <v>132</v>
      </c>
      <c r="E43" s="101" t="s">
        <v>166</v>
      </c>
      <c r="F43" s="99"/>
      <c r="G43" s="101" t="s">
        <v>942</v>
      </c>
      <c r="H43" s="95">
        <v>2</v>
      </c>
      <c r="I43" s="95">
        <v>1</v>
      </c>
      <c r="J43" s="6"/>
    </row>
    <row r="44" spans="1:10">
      <c r="A44" s="6"/>
      <c r="B44" s="841" t="s">
        <v>98</v>
      </c>
      <c r="C44" s="845" t="s">
        <v>142</v>
      </c>
      <c r="D44" s="101" t="s">
        <v>132</v>
      </c>
      <c r="E44" s="101" t="s">
        <v>172</v>
      </c>
      <c r="F44" s="99"/>
      <c r="G44" s="2" t="s">
        <v>170</v>
      </c>
      <c r="H44" s="95">
        <v>2</v>
      </c>
      <c r="I44" s="95">
        <v>1.5</v>
      </c>
      <c r="J44" s="6"/>
    </row>
    <row r="45" spans="1:10">
      <c r="A45" s="6"/>
      <c r="B45" s="842"/>
      <c r="C45" s="844"/>
      <c r="D45" s="101" t="s">
        <v>172</v>
      </c>
      <c r="E45" s="101" t="s">
        <v>133</v>
      </c>
      <c r="F45" s="99"/>
      <c r="G45" s="2" t="s">
        <v>171</v>
      </c>
      <c r="H45" s="95">
        <v>2</v>
      </c>
      <c r="I45" s="95">
        <v>1.5</v>
      </c>
      <c r="J45" s="6"/>
    </row>
    <row r="46" spans="1:10">
      <c r="A46" s="6"/>
      <c r="B46" s="322" t="s">
        <v>98</v>
      </c>
      <c r="C46" s="323" t="s">
        <v>143</v>
      </c>
      <c r="D46" s="101" t="s">
        <v>132</v>
      </c>
      <c r="E46" s="101" t="s">
        <v>166</v>
      </c>
      <c r="F46" s="99"/>
      <c r="G46" s="101" t="s">
        <v>942</v>
      </c>
      <c r="H46" s="95">
        <v>2</v>
      </c>
      <c r="I46" s="95">
        <v>1</v>
      </c>
      <c r="J46" s="6"/>
    </row>
    <row r="47" spans="1:10" ht="15.75">
      <c r="A47" s="6"/>
      <c r="B47" s="6"/>
      <c r="C47" s="6"/>
      <c r="D47" s="6"/>
      <c r="E47" s="6"/>
      <c r="F47" s="6"/>
      <c r="G47" s="114" t="s">
        <v>56</v>
      </c>
      <c r="H47" s="1">
        <f>SUM(H7:H46)</f>
        <v>128</v>
      </c>
      <c r="I47" s="1">
        <f>SUM(I7:I46)*3</f>
        <v>243</v>
      </c>
      <c r="J47" s="6"/>
    </row>
    <row r="48" spans="1:10" ht="4.5" customHeight="1">
      <c r="A48" s="6"/>
      <c r="B48" s="6"/>
      <c r="C48" s="111"/>
      <c r="D48" s="111"/>
      <c r="E48" s="111"/>
      <c r="F48" s="111"/>
      <c r="G48" s="6"/>
      <c r="H48" s="69"/>
      <c r="I48" s="69"/>
      <c r="J48" s="6"/>
    </row>
    <row r="49" spans="3:8">
      <c r="C49" s="96"/>
      <c r="D49" s="96"/>
      <c r="E49" s="96"/>
      <c r="F49" s="96"/>
      <c r="G49" s="258" t="s">
        <v>482</v>
      </c>
      <c r="H49">
        <f>COUNT(I7:I46)</f>
        <v>40</v>
      </c>
    </row>
    <row r="50" spans="3:8">
      <c r="D50" s="96"/>
      <c r="E50" s="96"/>
      <c r="F50" s="96"/>
    </row>
    <row r="51" spans="3:8">
      <c r="D51" s="96"/>
      <c r="E51" s="96"/>
      <c r="F51" s="96"/>
    </row>
    <row r="52" spans="3:8">
      <c r="D52" s="96"/>
      <c r="E52" s="96"/>
      <c r="F52" s="96"/>
    </row>
    <row r="53" spans="3:8">
      <c r="D53" s="96"/>
      <c r="E53" s="96"/>
      <c r="F53" s="96"/>
    </row>
    <row r="54" spans="3:8">
      <c r="D54" s="96"/>
      <c r="E54" s="96"/>
      <c r="F54" s="96"/>
    </row>
    <row r="55" spans="3:8">
      <c r="D55" s="96"/>
      <c r="E55" s="96"/>
      <c r="F55" s="96"/>
    </row>
    <row r="56" spans="3:8">
      <c r="D56" s="96"/>
      <c r="E56" s="96"/>
      <c r="F56" s="96"/>
    </row>
    <row r="57" spans="3:8">
      <c r="D57" s="96"/>
      <c r="E57" s="96"/>
      <c r="F57" s="96"/>
    </row>
    <row r="58" spans="3:8">
      <c r="D58" s="96"/>
      <c r="E58" s="96"/>
      <c r="F58" s="96"/>
    </row>
    <row r="59" spans="3:8">
      <c r="D59" s="96"/>
      <c r="E59" s="96"/>
      <c r="F59" s="96"/>
    </row>
    <row r="60" spans="3:8">
      <c r="D60" s="96"/>
      <c r="E60" s="96"/>
      <c r="F60" s="96"/>
    </row>
    <row r="61" spans="3:8">
      <c r="D61" s="96"/>
      <c r="E61" s="96"/>
      <c r="F61" s="96"/>
    </row>
    <row r="62" spans="3:8">
      <c r="C62" s="96"/>
      <c r="D62" s="96"/>
      <c r="E62" s="96"/>
      <c r="F62" s="96"/>
    </row>
    <row r="63" spans="3:8">
      <c r="C63" s="96"/>
      <c r="D63" s="96"/>
      <c r="E63" s="96"/>
      <c r="F63" s="96"/>
    </row>
    <row r="64" spans="3:8">
      <c r="C64" s="96"/>
      <c r="D64" s="96"/>
      <c r="E64" s="96"/>
      <c r="F64" s="96"/>
    </row>
  </sheetData>
  <mergeCells count="35">
    <mergeCell ref="F1:J1"/>
    <mergeCell ref="A1:E1"/>
    <mergeCell ref="C21:C22"/>
    <mergeCell ref="B21:B22"/>
    <mergeCell ref="B38:B39"/>
    <mergeCell ref="C38:C39"/>
    <mergeCell ref="C7:C9"/>
    <mergeCell ref="B7:B9"/>
    <mergeCell ref="G3:I4"/>
    <mergeCell ref="C18:C20"/>
    <mergeCell ref="C10:C12"/>
    <mergeCell ref="B10:B12"/>
    <mergeCell ref="B13:B15"/>
    <mergeCell ref="C16:C17"/>
    <mergeCell ref="B16:B17"/>
    <mergeCell ref="C13:C15"/>
    <mergeCell ref="B40:B41"/>
    <mergeCell ref="C40:C41"/>
    <mergeCell ref="B23:B24"/>
    <mergeCell ref="C23:C24"/>
    <mergeCell ref="C44:C45"/>
    <mergeCell ref="B44:B45"/>
    <mergeCell ref="C30:C32"/>
    <mergeCell ref="B30:B32"/>
    <mergeCell ref="B36:B37"/>
    <mergeCell ref="C36:C37"/>
    <mergeCell ref="C33:C35"/>
    <mergeCell ref="B33:B35"/>
    <mergeCell ref="C28:C29"/>
    <mergeCell ref="B28:B29"/>
    <mergeCell ref="D3:E4"/>
    <mergeCell ref="B3:C4"/>
    <mergeCell ref="C25:C27"/>
    <mergeCell ref="B25:B27"/>
    <mergeCell ref="B18:B20"/>
  </mergeCells>
  <hyperlinks>
    <hyperlink ref="A1" location="DASHBOARD!A1" display="Back to Dashboard" xr:uid="{00000000-0004-0000-1A00-000000000000}"/>
  </hyperlinks>
  <printOptions horizontalCentered="1"/>
  <pageMargins left="0.25" right="0.25" top="0.75" bottom="0.75" header="0.3" footer="0.3"/>
  <pageSetup scale="83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6">
    <pageSetUpPr fitToPage="1"/>
  </sheetPr>
  <dimension ref="A1:F45"/>
  <sheetViews>
    <sheetView zoomScale="195" zoomScaleNormal="195" workbookViewId="0">
      <pane ySplit="2" topLeftCell="A3" activePane="bottomLeft" state="frozen"/>
      <selection pane="bottomLeft" sqref="A1:C1"/>
    </sheetView>
  </sheetViews>
  <sheetFormatPr defaultRowHeight="15"/>
  <cols>
    <col min="4" max="4" width="91.140625" customWidth="1"/>
    <col min="5" max="5" width="6.28515625" style="1" customWidth="1"/>
    <col min="6" max="6" width="9.85546875" style="1" customWidth="1"/>
  </cols>
  <sheetData>
    <row r="1" spans="1:6" s="233" customFormat="1" ht="26.45" customHeight="1">
      <c r="A1" s="852" t="s">
        <v>313</v>
      </c>
      <c r="B1" s="852"/>
      <c r="C1" s="852"/>
      <c r="D1" s="851" t="s">
        <v>382</v>
      </c>
      <c r="E1" s="851"/>
      <c r="F1" s="851"/>
    </row>
    <row r="2" spans="1:6" ht="26.25" customHeight="1">
      <c r="A2" s="195" t="s">
        <v>95</v>
      </c>
      <c r="B2" s="195" t="s">
        <v>112</v>
      </c>
      <c r="C2" s="195" t="s">
        <v>113</v>
      </c>
      <c r="D2" s="195" t="s">
        <v>114</v>
      </c>
      <c r="E2" s="102" t="s">
        <v>137</v>
      </c>
      <c r="F2" s="102" t="s">
        <v>136</v>
      </c>
    </row>
    <row r="3" spans="1:6">
      <c r="A3" s="2" t="s">
        <v>96</v>
      </c>
      <c r="B3" s="101" t="s">
        <v>109</v>
      </c>
      <c r="C3" s="101" t="s">
        <v>117</v>
      </c>
      <c r="D3" s="2" t="s">
        <v>138</v>
      </c>
      <c r="E3" s="95">
        <v>2</v>
      </c>
      <c r="F3" s="95">
        <v>8</v>
      </c>
    </row>
    <row r="4" spans="1:6">
      <c r="A4" s="2" t="s">
        <v>96</v>
      </c>
      <c r="B4" s="101" t="s">
        <v>109</v>
      </c>
      <c r="C4" s="101" t="s">
        <v>110</v>
      </c>
      <c r="D4" s="2" t="s">
        <v>111</v>
      </c>
      <c r="E4" s="95">
        <v>1</v>
      </c>
      <c r="F4" s="95">
        <v>2</v>
      </c>
    </row>
    <row r="5" spans="1:6">
      <c r="A5" s="2" t="s">
        <v>96</v>
      </c>
      <c r="B5" s="101" t="s">
        <v>109</v>
      </c>
      <c r="C5" s="101" t="s">
        <v>1003</v>
      </c>
      <c r="D5" s="522" t="s">
        <v>1002</v>
      </c>
      <c r="E5" s="95">
        <v>1</v>
      </c>
      <c r="F5" s="95">
        <v>1</v>
      </c>
    </row>
    <row r="6" spans="1:6">
      <c r="A6" s="2" t="s">
        <v>96</v>
      </c>
      <c r="B6" s="101" t="s">
        <v>109</v>
      </c>
      <c r="C6" s="101" t="s">
        <v>127</v>
      </c>
      <c r="D6" s="2" t="s">
        <v>116</v>
      </c>
      <c r="E6" s="95">
        <v>1</v>
      </c>
      <c r="F6" s="95">
        <v>0.5</v>
      </c>
    </row>
    <row r="7" spans="1:6">
      <c r="A7" s="2" t="s">
        <v>96</v>
      </c>
      <c r="B7" s="101" t="s">
        <v>109</v>
      </c>
      <c r="C7" s="101" t="s">
        <v>127</v>
      </c>
      <c r="D7" s="2" t="s">
        <v>1001</v>
      </c>
      <c r="E7" s="95">
        <v>1</v>
      </c>
      <c r="F7" s="95">
        <v>0.5</v>
      </c>
    </row>
    <row r="8" spans="1:6">
      <c r="A8" s="2" t="s">
        <v>96</v>
      </c>
      <c r="B8" s="101" t="s">
        <v>110</v>
      </c>
      <c r="C8" s="101" t="s">
        <v>117</v>
      </c>
      <c r="D8" s="2" t="s">
        <v>118</v>
      </c>
      <c r="E8" s="95">
        <v>1</v>
      </c>
      <c r="F8" s="95">
        <v>6</v>
      </c>
    </row>
    <row r="9" spans="1:6">
      <c r="A9" s="2" t="s">
        <v>96</v>
      </c>
      <c r="B9" s="101" t="s">
        <v>109</v>
      </c>
      <c r="C9" s="101" t="s">
        <v>117</v>
      </c>
      <c r="D9" s="2" t="s">
        <v>119</v>
      </c>
      <c r="E9" s="95">
        <v>3</v>
      </c>
      <c r="F9" s="95">
        <v>8</v>
      </c>
    </row>
    <row r="10" spans="1:6">
      <c r="A10" s="2" t="s">
        <v>96</v>
      </c>
      <c r="B10" s="101" t="s">
        <v>1010</v>
      </c>
      <c r="C10" s="101" t="s">
        <v>117</v>
      </c>
      <c r="D10" s="2" t="s">
        <v>1009</v>
      </c>
      <c r="E10" s="95">
        <v>1</v>
      </c>
      <c r="F10" s="95">
        <v>0.5</v>
      </c>
    </row>
    <row r="11" spans="1:6">
      <c r="A11" s="5" t="s">
        <v>97</v>
      </c>
      <c r="B11" s="100" t="s">
        <v>117</v>
      </c>
      <c r="C11" s="100" t="s">
        <v>115</v>
      </c>
      <c r="D11" s="5" t="s">
        <v>138</v>
      </c>
      <c r="E11" s="4">
        <v>2</v>
      </c>
      <c r="F11" s="4">
        <v>8</v>
      </c>
    </row>
    <row r="12" spans="1:6">
      <c r="A12" s="5" t="s">
        <v>97</v>
      </c>
      <c r="B12" s="100" t="s">
        <v>117</v>
      </c>
      <c r="C12" s="100" t="s">
        <v>115</v>
      </c>
      <c r="D12" s="5" t="s">
        <v>1914</v>
      </c>
      <c r="E12" s="4">
        <v>2</v>
      </c>
      <c r="F12" s="4">
        <v>8</v>
      </c>
    </row>
    <row r="13" spans="1:6">
      <c r="A13" s="5" t="s">
        <v>97</v>
      </c>
      <c r="B13" s="100" t="s">
        <v>117</v>
      </c>
      <c r="C13" s="100" t="s">
        <v>115</v>
      </c>
      <c r="D13" s="5" t="s">
        <v>302</v>
      </c>
      <c r="E13" s="4">
        <v>1</v>
      </c>
      <c r="F13" s="4">
        <v>1</v>
      </c>
    </row>
    <row r="14" spans="1:6">
      <c r="A14" s="5" t="s">
        <v>97</v>
      </c>
      <c r="B14" s="100" t="s">
        <v>117</v>
      </c>
      <c r="C14" s="100" t="s">
        <v>121</v>
      </c>
      <c r="D14" s="5" t="s">
        <v>192</v>
      </c>
      <c r="E14" s="4">
        <v>1</v>
      </c>
      <c r="F14" s="4">
        <v>0.5</v>
      </c>
    </row>
    <row r="15" spans="1:6">
      <c r="A15" s="5" t="s">
        <v>97</v>
      </c>
      <c r="B15" s="100" t="s">
        <v>120</v>
      </c>
      <c r="C15" s="100" t="s">
        <v>123</v>
      </c>
      <c r="D15" s="100" t="s">
        <v>310</v>
      </c>
      <c r="E15" s="4">
        <v>2</v>
      </c>
      <c r="F15" s="4">
        <v>1.5</v>
      </c>
    </row>
    <row r="16" spans="1:6">
      <c r="A16" s="5" t="s">
        <v>97</v>
      </c>
      <c r="B16" s="100" t="s">
        <v>165</v>
      </c>
      <c r="C16" s="100" t="s">
        <v>124</v>
      </c>
      <c r="D16" s="100" t="s">
        <v>111</v>
      </c>
      <c r="E16" s="4">
        <v>1</v>
      </c>
      <c r="F16" s="4">
        <v>2</v>
      </c>
    </row>
    <row r="17" spans="1:6">
      <c r="A17" s="5" t="s">
        <v>97</v>
      </c>
      <c r="B17" s="100" t="s">
        <v>165</v>
      </c>
      <c r="C17" s="100" t="s">
        <v>159</v>
      </c>
      <c r="D17" s="523" t="s">
        <v>1002</v>
      </c>
      <c r="E17" s="4">
        <v>1</v>
      </c>
      <c r="F17" s="4">
        <v>1</v>
      </c>
    </row>
    <row r="18" spans="1:6">
      <c r="A18" s="5" t="s">
        <v>97</v>
      </c>
      <c r="B18" s="100" t="s">
        <v>123</v>
      </c>
      <c r="C18" s="100" t="s">
        <v>124</v>
      </c>
      <c r="D18" s="5" t="s">
        <v>122</v>
      </c>
      <c r="E18" s="4">
        <v>1</v>
      </c>
      <c r="F18" s="4">
        <v>0.5</v>
      </c>
    </row>
    <row r="19" spans="1:6">
      <c r="A19" s="5" t="s">
        <v>97</v>
      </c>
      <c r="B19" s="100" t="s">
        <v>124</v>
      </c>
      <c r="C19" s="100" t="s">
        <v>125</v>
      </c>
      <c r="D19" s="100" t="s">
        <v>126</v>
      </c>
      <c r="E19" s="4">
        <v>2</v>
      </c>
      <c r="F19" s="4">
        <v>1.5</v>
      </c>
    </row>
    <row r="20" spans="1:6">
      <c r="A20" s="5" t="s">
        <v>97</v>
      </c>
      <c r="B20" s="100" t="s">
        <v>125</v>
      </c>
      <c r="C20" s="100" t="s">
        <v>115</v>
      </c>
      <c r="D20" s="5" t="s">
        <v>128</v>
      </c>
      <c r="E20" s="4">
        <v>1</v>
      </c>
      <c r="F20" s="4">
        <v>0.5</v>
      </c>
    </row>
    <row r="21" spans="1:6">
      <c r="A21" s="2" t="s">
        <v>98</v>
      </c>
      <c r="B21" s="101" t="s">
        <v>115</v>
      </c>
      <c r="C21" s="101" t="s">
        <v>109</v>
      </c>
      <c r="D21" s="2" t="s">
        <v>302</v>
      </c>
      <c r="E21" s="95">
        <v>1</v>
      </c>
      <c r="F21" s="95">
        <v>1</v>
      </c>
    </row>
    <row r="22" spans="1:6">
      <c r="A22" s="2" t="s">
        <v>98</v>
      </c>
      <c r="B22" s="101" t="s">
        <v>2035</v>
      </c>
      <c r="C22" s="101" t="s">
        <v>166</v>
      </c>
      <c r="D22" s="522" t="s">
        <v>1002</v>
      </c>
      <c r="E22" s="95">
        <v>1</v>
      </c>
      <c r="F22" s="95">
        <v>2</v>
      </c>
    </row>
    <row r="23" spans="1:6">
      <c r="A23" s="2" t="s">
        <v>98</v>
      </c>
      <c r="B23" s="101" t="s">
        <v>131</v>
      </c>
      <c r="C23" s="101" t="s">
        <v>133</v>
      </c>
      <c r="D23" s="2" t="s">
        <v>2032</v>
      </c>
      <c r="E23" s="95">
        <v>1</v>
      </c>
      <c r="F23" s="95">
        <v>0.5</v>
      </c>
    </row>
    <row r="24" spans="1:6">
      <c r="A24" s="2" t="s">
        <v>98</v>
      </c>
      <c r="B24" s="101" t="s">
        <v>133</v>
      </c>
      <c r="C24" s="101" t="s">
        <v>134</v>
      </c>
      <c r="D24" s="101" t="s">
        <v>2033</v>
      </c>
      <c r="E24" s="95">
        <v>2</v>
      </c>
      <c r="F24" s="95">
        <v>1.5</v>
      </c>
    </row>
    <row r="25" spans="1:6">
      <c r="A25" s="2" t="s">
        <v>98</v>
      </c>
      <c r="B25" s="101" t="s">
        <v>134</v>
      </c>
      <c r="C25" s="101" t="s">
        <v>109</v>
      </c>
      <c r="D25" s="2" t="s">
        <v>135</v>
      </c>
      <c r="E25" s="95">
        <v>1</v>
      </c>
      <c r="F25" s="95">
        <v>0.5</v>
      </c>
    </row>
    <row r="26" spans="1:6">
      <c r="A26" s="2" t="s">
        <v>98</v>
      </c>
      <c r="B26" s="101" t="s">
        <v>134</v>
      </c>
      <c r="C26" s="101" t="s">
        <v>109</v>
      </c>
      <c r="D26" s="2" t="s">
        <v>2034</v>
      </c>
      <c r="E26" s="95">
        <v>1</v>
      </c>
      <c r="F26" s="95">
        <v>0.5</v>
      </c>
    </row>
    <row r="27" spans="1:6">
      <c r="A27" s="2" t="s">
        <v>98</v>
      </c>
      <c r="B27" s="101" t="s">
        <v>134</v>
      </c>
      <c r="C27" s="101" t="s">
        <v>109</v>
      </c>
      <c r="D27" s="2" t="s">
        <v>130</v>
      </c>
      <c r="E27" s="95">
        <v>1</v>
      </c>
      <c r="F27" s="95">
        <v>0.5</v>
      </c>
    </row>
    <row r="28" spans="1:6">
      <c r="A28" s="2" t="s">
        <v>98</v>
      </c>
      <c r="B28" s="101" t="s">
        <v>134</v>
      </c>
      <c r="C28" s="101" t="s">
        <v>109</v>
      </c>
      <c r="D28" s="2" t="s">
        <v>1009</v>
      </c>
      <c r="E28" s="95">
        <v>1</v>
      </c>
      <c r="F28" s="95">
        <v>0.5</v>
      </c>
    </row>
    <row r="29" spans="1:6">
      <c r="D29" s="203" t="s">
        <v>56</v>
      </c>
      <c r="E29" s="204">
        <f>SUM(E3:E28)</f>
        <v>34</v>
      </c>
      <c r="F29" s="204">
        <f>SUM(F3:F28)</f>
        <v>58</v>
      </c>
    </row>
    <row r="30" spans="1:6">
      <c r="B30" s="96"/>
      <c r="C30" s="96"/>
      <c r="D30" s="258" t="s">
        <v>495</v>
      </c>
      <c r="E30" s="354">
        <f>COUNT(F3:F28)*7</f>
        <v>182</v>
      </c>
    </row>
    <row r="31" spans="1:6">
      <c r="B31" s="96"/>
      <c r="C31" s="96"/>
    </row>
    <row r="32" spans="1:6">
      <c r="B32" s="96"/>
      <c r="C32" s="96"/>
    </row>
    <row r="33" spans="2:3">
      <c r="B33" s="96"/>
      <c r="C33" s="96"/>
    </row>
    <row r="34" spans="2:3">
      <c r="B34" s="96"/>
      <c r="C34" s="96"/>
    </row>
    <row r="35" spans="2:3">
      <c r="B35" s="96"/>
      <c r="C35" s="96"/>
    </row>
    <row r="36" spans="2:3">
      <c r="B36" s="96"/>
      <c r="C36" s="96"/>
    </row>
    <row r="37" spans="2:3">
      <c r="B37" s="96"/>
      <c r="C37" s="96"/>
    </row>
    <row r="38" spans="2:3">
      <c r="B38" s="96"/>
      <c r="C38" s="96"/>
    </row>
    <row r="39" spans="2:3">
      <c r="B39" s="96"/>
      <c r="C39" s="96"/>
    </row>
    <row r="40" spans="2:3">
      <c r="B40" s="96"/>
      <c r="C40" s="96"/>
    </row>
    <row r="41" spans="2:3">
      <c r="B41" s="96"/>
      <c r="C41" s="96"/>
    </row>
    <row r="42" spans="2:3">
      <c r="B42" s="96"/>
      <c r="C42" s="96"/>
    </row>
    <row r="43" spans="2:3">
      <c r="B43" s="96"/>
      <c r="C43" s="96"/>
    </row>
    <row r="44" spans="2:3">
      <c r="B44" s="96"/>
      <c r="C44" s="96"/>
    </row>
    <row r="45" spans="2:3">
      <c r="B45" s="96"/>
      <c r="C45" s="96"/>
    </row>
  </sheetData>
  <mergeCells count="2">
    <mergeCell ref="D1:F1"/>
    <mergeCell ref="A1:C1"/>
  </mergeCells>
  <hyperlinks>
    <hyperlink ref="A1" location="DASHBOARD!A1" display="Back to Dashboard" xr:uid="{00000000-0004-0000-1B00-000000000000}"/>
  </hyperlinks>
  <printOptions horizontalCentered="1"/>
  <pageMargins left="0.25" right="0.25" top="0.75" bottom="0.75" header="0.3" footer="0.3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M67"/>
  <sheetViews>
    <sheetView zoomScale="141" zoomScaleNormal="141" workbookViewId="0">
      <selection sqref="A1:C1"/>
    </sheetView>
  </sheetViews>
  <sheetFormatPr defaultRowHeight="15"/>
  <cols>
    <col min="1" max="1" width="20" bestFit="1" customWidth="1"/>
    <col min="2" max="11" width="7.28515625" customWidth="1"/>
    <col min="12" max="12" width="9.85546875" customWidth="1"/>
  </cols>
  <sheetData>
    <row r="1" spans="1:13" s="233" customFormat="1" ht="26.45" customHeight="1">
      <c r="A1" s="858" t="s">
        <v>313</v>
      </c>
      <c r="B1" s="859"/>
      <c r="C1" s="860"/>
      <c r="D1" s="853" t="s">
        <v>221</v>
      </c>
      <c r="E1" s="853"/>
      <c r="F1" s="853"/>
      <c r="G1" s="853"/>
      <c r="H1" s="853"/>
      <c r="I1" s="853"/>
      <c r="J1" s="853"/>
      <c r="K1" s="853"/>
      <c r="L1" s="853"/>
    </row>
    <row r="2" spans="1:13">
      <c r="B2" s="866" t="s">
        <v>220</v>
      </c>
      <c r="C2" s="866"/>
      <c r="D2" s="866"/>
      <c r="E2" s="866"/>
      <c r="F2" s="866"/>
      <c r="G2" s="866"/>
      <c r="H2" s="866"/>
      <c r="I2" s="866"/>
      <c r="J2" s="866"/>
      <c r="K2" s="488"/>
      <c r="L2" s="1" t="s">
        <v>2</v>
      </c>
      <c r="M2" s="1" t="s">
        <v>2</v>
      </c>
    </row>
    <row r="3" spans="1:13">
      <c r="B3" s="854" t="s">
        <v>215</v>
      </c>
      <c r="C3" s="855"/>
      <c r="D3" s="856" t="s">
        <v>216</v>
      </c>
      <c r="E3" s="857"/>
      <c r="F3" s="856" t="s">
        <v>217</v>
      </c>
      <c r="G3" s="857"/>
      <c r="H3" s="856" t="s">
        <v>218</v>
      </c>
      <c r="I3" s="857"/>
      <c r="J3" s="856" t="s">
        <v>219</v>
      </c>
      <c r="K3" s="857"/>
      <c r="L3" s="201" t="s">
        <v>56</v>
      </c>
      <c r="M3" s="201" t="s">
        <v>1095</v>
      </c>
    </row>
    <row r="4" spans="1:13">
      <c r="B4" s="136" t="s">
        <v>474</v>
      </c>
      <c r="C4" s="136" t="s">
        <v>1094</v>
      </c>
      <c r="D4" s="136" t="s">
        <v>474</v>
      </c>
      <c r="E4" s="136" t="s">
        <v>1094</v>
      </c>
      <c r="F4" s="136" t="s">
        <v>474</v>
      </c>
      <c r="G4" s="136" t="s">
        <v>1094</v>
      </c>
      <c r="H4" s="136" t="s">
        <v>474</v>
      </c>
      <c r="I4" s="136" t="s">
        <v>1094</v>
      </c>
      <c r="J4" s="136" t="s">
        <v>474</v>
      </c>
      <c r="K4" s="136" t="s">
        <v>1094</v>
      </c>
      <c r="L4" s="201"/>
      <c r="M4" s="201"/>
    </row>
    <row r="5" spans="1:13">
      <c r="A5" s="2" t="s">
        <v>205</v>
      </c>
      <c r="B5" s="134">
        <v>72</v>
      </c>
      <c r="C5" s="134">
        <v>0</v>
      </c>
      <c r="D5" s="95">
        <v>96</v>
      </c>
      <c r="E5" s="95">
        <v>0</v>
      </c>
      <c r="F5" s="95">
        <v>72</v>
      </c>
      <c r="G5" s="95">
        <v>0</v>
      </c>
      <c r="H5" s="95">
        <v>40</v>
      </c>
      <c r="I5" s="95"/>
      <c r="J5" s="95">
        <v>32</v>
      </c>
      <c r="K5" s="95">
        <v>0</v>
      </c>
      <c r="L5" s="200">
        <f t="shared" ref="L5:L14" si="0">SUM(B5,D5,F5,H5,J5)</f>
        <v>312</v>
      </c>
      <c r="M5" s="200">
        <f t="shared" ref="M5:M14" si="1">SUM(C5,E5,G5,I5,K5)</f>
        <v>0</v>
      </c>
    </row>
    <row r="6" spans="1:13">
      <c r="A6" s="5" t="s">
        <v>206</v>
      </c>
      <c r="B6" s="135">
        <v>24</v>
      </c>
      <c r="C6" s="135">
        <v>0</v>
      </c>
      <c r="D6" s="4">
        <v>36</v>
      </c>
      <c r="E6" s="4">
        <v>0</v>
      </c>
      <c r="F6" s="4">
        <v>72</v>
      </c>
      <c r="G6" s="4">
        <v>0</v>
      </c>
      <c r="H6" s="4">
        <v>12</v>
      </c>
      <c r="I6" s="4"/>
      <c r="J6" s="4">
        <v>24</v>
      </c>
      <c r="K6" s="4">
        <v>0</v>
      </c>
      <c r="L6" s="200">
        <f t="shared" si="0"/>
        <v>168</v>
      </c>
      <c r="M6" s="200">
        <f t="shared" si="1"/>
        <v>0</v>
      </c>
    </row>
    <row r="7" spans="1:13">
      <c r="A7" s="2" t="s">
        <v>207</v>
      </c>
      <c r="B7" s="134">
        <v>48</v>
      </c>
      <c r="C7" s="134">
        <v>8</v>
      </c>
      <c r="D7" s="95">
        <v>84</v>
      </c>
      <c r="E7" s="95">
        <v>3</v>
      </c>
      <c r="F7" s="95">
        <v>72</v>
      </c>
      <c r="G7" s="95">
        <v>0</v>
      </c>
      <c r="H7" s="95">
        <v>36</v>
      </c>
      <c r="I7" s="95"/>
      <c r="J7" s="95">
        <v>24</v>
      </c>
      <c r="K7" s="95">
        <v>0</v>
      </c>
      <c r="L7" s="200">
        <f t="shared" si="0"/>
        <v>264</v>
      </c>
      <c r="M7" s="200">
        <f t="shared" si="1"/>
        <v>11</v>
      </c>
    </row>
    <row r="8" spans="1:13">
      <c r="A8" s="5" t="s">
        <v>208</v>
      </c>
      <c r="B8" s="135">
        <v>24</v>
      </c>
      <c r="C8" s="135">
        <v>0</v>
      </c>
      <c r="D8" s="4">
        <v>36</v>
      </c>
      <c r="E8" s="4">
        <v>0</v>
      </c>
      <c r="F8" s="4">
        <v>72</v>
      </c>
      <c r="G8" s="4">
        <v>0</v>
      </c>
      <c r="H8" s="4">
        <v>12</v>
      </c>
      <c r="I8" s="4"/>
      <c r="J8" s="4">
        <v>24</v>
      </c>
      <c r="K8" s="4">
        <v>0</v>
      </c>
      <c r="L8" s="200">
        <f t="shared" si="0"/>
        <v>168</v>
      </c>
      <c r="M8" s="200">
        <f t="shared" si="1"/>
        <v>0</v>
      </c>
    </row>
    <row r="9" spans="1:13">
      <c r="A9" s="2" t="s">
        <v>209</v>
      </c>
      <c r="B9" s="134">
        <v>19</v>
      </c>
      <c r="C9" s="134">
        <v>1</v>
      </c>
      <c r="D9" s="95">
        <v>20</v>
      </c>
      <c r="E9" s="95">
        <v>0</v>
      </c>
      <c r="F9" s="95">
        <v>20</v>
      </c>
      <c r="G9" s="95">
        <v>0</v>
      </c>
      <c r="H9" s="95">
        <v>20</v>
      </c>
      <c r="I9" s="95"/>
      <c r="J9" s="95">
        <v>20</v>
      </c>
      <c r="K9" s="95">
        <v>0</v>
      </c>
      <c r="L9" s="200">
        <f t="shared" si="0"/>
        <v>99</v>
      </c>
      <c r="M9" s="200">
        <f t="shared" si="1"/>
        <v>1</v>
      </c>
    </row>
    <row r="10" spans="1:13">
      <c r="A10" s="5" t="s">
        <v>210</v>
      </c>
      <c r="B10" s="135">
        <v>40</v>
      </c>
      <c r="C10" s="135">
        <v>0</v>
      </c>
      <c r="D10" s="4">
        <v>37</v>
      </c>
      <c r="E10" s="4">
        <v>2</v>
      </c>
      <c r="F10" s="4">
        <v>35</v>
      </c>
      <c r="G10" s="4">
        <v>2</v>
      </c>
      <c r="H10" s="4">
        <v>40</v>
      </c>
      <c r="I10" s="4"/>
      <c r="J10" s="4">
        <v>40</v>
      </c>
      <c r="K10" s="4">
        <v>0</v>
      </c>
      <c r="L10" s="200">
        <f t="shared" si="0"/>
        <v>192</v>
      </c>
      <c r="M10" s="200">
        <f t="shared" si="1"/>
        <v>4</v>
      </c>
    </row>
    <row r="11" spans="1:13">
      <c r="A11" s="2" t="s">
        <v>211</v>
      </c>
      <c r="B11" s="134">
        <v>8</v>
      </c>
      <c r="C11" s="134">
        <v>0</v>
      </c>
      <c r="D11" s="95">
        <v>4</v>
      </c>
      <c r="E11" s="95">
        <v>0</v>
      </c>
      <c r="F11" s="95">
        <v>0</v>
      </c>
      <c r="G11" s="95" t="s">
        <v>266</v>
      </c>
      <c r="H11" s="95">
        <v>4</v>
      </c>
      <c r="I11" s="95"/>
      <c r="J11" s="95">
        <v>0</v>
      </c>
      <c r="K11" s="95" t="s">
        <v>266</v>
      </c>
      <c r="L11" s="200">
        <f t="shared" si="0"/>
        <v>16</v>
      </c>
      <c r="M11" s="200">
        <f t="shared" si="1"/>
        <v>0</v>
      </c>
    </row>
    <row r="12" spans="1:13">
      <c r="A12" s="5" t="s">
        <v>212</v>
      </c>
      <c r="B12" s="135">
        <v>6</v>
      </c>
      <c r="C12" s="135">
        <v>0</v>
      </c>
      <c r="D12" s="4">
        <v>3</v>
      </c>
      <c r="E12" s="4">
        <v>0</v>
      </c>
      <c r="F12" s="4">
        <v>3</v>
      </c>
      <c r="G12" s="4">
        <v>0</v>
      </c>
      <c r="H12" s="4">
        <v>3</v>
      </c>
      <c r="I12" s="4"/>
      <c r="J12" s="4">
        <v>3</v>
      </c>
      <c r="K12" s="4">
        <v>0</v>
      </c>
      <c r="L12" s="200">
        <f t="shared" si="0"/>
        <v>18</v>
      </c>
      <c r="M12" s="200">
        <f t="shared" si="1"/>
        <v>0</v>
      </c>
    </row>
    <row r="13" spans="1:13">
      <c r="A13" s="2" t="s">
        <v>213</v>
      </c>
      <c r="B13" s="134">
        <v>2</v>
      </c>
      <c r="C13" s="134">
        <v>1</v>
      </c>
      <c r="D13" s="95">
        <v>4</v>
      </c>
      <c r="E13" s="95">
        <v>0</v>
      </c>
      <c r="F13" s="95">
        <v>8</v>
      </c>
      <c r="G13" s="95">
        <v>0</v>
      </c>
      <c r="H13" s="95">
        <v>0</v>
      </c>
      <c r="I13" s="95"/>
      <c r="J13" s="95">
        <v>4</v>
      </c>
      <c r="K13" s="95">
        <v>0</v>
      </c>
      <c r="L13" s="200">
        <f t="shared" si="0"/>
        <v>18</v>
      </c>
      <c r="M13" s="200">
        <f t="shared" si="1"/>
        <v>1</v>
      </c>
    </row>
    <row r="14" spans="1:13" ht="12.95" customHeight="1">
      <c r="A14" s="5" t="s">
        <v>214</v>
      </c>
      <c r="B14" s="135">
        <v>6</v>
      </c>
      <c r="C14" s="135">
        <v>0</v>
      </c>
      <c r="D14" s="4">
        <v>8</v>
      </c>
      <c r="E14" s="4">
        <v>0</v>
      </c>
      <c r="F14" s="4">
        <v>1</v>
      </c>
      <c r="G14" s="4">
        <v>0</v>
      </c>
      <c r="H14" s="4">
        <v>4</v>
      </c>
      <c r="I14" s="4"/>
      <c r="J14" s="4">
        <v>4</v>
      </c>
      <c r="K14" s="4">
        <v>0</v>
      </c>
      <c r="L14" s="200">
        <f t="shared" si="0"/>
        <v>23</v>
      </c>
      <c r="M14" s="200">
        <f t="shared" si="1"/>
        <v>0</v>
      </c>
    </row>
    <row r="15" spans="1:13">
      <c r="A15" s="202" t="s">
        <v>100</v>
      </c>
      <c r="B15" s="198">
        <f t="shared" ref="B15:L15" si="2">SUM(B5:B14)</f>
        <v>249</v>
      </c>
      <c r="C15" s="198"/>
      <c r="D15" s="198">
        <f t="shared" si="2"/>
        <v>328</v>
      </c>
      <c r="E15" s="198"/>
      <c r="F15" s="198">
        <f t="shared" si="2"/>
        <v>355</v>
      </c>
      <c r="G15" s="198"/>
      <c r="H15" s="198">
        <f t="shared" si="2"/>
        <v>171</v>
      </c>
      <c r="I15" s="198"/>
      <c r="J15" s="198">
        <f t="shared" si="2"/>
        <v>175</v>
      </c>
      <c r="K15" s="198"/>
      <c r="L15" s="199">
        <f t="shared" si="2"/>
        <v>1278</v>
      </c>
      <c r="M15" s="199">
        <f t="shared" ref="M15" si="3">SUM(M5:M14)</f>
        <v>17</v>
      </c>
    </row>
    <row r="19" spans="1:13">
      <c r="A19" s="503" t="s">
        <v>69</v>
      </c>
      <c r="B19" s="864" t="s">
        <v>1170</v>
      </c>
      <c r="C19" s="865"/>
      <c r="D19" s="867" t="s">
        <v>1169</v>
      </c>
      <c r="E19" s="868"/>
      <c r="F19" s="868"/>
      <c r="G19" s="868"/>
      <c r="H19" s="868"/>
      <c r="I19" s="868"/>
      <c r="J19" s="868"/>
      <c r="K19" s="869"/>
      <c r="L19" s="862" t="s">
        <v>1173</v>
      </c>
      <c r="M19" s="863"/>
    </row>
    <row r="20" spans="1:13">
      <c r="A20" s="501" t="s">
        <v>216</v>
      </c>
      <c r="B20" s="861" t="s">
        <v>1171</v>
      </c>
      <c r="C20" s="861"/>
      <c r="D20" s="861" t="s">
        <v>1172</v>
      </c>
      <c r="E20" s="861"/>
      <c r="F20" s="861"/>
      <c r="G20" s="861"/>
      <c r="H20" s="861"/>
      <c r="I20" s="861"/>
      <c r="J20" s="861"/>
      <c r="K20" s="861"/>
      <c r="L20" s="861" t="s">
        <v>47</v>
      </c>
      <c r="M20" s="861"/>
    </row>
    <row r="21" spans="1:13">
      <c r="A21" s="501" t="s">
        <v>217</v>
      </c>
      <c r="B21" s="861" t="s">
        <v>1171</v>
      </c>
      <c r="C21" s="861"/>
      <c r="D21" s="861" t="s">
        <v>1172</v>
      </c>
      <c r="E21" s="861"/>
      <c r="F21" s="861"/>
      <c r="G21" s="861"/>
      <c r="H21" s="861"/>
      <c r="I21" s="861"/>
      <c r="J21" s="861"/>
      <c r="K21" s="861"/>
      <c r="L21" s="861" t="s">
        <v>47</v>
      </c>
      <c r="M21" s="861"/>
    </row>
    <row r="22" spans="1:13">
      <c r="A22" s="501"/>
      <c r="B22" s="861"/>
      <c r="C22" s="861"/>
      <c r="D22" s="870"/>
      <c r="E22" s="870"/>
      <c r="F22" s="870"/>
      <c r="G22" s="870"/>
      <c r="H22" s="870"/>
      <c r="I22" s="870"/>
      <c r="J22" s="870"/>
      <c r="K22" s="870"/>
      <c r="L22" s="861"/>
      <c r="M22" s="861"/>
    </row>
    <row r="23" spans="1:13">
      <c r="A23" s="501" t="s">
        <v>215</v>
      </c>
      <c r="B23" s="861" t="s">
        <v>1174</v>
      </c>
      <c r="C23" s="861"/>
      <c r="D23" s="861" t="s">
        <v>1175</v>
      </c>
      <c r="E23" s="861"/>
      <c r="F23" s="861"/>
      <c r="G23" s="861"/>
      <c r="H23" s="861"/>
      <c r="I23" s="861"/>
      <c r="J23" s="861"/>
      <c r="K23" s="861"/>
      <c r="L23" s="861" t="s">
        <v>47</v>
      </c>
      <c r="M23" s="861"/>
    </row>
    <row r="24" spans="1:13">
      <c r="A24" s="501"/>
      <c r="B24" s="861"/>
      <c r="C24" s="861"/>
      <c r="D24" s="861"/>
      <c r="E24" s="861"/>
      <c r="F24" s="861"/>
      <c r="G24" s="861"/>
      <c r="H24" s="861"/>
      <c r="I24" s="861"/>
      <c r="J24" s="861"/>
      <c r="K24" s="861"/>
      <c r="L24" s="861"/>
      <c r="M24" s="861"/>
    </row>
    <row r="25" spans="1:13">
      <c r="A25" s="501"/>
      <c r="B25" s="861"/>
      <c r="C25" s="861"/>
      <c r="D25" s="861"/>
      <c r="E25" s="861"/>
      <c r="F25" s="861"/>
      <c r="G25" s="861"/>
      <c r="H25" s="861"/>
      <c r="I25" s="861"/>
      <c r="J25" s="861"/>
      <c r="K25" s="861"/>
      <c r="L25" s="861"/>
      <c r="M25" s="861"/>
    </row>
    <row r="26" spans="1:13">
      <c r="A26" s="501"/>
      <c r="B26" s="861"/>
      <c r="C26" s="861"/>
      <c r="D26" s="861"/>
      <c r="E26" s="861"/>
      <c r="F26" s="861"/>
      <c r="G26" s="861"/>
      <c r="H26" s="861"/>
      <c r="I26" s="861"/>
      <c r="J26" s="861"/>
      <c r="K26" s="861"/>
      <c r="L26" s="861"/>
      <c r="M26" s="861"/>
    </row>
    <row r="27" spans="1:13">
      <c r="A27" s="501"/>
      <c r="B27" s="861"/>
      <c r="C27" s="861"/>
      <c r="D27" s="861"/>
      <c r="E27" s="861"/>
      <c r="F27" s="861"/>
      <c r="G27" s="861"/>
      <c r="H27" s="861"/>
      <c r="I27" s="861"/>
      <c r="J27" s="861"/>
      <c r="K27" s="861"/>
      <c r="L27" s="861"/>
      <c r="M27" s="861"/>
    </row>
    <row r="28" spans="1:13">
      <c r="A28" s="501"/>
      <c r="B28" s="861"/>
      <c r="C28" s="861"/>
      <c r="D28" s="861"/>
      <c r="E28" s="861"/>
      <c r="F28" s="861"/>
      <c r="G28" s="861"/>
      <c r="H28" s="861"/>
      <c r="I28" s="861"/>
      <c r="J28" s="861"/>
      <c r="K28" s="861"/>
      <c r="L28" s="861"/>
      <c r="M28" s="861"/>
    </row>
    <row r="29" spans="1:13">
      <c r="A29" s="501"/>
      <c r="B29" s="861"/>
      <c r="C29" s="861"/>
      <c r="D29" s="861"/>
      <c r="E29" s="861"/>
      <c r="F29" s="861"/>
      <c r="G29" s="861"/>
      <c r="H29" s="861"/>
      <c r="I29" s="861"/>
      <c r="J29" s="861"/>
      <c r="K29" s="861"/>
      <c r="L29" s="861"/>
      <c r="M29" s="861"/>
    </row>
    <row r="30" spans="1:13">
      <c r="A30" s="501"/>
      <c r="B30" s="861"/>
      <c r="C30" s="861"/>
      <c r="D30" s="861"/>
      <c r="E30" s="861"/>
      <c r="F30" s="861"/>
      <c r="G30" s="861"/>
      <c r="H30" s="861"/>
      <c r="I30" s="861"/>
      <c r="J30" s="861"/>
      <c r="K30" s="861"/>
      <c r="L30" s="861"/>
      <c r="M30" s="861"/>
    </row>
    <row r="31" spans="1:13">
      <c r="A31" s="501"/>
      <c r="B31" s="861"/>
      <c r="C31" s="861"/>
      <c r="D31" s="861"/>
      <c r="E31" s="861"/>
      <c r="F31" s="861"/>
      <c r="G31" s="861"/>
      <c r="H31" s="861"/>
      <c r="I31" s="861"/>
      <c r="J31" s="861"/>
      <c r="K31" s="861"/>
      <c r="L31" s="861"/>
      <c r="M31" s="861"/>
    </row>
    <row r="32" spans="1:13">
      <c r="A32" s="501"/>
      <c r="B32" s="861"/>
      <c r="C32" s="861"/>
      <c r="D32" s="861"/>
      <c r="E32" s="861"/>
      <c r="F32" s="861"/>
      <c r="G32" s="861"/>
      <c r="H32" s="861"/>
      <c r="I32" s="861"/>
      <c r="J32" s="861"/>
      <c r="K32" s="861"/>
      <c r="L32" s="861"/>
      <c r="M32" s="861"/>
    </row>
    <row r="33" spans="1:13">
      <c r="A33" s="501"/>
      <c r="B33" s="861"/>
      <c r="C33" s="861"/>
      <c r="D33" s="861"/>
      <c r="E33" s="861"/>
      <c r="F33" s="861"/>
      <c r="G33" s="861"/>
      <c r="H33" s="861"/>
      <c r="I33" s="861"/>
      <c r="J33" s="861"/>
      <c r="K33" s="861"/>
      <c r="L33" s="861"/>
      <c r="M33" s="861"/>
    </row>
    <row r="34" spans="1:13">
      <c r="A34" s="500"/>
      <c r="B34" s="871"/>
      <c r="C34" s="871"/>
      <c r="D34" s="871"/>
      <c r="E34" s="871"/>
      <c r="F34" s="871"/>
      <c r="G34" s="871"/>
      <c r="H34" s="871"/>
      <c r="I34" s="871"/>
      <c r="J34" s="871"/>
      <c r="K34" s="871"/>
      <c r="L34" s="871"/>
      <c r="M34" s="871"/>
    </row>
    <row r="35" spans="1:13">
      <c r="A35" s="500"/>
      <c r="B35" s="871"/>
      <c r="C35" s="871"/>
      <c r="D35" s="871"/>
      <c r="E35" s="871"/>
      <c r="F35" s="871"/>
      <c r="G35" s="871"/>
      <c r="H35" s="871"/>
      <c r="I35" s="871"/>
      <c r="J35" s="871"/>
      <c r="K35" s="871"/>
      <c r="L35" s="871"/>
      <c r="M35" s="871"/>
    </row>
    <row r="36" spans="1:13">
      <c r="A36" s="500"/>
      <c r="B36" s="871"/>
      <c r="C36" s="871"/>
      <c r="D36" s="871"/>
      <c r="E36" s="871"/>
      <c r="F36" s="871"/>
      <c r="G36" s="871"/>
      <c r="H36" s="871"/>
      <c r="I36" s="871"/>
      <c r="J36" s="871"/>
      <c r="K36" s="871"/>
      <c r="L36" s="871"/>
      <c r="M36" s="871"/>
    </row>
    <row r="37" spans="1:13">
      <c r="A37" s="500"/>
      <c r="B37" s="871"/>
      <c r="C37" s="871"/>
      <c r="D37" s="871"/>
      <c r="E37" s="871"/>
      <c r="F37" s="871"/>
      <c r="G37" s="871"/>
      <c r="H37" s="871"/>
      <c r="I37" s="871"/>
      <c r="J37" s="871"/>
      <c r="K37" s="871"/>
      <c r="L37" s="871"/>
      <c r="M37" s="871"/>
    </row>
    <row r="38" spans="1:13">
      <c r="A38" s="500"/>
      <c r="B38" s="871"/>
      <c r="C38" s="871"/>
      <c r="D38" s="871"/>
      <c r="E38" s="871"/>
      <c r="F38" s="871"/>
      <c r="G38" s="871"/>
      <c r="H38" s="871"/>
      <c r="I38" s="871"/>
      <c r="J38" s="871"/>
      <c r="K38" s="871"/>
      <c r="L38" s="871"/>
      <c r="M38" s="871"/>
    </row>
    <row r="39" spans="1:13">
      <c r="A39" s="500"/>
      <c r="B39" s="871"/>
      <c r="C39" s="871"/>
      <c r="D39" s="871"/>
      <c r="E39" s="871"/>
      <c r="F39" s="871"/>
      <c r="G39" s="871"/>
      <c r="H39" s="871"/>
      <c r="I39" s="871"/>
      <c r="J39" s="871"/>
      <c r="K39" s="871"/>
      <c r="L39" s="871"/>
      <c r="M39" s="871"/>
    </row>
    <row r="40" spans="1:13">
      <c r="A40" s="500"/>
      <c r="B40" s="871"/>
      <c r="C40" s="871"/>
      <c r="D40" s="871"/>
      <c r="E40" s="871"/>
      <c r="F40" s="871"/>
      <c r="G40" s="871"/>
      <c r="H40" s="871"/>
      <c r="I40" s="871"/>
      <c r="J40" s="871"/>
      <c r="K40" s="871"/>
      <c r="L40" s="871"/>
      <c r="M40" s="871"/>
    </row>
    <row r="41" spans="1:13">
      <c r="A41" s="500"/>
      <c r="B41" s="871"/>
      <c r="C41" s="871"/>
      <c r="D41" s="871"/>
      <c r="E41" s="871"/>
      <c r="F41" s="871"/>
      <c r="G41" s="871"/>
      <c r="H41" s="871"/>
      <c r="I41" s="871"/>
      <c r="J41" s="871"/>
      <c r="K41" s="871"/>
      <c r="L41" s="871"/>
      <c r="M41" s="871"/>
    </row>
    <row r="42" spans="1:13">
      <c r="A42" s="500"/>
      <c r="B42" s="871"/>
      <c r="C42" s="871"/>
      <c r="D42" s="871"/>
      <c r="E42" s="871"/>
      <c r="F42" s="871"/>
      <c r="G42" s="871"/>
      <c r="H42" s="871"/>
      <c r="I42" s="871"/>
      <c r="J42" s="871"/>
      <c r="K42" s="871"/>
      <c r="L42" s="871"/>
      <c r="M42" s="871"/>
    </row>
    <row r="43" spans="1:13">
      <c r="A43" s="500"/>
      <c r="B43" s="871"/>
      <c r="C43" s="871"/>
      <c r="D43" s="871"/>
      <c r="E43" s="871"/>
      <c r="F43" s="871"/>
      <c r="G43" s="871"/>
      <c r="H43" s="871"/>
      <c r="I43" s="871"/>
      <c r="J43" s="871"/>
      <c r="K43" s="871"/>
      <c r="L43" s="871"/>
      <c r="M43" s="871"/>
    </row>
    <row r="44" spans="1:13">
      <c r="A44" s="500"/>
      <c r="B44" s="871"/>
      <c r="C44" s="871"/>
      <c r="D44" s="871"/>
      <c r="E44" s="871"/>
      <c r="F44" s="871"/>
      <c r="G44" s="871"/>
      <c r="H44" s="871"/>
      <c r="I44" s="871"/>
      <c r="J44" s="871"/>
      <c r="K44" s="871"/>
      <c r="L44" s="871"/>
      <c r="M44" s="871"/>
    </row>
    <row r="45" spans="1:13">
      <c r="A45" s="500"/>
      <c r="B45" s="871"/>
      <c r="C45" s="871"/>
      <c r="D45" s="871"/>
      <c r="E45" s="871"/>
      <c r="F45" s="871"/>
      <c r="G45" s="871"/>
      <c r="H45" s="871"/>
      <c r="I45" s="871"/>
      <c r="J45" s="871"/>
      <c r="K45" s="871"/>
      <c r="L45" s="871"/>
      <c r="M45" s="871"/>
    </row>
    <row r="46" spans="1:13">
      <c r="A46" s="500"/>
      <c r="B46" s="871"/>
      <c r="C46" s="871"/>
      <c r="D46" s="871"/>
      <c r="E46" s="871"/>
      <c r="F46" s="871"/>
      <c r="G46" s="871"/>
      <c r="H46" s="871"/>
      <c r="I46" s="871"/>
      <c r="J46" s="871"/>
      <c r="K46" s="871"/>
      <c r="L46" s="871"/>
      <c r="M46" s="871"/>
    </row>
    <row r="47" spans="1:13">
      <c r="A47" s="500"/>
      <c r="B47" s="871"/>
      <c r="C47" s="871"/>
      <c r="D47" s="871"/>
      <c r="E47" s="871"/>
      <c r="F47" s="871"/>
      <c r="G47" s="871"/>
      <c r="H47" s="871"/>
      <c r="I47" s="871"/>
      <c r="J47" s="871"/>
      <c r="K47" s="871"/>
      <c r="L47" s="871"/>
      <c r="M47" s="871"/>
    </row>
    <row r="48" spans="1:13">
      <c r="A48" s="500"/>
      <c r="B48" s="871"/>
      <c r="C48" s="871"/>
      <c r="D48" s="871"/>
      <c r="E48" s="871"/>
      <c r="F48" s="871"/>
      <c r="G48" s="871"/>
      <c r="H48" s="871"/>
      <c r="I48" s="871"/>
      <c r="J48" s="871"/>
      <c r="K48" s="871"/>
      <c r="L48" s="871"/>
      <c r="M48" s="871"/>
    </row>
    <row r="49" spans="1:13">
      <c r="A49" s="500"/>
      <c r="B49" s="871"/>
      <c r="C49" s="871"/>
      <c r="D49" s="871"/>
      <c r="E49" s="871"/>
      <c r="F49" s="871"/>
      <c r="G49" s="871"/>
      <c r="H49" s="871"/>
      <c r="I49" s="871"/>
      <c r="J49" s="871"/>
      <c r="K49" s="871"/>
      <c r="L49" s="871"/>
      <c r="M49" s="871"/>
    </row>
    <row r="50" spans="1:13">
      <c r="A50" s="500"/>
      <c r="B50" s="871"/>
      <c r="C50" s="871"/>
      <c r="D50" s="871"/>
      <c r="E50" s="871"/>
      <c r="F50" s="871"/>
      <c r="G50" s="871"/>
      <c r="H50" s="871"/>
      <c r="I50" s="871"/>
      <c r="J50" s="871"/>
      <c r="K50" s="871"/>
      <c r="L50" s="871"/>
      <c r="M50" s="871"/>
    </row>
    <row r="51" spans="1:13">
      <c r="A51" s="500"/>
      <c r="B51" s="871"/>
      <c r="C51" s="871"/>
      <c r="D51" s="871"/>
      <c r="E51" s="871"/>
      <c r="F51" s="871"/>
      <c r="G51" s="871"/>
      <c r="H51" s="871"/>
      <c r="I51" s="871"/>
      <c r="J51" s="871"/>
      <c r="K51" s="871"/>
      <c r="L51" s="871"/>
      <c r="M51" s="871"/>
    </row>
    <row r="52" spans="1:13">
      <c r="A52" s="500"/>
      <c r="B52" s="871"/>
      <c r="C52" s="871"/>
      <c r="D52" s="871"/>
      <c r="E52" s="871"/>
      <c r="F52" s="871"/>
      <c r="G52" s="871"/>
      <c r="H52" s="871"/>
      <c r="I52" s="871"/>
      <c r="J52" s="871"/>
      <c r="K52" s="871"/>
      <c r="L52" s="871"/>
      <c r="M52" s="871"/>
    </row>
    <row r="53" spans="1:13">
      <c r="A53" s="500"/>
      <c r="B53" s="871"/>
      <c r="C53" s="871"/>
      <c r="D53" s="871"/>
      <c r="E53" s="871"/>
      <c r="F53" s="871"/>
      <c r="G53" s="871"/>
      <c r="H53" s="871"/>
      <c r="I53" s="871"/>
      <c r="J53" s="871"/>
      <c r="K53" s="871"/>
      <c r="L53" s="871"/>
      <c r="M53" s="871"/>
    </row>
    <row r="54" spans="1:13">
      <c r="A54" s="500"/>
      <c r="B54" s="871"/>
      <c r="C54" s="871"/>
      <c r="D54" s="871"/>
      <c r="E54" s="871"/>
      <c r="F54" s="871"/>
      <c r="G54" s="871"/>
      <c r="H54" s="871"/>
      <c r="I54" s="871"/>
      <c r="J54" s="871"/>
      <c r="K54" s="871"/>
      <c r="L54" s="871"/>
      <c r="M54" s="871"/>
    </row>
    <row r="55" spans="1:13">
      <c r="A55" s="500"/>
      <c r="B55" s="871"/>
      <c r="C55" s="871"/>
      <c r="D55" s="871"/>
      <c r="E55" s="871"/>
      <c r="F55" s="871"/>
      <c r="G55" s="871"/>
      <c r="H55" s="871"/>
      <c r="I55" s="871"/>
      <c r="J55" s="871"/>
      <c r="K55" s="871"/>
      <c r="L55" s="871"/>
      <c r="M55" s="871"/>
    </row>
    <row r="56" spans="1:13">
      <c r="A56" s="500"/>
      <c r="B56" s="871"/>
      <c r="C56" s="871"/>
      <c r="D56" s="871"/>
      <c r="E56" s="871"/>
      <c r="F56" s="871"/>
      <c r="G56" s="871"/>
      <c r="H56" s="871"/>
      <c r="I56" s="871"/>
      <c r="J56" s="871"/>
      <c r="K56" s="871"/>
      <c r="L56" s="871"/>
      <c r="M56" s="871"/>
    </row>
    <row r="57" spans="1:13">
      <c r="A57" s="500"/>
      <c r="B57" s="871"/>
      <c r="C57" s="871"/>
      <c r="D57" s="871"/>
      <c r="E57" s="871"/>
      <c r="F57" s="871"/>
      <c r="G57" s="871"/>
      <c r="H57" s="871"/>
      <c r="I57" s="871"/>
      <c r="J57" s="871"/>
      <c r="K57" s="871"/>
      <c r="L57" s="871"/>
      <c r="M57" s="871"/>
    </row>
    <row r="58" spans="1:13">
      <c r="A58" s="500"/>
      <c r="B58" s="871"/>
      <c r="C58" s="871"/>
      <c r="D58" s="871"/>
      <c r="E58" s="871"/>
      <c r="F58" s="871"/>
      <c r="G58" s="871"/>
      <c r="H58" s="871"/>
      <c r="I58" s="871"/>
      <c r="J58" s="871"/>
      <c r="K58" s="871"/>
      <c r="L58" s="871"/>
      <c r="M58" s="871"/>
    </row>
    <row r="59" spans="1:13">
      <c r="A59" s="500"/>
      <c r="B59" s="871"/>
      <c r="C59" s="871"/>
      <c r="D59" s="871"/>
      <c r="E59" s="871"/>
      <c r="F59" s="871"/>
      <c r="G59" s="871"/>
      <c r="H59" s="871"/>
      <c r="I59" s="871"/>
      <c r="J59" s="871"/>
      <c r="K59" s="871"/>
      <c r="L59" s="871"/>
      <c r="M59" s="871"/>
    </row>
    <row r="60" spans="1:13">
      <c r="A60" s="500"/>
      <c r="B60" s="871"/>
      <c r="C60" s="871"/>
      <c r="D60" s="871"/>
      <c r="E60" s="871"/>
      <c r="F60" s="871"/>
      <c r="G60" s="871"/>
      <c r="H60" s="871"/>
      <c r="I60" s="871"/>
      <c r="J60" s="871"/>
      <c r="K60" s="871"/>
      <c r="L60" s="871"/>
      <c r="M60" s="871"/>
    </row>
    <row r="61" spans="1:13">
      <c r="A61" s="500"/>
      <c r="B61" s="871"/>
      <c r="C61" s="871"/>
      <c r="D61" s="871"/>
      <c r="E61" s="871"/>
      <c r="F61" s="871"/>
      <c r="G61" s="871"/>
      <c r="H61" s="871"/>
      <c r="I61" s="871"/>
      <c r="J61" s="871"/>
      <c r="K61" s="871"/>
      <c r="L61" s="871"/>
      <c r="M61" s="871"/>
    </row>
    <row r="62" spans="1:13">
      <c r="A62" s="500"/>
      <c r="B62" s="871"/>
      <c r="C62" s="871"/>
      <c r="D62" s="871"/>
      <c r="E62" s="871"/>
      <c r="F62" s="871"/>
      <c r="G62" s="871"/>
      <c r="H62" s="871"/>
      <c r="I62" s="871"/>
      <c r="J62" s="871"/>
      <c r="K62" s="871"/>
      <c r="L62" s="871"/>
      <c r="M62" s="871"/>
    </row>
    <row r="63" spans="1:13">
      <c r="A63" s="500"/>
      <c r="B63" s="871"/>
      <c r="C63" s="871"/>
      <c r="D63" s="871"/>
      <c r="E63" s="871"/>
      <c r="F63" s="871"/>
      <c r="G63" s="871"/>
      <c r="H63" s="871"/>
      <c r="I63" s="871"/>
      <c r="J63" s="871"/>
      <c r="K63" s="871"/>
      <c r="L63" s="871"/>
      <c r="M63" s="871"/>
    </row>
    <row r="64" spans="1:13">
      <c r="A64" s="500"/>
      <c r="C64" s="502"/>
      <c r="D64" s="502"/>
      <c r="E64" s="502"/>
      <c r="F64" s="502"/>
      <c r="G64" s="502"/>
      <c r="H64" s="502"/>
      <c r="I64" s="502"/>
      <c r="J64" s="502"/>
      <c r="K64" s="502"/>
    </row>
    <row r="65" spans="1:11">
      <c r="A65" s="500"/>
      <c r="C65" s="502"/>
      <c r="D65" s="502"/>
      <c r="E65" s="502"/>
      <c r="F65" s="502"/>
      <c r="G65" s="502"/>
      <c r="H65" s="502"/>
      <c r="I65" s="502"/>
      <c r="J65" s="502"/>
      <c r="K65" s="502"/>
    </row>
    <row r="66" spans="1:11">
      <c r="A66" s="500"/>
      <c r="C66" s="502"/>
      <c r="D66" s="502"/>
      <c r="E66" s="502"/>
      <c r="F66" s="502"/>
      <c r="G66" s="502"/>
      <c r="H66" s="502"/>
      <c r="I66" s="502"/>
      <c r="J66" s="502"/>
      <c r="K66" s="502"/>
    </row>
    <row r="67" spans="1:11">
      <c r="A67" s="500"/>
      <c r="C67" s="502"/>
      <c r="D67" s="502"/>
      <c r="E67" s="502"/>
      <c r="F67" s="502"/>
      <c r="G67" s="502"/>
      <c r="H67" s="502"/>
      <c r="I67" s="502"/>
      <c r="J67" s="502"/>
      <c r="K67" s="502"/>
    </row>
  </sheetData>
  <mergeCells count="143">
    <mergeCell ref="L60:M60"/>
    <mergeCell ref="L61:M61"/>
    <mergeCell ref="L62:M62"/>
    <mergeCell ref="L63:M63"/>
    <mergeCell ref="D21:K21"/>
    <mergeCell ref="L55:M55"/>
    <mergeCell ref="L56:M56"/>
    <mergeCell ref="L57:M57"/>
    <mergeCell ref="L58:M58"/>
    <mergeCell ref="L59:M59"/>
    <mergeCell ref="L50:M50"/>
    <mergeCell ref="L51:M51"/>
    <mergeCell ref="L52:M52"/>
    <mergeCell ref="L53:M53"/>
    <mergeCell ref="L54:M54"/>
    <mergeCell ref="L45:M45"/>
    <mergeCell ref="L46:M46"/>
    <mergeCell ref="L47:M47"/>
    <mergeCell ref="L48:M48"/>
    <mergeCell ref="L49:M49"/>
    <mergeCell ref="L40:M40"/>
    <mergeCell ref="L41:M41"/>
    <mergeCell ref="L42:M42"/>
    <mergeCell ref="L43:M43"/>
    <mergeCell ref="L27:M27"/>
    <mergeCell ref="L28:M28"/>
    <mergeCell ref="L29:M29"/>
    <mergeCell ref="L20:M20"/>
    <mergeCell ref="L21:M21"/>
    <mergeCell ref="L22:M22"/>
    <mergeCell ref="L23:M23"/>
    <mergeCell ref="L24:M24"/>
    <mergeCell ref="L44:M44"/>
    <mergeCell ref="L35:M35"/>
    <mergeCell ref="L36:M36"/>
    <mergeCell ref="L37:M37"/>
    <mergeCell ref="L38:M38"/>
    <mergeCell ref="L39:M39"/>
    <mergeCell ref="L30:M30"/>
    <mergeCell ref="L31:M31"/>
    <mergeCell ref="L32:M32"/>
    <mergeCell ref="L33:M33"/>
    <mergeCell ref="L34:M34"/>
    <mergeCell ref="B49:C49"/>
    <mergeCell ref="D49:K49"/>
    <mergeCell ref="B50:C50"/>
    <mergeCell ref="D50:K50"/>
    <mergeCell ref="B51:C51"/>
    <mergeCell ref="D51:K51"/>
    <mergeCell ref="B52:C52"/>
    <mergeCell ref="D52:K52"/>
    <mergeCell ref="B53:C53"/>
    <mergeCell ref="D53:K53"/>
    <mergeCell ref="B62:C62"/>
    <mergeCell ref="D62:K62"/>
    <mergeCell ref="B63:C63"/>
    <mergeCell ref="D63:K63"/>
    <mergeCell ref="B54:C54"/>
    <mergeCell ref="D54:K54"/>
    <mergeCell ref="B55:C55"/>
    <mergeCell ref="D55:K55"/>
    <mergeCell ref="B56:C56"/>
    <mergeCell ref="D56:K56"/>
    <mergeCell ref="B57:C57"/>
    <mergeCell ref="D57:K57"/>
    <mergeCell ref="B58:C58"/>
    <mergeCell ref="D58:K58"/>
    <mergeCell ref="B59:C59"/>
    <mergeCell ref="D59:K59"/>
    <mergeCell ref="B60:C60"/>
    <mergeCell ref="D60:K60"/>
    <mergeCell ref="B61:C61"/>
    <mergeCell ref="D61:K61"/>
    <mergeCell ref="B48:C48"/>
    <mergeCell ref="D48:K48"/>
    <mergeCell ref="B39:C39"/>
    <mergeCell ref="D39:K39"/>
    <mergeCell ref="B40:C40"/>
    <mergeCell ref="D40:K40"/>
    <mergeCell ref="B41:C41"/>
    <mergeCell ref="D41:K41"/>
    <mergeCell ref="B42:C42"/>
    <mergeCell ref="D42:K42"/>
    <mergeCell ref="B43:C43"/>
    <mergeCell ref="D43:K43"/>
    <mergeCell ref="B44:C44"/>
    <mergeCell ref="D44:K44"/>
    <mergeCell ref="B45:C45"/>
    <mergeCell ref="D45:K45"/>
    <mergeCell ref="B46:C46"/>
    <mergeCell ref="B36:C36"/>
    <mergeCell ref="D36:K36"/>
    <mergeCell ref="B37:C37"/>
    <mergeCell ref="D37:K37"/>
    <mergeCell ref="B38:C38"/>
    <mergeCell ref="D38:K38"/>
    <mergeCell ref="D46:K46"/>
    <mergeCell ref="B47:C47"/>
    <mergeCell ref="D47:K47"/>
    <mergeCell ref="B31:C31"/>
    <mergeCell ref="D31:K31"/>
    <mergeCell ref="B32:C32"/>
    <mergeCell ref="D32:K32"/>
    <mergeCell ref="B33:C33"/>
    <mergeCell ref="D33:K33"/>
    <mergeCell ref="B34:C34"/>
    <mergeCell ref="D34:K34"/>
    <mergeCell ref="B35:C35"/>
    <mergeCell ref="D35:K35"/>
    <mergeCell ref="B27:C27"/>
    <mergeCell ref="D27:K27"/>
    <mergeCell ref="B28:C28"/>
    <mergeCell ref="D28:K28"/>
    <mergeCell ref="B19:C19"/>
    <mergeCell ref="B2:J2"/>
    <mergeCell ref="B29:C29"/>
    <mergeCell ref="D29:K29"/>
    <mergeCell ref="B30:C30"/>
    <mergeCell ref="D30:K30"/>
    <mergeCell ref="B24:C24"/>
    <mergeCell ref="D24:K24"/>
    <mergeCell ref="B25:C25"/>
    <mergeCell ref="D19:K19"/>
    <mergeCell ref="D20:K20"/>
    <mergeCell ref="B20:C20"/>
    <mergeCell ref="B21:C21"/>
    <mergeCell ref="B22:C22"/>
    <mergeCell ref="B23:C23"/>
    <mergeCell ref="D22:K22"/>
    <mergeCell ref="D23:K23"/>
    <mergeCell ref="D1:L1"/>
    <mergeCell ref="B3:C3"/>
    <mergeCell ref="D3:E3"/>
    <mergeCell ref="F3:G3"/>
    <mergeCell ref="H3:I3"/>
    <mergeCell ref="J3:K3"/>
    <mergeCell ref="A1:C1"/>
    <mergeCell ref="D25:K25"/>
    <mergeCell ref="B26:C26"/>
    <mergeCell ref="D26:K26"/>
    <mergeCell ref="L19:M19"/>
    <mergeCell ref="L25:M25"/>
    <mergeCell ref="L26:M26"/>
  </mergeCells>
  <hyperlinks>
    <hyperlink ref="A1" location="DASHBOARD!A1" display="Back to Dashboard" xr:uid="{00000000-0004-0000-1C00-000000000000}"/>
  </hyperlinks>
  <printOptions horizontalCentered="1"/>
  <pageMargins left="0.25" right="0.25" top="0.75" bottom="0.75" header="0.3" footer="0.3"/>
  <pageSetup scale="155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/>
  <dimension ref="A1:J26"/>
  <sheetViews>
    <sheetView zoomScale="117" zoomScaleNormal="117" workbookViewId="0">
      <selection sqref="A1:B1"/>
    </sheetView>
  </sheetViews>
  <sheetFormatPr defaultRowHeight="15"/>
  <cols>
    <col min="1" max="1" width="20.42578125" customWidth="1"/>
    <col min="2" max="2" width="27" customWidth="1"/>
    <col min="3" max="3" width="33.5703125" customWidth="1"/>
    <col min="4" max="8" width="14.7109375" customWidth="1"/>
    <col min="9" max="9" width="13.7109375" customWidth="1"/>
    <col min="10" max="10" width="52.7109375" customWidth="1"/>
  </cols>
  <sheetData>
    <row r="1" spans="1:10" ht="33.75" thickBot="1">
      <c r="A1" s="656" t="s">
        <v>313</v>
      </c>
      <c r="B1" s="657"/>
      <c r="C1" s="877" t="s">
        <v>448</v>
      </c>
      <c r="D1" s="877"/>
      <c r="E1" s="877"/>
      <c r="F1" s="877"/>
      <c r="G1" s="877"/>
      <c r="H1" s="877"/>
      <c r="I1" s="877"/>
      <c r="J1" s="877"/>
    </row>
    <row r="2" spans="1:10" ht="15.75" thickBot="1">
      <c r="A2" s="872" t="s">
        <v>400</v>
      </c>
      <c r="B2" s="873"/>
      <c r="C2" s="874"/>
      <c r="D2" s="874"/>
      <c r="E2" s="874"/>
      <c r="F2" s="874"/>
      <c r="G2" s="874"/>
      <c r="H2" s="874"/>
      <c r="I2" s="874"/>
      <c r="J2" s="874"/>
    </row>
    <row r="3" spans="1:10" ht="15.75">
      <c r="A3" s="331" t="s">
        <v>401</v>
      </c>
      <c r="B3" s="332" t="s">
        <v>402</v>
      </c>
      <c r="C3" s="332" t="s">
        <v>403</v>
      </c>
      <c r="D3" s="333" t="s">
        <v>958</v>
      </c>
      <c r="E3" s="333" t="s">
        <v>959</v>
      </c>
      <c r="F3" s="333" t="s">
        <v>960</v>
      </c>
      <c r="G3" s="333" t="s">
        <v>961</v>
      </c>
      <c r="H3" s="333" t="s">
        <v>962</v>
      </c>
      <c r="I3" s="332" t="s">
        <v>404</v>
      </c>
      <c r="J3" s="242" t="s">
        <v>438</v>
      </c>
    </row>
    <row r="4" spans="1:10" ht="39">
      <c r="A4" s="243" t="s">
        <v>405</v>
      </c>
      <c r="B4" s="243" t="s">
        <v>406</v>
      </c>
      <c r="C4" s="243" t="s">
        <v>407</v>
      </c>
      <c r="D4" s="244"/>
      <c r="E4" s="244" t="s">
        <v>1933</v>
      </c>
      <c r="F4" s="244"/>
      <c r="G4" s="244"/>
      <c r="H4" s="244"/>
      <c r="I4" s="335" t="s">
        <v>408</v>
      </c>
      <c r="J4" s="325" t="s">
        <v>969</v>
      </c>
    </row>
    <row r="5" spans="1:10" ht="64.5">
      <c r="A5" s="243" t="s">
        <v>409</v>
      </c>
      <c r="B5" s="243" t="s">
        <v>410</v>
      </c>
      <c r="C5" s="243" t="s">
        <v>411</v>
      </c>
      <c r="D5" s="244" t="s">
        <v>412</v>
      </c>
      <c r="E5" s="244" t="s">
        <v>1934</v>
      </c>
      <c r="F5" s="244"/>
      <c r="G5" s="244"/>
      <c r="H5" s="244"/>
      <c r="I5" s="328"/>
      <c r="J5" s="325" t="s">
        <v>968</v>
      </c>
    </row>
    <row r="6" spans="1:10" ht="26.25">
      <c r="A6" s="243">
        <v>1071</v>
      </c>
      <c r="B6" s="243" t="s">
        <v>413</v>
      </c>
      <c r="C6" s="243" t="s">
        <v>414</v>
      </c>
      <c r="D6" s="336" t="s">
        <v>415</v>
      </c>
      <c r="E6" s="336" t="s">
        <v>1935</v>
      </c>
      <c r="F6" s="336"/>
      <c r="G6" s="336"/>
      <c r="H6" s="336"/>
      <c r="I6" s="328"/>
      <c r="J6" s="325" t="s">
        <v>970</v>
      </c>
    </row>
    <row r="7" spans="1:10">
      <c r="A7" s="243" t="s">
        <v>416</v>
      </c>
      <c r="B7" s="243" t="s">
        <v>972</v>
      </c>
      <c r="C7" s="243" t="s">
        <v>417</v>
      </c>
      <c r="D7" s="243" t="s">
        <v>266</v>
      </c>
      <c r="E7" s="243" t="s">
        <v>266</v>
      </c>
      <c r="F7" s="243" t="s">
        <v>266</v>
      </c>
      <c r="G7" s="243" t="s">
        <v>266</v>
      </c>
      <c r="H7" s="243" t="s">
        <v>266</v>
      </c>
      <c r="I7" s="328"/>
      <c r="J7" s="324" t="s">
        <v>974</v>
      </c>
    </row>
    <row r="8" spans="1:10">
      <c r="A8" s="243" t="s">
        <v>418</v>
      </c>
      <c r="B8" s="243" t="s">
        <v>972</v>
      </c>
      <c r="C8" s="243" t="s">
        <v>419</v>
      </c>
      <c r="D8" s="243" t="s">
        <v>266</v>
      </c>
      <c r="E8" s="243" t="s">
        <v>266</v>
      </c>
      <c r="F8" s="243" t="s">
        <v>266</v>
      </c>
      <c r="G8" s="243" t="s">
        <v>266</v>
      </c>
      <c r="H8" s="243" t="s">
        <v>266</v>
      </c>
      <c r="I8" s="328"/>
      <c r="J8" s="324" t="s">
        <v>974</v>
      </c>
    </row>
    <row r="9" spans="1:10">
      <c r="A9" s="243"/>
      <c r="B9" s="243" t="s">
        <v>971</v>
      </c>
      <c r="C9" s="243"/>
      <c r="D9" s="243" t="s">
        <v>266</v>
      </c>
      <c r="E9" s="243" t="s">
        <v>266</v>
      </c>
      <c r="F9" s="243" t="s">
        <v>266</v>
      </c>
      <c r="G9" s="243" t="s">
        <v>266</v>
      </c>
      <c r="H9" s="243" t="s">
        <v>266</v>
      </c>
      <c r="I9" s="328"/>
      <c r="J9" s="324" t="s">
        <v>974</v>
      </c>
    </row>
    <row r="10" spans="1:10">
      <c r="A10" s="243"/>
      <c r="B10" s="243" t="s">
        <v>973</v>
      </c>
      <c r="C10" s="243"/>
      <c r="D10" s="243" t="s">
        <v>266</v>
      </c>
      <c r="E10" s="243" t="s">
        <v>266</v>
      </c>
      <c r="F10" s="243" t="s">
        <v>266</v>
      </c>
      <c r="G10" s="243" t="s">
        <v>266</v>
      </c>
      <c r="H10" s="243" t="s">
        <v>266</v>
      </c>
      <c r="I10" s="328"/>
      <c r="J10" s="324" t="s">
        <v>974</v>
      </c>
    </row>
    <row r="11" spans="1:10">
      <c r="A11" s="243"/>
      <c r="B11" s="243" t="s">
        <v>973</v>
      </c>
      <c r="C11" s="243"/>
      <c r="D11" s="243" t="s">
        <v>266</v>
      </c>
      <c r="E11" s="243" t="s">
        <v>266</v>
      </c>
      <c r="F11" s="243" t="s">
        <v>266</v>
      </c>
      <c r="G11" s="243" t="s">
        <v>266</v>
      </c>
      <c r="H11" s="243" t="s">
        <v>266</v>
      </c>
      <c r="I11" s="328"/>
      <c r="J11" s="324" t="s">
        <v>974</v>
      </c>
    </row>
    <row r="12" spans="1:10">
      <c r="A12" s="243"/>
      <c r="B12" s="243" t="s">
        <v>973</v>
      </c>
      <c r="C12" s="243"/>
      <c r="D12" s="243" t="s">
        <v>266</v>
      </c>
      <c r="E12" s="243" t="s">
        <v>266</v>
      </c>
      <c r="F12" s="243" t="s">
        <v>266</v>
      </c>
      <c r="G12" s="243" t="s">
        <v>266</v>
      </c>
      <c r="H12" s="243" t="s">
        <v>266</v>
      </c>
      <c r="I12" s="328"/>
      <c r="J12" s="324" t="s">
        <v>974</v>
      </c>
    </row>
    <row r="13" spans="1:10">
      <c r="A13" s="243"/>
      <c r="B13" s="243" t="s">
        <v>973</v>
      </c>
      <c r="C13" s="243"/>
      <c r="D13" s="243" t="s">
        <v>266</v>
      </c>
      <c r="E13" s="243" t="s">
        <v>266</v>
      </c>
      <c r="F13" s="243" t="s">
        <v>266</v>
      </c>
      <c r="G13" s="243" t="s">
        <v>266</v>
      </c>
      <c r="H13" s="243" t="s">
        <v>266</v>
      </c>
      <c r="I13" s="328"/>
      <c r="J13" s="324" t="s">
        <v>974</v>
      </c>
    </row>
    <row r="14" spans="1:10">
      <c r="A14" s="243" t="s">
        <v>420</v>
      </c>
      <c r="B14" s="243" t="s">
        <v>421</v>
      </c>
      <c r="C14" s="243">
        <v>60.5</v>
      </c>
      <c r="D14" s="337" t="s">
        <v>422</v>
      </c>
      <c r="E14" s="337"/>
      <c r="F14" s="337"/>
      <c r="G14" s="337"/>
      <c r="H14" s="337"/>
      <c r="I14" s="328"/>
      <c r="J14" s="324"/>
    </row>
    <row r="15" spans="1:10">
      <c r="A15" s="875" t="s">
        <v>423</v>
      </c>
      <c r="B15" s="876"/>
      <c r="C15" s="876"/>
      <c r="D15" s="876"/>
      <c r="E15" s="876"/>
      <c r="F15" s="876"/>
      <c r="G15" s="876"/>
      <c r="H15" s="876"/>
      <c r="I15" s="876"/>
      <c r="J15" s="334"/>
    </row>
    <row r="16" spans="1:10">
      <c r="A16" s="244" t="s">
        <v>424</v>
      </c>
      <c r="B16" s="244" t="s">
        <v>425</v>
      </c>
      <c r="C16" s="244" t="s">
        <v>426</v>
      </c>
      <c r="D16" s="244" t="s">
        <v>427</v>
      </c>
      <c r="E16" s="244" t="s">
        <v>1936</v>
      </c>
      <c r="F16" s="244"/>
      <c r="G16" s="244"/>
      <c r="H16" s="244"/>
      <c r="I16" s="329"/>
      <c r="J16" s="324" t="s">
        <v>975</v>
      </c>
    </row>
    <row r="17" spans="1:10">
      <c r="A17" s="244">
        <v>7196</v>
      </c>
      <c r="B17" s="244" t="s">
        <v>428</v>
      </c>
      <c r="C17" s="244" t="s">
        <v>429</v>
      </c>
      <c r="D17" s="244" t="s">
        <v>430</v>
      </c>
      <c r="E17" s="244" t="s">
        <v>1937</v>
      </c>
      <c r="F17" s="244"/>
      <c r="G17" s="244"/>
      <c r="H17" s="244"/>
      <c r="I17" s="330"/>
      <c r="J17" s="324" t="s">
        <v>975</v>
      </c>
    </row>
    <row r="18" spans="1:10">
      <c r="A18" s="328" t="s">
        <v>431</v>
      </c>
      <c r="B18" s="328" t="s">
        <v>425</v>
      </c>
      <c r="C18" s="328" t="s">
        <v>432</v>
      </c>
      <c r="D18" s="328" t="s">
        <v>433</v>
      </c>
      <c r="E18" s="328" t="s">
        <v>1938</v>
      </c>
      <c r="F18" s="328"/>
      <c r="G18" s="328"/>
      <c r="H18" s="328"/>
      <c r="I18" s="329"/>
      <c r="J18" s="324" t="s">
        <v>975</v>
      </c>
    </row>
    <row r="19" spans="1:10">
      <c r="A19" s="241"/>
      <c r="B19" s="241"/>
      <c r="C19" s="241"/>
      <c r="D19" s="241"/>
      <c r="E19" s="241"/>
      <c r="F19" s="241"/>
      <c r="G19" s="241"/>
      <c r="H19" s="241"/>
      <c r="I19" s="241"/>
      <c r="J19" s="241"/>
    </row>
    <row r="20" spans="1:10" ht="15.75" thickBot="1">
      <c r="A20" s="241"/>
      <c r="B20" s="241"/>
      <c r="C20" s="241"/>
      <c r="D20" s="241"/>
      <c r="E20" s="241"/>
      <c r="F20" s="241"/>
      <c r="G20" s="241"/>
      <c r="H20" s="241"/>
      <c r="I20" s="241"/>
      <c r="J20" s="241"/>
    </row>
    <row r="21" spans="1:10">
      <c r="A21" s="327" t="s">
        <v>434</v>
      </c>
      <c r="B21" s="242" t="s">
        <v>435</v>
      </c>
      <c r="C21" s="242" t="s">
        <v>436</v>
      </c>
      <c r="D21" s="242" t="s">
        <v>963</v>
      </c>
      <c r="E21" s="242" t="s">
        <v>964</v>
      </c>
      <c r="F21" s="242" t="s">
        <v>965</v>
      </c>
      <c r="G21" s="242" t="s">
        <v>966</v>
      </c>
      <c r="H21" s="242" t="s">
        <v>967</v>
      </c>
      <c r="I21" s="242" t="s">
        <v>437</v>
      </c>
      <c r="J21" s="242" t="s">
        <v>438</v>
      </c>
    </row>
    <row r="22" spans="1:10">
      <c r="A22" s="243"/>
      <c r="B22" s="243"/>
      <c r="C22" s="243"/>
      <c r="D22" s="244"/>
      <c r="E22" s="244"/>
      <c r="F22" s="244"/>
      <c r="G22" s="244"/>
      <c r="H22" s="244"/>
      <c r="I22" s="243"/>
      <c r="J22" s="328"/>
    </row>
    <row r="23" spans="1:10">
      <c r="A23" s="243">
        <v>22</v>
      </c>
      <c r="B23" s="243" t="s">
        <v>439</v>
      </c>
      <c r="C23" s="243" t="s">
        <v>440</v>
      </c>
      <c r="D23" s="244">
        <v>1463</v>
      </c>
      <c r="E23" s="244">
        <v>1637</v>
      </c>
      <c r="F23" s="244"/>
      <c r="G23" s="244"/>
      <c r="H23" s="244"/>
      <c r="I23" s="243" t="s">
        <v>441</v>
      </c>
      <c r="J23" s="326" t="s">
        <v>975</v>
      </c>
    </row>
    <row r="24" spans="1:10">
      <c r="A24" s="243">
        <v>23</v>
      </c>
      <c r="B24" s="243" t="s">
        <v>439</v>
      </c>
      <c r="C24" s="243" t="s">
        <v>442</v>
      </c>
      <c r="D24" s="244">
        <v>2010</v>
      </c>
      <c r="E24" s="244">
        <v>2351</v>
      </c>
      <c r="F24" s="244"/>
      <c r="G24" s="244"/>
      <c r="H24" s="244"/>
      <c r="I24" s="243" t="s">
        <v>443</v>
      </c>
      <c r="J24" s="326" t="s">
        <v>975</v>
      </c>
    </row>
    <row r="25" spans="1:10">
      <c r="A25" s="243">
        <v>29</v>
      </c>
      <c r="B25" s="243" t="s">
        <v>444</v>
      </c>
      <c r="C25" s="243" t="s">
        <v>445</v>
      </c>
      <c r="D25" s="243">
        <v>1009</v>
      </c>
      <c r="E25" s="243">
        <v>1278</v>
      </c>
      <c r="F25" s="243"/>
      <c r="G25" s="243"/>
      <c r="H25" s="243"/>
      <c r="I25" s="243" t="s">
        <v>446</v>
      </c>
      <c r="J25" s="326" t="s">
        <v>975</v>
      </c>
    </row>
    <row r="26" spans="1:10">
      <c r="A26" s="90"/>
      <c r="B26" s="243" t="s">
        <v>439</v>
      </c>
      <c r="C26" s="243" t="s">
        <v>447</v>
      </c>
      <c r="D26" s="244">
        <v>1742</v>
      </c>
      <c r="E26" s="244">
        <v>2005</v>
      </c>
      <c r="F26" s="244"/>
      <c r="G26" s="244"/>
      <c r="H26" s="244"/>
      <c r="I26" s="90"/>
      <c r="J26" s="326" t="s">
        <v>975</v>
      </c>
    </row>
  </sheetData>
  <mergeCells count="4">
    <mergeCell ref="A2:J2"/>
    <mergeCell ref="A15:I15"/>
    <mergeCell ref="A1:B1"/>
    <mergeCell ref="C1:J1"/>
  </mergeCells>
  <hyperlinks>
    <hyperlink ref="A1" location="DASHBOARD!A1" display="Back to Dashboard" xr:uid="{00000000-0004-0000-1D00-00000000000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9"/>
  <dimension ref="A1:D20"/>
  <sheetViews>
    <sheetView zoomScale="225" zoomScaleNormal="225" workbookViewId="0">
      <selection sqref="A1:B1"/>
    </sheetView>
  </sheetViews>
  <sheetFormatPr defaultRowHeight="15"/>
  <cols>
    <col min="1" max="1" width="15.28515625" customWidth="1"/>
    <col min="2" max="2" width="46.85546875" customWidth="1"/>
    <col min="3" max="3" width="34.85546875" customWidth="1"/>
    <col min="4" max="4" width="19.140625" customWidth="1"/>
    <col min="5" max="5" width="34.85546875" customWidth="1"/>
  </cols>
  <sheetData>
    <row r="1" spans="1:4" ht="27.75">
      <c r="A1" s="656" t="s">
        <v>313</v>
      </c>
      <c r="B1" s="657"/>
      <c r="C1" s="878" t="s">
        <v>314</v>
      </c>
      <c r="D1" s="878"/>
    </row>
    <row r="2" spans="1:4" ht="36.950000000000003" customHeight="1">
      <c r="A2" s="277" t="s">
        <v>466</v>
      </c>
      <c r="B2" s="278" t="s">
        <v>60</v>
      </c>
      <c r="C2" s="278" t="s">
        <v>61</v>
      </c>
      <c r="D2" s="278" t="s">
        <v>63</v>
      </c>
    </row>
    <row r="3" spans="1:4" ht="30.6" customHeight="1">
      <c r="A3" s="504">
        <v>43934</v>
      </c>
      <c r="B3" s="505" t="s">
        <v>62</v>
      </c>
      <c r="C3" s="505" t="s">
        <v>1140</v>
      </c>
      <c r="D3" s="505">
        <v>9</v>
      </c>
    </row>
    <row r="4" spans="1:4" ht="30.6" customHeight="1">
      <c r="A4" s="504">
        <v>43941</v>
      </c>
      <c r="B4" s="505" t="s">
        <v>193</v>
      </c>
      <c r="C4" s="505" t="s">
        <v>65</v>
      </c>
      <c r="D4" s="505">
        <v>9</v>
      </c>
    </row>
    <row r="5" spans="1:4" ht="30.6" customHeight="1">
      <c r="A5" s="76">
        <v>43948</v>
      </c>
      <c r="B5" s="75" t="s">
        <v>64</v>
      </c>
      <c r="C5" s="75" t="s">
        <v>65</v>
      </c>
      <c r="D5" s="75">
        <v>9</v>
      </c>
    </row>
    <row r="6" spans="1:4" ht="30.6" customHeight="1">
      <c r="A6" s="76">
        <v>43955</v>
      </c>
      <c r="B6" s="75"/>
      <c r="C6" s="75"/>
      <c r="D6" s="75"/>
    </row>
    <row r="7" spans="1:4" ht="30.6" customHeight="1">
      <c r="A7" s="76">
        <v>43962</v>
      </c>
      <c r="B7" s="75"/>
      <c r="C7" s="75"/>
      <c r="D7" s="75"/>
    </row>
    <row r="8" spans="1:4" ht="30.6" customHeight="1">
      <c r="A8" s="76">
        <v>43969</v>
      </c>
      <c r="B8" s="75"/>
      <c r="C8" s="75"/>
      <c r="D8" s="75"/>
    </row>
    <row r="9" spans="1:4" ht="30.6" customHeight="1">
      <c r="A9" s="76">
        <v>43976</v>
      </c>
      <c r="B9" s="75"/>
      <c r="C9" s="75"/>
      <c r="D9" s="75"/>
    </row>
    <row r="10" spans="1:4" ht="30.6" customHeight="1">
      <c r="A10" s="75"/>
      <c r="B10" s="75"/>
      <c r="C10" s="75"/>
      <c r="D10" s="75"/>
    </row>
    <row r="11" spans="1:4" ht="30.6" customHeight="1">
      <c r="A11" s="75"/>
      <c r="B11" s="75"/>
      <c r="C11" s="75"/>
      <c r="D11" s="75"/>
    </row>
    <row r="12" spans="1:4" ht="30.6" customHeight="1">
      <c r="A12" s="75"/>
      <c r="B12" s="75"/>
      <c r="C12" s="75"/>
      <c r="D12" s="75"/>
    </row>
    <row r="13" spans="1:4" ht="30.6" customHeight="1">
      <c r="A13" s="75"/>
      <c r="B13" s="75"/>
      <c r="C13" s="75"/>
      <c r="D13" s="75"/>
    </row>
    <row r="14" spans="1:4" ht="30.6" customHeight="1">
      <c r="A14" s="75"/>
      <c r="B14" s="75"/>
      <c r="C14" s="75"/>
      <c r="D14" s="75"/>
    </row>
    <row r="15" spans="1:4" ht="30.6" customHeight="1">
      <c r="A15" s="75"/>
      <c r="B15" s="75"/>
      <c r="C15" s="75"/>
      <c r="D15" s="75"/>
    </row>
    <row r="16" spans="1:4" ht="30.6" customHeight="1">
      <c r="A16" s="75"/>
      <c r="B16" s="75"/>
      <c r="C16" s="75"/>
      <c r="D16" s="75"/>
    </row>
    <row r="17" spans="1:4" ht="30.6" customHeight="1">
      <c r="A17" s="75"/>
      <c r="B17" s="75"/>
      <c r="C17" s="75"/>
      <c r="D17" s="75"/>
    </row>
    <row r="18" spans="1:4" ht="30.6" customHeight="1">
      <c r="A18" s="75"/>
      <c r="B18" s="75"/>
      <c r="C18" s="75"/>
      <c r="D18" s="75"/>
    </row>
    <row r="19" spans="1:4" ht="30.6" customHeight="1">
      <c r="A19" s="75"/>
      <c r="B19" s="75"/>
      <c r="C19" s="75"/>
      <c r="D19" s="75"/>
    </row>
    <row r="20" spans="1:4" ht="30.6" customHeight="1">
      <c r="A20" s="75"/>
      <c r="B20" s="75"/>
      <c r="C20" s="75"/>
      <c r="D20" s="75"/>
    </row>
  </sheetData>
  <mergeCells count="2">
    <mergeCell ref="A1:B1"/>
    <mergeCell ref="C1:D1"/>
  </mergeCells>
  <hyperlinks>
    <hyperlink ref="A1" location="DASHBOARD!A1" display="Back to Dashboard" xr:uid="{00000000-0004-0000-1E00-000000000000}"/>
  </hyperlinks>
  <pageMargins left="0.7" right="0.7" top="0.75" bottom="0.75" header="0.3" footer="0.3"/>
  <pageSetup scale="77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"/>
  <dimension ref="A1:D20"/>
  <sheetViews>
    <sheetView zoomScale="115" zoomScaleNormal="115" workbookViewId="0">
      <selection activeCell="A4" sqref="A4"/>
    </sheetView>
  </sheetViews>
  <sheetFormatPr defaultRowHeight="15"/>
  <cols>
    <col min="1" max="1" width="51.5703125" bestFit="1" customWidth="1"/>
    <col min="2" max="2" width="36.42578125" customWidth="1"/>
    <col min="3" max="3" width="21.140625" bestFit="1" customWidth="1"/>
    <col min="4" max="5" width="36.42578125" customWidth="1"/>
  </cols>
  <sheetData>
    <row r="1" spans="1:4" s="233" customFormat="1" ht="40.5" customHeight="1">
      <c r="A1" s="236" t="s">
        <v>313</v>
      </c>
      <c r="B1" s="879" t="s">
        <v>380</v>
      </c>
      <c r="C1" s="880"/>
      <c r="D1" s="880"/>
    </row>
    <row r="2" spans="1:4" ht="36.6" customHeight="1">
      <c r="A2" s="77" t="s">
        <v>66</v>
      </c>
      <c r="B2" s="77" t="s">
        <v>61</v>
      </c>
      <c r="C2" s="77" t="s">
        <v>69</v>
      </c>
      <c r="D2" s="77" t="s">
        <v>63</v>
      </c>
    </row>
    <row r="3" spans="1:4" ht="28.5">
      <c r="A3" s="75" t="s">
        <v>317</v>
      </c>
      <c r="B3" s="75" t="s">
        <v>67</v>
      </c>
      <c r="C3" s="75" t="s">
        <v>70</v>
      </c>
      <c r="D3" s="75" t="s">
        <v>68</v>
      </c>
    </row>
    <row r="4" spans="1:4" ht="28.5">
      <c r="A4" s="75" t="s">
        <v>362</v>
      </c>
      <c r="B4" s="75" t="s">
        <v>2</v>
      </c>
      <c r="C4" s="75"/>
      <c r="D4" s="75" t="s">
        <v>2</v>
      </c>
    </row>
    <row r="5" spans="1:4" ht="28.5">
      <c r="A5" s="75"/>
      <c r="B5" s="75"/>
      <c r="C5" s="75"/>
      <c r="D5" s="75"/>
    </row>
    <row r="6" spans="1:4" ht="28.5">
      <c r="A6" s="75"/>
      <c r="B6" s="75"/>
      <c r="C6" s="75"/>
      <c r="D6" s="75"/>
    </row>
    <row r="7" spans="1:4" ht="28.5">
      <c r="A7" s="75"/>
      <c r="B7" s="75"/>
      <c r="C7" s="75"/>
      <c r="D7" s="75"/>
    </row>
    <row r="8" spans="1:4" ht="28.5">
      <c r="A8" s="75"/>
      <c r="B8" s="75"/>
      <c r="C8" s="75"/>
      <c r="D8" s="75"/>
    </row>
    <row r="9" spans="1:4" ht="28.5">
      <c r="A9" s="75"/>
      <c r="B9" s="75"/>
      <c r="C9" s="75"/>
      <c r="D9" s="75"/>
    </row>
    <row r="10" spans="1:4" ht="28.5">
      <c r="A10" s="75"/>
      <c r="B10" s="75"/>
      <c r="C10" s="75"/>
      <c r="D10" s="75"/>
    </row>
    <row r="11" spans="1:4" ht="28.5">
      <c r="A11" s="75"/>
      <c r="B11" s="75"/>
      <c r="C11" s="75"/>
      <c r="D11" s="75"/>
    </row>
    <row r="12" spans="1:4" ht="28.5">
      <c r="A12" s="75"/>
      <c r="B12" s="75"/>
      <c r="C12" s="75"/>
      <c r="D12" s="75"/>
    </row>
    <row r="13" spans="1:4" ht="28.5">
      <c r="A13" s="75"/>
      <c r="B13" s="75"/>
      <c r="C13" s="75"/>
      <c r="D13" s="75"/>
    </row>
    <row r="14" spans="1:4" ht="28.5">
      <c r="A14" s="75"/>
      <c r="B14" s="75"/>
      <c r="C14" s="75"/>
      <c r="D14" s="75"/>
    </row>
    <row r="15" spans="1:4" ht="28.5">
      <c r="A15" s="75"/>
      <c r="B15" s="75"/>
      <c r="C15" s="75"/>
      <c r="D15" s="75"/>
    </row>
    <row r="16" spans="1:4" ht="28.5">
      <c r="A16" s="75"/>
      <c r="B16" s="75"/>
      <c r="C16" s="75"/>
      <c r="D16" s="75"/>
    </row>
    <row r="17" spans="1:4" ht="28.5">
      <c r="A17" s="75"/>
      <c r="B17" s="75"/>
      <c r="C17" s="75"/>
      <c r="D17" s="75"/>
    </row>
    <row r="18" spans="1:4" ht="28.5">
      <c r="A18" s="75"/>
      <c r="B18" s="75"/>
      <c r="C18" s="75"/>
      <c r="D18" s="75"/>
    </row>
    <row r="19" spans="1:4" ht="28.5">
      <c r="A19" s="75"/>
      <c r="B19" s="75"/>
      <c r="C19" s="75"/>
      <c r="D19" s="75"/>
    </row>
    <row r="20" spans="1:4" ht="28.5">
      <c r="A20" s="75"/>
      <c r="B20" s="75"/>
      <c r="C20" s="75"/>
      <c r="D20" s="75"/>
    </row>
  </sheetData>
  <mergeCells count="1">
    <mergeCell ref="B1:D1"/>
  </mergeCells>
  <hyperlinks>
    <hyperlink ref="A1" location="DASHBOARD!A1" display="Back to Dashboard" xr:uid="{00000000-0004-0000-1F00-000000000000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16</vt:i4>
      </vt:variant>
    </vt:vector>
  </HeadingPairs>
  <TitlesOfParts>
    <vt:vector size="48" baseType="lpstr">
      <vt:lpstr>DASHBOARD</vt:lpstr>
      <vt:lpstr>About</vt:lpstr>
      <vt:lpstr>Snapshot</vt:lpstr>
      <vt:lpstr>TOTALS</vt:lpstr>
      <vt:lpstr>Order of the Week</vt:lpstr>
      <vt:lpstr>Safety</vt:lpstr>
      <vt:lpstr>Schedule (2)</vt:lpstr>
      <vt:lpstr>Schedule</vt:lpstr>
      <vt:lpstr>Orders_Purchases</vt:lpstr>
      <vt:lpstr>Completed_Projects</vt:lpstr>
      <vt:lpstr>Construction_Projects</vt:lpstr>
      <vt:lpstr>Design_Projects</vt:lpstr>
      <vt:lpstr>Porta Cooler RWP</vt:lpstr>
      <vt:lpstr>Work Task_Compl</vt:lpstr>
      <vt:lpstr>Work Task_Log</vt:lpstr>
      <vt:lpstr>Water Tm_Log</vt:lpstr>
      <vt:lpstr>Water Tm_Avg Gals</vt:lpstr>
      <vt:lpstr>Chlorine_Readings</vt:lpstr>
      <vt:lpstr>Chlorine_Graph</vt:lpstr>
      <vt:lpstr>Water Leaks_Log</vt:lpstr>
      <vt:lpstr>Ice_Log</vt:lpstr>
      <vt:lpstr>Inventory_Missing</vt:lpstr>
      <vt:lpstr>Inventory_WRM</vt:lpstr>
      <vt:lpstr>Inventory_Chemicals</vt:lpstr>
      <vt:lpstr>Inventory_CONEX</vt:lpstr>
      <vt:lpstr>Inventory_Hompage</vt:lpstr>
      <vt:lpstr>PM - RWP</vt:lpstr>
      <vt:lpstr>Water - RWP</vt:lpstr>
      <vt:lpstr>Camp Fixture Count</vt:lpstr>
      <vt:lpstr>Vehicles</vt:lpstr>
      <vt:lpstr>Training Plan</vt:lpstr>
      <vt:lpstr>Shop Events</vt:lpstr>
      <vt:lpstr>'Camp Fixture Count'!Print_Area</vt:lpstr>
      <vt:lpstr>Chlorine_Graph!Print_Area</vt:lpstr>
      <vt:lpstr>Completed_Projects!Print_Area</vt:lpstr>
      <vt:lpstr>Construction_Projects!Print_Area</vt:lpstr>
      <vt:lpstr>DASHBOARD!Print_Area</vt:lpstr>
      <vt:lpstr>Design_Projects!Print_Area</vt:lpstr>
      <vt:lpstr>Ice_Log!Print_Area</vt:lpstr>
      <vt:lpstr>Inventory_Chemicals!Print_Area</vt:lpstr>
      <vt:lpstr>Inventory_CONEX!Print_Area</vt:lpstr>
      <vt:lpstr>Inventory_Missing!Print_Area</vt:lpstr>
      <vt:lpstr>Inventory_WRM!Print_Area</vt:lpstr>
      <vt:lpstr>Snapshot!Print_Area</vt:lpstr>
      <vt:lpstr>TOTALS!Print_Area</vt:lpstr>
      <vt:lpstr>'Water Tm_Avg Gals'!Print_Area</vt:lpstr>
      <vt:lpstr>'Work Task_Compl'!Print_Area</vt:lpstr>
      <vt:lpstr>'Work Task_Log'!Print_Area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Silcott, James B MSgt USAF AFCENT 378 ECES/CEOIE</dc:creator>
  <cp:lastModifiedBy>James Silcott</cp:lastModifiedBy>
  <cp:lastPrinted>2020-05-14T11:20:43Z</cp:lastPrinted>
  <dcterms:created xsi:type="dcterms:W3CDTF">2020-03-31T07:35:57Z</dcterms:created>
  <dcterms:modified xsi:type="dcterms:W3CDTF">2020-08-21T04:19:22Z</dcterms:modified>
</cp:coreProperties>
</file>