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513ED09D-E350-43D0-9CA5-517AA3B62919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Метод Зейделя" sheetId="4" r:id="rId1"/>
    <sheet name="Метод простой итерации" sheetId="3" r:id="rId2"/>
    <sheet name="Метод ортогонализации" sheetId="2" r:id="rId3"/>
    <sheet name="Метод сопряженных градиентов" sheetId="1" r:id="rId4"/>
    <sheet name="Метод отражений" sheetId="6" r:id="rId5"/>
    <sheet name="Метод квадратного корня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J33" i="3"/>
  <c r="K33" i="3"/>
  <c r="L33" i="3"/>
  <c r="H33" i="3"/>
  <c r="A31" i="3"/>
  <c r="B31" i="3"/>
  <c r="C31" i="3"/>
  <c r="D31" i="3"/>
  <c r="E31" i="3"/>
  <c r="K24" i="3"/>
  <c r="I24" i="3"/>
  <c r="J24" i="3"/>
  <c r="L24" i="3"/>
  <c r="H24" i="3"/>
  <c r="M20" i="1"/>
  <c r="K9" i="1"/>
  <c r="B8" i="8" l="1"/>
  <c r="D8" i="8" s="1"/>
  <c r="B12" i="8" l="1"/>
  <c r="C8" i="8"/>
  <c r="C9" i="8" l="1"/>
  <c r="D9" i="8" s="1"/>
  <c r="B13" i="8"/>
  <c r="D10" i="8" l="1"/>
  <c r="B14" i="8"/>
  <c r="D14" i="8" s="1"/>
  <c r="D13" i="8" s="1"/>
  <c r="D12" i="8" s="1"/>
  <c r="F10" i="8" l="1"/>
  <c r="F9" i="8"/>
  <c r="F8" i="8"/>
  <c r="E23" i="6" l="1"/>
  <c r="E8" i="6"/>
  <c r="H8" i="6" s="1"/>
  <c r="A8" i="4"/>
  <c r="A9" i="4" s="1"/>
  <c r="A10" i="4" s="1"/>
  <c r="A11" i="4" s="1"/>
  <c r="A12" i="4" s="1"/>
  <c r="A13" i="4" s="1"/>
  <c r="A14" i="4" s="1"/>
  <c r="A15" i="4" s="1"/>
  <c r="B7" i="4"/>
  <c r="B7" i="3"/>
  <c r="B10" i="2"/>
  <c r="B11" i="2"/>
  <c r="B12" i="2"/>
  <c r="B9" i="2"/>
  <c r="B8" i="2"/>
  <c r="B7" i="2"/>
  <c r="B6" i="2"/>
  <c r="C10" i="2" s="1"/>
  <c r="I3" i="1"/>
  <c r="I4" i="1"/>
  <c r="I2" i="1"/>
  <c r="I9" i="1" l="1"/>
  <c r="I8" i="1"/>
  <c r="I10" i="1"/>
  <c r="C9" i="2"/>
  <c r="C12" i="2"/>
  <c r="C11" i="2"/>
  <c r="B12" i="6"/>
  <c r="B13" i="6"/>
  <c r="B11" i="6"/>
  <c r="C7" i="4"/>
  <c r="D7" i="4" s="1"/>
  <c r="E7" i="4" s="1"/>
  <c r="F7" i="4"/>
  <c r="I6" i="1"/>
  <c r="I12" i="1" l="1"/>
  <c r="I14" i="1" s="1"/>
  <c r="I17" i="1" s="1"/>
  <c r="I21" i="1" s="1"/>
  <c r="B15" i="6"/>
  <c r="B17" i="6" s="1"/>
  <c r="D15" i="6"/>
  <c r="D17" i="6" s="1"/>
  <c r="C15" i="6"/>
  <c r="C19" i="6" s="1"/>
  <c r="B8" i="4"/>
  <c r="C7" i="2"/>
  <c r="C6" i="2"/>
  <c r="I16" i="1" l="1"/>
  <c r="I18" i="1"/>
  <c r="I22" i="1" s="1"/>
  <c r="B18" i="6"/>
  <c r="B19" i="6"/>
  <c r="C17" i="6"/>
  <c r="E21" i="6" s="1"/>
  <c r="D19" i="6"/>
  <c r="C18" i="6"/>
  <c r="D18" i="6"/>
  <c r="F8" i="4"/>
  <c r="C8" i="4"/>
  <c r="D8" i="4" s="1"/>
  <c r="D9" i="2"/>
  <c r="D11" i="2"/>
  <c r="D12" i="2"/>
  <c r="D10" i="2"/>
  <c r="D6" i="2" l="1"/>
  <c r="E9" i="2" s="1"/>
  <c r="K14" i="1"/>
  <c r="I20" i="1"/>
  <c r="K13" i="1"/>
  <c r="K12" i="1"/>
  <c r="C21" i="6"/>
  <c r="B21" i="6"/>
  <c r="B23" i="6"/>
  <c r="C23" i="6"/>
  <c r="B28" i="6" s="1"/>
  <c r="D23" i="6"/>
  <c r="D21" i="6"/>
  <c r="E22" i="6"/>
  <c r="K3" i="1"/>
  <c r="K4" i="1"/>
  <c r="K2" i="1"/>
  <c r="B22" i="6"/>
  <c r="C22" i="6"/>
  <c r="B27" i="6" s="1"/>
  <c r="E27" i="6" s="1"/>
  <c r="H27" i="6" s="1"/>
  <c r="D22" i="6"/>
  <c r="E8" i="4"/>
  <c r="B9" i="4" s="1"/>
  <c r="E11" i="2" l="1"/>
  <c r="E12" i="2"/>
  <c r="E10" i="2"/>
  <c r="B14" i="2" s="1"/>
  <c r="K22" i="1"/>
  <c r="K10" i="1"/>
  <c r="K6" i="1"/>
  <c r="K8" i="1"/>
  <c r="K16" i="1"/>
  <c r="B32" i="6"/>
  <c r="B31" i="6"/>
  <c r="B30" i="6"/>
  <c r="F9" i="4"/>
  <c r="C9" i="4"/>
  <c r="D9" i="4" s="1"/>
  <c r="F9" i="2" l="1"/>
  <c r="F11" i="2"/>
  <c r="F10" i="2"/>
  <c r="K20" i="1"/>
  <c r="K18" i="1"/>
  <c r="B34" i="6"/>
  <c r="B36" i="6" s="1"/>
  <c r="C34" i="6"/>
  <c r="C36" i="6" s="1"/>
  <c r="D34" i="6"/>
  <c r="D36" i="6" s="1"/>
  <c r="E9" i="4"/>
  <c r="B10" i="4" s="1"/>
  <c r="D37" i="6" l="1"/>
  <c r="C37" i="6"/>
  <c r="D38" i="6"/>
  <c r="B38" i="6"/>
  <c r="K24" i="1"/>
  <c r="K25" i="1"/>
  <c r="C38" i="6"/>
  <c r="B15" i="2"/>
  <c r="G11" i="2" s="1"/>
  <c r="E40" i="6"/>
  <c r="D40" i="6"/>
  <c r="C40" i="6"/>
  <c r="B40" i="6"/>
  <c r="B37" i="6"/>
  <c r="F10" i="4"/>
  <c r="C10" i="4"/>
  <c r="G12" i="2" l="1"/>
  <c r="G10" i="2"/>
  <c r="G9" i="2"/>
  <c r="E42" i="6"/>
  <c r="D42" i="6"/>
  <c r="B42" i="6"/>
  <c r="C42" i="6"/>
  <c r="K27" i="1"/>
  <c r="K28" i="1"/>
  <c r="K32" i="1" s="1"/>
  <c r="K29" i="1"/>
  <c r="K33" i="1" s="1"/>
  <c r="C41" i="6"/>
  <c r="B41" i="6"/>
  <c r="D41" i="6"/>
  <c r="D10" i="4"/>
  <c r="E10" i="4" s="1"/>
  <c r="B16" i="2" l="1"/>
  <c r="H12" i="2" s="1"/>
  <c r="H9" i="2"/>
  <c r="B46" i="6"/>
  <c r="B45" i="6" s="1"/>
  <c r="B44" i="6" s="1"/>
  <c r="D46" i="6" s="1"/>
  <c r="B11" i="4"/>
  <c r="H10" i="2"/>
  <c r="H11" i="2"/>
  <c r="M11" i="1"/>
  <c r="M12" i="1"/>
  <c r="M10" i="1"/>
  <c r="K31" i="1"/>
  <c r="C11" i="4"/>
  <c r="F11" i="4"/>
  <c r="B17" i="2" l="1"/>
  <c r="M22" i="1"/>
  <c r="D45" i="6"/>
  <c r="D44" i="6"/>
  <c r="D15" i="2"/>
  <c r="D16" i="2"/>
  <c r="D17" i="2"/>
  <c r="D14" i="2"/>
  <c r="M3" i="1"/>
  <c r="M4" i="1"/>
  <c r="M2" i="1"/>
  <c r="D11" i="4"/>
  <c r="E11" i="4" s="1"/>
  <c r="B12" i="4" s="1"/>
  <c r="M7" i="1" l="1"/>
  <c r="M8" i="1"/>
  <c r="M6" i="1"/>
  <c r="M14" i="1"/>
  <c r="M16" i="1"/>
  <c r="F12" i="4"/>
  <c r="C12" i="4"/>
  <c r="D12" i="4" s="1"/>
  <c r="M18" i="1" l="1"/>
  <c r="E12" i="4"/>
  <c r="B13" i="4" s="1"/>
  <c r="M25" i="1" l="1"/>
  <c r="M24" i="1"/>
  <c r="F13" i="4"/>
  <c r="C13" i="4"/>
  <c r="D13" i="4" s="1"/>
  <c r="E13" i="4" s="1"/>
  <c r="M28" i="1" l="1"/>
  <c r="M32" i="1" s="1"/>
  <c r="M29" i="1"/>
  <c r="M33" i="1" s="1"/>
  <c r="M27" i="1"/>
  <c r="M31" i="1" s="1"/>
  <c r="B14" i="4"/>
  <c r="O33" i="1" l="1"/>
  <c r="O31" i="1"/>
  <c r="O32" i="1"/>
  <c r="F14" i="4"/>
  <c r="C14" i="4"/>
  <c r="D14" i="4" l="1"/>
  <c r="E14" i="4" s="1"/>
  <c r="B15" i="4" l="1"/>
  <c r="C15" i="4" l="1"/>
  <c r="I4" i="4" s="1"/>
  <c r="D15" i="4"/>
  <c r="E15" i="4" s="1"/>
  <c r="I3" i="4" l="1"/>
  <c r="I2" i="4"/>
  <c r="I5" i="4"/>
  <c r="F15" i="4"/>
  <c r="E7" i="3" l="1"/>
  <c r="J7" i="3"/>
  <c r="C7" i="3"/>
  <c r="F7" i="3"/>
  <c r="G7" i="3"/>
  <c r="D7" i="3"/>
  <c r="I7" i="3" s="1"/>
  <c r="B8" i="3" l="1"/>
  <c r="C9" i="3" s="1"/>
  <c r="E8" i="3"/>
  <c r="J8" i="3" s="1"/>
  <c r="H7" i="3"/>
  <c r="D8" i="3"/>
  <c r="I8" i="3" s="1"/>
  <c r="F8" i="3"/>
  <c r="C8" i="3"/>
  <c r="D9" i="3"/>
  <c r="I9" i="3" l="1"/>
  <c r="G8" i="3"/>
  <c r="E9" i="3"/>
  <c r="J9" i="3"/>
  <c r="B9" i="3"/>
  <c r="H8" i="3"/>
  <c r="B10" i="3"/>
  <c r="H9" i="3"/>
  <c r="G10" i="3" l="1"/>
  <c r="F10" i="3"/>
  <c r="F9" i="3"/>
  <c r="C10" i="3"/>
  <c r="E10" i="3"/>
  <c r="G9" i="3"/>
  <c r="D10" i="3"/>
  <c r="I10" i="3" s="1"/>
  <c r="D11" i="3" l="1"/>
  <c r="I11" i="3" s="1"/>
  <c r="J10" i="3"/>
  <c r="B11" i="3"/>
  <c r="H10" i="3"/>
  <c r="E11" i="3"/>
  <c r="C11" i="3"/>
  <c r="D12" i="3" l="1"/>
  <c r="I12" i="3" s="1"/>
  <c r="J11" i="3"/>
  <c r="H11" i="3"/>
  <c r="B12" i="3"/>
  <c r="E12" i="3"/>
  <c r="C12" i="3"/>
  <c r="F11" i="3"/>
  <c r="G11" i="3"/>
  <c r="D13" i="3" l="1"/>
  <c r="I13" i="3" s="1"/>
  <c r="J12" i="3"/>
  <c r="H12" i="3"/>
  <c r="B13" i="3"/>
  <c r="G12" i="3"/>
  <c r="C13" i="3"/>
  <c r="F12" i="3"/>
  <c r="E13" i="3"/>
  <c r="B14" i="3" l="1"/>
  <c r="H13" i="3"/>
  <c r="D14" i="3"/>
  <c r="I14" i="3" s="1"/>
  <c r="J13" i="3"/>
  <c r="F13" i="3"/>
  <c r="C14" i="3"/>
  <c r="E14" i="3"/>
  <c r="G13" i="3"/>
  <c r="D15" i="3" l="1"/>
  <c r="I15" i="3" s="1"/>
  <c r="J14" i="3"/>
  <c r="B15" i="3"/>
  <c r="H14" i="3"/>
  <c r="F14" i="3"/>
  <c r="E15" i="3"/>
  <c r="J15" i="3" s="1"/>
  <c r="G14" i="3"/>
  <c r="C15" i="3"/>
  <c r="H15" i="3" s="1"/>
  <c r="I5" i="3" l="1"/>
  <c r="G15" i="3"/>
  <c r="I2" i="3"/>
  <c r="I3" i="3"/>
  <c r="F15" i="3"/>
  <c r="I4" i="3"/>
</calcChain>
</file>

<file path=xl/sharedStrings.xml><?xml version="1.0" encoding="utf-8"?>
<sst xmlns="http://schemas.openxmlformats.org/spreadsheetml/2006/main" count="138" uniqueCount="93">
  <si>
    <t>Метод сопряженных градиентов</t>
  </si>
  <si>
    <t>A=</t>
  </si>
  <si>
    <t>b=</t>
  </si>
  <si>
    <t>r0=</t>
  </si>
  <si>
    <t>r1=</t>
  </si>
  <si>
    <t>r2=</t>
  </si>
  <si>
    <t>(r0,r0)=</t>
  </si>
  <si>
    <t>(r1,r1)=</t>
  </si>
  <si>
    <t>x0=</t>
  </si>
  <si>
    <t>Ar2=</t>
  </si>
  <si>
    <t>Ar0=</t>
  </si>
  <si>
    <t>Ar1=</t>
  </si>
  <si>
    <t>Ad2=</t>
  </si>
  <si>
    <t>(Ar0,r0)=</t>
  </si>
  <si>
    <t>Ad1=</t>
  </si>
  <si>
    <t>b0=</t>
  </si>
  <si>
    <t>(r2,r2)=</t>
  </si>
  <si>
    <t>(r1,d1)=</t>
  </si>
  <si>
    <t>(r2,d2)=</t>
  </si>
  <si>
    <t>d1=</t>
  </si>
  <si>
    <t>(Ar1,d1)=</t>
  </si>
  <si>
    <t>(Ar2,d2)=</t>
  </si>
  <si>
    <t>(Ar1,r1)=</t>
  </si>
  <si>
    <t>(Ar2,r2)=</t>
  </si>
  <si>
    <t>x1=</t>
  </si>
  <si>
    <t>(Ad1,d1)=</t>
  </si>
  <si>
    <t>(Ad2,d2)=</t>
  </si>
  <si>
    <t>a1=</t>
  </si>
  <si>
    <t>b1=</t>
  </si>
  <si>
    <t>d2=</t>
  </si>
  <si>
    <t>x2=</t>
  </si>
  <si>
    <t>x3=</t>
  </si>
  <si>
    <t>Проверка</t>
  </si>
  <si>
    <t>Метод ортогонализации</t>
  </si>
  <si>
    <t>A</t>
  </si>
  <si>
    <t>b</t>
  </si>
  <si>
    <t>t12=</t>
  </si>
  <si>
    <t>t13=</t>
  </si>
  <si>
    <t>t14=</t>
  </si>
  <si>
    <t>b1</t>
  </si>
  <si>
    <t>b2</t>
  </si>
  <si>
    <t>b3</t>
  </si>
  <si>
    <t>R</t>
  </si>
  <si>
    <t>x4=</t>
  </si>
  <si>
    <t>Метод простой итерации</t>
  </si>
  <si>
    <t>x</t>
  </si>
  <si>
    <t>e=</t>
  </si>
  <si>
    <t>Метод Зейделя</t>
  </si>
  <si>
    <t>Метод квадратного корня</t>
  </si>
  <si>
    <t>72-6i</t>
  </si>
  <si>
    <t>36-18i</t>
  </si>
  <si>
    <t>44-26i</t>
  </si>
  <si>
    <t>T</t>
  </si>
  <si>
    <t>y</t>
  </si>
  <si>
    <t>Метод отражений</t>
  </si>
  <si>
    <t>1+2i</t>
  </si>
  <si>
    <t>4-5i</t>
  </si>
  <si>
    <t>7+4i</t>
  </si>
  <si>
    <t>8+i</t>
  </si>
  <si>
    <t>2-i</t>
  </si>
  <si>
    <t>1+i</t>
  </si>
  <si>
    <t>h</t>
  </si>
  <si>
    <t>E</t>
  </si>
  <si>
    <t>3+i</t>
  </si>
  <si>
    <t>2+3i</t>
  </si>
  <si>
    <t>s</t>
  </si>
  <si>
    <t>|s|=</t>
  </si>
  <si>
    <t>p=</t>
  </si>
  <si>
    <t>W</t>
  </si>
  <si>
    <t>WT</t>
  </si>
  <si>
    <t>U</t>
  </si>
  <si>
    <t>A1</t>
  </si>
  <si>
    <t>Шаг 2</t>
  </si>
  <si>
    <t>A2</t>
  </si>
  <si>
    <t>40+55i</t>
  </si>
  <si>
    <t>15+33i</t>
  </si>
  <si>
    <t>8-41i</t>
  </si>
  <si>
    <t>46,881061+55,366671i</t>
  </si>
  <si>
    <t>88-86i</t>
  </si>
  <si>
    <t>67-55i</t>
  </si>
  <si>
    <t>-32+62i</t>
  </si>
  <si>
    <t>50-38i</t>
  </si>
  <si>
    <t>4-28i</t>
  </si>
  <si>
    <t>160+124i</t>
  </si>
  <si>
    <t>B</t>
  </si>
  <si>
    <t>меняем первую и вторую строку местами</t>
  </si>
  <si>
    <t>вычитаем из 4 строки 3</t>
  </si>
  <si>
    <t>первая строка + 4 + 3*0,8</t>
  </si>
  <si>
    <t>умножим 3 строку на 3  прибавим 1 и 4 и 3 уноженую на 1,5</t>
  </si>
  <si>
    <t>меняем 1 строку с 3</t>
  </si>
  <si>
    <t>и 2 с 4</t>
  </si>
  <si>
    <t>1 строчка = 1 + 2 *0,8</t>
  </si>
  <si>
    <t>4 строчка = + 3+1+2*0,9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</si>
</sst>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E+00"/>
    <numFmt numFmtId="166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64" fontId="0" fillId="0" borderId="0" xfId="0" applyNumberFormat="1"/>
    <xf numFmtId="164" fontId="0" fillId="0" borderId="7" xfId="0" applyNumberFormat="1" applyBorder="1"/>
    <xf numFmtId="164" fontId="0" fillId="2" borderId="0" xfId="0" applyNumberFormat="1" applyFill="1"/>
    <xf numFmtId="166" fontId="0" fillId="2" borderId="0" xfId="0" applyNumberFormat="1" applyFill="1"/>
    <xf numFmtId="164" fontId="0" fillId="2" borderId="2" xfId="0" applyNumberFormat="1" applyFill="1" applyBorder="1"/>
    <xf numFmtId="0" fontId="0" fillId="0" borderId="2" xfId="0" applyBorder="1"/>
    <xf numFmtId="0" fontId="0" fillId="0" borderId="9" xfId="0" applyBorder="1"/>
    <xf numFmtId="164" fontId="0" fillId="0" borderId="0" xfId="0" applyNumberFormat="1" applyAlignment="1">
      <alignment horizontal="left" indent="2"/>
    </xf>
    <xf numFmtId="0" fontId="0" fillId="0" borderId="8" xfId="0" applyBorder="1"/>
    <xf numFmtId="0" fontId="2" fillId="0" borderId="4" xfId="0" applyFont="1" applyBorder="1"/>
    <xf numFmtId="0" fontId="0" fillId="0" borderId="1" xfId="0" quotePrefix="1" applyBorder="1"/>
    <xf numFmtId="0" fontId="0" fillId="0" borderId="0" xfId="0" applyAlignment="1">
      <alignment horizontal="right"/>
    </xf>
    <xf numFmtId="0" fontId="0" fillId="0" borderId="10" xfId="0" applyBorder="1"/>
    <xf numFmtId="0" fontId="3" fillId="2" borderId="1" xfId="0" applyFont="1" applyFill="1" applyBorder="1"/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6" xfId="0" applyFill="1" applyBorder="1"/>
    <xf numFmtId="2" fontId="0" fillId="2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3" borderId="7" xfId="0" applyFill="1" applyBorder="1"/>
    <xf numFmtId="0" fontId="0" fillId="2" borderId="7" xfId="0" applyFill="1" applyBorder="1"/>
    <xf numFmtId="0" fontId="0" fillId="3" borderId="8" xfId="0" applyFill="1" applyBorder="1"/>
    <xf numFmtId="0" fontId="0" fillId="0" borderId="0" xfId="0" applyAlignment="1">
      <alignment horizontal="center"/>
    </xf>
    <xf numFmtId="0" fontId="0" fillId="2" borderId="0" xfId="0" applyFill="1"/>
    <xf numFmtId="167" fontId="0" fillId="2" borderId="0" xfId="0" applyNumberFormat="1" applyFill="1"/>
    <xf numFmtId="164" fontId="0" fillId="2" borderId="0" xfId="0" applyNumberFormat="1" applyFill="1" applyAlignment="1">
      <alignment horizontal="left" indent="2"/>
    </xf>
    <xf numFmtId="164" fontId="0" fillId="4" borderId="2" xfId="0" applyNumberFormat="1" applyFill="1" applyBorder="1"/>
    <xf numFmtId="164" fontId="0" fillId="4" borderId="0" xfId="0" applyNumberFormat="1" applyFill="1"/>
    <xf numFmtId="0" fontId="0" fillId="5" borderId="6" xfId="0" applyFill="1" applyBorder="1"/>
    <xf numFmtId="0" fontId="0" fillId="5" borderId="0" xfId="0" applyFill="1"/>
    <xf numFmtId="167" fontId="0" fillId="2" borderId="7" xfId="0" applyNumberFormat="1" applyFill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zoomScale="130" zoomScaleNormal="130" workbookViewId="0">
      <selection activeCell="B15" sqref="B15"/>
    </sheetView>
  </sheetViews>
  <sheetFormatPr defaultRowHeight="15" x14ac:dyDescent="0.25"/>
  <cols>
    <col min="2" max="2" width="12.140625" customWidth="1"/>
    <col min="3" max="3" width="10.7109375" customWidth="1"/>
    <col min="4" max="4" width="15.7109375" customWidth="1"/>
    <col min="5" max="5" width="22.85546875" customWidth="1"/>
    <col min="7" max="7" width="8.85546875" customWidth="1"/>
    <col min="9" max="9" width="11.42578125" customWidth="1"/>
  </cols>
  <sheetData>
    <row r="1" spans="1:21" ht="18.75" x14ac:dyDescent="0.3">
      <c r="A1" s="7"/>
      <c r="B1" s="8"/>
      <c r="C1" s="44" t="s">
        <v>47</v>
      </c>
      <c r="D1" s="44"/>
      <c r="E1" s="44"/>
      <c r="F1" s="8"/>
      <c r="G1" s="8"/>
      <c r="H1" s="8"/>
      <c r="I1" s="9"/>
    </row>
    <row r="2" spans="1:21" x14ac:dyDescent="0.25">
      <c r="A2" s="11"/>
      <c r="B2" s="1">
        <v>-8.0169999999999995</v>
      </c>
      <c r="C2" s="1">
        <v>2.0000000000000462E-2</v>
      </c>
      <c r="D2" s="1">
        <v>-4.9969999999999999</v>
      </c>
      <c r="E2" s="1">
        <v>-1.9700000000000002</v>
      </c>
      <c r="F2" s="1">
        <v>105.88</v>
      </c>
      <c r="H2" s="42" t="s">
        <v>32</v>
      </c>
      <c r="I2" s="43">
        <f>$B$15*B2+C2*$C$15+$D$15*D2+E2*$E$15</f>
        <v>105.88054598623245</v>
      </c>
    </row>
    <row r="3" spans="1:21" x14ac:dyDescent="0.25">
      <c r="A3" s="41" t="s">
        <v>34</v>
      </c>
      <c r="B3" s="1">
        <v>1.79</v>
      </c>
      <c r="C3" s="1">
        <v>9.4</v>
      </c>
      <c r="D3" s="1">
        <v>1.19</v>
      </c>
      <c r="E3" s="1">
        <v>0.6</v>
      </c>
      <c r="F3" s="1">
        <v>67.400000000000006</v>
      </c>
      <c r="G3" s="42" t="s">
        <v>35</v>
      </c>
      <c r="I3" s="43">
        <f t="shared" ref="I3:I5" si="0">$B$15*B3+C3*$C$15+$D$15*D3+E3*$E$15</f>
        <v>67.399882380613903</v>
      </c>
      <c r="L3">
        <v>-13.206935262567045</v>
      </c>
      <c r="M3">
        <v>9.6851504382973417</v>
      </c>
      <c r="N3">
        <v>-11.334247714268823</v>
      </c>
      <c r="O3">
        <v>-6.8174528305610735</v>
      </c>
    </row>
    <row r="4" spans="1:21" x14ac:dyDescent="0.25">
      <c r="A4" s="11"/>
      <c r="B4" s="1">
        <v>2.62</v>
      </c>
      <c r="C4" s="1">
        <v>-0.64</v>
      </c>
      <c r="D4" s="1">
        <v>-8.02</v>
      </c>
      <c r="E4" s="1">
        <v>1.35</v>
      </c>
      <c r="F4" s="1">
        <v>50.1</v>
      </c>
      <c r="I4" s="43">
        <f t="shared" si="0"/>
        <v>50.100127873079195</v>
      </c>
      <c r="L4">
        <v>-4.4428937366630201</v>
      </c>
      <c r="M4">
        <v>9.8862772624407818</v>
      </c>
      <c r="N4">
        <v>-9.6348080248474641</v>
      </c>
      <c r="O4">
        <v>-8.1943584619484735</v>
      </c>
    </row>
    <row r="5" spans="1:21" x14ac:dyDescent="0.25">
      <c r="A5" s="11"/>
      <c r="B5" s="1">
        <v>-0.45599999999999929</v>
      </c>
      <c r="C5" s="1">
        <v>2.5200000000000014</v>
      </c>
      <c r="D5" s="1">
        <v>-3.9260000000000002</v>
      </c>
      <c r="E5" s="1">
        <v>-7.38</v>
      </c>
      <c r="F5" s="1">
        <v>125.24</v>
      </c>
      <c r="I5" s="43">
        <f t="shared" si="0"/>
        <v>125.24</v>
      </c>
      <c r="Q5" s="30"/>
      <c r="R5" s="30"/>
      <c r="S5" s="30"/>
      <c r="T5" s="30"/>
      <c r="U5" s="30"/>
    </row>
    <row r="6" spans="1:21" x14ac:dyDescent="0.25">
      <c r="A6" s="41" t="s">
        <v>45</v>
      </c>
      <c r="B6">
        <v>0</v>
      </c>
      <c r="C6">
        <v>0</v>
      </c>
      <c r="D6">
        <v>0</v>
      </c>
      <c r="E6">
        <v>0</v>
      </c>
      <c r="G6" s="42" t="s">
        <v>46</v>
      </c>
      <c r="H6">
        <v>1E-3</v>
      </c>
      <c r="I6" s="10"/>
      <c r="K6" s="30"/>
      <c r="L6" s="30"/>
      <c r="M6" s="30"/>
      <c r="N6" s="30"/>
      <c r="O6" s="30"/>
      <c r="Q6" s="30"/>
      <c r="R6" s="30"/>
      <c r="S6" s="30"/>
      <c r="T6" s="30"/>
      <c r="U6" s="30"/>
    </row>
    <row r="7" spans="1:21" x14ac:dyDescent="0.25">
      <c r="A7" s="11">
        <v>1</v>
      </c>
      <c r="B7">
        <f t="shared" ref="B7:B15" si="1">($F$2-($C$2*C6+$D$2*D6+E6*$E$2))/$B$2</f>
        <v>-13.206935262567045</v>
      </c>
      <c r="C7">
        <f t="shared" ref="C7:C15" si="2">($F$3-(B7*$B$3+$D$3*D6+$E$3*E6))/$C$3</f>
        <v>9.6851504382973417</v>
      </c>
      <c r="D7">
        <f t="shared" ref="D7:D15" si="3">($F$4-($B$4*B7+C7*$C$4+$E$4*E6))/$D$4</f>
        <v>-11.334247714268823</v>
      </c>
      <c r="E7">
        <f t="shared" ref="E7:E15" si="4">($F$5-(B7*$B$5+$C$5*C7+D7*$D$5))/$E$5</f>
        <v>-6.8174528305610735</v>
      </c>
      <c r="F7" t="str">
        <f t="shared" ref="F7:F15" si="5">IF(ABS(B7-B6)&gt;$H$6," ",IF(ABS(C7-C6)&gt;$H$6," ",IF(ABS(D7-D6)&gt;$H$6," ",IF(ABS(E7-E6)&gt;$H$6," ","корни"))))</f>
        <v xml:space="preserve"> </v>
      </c>
      <c r="I7" s="10"/>
      <c r="K7" s="30"/>
      <c r="L7" s="30"/>
      <c r="M7" s="30"/>
      <c r="N7" s="30"/>
      <c r="O7" s="30"/>
      <c r="Q7" s="30"/>
      <c r="R7" s="30"/>
      <c r="S7" s="30"/>
      <c r="T7" s="30"/>
      <c r="U7" s="30"/>
    </row>
    <row r="8" spans="1:21" x14ac:dyDescent="0.25">
      <c r="A8" s="11">
        <f>A7+1</f>
        <v>2</v>
      </c>
      <c r="B8" s="12">
        <f t="shared" si="1"/>
        <v>-4.4428937366630201</v>
      </c>
      <c r="C8" s="12">
        <f t="shared" si="2"/>
        <v>9.8862772624407818</v>
      </c>
      <c r="D8" s="12">
        <f t="shared" si="3"/>
        <v>-9.6348080248474641</v>
      </c>
      <c r="E8" s="12">
        <f t="shared" si="4"/>
        <v>-8.1943584619484735</v>
      </c>
      <c r="F8" t="str">
        <f t="shared" si="5"/>
        <v xml:space="preserve"> </v>
      </c>
      <c r="I8" s="10"/>
      <c r="Q8" s="30"/>
      <c r="R8" s="30"/>
      <c r="S8" s="30"/>
      <c r="T8" s="30"/>
      <c r="U8" s="30"/>
    </row>
    <row r="9" spans="1:21" x14ac:dyDescent="0.25">
      <c r="A9" s="11">
        <f t="shared" ref="A9:A15" si="6">A8+1</f>
        <v>3</v>
      </c>
      <c r="B9" s="12">
        <f t="shared" si="1"/>
        <v>-5.16330954029561</v>
      </c>
      <c r="C9" s="12">
        <f t="shared" si="2"/>
        <v>9.8962085855177335</v>
      </c>
      <c r="D9" s="12">
        <f t="shared" si="3"/>
        <v>-10.102721747373602</v>
      </c>
      <c r="E9" s="12">
        <f t="shared" si="4"/>
        <v>-7.8975338257360077</v>
      </c>
      <c r="F9" t="str">
        <f t="shared" si="5"/>
        <v xml:space="preserve"> </v>
      </c>
      <c r="I9" s="10"/>
    </row>
    <row r="10" spans="1:21" x14ac:dyDescent="0.25">
      <c r="A10" s="11">
        <f t="shared" si="6"/>
        <v>4</v>
      </c>
      <c r="B10" s="12">
        <f t="shared" si="1"/>
        <v>-4.9445719870230525</v>
      </c>
      <c r="C10" s="12">
        <f t="shared" si="2"/>
        <v>9.8948450033603663</v>
      </c>
      <c r="D10" s="12">
        <f t="shared" si="3"/>
        <v>-9.9811907821564407</v>
      </c>
      <c r="E10" s="12">
        <f t="shared" si="4"/>
        <v>-7.9761667689299678</v>
      </c>
      <c r="F10" t="str">
        <f t="shared" si="5"/>
        <v xml:space="preserve"> </v>
      </c>
      <c r="I10" s="10"/>
    </row>
    <row r="11" spans="1:21" x14ac:dyDescent="0.25">
      <c r="A11" s="11">
        <f t="shared" si="6"/>
        <v>5</v>
      </c>
      <c r="B11" s="12">
        <f t="shared" si="1"/>
        <v>-5.0010033961213676</v>
      </c>
      <c r="C11" s="12">
        <f t="shared" si="2"/>
        <v>9.8952248054448297</v>
      </c>
      <c r="D11" s="12">
        <f t="shared" si="3"/>
        <v>-10.012892507653135</v>
      </c>
      <c r="E11" s="12">
        <f t="shared" si="4"/>
        <v>-7.9556856309758084</v>
      </c>
      <c r="F11" t="str">
        <f t="shared" si="5"/>
        <v xml:space="preserve"> </v>
      </c>
      <c r="I11" s="10"/>
    </row>
    <row r="12" spans="1:21" x14ac:dyDescent="0.25">
      <c r="A12" s="11">
        <f t="shared" si="6"/>
        <v>6</v>
      </c>
      <c r="B12" s="12">
        <f t="shared" si="1"/>
        <v>-4.9862755332575821</v>
      </c>
      <c r="C12" s="12">
        <f t="shared" si="2"/>
        <v>9.8951262411940206</v>
      </c>
      <c r="D12" s="12">
        <f t="shared" si="3"/>
        <v>-10.004625722358652</v>
      </c>
      <c r="E12" s="12">
        <f t="shared" si="4"/>
        <v>-7.961027051903188</v>
      </c>
      <c r="F12" t="str">
        <f t="shared" si="5"/>
        <v xml:space="preserve"> </v>
      </c>
      <c r="I12" s="10"/>
    </row>
    <row r="13" spans="1:21" x14ac:dyDescent="0.25">
      <c r="A13" s="11">
        <f t="shared" si="6"/>
        <v>7</v>
      </c>
      <c r="B13" s="12">
        <f t="shared" si="1"/>
        <v>-4.9901159346763926</v>
      </c>
      <c r="C13" s="12">
        <f t="shared" si="2"/>
        <v>9.8951519535978143</v>
      </c>
      <c r="D13" s="12">
        <f t="shared" si="3"/>
        <v>-10.006781486187538</v>
      </c>
      <c r="E13" s="12">
        <f t="shared" si="4"/>
        <v>-7.9596341593426523</v>
      </c>
      <c r="F13" t="str">
        <f t="shared" si="5"/>
        <v xml:space="preserve"> </v>
      </c>
      <c r="I13" s="10"/>
      <c r="M13">
        <v>-4.989114454352487</v>
      </c>
      <c r="N13">
        <v>9.8951452486659282</v>
      </c>
      <c r="O13">
        <v>-10.00621931978333</v>
      </c>
      <c r="P13">
        <v>-7.9599973892557898</v>
      </c>
    </row>
    <row r="14" spans="1:21" x14ac:dyDescent="0.25">
      <c r="A14" s="11">
        <f t="shared" si="6"/>
        <v>8</v>
      </c>
      <c r="B14" s="12">
        <f t="shared" si="1"/>
        <v>-4.989114454352487</v>
      </c>
      <c r="C14" s="12">
        <f t="shared" si="2"/>
        <v>9.8951452486659282</v>
      </c>
      <c r="D14" s="12">
        <f t="shared" si="3"/>
        <v>-10.00621931978333</v>
      </c>
      <c r="E14" s="12">
        <f t="shared" si="4"/>
        <v>-7.9599973892557934</v>
      </c>
      <c r="F14" t="str">
        <f t="shared" si="5"/>
        <v xml:space="preserve"> </v>
      </c>
      <c r="I14" s="10"/>
      <c r="M14">
        <v>-4.9893756139747349</v>
      </c>
      <c r="N14">
        <v>9.8951469971394062</v>
      </c>
      <c r="O14">
        <v>-10.00636591798982</v>
      </c>
      <c r="P14">
        <v>-7.959902668456392</v>
      </c>
    </row>
    <row r="15" spans="1:21" x14ac:dyDescent="0.25">
      <c r="A15" s="11">
        <f t="shared" si="6"/>
        <v>9</v>
      </c>
      <c r="B15" s="14">
        <f t="shared" si="1"/>
        <v>-4.9893756139747349</v>
      </c>
      <c r="C15" s="14">
        <f t="shared" si="2"/>
        <v>9.8951469971394062</v>
      </c>
      <c r="D15" s="14">
        <f t="shared" si="3"/>
        <v>-10.00636591798982</v>
      </c>
      <c r="E15" s="14">
        <f t="shared" si="4"/>
        <v>-7.959902668456392</v>
      </c>
      <c r="F15" t="str">
        <f t="shared" si="5"/>
        <v>корни</v>
      </c>
      <c r="I15" s="10"/>
    </row>
    <row r="16" spans="1:21" x14ac:dyDescent="0.25">
      <c r="A16" s="11"/>
      <c r="B16" s="12"/>
      <c r="C16" s="12"/>
      <c r="D16" s="12"/>
      <c r="E16" s="12"/>
      <c r="I16" s="10"/>
    </row>
    <row r="17" spans="1:11" x14ac:dyDescent="0.25">
      <c r="A17" s="11"/>
      <c r="B17" s="40"/>
      <c r="C17" s="40"/>
      <c r="D17" s="40"/>
      <c r="E17" s="40"/>
      <c r="I17" s="10"/>
    </row>
    <row r="18" spans="1:11" x14ac:dyDescent="0.25">
      <c r="A18" s="20"/>
      <c r="B18" s="39"/>
      <c r="C18" s="39"/>
      <c r="D18" s="39"/>
      <c r="E18" s="39"/>
      <c r="F18" s="17"/>
      <c r="G18" s="17"/>
      <c r="H18" s="17"/>
      <c r="I18" s="18"/>
    </row>
    <row r="20" spans="1:11" x14ac:dyDescent="0.25">
      <c r="A20" t="s">
        <v>89</v>
      </c>
      <c r="D20" t="s">
        <v>90</v>
      </c>
      <c r="G20" t="s">
        <v>91</v>
      </c>
      <c r="J20" t="s">
        <v>92</v>
      </c>
    </row>
    <row r="21" spans="1:11" x14ac:dyDescent="0.25">
      <c r="A21">
        <v>-9.27</v>
      </c>
      <c r="B21">
        <v>-6.56</v>
      </c>
      <c r="C21">
        <v>-5.83</v>
      </c>
      <c r="D21">
        <v>-2.39</v>
      </c>
      <c r="E21">
        <v>58.7</v>
      </c>
      <c r="G21" s="36">
        <v>-8.0169999999999995</v>
      </c>
      <c r="H21" s="36">
        <v>2.0000000000000462E-2</v>
      </c>
      <c r="I21" s="36">
        <v>-4.9969999999999999</v>
      </c>
      <c r="J21" s="36">
        <v>-1.9700000000000002</v>
      </c>
      <c r="K21" s="36">
        <v>105.88</v>
      </c>
    </row>
    <row r="22" spans="1:11" x14ac:dyDescent="0.25">
      <c r="A22" s="36">
        <v>1.79</v>
      </c>
      <c r="B22" s="36">
        <v>9.4</v>
      </c>
      <c r="C22" s="36">
        <v>1.19</v>
      </c>
      <c r="D22" s="36">
        <v>0.6</v>
      </c>
      <c r="E22" s="36">
        <v>67.400000000000006</v>
      </c>
      <c r="G22" s="36">
        <v>1.79</v>
      </c>
      <c r="H22" s="36">
        <v>9.4</v>
      </c>
      <c r="I22" s="36">
        <v>1.19</v>
      </c>
      <c r="J22" s="36">
        <v>0.6</v>
      </c>
      <c r="K22" s="36">
        <v>67.400000000000006</v>
      </c>
    </row>
    <row r="23" spans="1:11" x14ac:dyDescent="0.25">
      <c r="A23" s="36">
        <v>2.62</v>
      </c>
      <c r="B23" s="36">
        <v>-0.64</v>
      </c>
      <c r="C23" s="36">
        <v>-8.02</v>
      </c>
      <c r="D23" s="36">
        <v>1.35</v>
      </c>
      <c r="E23" s="36">
        <v>50.1</v>
      </c>
      <c r="G23" s="36">
        <v>2.62</v>
      </c>
      <c r="H23" s="36">
        <v>-0.64</v>
      </c>
      <c r="I23" s="36">
        <v>-8.02</v>
      </c>
      <c r="J23" s="36">
        <v>1.35</v>
      </c>
      <c r="K23" s="36">
        <v>50.1</v>
      </c>
    </row>
    <row r="24" spans="1:11" x14ac:dyDescent="0.25">
      <c r="A24">
        <v>3.33</v>
      </c>
      <c r="B24">
        <v>-5.32</v>
      </c>
      <c r="C24">
        <v>8.02</v>
      </c>
      <c r="D24">
        <v>-7.3</v>
      </c>
      <c r="E24">
        <v>-91.4</v>
      </c>
      <c r="G24" s="36">
        <v>-0.45599999999999929</v>
      </c>
      <c r="H24" s="36">
        <v>2.5200000000000014</v>
      </c>
      <c r="I24" s="36">
        <v>-3.9260000000000002</v>
      </c>
      <c r="J24" s="36">
        <v>-7.38</v>
      </c>
      <c r="K24" s="36">
        <v>125.23999999999998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4"/>
  <sheetViews>
    <sheetView zoomScale="130" zoomScaleNormal="130" workbookViewId="0">
      <selection activeCell="U11" sqref="U11"/>
    </sheetView>
  </sheetViews>
  <sheetFormatPr defaultRowHeight="15" x14ac:dyDescent="0.25"/>
  <cols>
    <col min="2" max="2" width="14.28515625" customWidth="1"/>
    <col min="3" max="3" width="17" customWidth="1"/>
    <col min="4" max="4" width="19.42578125" customWidth="1"/>
    <col min="5" max="5" width="18" customWidth="1"/>
    <col min="6" max="6" width="9.140625" customWidth="1"/>
    <col min="7" max="7" width="15.5703125" customWidth="1"/>
    <col min="8" max="8" width="12.42578125" customWidth="1"/>
    <col min="9" max="9" width="12.140625" customWidth="1"/>
    <col min="10" max="10" width="10.85546875" customWidth="1"/>
  </cols>
  <sheetData>
    <row r="1" spans="1:21" ht="18.75" x14ac:dyDescent="0.3">
      <c r="A1" s="7"/>
      <c r="B1" s="8"/>
      <c r="C1" s="44" t="s">
        <v>44</v>
      </c>
      <c r="D1" s="44"/>
      <c r="E1" s="44"/>
      <c r="F1" s="44"/>
      <c r="G1" s="8"/>
      <c r="H1" s="8"/>
      <c r="I1" s="8"/>
      <c r="J1" s="9"/>
    </row>
    <row r="2" spans="1:21" x14ac:dyDescent="0.25">
      <c r="A2" s="11"/>
      <c r="B2" s="1">
        <v>9.4359999999999999</v>
      </c>
      <c r="C2" s="1">
        <v>-1.8299999999999996</v>
      </c>
      <c r="D2" s="1">
        <v>6.4939999999999998</v>
      </c>
      <c r="E2" s="1">
        <v>-1.0779999999999994</v>
      </c>
      <c r="F2" s="1">
        <v>-20.76</v>
      </c>
      <c r="H2" s="27" t="s">
        <v>32</v>
      </c>
      <c r="I2" s="37">
        <f>$B$15*B2+C2*$C$15+$D$15*D2+E2*$E$15</f>
        <v>-20.753913427668778</v>
      </c>
      <c r="J2" s="10"/>
    </row>
    <row r="3" spans="1:21" x14ac:dyDescent="0.25">
      <c r="A3" s="28" t="s">
        <v>34</v>
      </c>
      <c r="B3" s="1">
        <v>-7.0000000000000007E-2</v>
      </c>
      <c r="C3" s="1">
        <v>9.89</v>
      </c>
      <c r="D3" s="1">
        <v>-0.17</v>
      </c>
      <c r="E3" s="1">
        <v>-0.28000000000000003</v>
      </c>
      <c r="F3" s="1">
        <v>0.1</v>
      </c>
      <c r="G3" s="27" t="s">
        <v>35</v>
      </c>
      <c r="I3" s="37">
        <f t="shared" ref="I3:I5" si="0">$B$15*B3+C3*$C$15+$D$15*D3+E3*$E$15</f>
        <v>9.99333874331918E-2</v>
      </c>
      <c r="J3" s="10"/>
    </row>
    <row r="4" spans="1:21" x14ac:dyDescent="0.25">
      <c r="A4" s="11"/>
      <c r="B4" s="1">
        <v>2.5509999999999997</v>
      </c>
      <c r="C4" s="1">
        <v>-0.32499999999999973</v>
      </c>
      <c r="D4" s="1">
        <v>16.149000000000001</v>
      </c>
      <c r="E4" s="1">
        <v>5.1119999999999983</v>
      </c>
      <c r="F4" s="1">
        <v>178.49</v>
      </c>
      <c r="I4" s="37">
        <f t="shared" si="0"/>
        <v>178.48837421186676</v>
      </c>
      <c r="J4" s="10"/>
    </row>
    <row r="5" spans="1:21" x14ac:dyDescent="0.25">
      <c r="A5" s="11"/>
      <c r="B5" s="1">
        <v>2.3099999999999996</v>
      </c>
      <c r="C5" s="1">
        <v>1.3700000000000006</v>
      </c>
      <c r="D5" s="1">
        <v>3.67</v>
      </c>
      <c r="E5" s="1">
        <v>-14.96</v>
      </c>
      <c r="F5" s="1">
        <v>-100.3</v>
      </c>
      <c r="I5" s="37">
        <f t="shared" si="0"/>
        <v>-100.29715450688215</v>
      </c>
      <c r="J5" s="10"/>
    </row>
    <row r="6" spans="1:21" x14ac:dyDescent="0.25">
      <c r="A6" s="28" t="s">
        <v>45</v>
      </c>
      <c r="B6">
        <v>0</v>
      </c>
      <c r="C6">
        <v>0</v>
      </c>
      <c r="D6">
        <v>0</v>
      </c>
      <c r="E6">
        <v>0</v>
      </c>
      <c r="G6" s="27" t="s">
        <v>46</v>
      </c>
      <c r="H6">
        <v>1E-3</v>
      </c>
      <c r="J6" s="10"/>
    </row>
    <row r="7" spans="1:21" x14ac:dyDescent="0.25">
      <c r="A7" s="11">
        <v>1</v>
      </c>
      <c r="B7" s="19">
        <f>($F$2-$C$2*C6-$D$2*D6-$E$2*E6)/$B$2</f>
        <v>-2.2000847816871558</v>
      </c>
      <c r="C7" s="19">
        <f>($F$3-B6*$B$3-$D$3*D6-$E$3*E6)/$C$3</f>
        <v>1.0111223458038422E-2</v>
      </c>
      <c r="D7" s="19">
        <f>($F$4-$E$4*E6-$C$4*C6-$B$4*B6)/$D$4</f>
        <v>11.052696761409376</v>
      </c>
      <c r="E7" s="19">
        <f>($F$5-$B$5*B6-$C$5*C6-$D$5*D6)/$E$5</f>
        <v>6.7045454545454541</v>
      </c>
      <c r="F7" t="str">
        <f>IF(ABS(B7-B6)&gt;$H$6," ",IF(ABS(C7-C6)&gt;$H$6," ",IF(ABS(D7-D6)&gt;$H$6," ",IF(ABS(E7-E6)&gt;$H$6," ","корни"))))</f>
        <v xml:space="preserve"> </v>
      </c>
      <c r="G7" t="str">
        <f>IF(ABS(B7-B6)&gt;$H$6," ","корень x1")</f>
        <v xml:space="preserve"> </v>
      </c>
      <c r="H7" t="str">
        <f>IF(ABS(C7-C6)&gt;$H$6," ","корень x2")</f>
        <v xml:space="preserve"> </v>
      </c>
      <c r="I7" t="str">
        <f>IF(ABS(D7-D6)&gt;$H$6," ","корень x3")</f>
        <v xml:space="preserve"> </v>
      </c>
      <c r="J7" s="10" t="str">
        <f>IF(ABS(E7-E6)&gt;$H$6," ","корень x4")</f>
        <v xml:space="preserve"> </v>
      </c>
    </row>
    <row r="8" spans="1:21" x14ac:dyDescent="0.25">
      <c r="A8" s="11">
        <v>2</v>
      </c>
      <c r="B8" s="19">
        <f t="shared" ref="B8:B15" si="1">($F$2-$C$2*C7-$D$2*D7-$E$2*E7)/$B$2</f>
        <v>-9.0388097954286017</v>
      </c>
      <c r="C8" s="19">
        <f t="shared" ref="C8:C15" si="2">($F$3-B7*$B$3-$D$3*D7-$E$3*E7)/$C$3</f>
        <v>0.37434026713793939</v>
      </c>
      <c r="D8" s="19">
        <f t="shared" ref="D8:D14" si="3">($F$4-$E$4*E7-$C$4*C7-$B$4*B7)/$D$4</f>
        <v>9.2781018058128346</v>
      </c>
      <c r="E8" s="19">
        <f t="shared" ref="E8:E15" si="4">($F$5-$B$5*B7-$C$5*C7-$D$5*D7)/$E$5</f>
        <v>9.0772094682361342</v>
      </c>
      <c r="F8" t="str">
        <f t="shared" ref="F8:F15" si="5">IF(ABS(B8-B7)&gt;$H$6," ",IF(ABS(C8-C7)&gt;$H$6," ",IF(ABS(D8-D7)&gt;$H$6," ",IF(ABS(E8-E7)&gt;$H$6," ","корни"))))</f>
        <v xml:space="preserve"> </v>
      </c>
      <c r="G8" t="str">
        <f t="shared" ref="G8:G15" si="6">IF(ABS(B8-B7)&gt;$H$6," ","корень x1")</f>
        <v xml:space="preserve"> </v>
      </c>
      <c r="H8" t="str">
        <f t="shared" ref="H8:H15" si="7">IF(ABS(C8-C7)&gt;$H$6," ","корень x2")</f>
        <v xml:space="preserve"> </v>
      </c>
      <c r="I8" t="str">
        <f t="shared" ref="I8:I15" si="8">IF(ABS(D8-D7)&gt;$H$6," ","корень x3")</f>
        <v xml:space="preserve"> </v>
      </c>
      <c r="J8" s="10" t="str">
        <f t="shared" ref="J8:J15" si="9">IF(ABS(E8-E7)&gt;$H$6," ","корень x4")</f>
        <v xml:space="preserve"> </v>
      </c>
    </row>
    <row r="9" spans="1:21" x14ac:dyDescent="0.25">
      <c r="A9" s="11">
        <v>3</v>
      </c>
      <c r="B9" s="19">
        <f t="shared" si="1"/>
        <v>-7.4758074005222115</v>
      </c>
      <c r="C9" s="19">
        <f t="shared" si="2"/>
        <v>0.36260659983966603</v>
      </c>
      <c r="D9" s="19">
        <f t="shared" si="3"/>
        <v>9.61464917786458</v>
      </c>
      <c r="E9" s="19">
        <f t="shared" si="4"/>
        <v>7.6192399175048129</v>
      </c>
      <c r="F9" t="str">
        <f t="shared" si="5"/>
        <v xml:space="preserve"> </v>
      </c>
      <c r="G9" t="str">
        <f t="shared" si="6"/>
        <v xml:space="preserve"> </v>
      </c>
      <c r="H9" t="str">
        <f t="shared" si="7"/>
        <v xml:space="preserve"> </v>
      </c>
      <c r="I9" t="str">
        <f t="shared" si="8"/>
        <v xml:space="preserve"> </v>
      </c>
      <c r="J9" s="10" t="str">
        <f t="shared" si="9"/>
        <v xml:space="preserve"> </v>
      </c>
    </row>
    <row r="10" spans="1:21" x14ac:dyDescent="0.25">
      <c r="A10" s="11">
        <v>4</v>
      </c>
      <c r="B10" s="19">
        <f t="shared" si="1"/>
        <v>-7.8762633586557653</v>
      </c>
      <c r="C10" s="19">
        <f t="shared" si="2"/>
        <v>0.33817704945417304</v>
      </c>
      <c r="D10" s="19">
        <f t="shared" si="3"/>
        <v>9.82903445200294</v>
      </c>
      <c r="E10" s="19">
        <f t="shared" si="4"/>
        <v>7.9420734244209248</v>
      </c>
      <c r="F10" t="str">
        <f t="shared" si="5"/>
        <v xml:space="preserve"> </v>
      </c>
      <c r="G10" t="str">
        <f t="shared" si="6"/>
        <v xml:space="preserve"> </v>
      </c>
      <c r="H10" t="str">
        <f t="shared" si="7"/>
        <v xml:space="preserve"> </v>
      </c>
      <c r="I10" t="str">
        <f t="shared" si="8"/>
        <v xml:space="preserve"> </v>
      </c>
      <c r="J10" s="10" t="str">
        <f t="shared" si="9"/>
        <v xml:space="preserve"> </v>
      </c>
    </row>
    <row r="11" spans="1:21" x14ac:dyDescent="0.25">
      <c r="A11" s="11">
        <v>5</v>
      </c>
      <c r="B11" s="19">
        <f t="shared" si="1"/>
        <v>-7.9916628422297791</v>
      </c>
      <c r="C11" s="19">
        <f t="shared" si="2"/>
        <v>0.34816764212057183</v>
      </c>
      <c r="D11" s="19">
        <f t="shared" si="3"/>
        <v>9.7896077790181266</v>
      </c>
      <c r="E11" s="19">
        <f t="shared" si="4"/>
        <v>7.930594293991188</v>
      </c>
      <c r="F11" t="str">
        <f t="shared" si="5"/>
        <v xml:space="preserve"> </v>
      </c>
      <c r="G11" t="str">
        <f t="shared" si="6"/>
        <v xml:space="preserve"> </v>
      </c>
      <c r="H11" t="str">
        <f t="shared" si="7"/>
        <v xml:space="preserve"> </v>
      </c>
      <c r="I11" t="str">
        <f t="shared" si="8"/>
        <v xml:space="preserve"> </v>
      </c>
      <c r="J11" s="10" t="str">
        <f t="shared" si="9"/>
        <v xml:space="preserve"> </v>
      </c>
      <c r="R11">
        <v>-7.9842859538782651</v>
      </c>
      <c r="S11">
        <v>0.346311104991473</v>
      </c>
      <c r="T11">
        <v>9.8164502297574501</v>
      </c>
      <c r="U11">
        <v>7.9113818523042498</v>
      </c>
    </row>
    <row r="12" spans="1:21" x14ac:dyDescent="0.25">
      <c r="A12" s="11">
        <v>6</v>
      </c>
      <c r="B12" s="19">
        <f t="shared" si="1"/>
        <v>-7.963902658217525</v>
      </c>
      <c r="C12" s="19">
        <f t="shared" si="2"/>
        <v>0.34634816236547317</v>
      </c>
      <c r="D12" s="19">
        <f t="shared" si="3"/>
        <v>9.8116718288026767</v>
      </c>
      <c r="E12" s="19">
        <f t="shared" si="4"/>
        <v>7.9040179848362921</v>
      </c>
      <c r="F12" t="str">
        <f t="shared" si="5"/>
        <v xml:space="preserve"> </v>
      </c>
      <c r="G12" t="str">
        <f t="shared" si="6"/>
        <v xml:space="preserve"> </v>
      </c>
      <c r="H12" t="str">
        <f t="shared" si="7"/>
        <v xml:space="preserve"> </v>
      </c>
      <c r="I12" t="str">
        <f t="shared" si="8"/>
        <v xml:space="preserve"> </v>
      </c>
      <c r="J12" s="10" t="str">
        <f t="shared" si="9"/>
        <v xml:space="preserve"> </v>
      </c>
    </row>
    <row r="13" spans="1:21" x14ac:dyDescent="0.25">
      <c r="A13" s="11">
        <v>7</v>
      </c>
      <c r="B13" s="19">
        <f t="shared" si="1"/>
        <v>-7.9824765082092251</v>
      </c>
      <c r="C13" s="19">
        <f t="shared" si="2"/>
        <v>0.34617149247476137</v>
      </c>
      <c r="D13" s="19">
        <f t="shared" si="3"/>
        <v>9.8156628209423857</v>
      </c>
      <c r="E13" s="19">
        <f t="shared" si="4"/>
        <v>7.9135506319294135</v>
      </c>
      <c r="F13" t="str">
        <f t="shared" si="5"/>
        <v xml:space="preserve"> </v>
      </c>
      <c r="G13" t="str">
        <f t="shared" si="6"/>
        <v xml:space="preserve"> </v>
      </c>
      <c r="H13" t="str">
        <f t="shared" si="7"/>
        <v>корень x2</v>
      </c>
      <c r="I13" t="str">
        <f t="shared" si="8"/>
        <v xml:space="preserve"> </v>
      </c>
      <c r="J13" s="10" t="str">
        <f t="shared" si="9"/>
        <v xml:space="preserve"> </v>
      </c>
    </row>
    <row r="14" spans="1:21" x14ac:dyDescent="0.25">
      <c r="A14" s="11">
        <v>8</v>
      </c>
      <c r="B14" s="19">
        <f t="shared" si="1"/>
        <v>-7.9841683919829523</v>
      </c>
      <c r="C14" s="19">
        <f t="shared" si="2"/>
        <v>0.346378513743761</v>
      </c>
      <c r="D14" s="19">
        <f t="shared" si="3"/>
        <v>9.8155757308237579</v>
      </c>
      <c r="E14" s="19">
        <f t="shared" si="4"/>
        <v>7.911645505587277</v>
      </c>
      <c r="F14" t="str">
        <f t="shared" si="5"/>
        <v xml:space="preserve"> </v>
      </c>
      <c r="G14" t="str">
        <f t="shared" si="6"/>
        <v xml:space="preserve"> </v>
      </c>
      <c r="H14" t="str">
        <f t="shared" si="7"/>
        <v>корень x2</v>
      </c>
      <c r="I14" t="str">
        <f t="shared" si="8"/>
        <v>корень x3</v>
      </c>
      <c r="J14" s="10" t="str">
        <f t="shared" si="9"/>
        <v xml:space="preserve"> </v>
      </c>
    </row>
    <row r="15" spans="1:21" x14ac:dyDescent="0.25">
      <c r="A15" s="11">
        <v>9</v>
      </c>
      <c r="B15" s="38">
        <f t="shared" si="1"/>
        <v>-7.9842859538782651</v>
      </c>
      <c r="C15" s="38">
        <f t="shared" si="2"/>
        <v>0.34631110499147316</v>
      </c>
      <c r="D15" s="38">
        <f>($F$4-$E$4*E14-$C$4*C14-$B$4*B14)/$D$4</f>
        <v>9.8164502297574536</v>
      </c>
      <c r="E15" s="38">
        <f t="shared" si="4"/>
        <v>7.9113818523042463</v>
      </c>
      <c r="F15" t="str">
        <f t="shared" si="5"/>
        <v>корни</v>
      </c>
      <c r="G15" t="str">
        <f t="shared" si="6"/>
        <v>корень x1</v>
      </c>
      <c r="H15" t="str">
        <f t="shared" si="7"/>
        <v>корень x2</v>
      </c>
      <c r="I15" t="str">
        <f t="shared" si="8"/>
        <v>корень x3</v>
      </c>
      <c r="J15" s="10" t="str">
        <f t="shared" si="9"/>
        <v>корень x4</v>
      </c>
    </row>
    <row r="16" spans="1:21" x14ac:dyDescent="0.25">
      <c r="A16" s="11"/>
      <c r="B16" s="19"/>
      <c r="C16" s="19"/>
      <c r="D16" s="19"/>
      <c r="E16" s="19"/>
    </row>
    <row r="17" spans="1:12" x14ac:dyDescent="0.25">
      <c r="A17" s="11"/>
      <c r="B17" s="19"/>
      <c r="C17" s="19"/>
      <c r="D17" s="19"/>
      <c r="E17" s="19"/>
    </row>
    <row r="18" spans="1:12" x14ac:dyDescent="0.25">
      <c r="A18" s="11"/>
      <c r="B18" s="19"/>
      <c r="C18" s="19"/>
      <c r="D18" s="19"/>
      <c r="E18" s="19"/>
    </row>
    <row r="19" spans="1:12" x14ac:dyDescent="0.25">
      <c r="B19" t="s">
        <v>85</v>
      </c>
      <c r="I19" t="s">
        <v>86</v>
      </c>
    </row>
    <row r="20" spans="1:12" x14ac:dyDescent="0.25">
      <c r="A20" s="35" t="s">
        <v>34</v>
      </c>
      <c r="B20" s="35"/>
      <c r="C20" s="35"/>
      <c r="D20" s="35"/>
      <c r="E20" t="s">
        <v>84</v>
      </c>
      <c r="H20" s="35" t="s">
        <v>34</v>
      </c>
      <c r="I20" s="35"/>
      <c r="J20" s="35"/>
      <c r="K20" s="35"/>
      <c r="L20" t="s">
        <v>84</v>
      </c>
    </row>
    <row r="21" spans="1:12" x14ac:dyDescent="0.25">
      <c r="A21">
        <v>9.5500000000000007</v>
      </c>
      <c r="B21">
        <v>0.72</v>
      </c>
      <c r="C21">
        <v>1.1599999999999999</v>
      </c>
      <c r="D21">
        <v>8.1300000000000008</v>
      </c>
      <c r="E21">
        <v>-0.3</v>
      </c>
      <c r="H21">
        <v>9.5500000000000007</v>
      </c>
      <c r="I21">
        <v>0.72</v>
      </c>
      <c r="J21">
        <v>1.1599999999999999</v>
      </c>
      <c r="K21">
        <v>8.1300000000000008</v>
      </c>
      <c r="L21">
        <v>-0.3</v>
      </c>
    </row>
    <row r="22" spans="1:12" x14ac:dyDescent="0.25">
      <c r="A22" s="36">
        <v>-7.0000000000000007E-2</v>
      </c>
      <c r="B22" s="36">
        <v>9.89</v>
      </c>
      <c r="C22" s="36">
        <v>-0.17</v>
      </c>
      <c r="D22" s="36">
        <v>-0.28000000000000003</v>
      </c>
      <c r="E22" s="36">
        <v>0.1</v>
      </c>
      <c r="H22" s="36">
        <v>-7.0000000000000007E-2</v>
      </c>
      <c r="I22" s="36">
        <v>9.89</v>
      </c>
      <c r="J22" s="36">
        <v>-0.17</v>
      </c>
      <c r="K22" s="36">
        <v>-0.28000000000000003</v>
      </c>
      <c r="L22" s="36">
        <v>0.1</v>
      </c>
    </row>
    <row r="23" spans="1:12" x14ac:dyDescent="0.25">
      <c r="A23">
        <v>-3.03</v>
      </c>
      <c r="B23">
        <v>-4.9000000000000004</v>
      </c>
      <c r="C23">
        <v>2.08</v>
      </c>
      <c r="D23">
        <v>7.19</v>
      </c>
      <c r="E23">
        <v>99.8</v>
      </c>
      <c r="H23">
        <v>-3.03</v>
      </c>
      <c r="I23">
        <v>-4.9000000000000004</v>
      </c>
      <c r="J23">
        <v>2.08</v>
      </c>
      <c r="K23">
        <v>7.19</v>
      </c>
      <c r="L23">
        <v>99.8</v>
      </c>
    </row>
    <row r="24" spans="1:12" x14ac:dyDescent="0.25">
      <c r="A24">
        <v>-0.72</v>
      </c>
      <c r="B24">
        <v>-3.53</v>
      </c>
      <c r="C24">
        <v>5.75</v>
      </c>
      <c r="D24">
        <v>-7.77</v>
      </c>
      <c r="E24">
        <v>-0.5</v>
      </c>
      <c r="H24" s="36">
        <f>A24-A23</f>
        <v>2.3099999999999996</v>
      </c>
      <c r="I24" s="36">
        <f>B24-B23</f>
        <v>1.3700000000000006</v>
      </c>
      <c r="J24" s="36">
        <f>C24-C23</f>
        <v>3.67</v>
      </c>
      <c r="K24" s="36">
        <f>D24-D23</f>
        <v>-14.96</v>
      </c>
      <c r="L24" s="36">
        <f>E24-E23</f>
        <v>-100.3</v>
      </c>
    </row>
    <row r="29" spans="1:12" x14ac:dyDescent="0.25">
      <c r="A29" t="s">
        <v>87</v>
      </c>
      <c r="H29" t="s">
        <v>88</v>
      </c>
    </row>
    <row r="30" spans="1:12" x14ac:dyDescent="0.25">
      <c r="A30" s="35" t="s">
        <v>34</v>
      </c>
      <c r="B30" s="35"/>
      <c r="C30" s="35"/>
      <c r="D30" s="35"/>
      <c r="E30" t="s">
        <v>84</v>
      </c>
      <c r="H30" s="35" t="s">
        <v>34</v>
      </c>
      <c r="I30" s="35"/>
      <c r="J30" s="35"/>
      <c r="K30" s="35"/>
      <c r="L30" t="s">
        <v>84</v>
      </c>
    </row>
    <row r="31" spans="1:12" x14ac:dyDescent="0.25">
      <c r="A31" s="36">
        <f>H21+A34+H23*0.8</f>
        <v>9.4359999999999999</v>
      </c>
      <c r="B31" s="36">
        <f t="shared" ref="B31:E31" si="10">I21+B34+I23*0.8</f>
        <v>-1.8299999999999996</v>
      </c>
      <c r="C31" s="36">
        <f t="shared" si="10"/>
        <v>6.4939999999999998</v>
      </c>
      <c r="D31" s="36">
        <f t="shared" si="10"/>
        <v>-1.0779999999999994</v>
      </c>
      <c r="E31" s="36">
        <f t="shared" si="10"/>
        <v>-20.759999999999991</v>
      </c>
      <c r="H31" s="36">
        <v>9.4359999999999999</v>
      </c>
      <c r="I31" s="36">
        <v>-1.8299999999999996</v>
      </c>
      <c r="J31" s="36">
        <v>6.4939999999999998</v>
      </c>
      <c r="K31" s="36">
        <v>-1.0779999999999994</v>
      </c>
      <c r="L31" s="36">
        <v>-20.759999999999991</v>
      </c>
    </row>
    <row r="32" spans="1:12" x14ac:dyDescent="0.25">
      <c r="A32" s="36">
        <v>-7.0000000000000007E-2</v>
      </c>
      <c r="B32" s="36">
        <v>9.89</v>
      </c>
      <c r="C32" s="36">
        <v>-0.17</v>
      </c>
      <c r="D32" s="36">
        <v>-0.28000000000000003</v>
      </c>
      <c r="E32" s="36">
        <v>0.1</v>
      </c>
      <c r="H32" s="36">
        <v>-7.0000000000000007E-2</v>
      </c>
      <c r="I32" s="36">
        <v>9.89</v>
      </c>
      <c r="J32" s="36">
        <v>-0.17</v>
      </c>
      <c r="K32" s="36">
        <v>-0.28000000000000003</v>
      </c>
      <c r="L32" s="36">
        <v>0.1</v>
      </c>
    </row>
    <row r="33" spans="1:12" x14ac:dyDescent="0.25">
      <c r="A33">
        <v>-3.03</v>
      </c>
      <c r="B33">
        <v>-4.9000000000000004</v>
      </c>
      <c r="C33">
        <v>2.08</v>
      </c>
      <c r="D33">
        <v>7.19</v>
      </c>
      <c r="E33">
        <v>99.8</v>
      </c>
      <c r="H33" s="36">
        <f>(A33*3)+H31+H32*1.5+H34</f>
        <v>2.5509999999999997</v>
      </c>
      <c r="I33" s="36">
        <f t="shared" ref="I33:L33" si="11">(B33*3)+I31+I32*1.5+I34</f>
        <v>-0.32499999999999973</v>
      </c>
      <c r="J33" s="36">
        <f t="shared" si="11"/>
        <v>16.149000000000001</v>
      </c>
      <c r="K33" s="36">
        <f t="shared" si="11"/>
        <v>5.1119999999999983</v>
      </c>
      <c r="L33" s="36">
        <f t="shared" si="11"/>
        <v>178.48999999999995</v>
      </c>
    </row>
    <row r="34" spans="1:12" x14ac:dyDescent="0.25">
      <c r="A34" s="36">
        <v>2.3099999999999996</v>
      </c>
      <c r="B34" s="36">
        <v>1.3700000000000006</v>
      </c>
      <c r="C34" s="36">
        <v>3.67</v>
      </c>
      <c r="D34" s="36">
        <v>-14.96</v>
      </c>
      <c r="E34" s="36">
        <v>-100.3</v>
      </c>
      <c r="H34" s="36">
        <v>2.3099999999999996</v>
      </c>
      <c r="I34" s="36">
        <v>1.3700000000000006</v>
      </c>
      <c r="J34" s="36">
        <v>3.67</v>
      </c>
      <c r="K34" s="36">
        <v>-14.96</v>
      </c>
      <c r="L34" s="36">
        <v>-100.3</v>
      </c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220" zoomScaleNormal="220" workbookViewId="0">
      <selection activeCell="J5" sqref="J5"/>
    </sheetView>
  </sheetViews>
  <sheetFormatPr defaultRowHeight="15" x14ac:dyDescent="0.25"/>
  <cols>
    <col min="2" max="2" width="9.5703125" customWidth="1"/>
    <col min="3" max="3" width="10.7109375" customWidth="1"/>
    <col min="4" max="4" width="10.42578125" customWidth="1"/>
    <col min="5" max="5" width="9.5703125" bestFit="1" customWidth="1"/>
    <col min="6" max="6" width="11.7109375" customWidth="1"/>
    <col min="7" max="7" width="14" customWidth="1"/>
    <col min="8" max="8" width="21.42578125" customWidth="1"/>
    <col min="11" max="11" width="25.28515625" customWidth="1"/>
  </cols>
  <sheetData>
    <row r="1" spans="1:10" ht="18.75" x14ac:dyDescent="0.3">
      <c r="A1" s="45" t="s">
        <v>33</v>
      </c>
      <c r="B1" s="45"/>
      <c r="C1" s="45"/>
      <c r="D1" s="45"/>
      <c r="E1" s="45"/>
      <c r="F1" s="45"/>
      <c r="G1" s="45"/>
      <c r="H1" s="45"/>
    </row>
    <row r="2" spans="1:10" x14ac:dyDescent="0.25">
      <c r="A2" s="7"/>
      <c r="B2" s="1">
        <v>-5.7089999999999996</v>
      </c>
      <c r="C2" s="1">
        <v>4.3499999999999996</v>
      </c>
      <c r="D2" s="1">
        <v>8.6389999999999993</v>
      </c>
      <c r="E2" s="1">
        <v>3</v>
      </c>
      <c r="F2" s="1">
        <v>84.1</v>
      </c>
      <c r="G2" s="8"/>
      <c r="H2" s="9"/>
      <c r="J2">
        <v>-1.5416478034777816</v>
      </c>
    </row>
    <row r="3" spans="1:10" x14ac:dyDescent="0.25">
      <c r="A3" s="46" t="s">
        <v>34</v>
      </c>
      <c r="B3" s="1">
        <v>1.65</v>
      </c>
      <c r="C3" s="1">
        <v>-5.35</v>
      </c>
      <c r="D3" s="1">
        <v>6.3</v>
      </c>
      <c r="E3" s="1">
        <v>-9.0489999999999995</v>
      </c>
      <c r="F3" s="1">
        <v>58.1</v>
      </c>
      <c r="H3" s="10"/>
      <c r="J3">
        <v>8.5931367543358004</v>
      </c>
    </row>
    <row r="4" spans="1:10" x14ac:dyDescent="0.25">
      <c r="A4" s="46"/>
      <c r="B4" s="1">
        <v>7.25</v>
      </c>
      <c r="C4" s="1">
        <v>8.1999999999999993</v>
      </c>
      <c r="D4" s="1">
        <v>5.4589999999999996</v>
      </c>
      <c r="E4" s="1">
        <v>3.67</v>
      </c>
      <c r="F4" s="1">
        <v>42.3</v>
      </c>
      <c r="G4" s="27" t="s">
        <v>35</v>
      </c>
      <c r="H4" s="10"/>
      <c r="J4">
        <v>1.41703576009017</v>
      </c>
    </row>
    <row r="5" spans="1:10" x14ac:dyDescent="0.25">
      <c r="A5" s="11"/>
      <c r="B5" s="1">
        <v>-0.86899999999999999</v>
      </c>
      <c r="C5" s="1">
        <v>-7.1890000000000001</v>
      </c>
      <c r="D5" s="1">
        <v>1.95</v>
      </c>
      <c r="E5" s="1">
        <v>4.7590000000000003</v>
      </c>
      <c r="F5" s="1">
        <v>0.5</v>
      </c>
      <c r="H5" s="10"/>
      <c r="J5">
        <v>-1.4581764631406775</v>
      </c>
    </row>
    <row r="6" spans="1:10" x14ac:dyDescent="0.25">
      <c r="A6" s="28" t="s">
        <v>36</v>
      </c>
      <c r="B6" s="1">
        <f>(B2*C2+C3*B3+B4*C4+C5*B5)/(B2*B2+B3*B3+B4*B4+B5*B5)</f>
        <v>0.36144154104863302</v>
      </c>
      <c r="C6" s="3">
        <f>(C9*D2+D3*C10+C11*D4+D5*C12)/(C9*C9+C10*C10+C11*C11+C12*C12)</f>
        <v>0.22594732822678726</v>
      </c>
      <c r="D6" s="1">
        <f>(D9*E2+E3*D10+D11*E4+E5*D12)/(D9*D9+D10*D10+D11*D11+D12*D12)</f>
        <v>-0.11163319841412292</v>
      </c>
      <c r="H6" s="10"/>
    </row>
    <row r="7" spans="1:10" x14ac:dyDescent="0.25">
      <c r="A7" s="28" t="s">
        <v>37</v>
      </c>
      <c r="B7" s="1">
        <f>(B2*D2+D3*B3+B4*D4+D5*B5)/(B2*B2+B3*B3+B4*B4+B5*B5)</f>
        <v>-1.1754683438899564E-2</v>
      </c>
      <c r="C7" s="1">
        <f>(C9*E2+E3*C10+C11*E4+E5*C12)/(C9*C9+C10*C10+C11*C11+C12*C12)</f>
        <v>0.39259694743265189</v>
      </c>
      <c r="H7" s="10"/>
    </row>
    <row r="8" spans="1:10" x14ac:dyDescent="0.25">
      <c r="A8" s="28" t="s">
        <v>38</v>
      </c>
      <c r="B8" s="1">
        <f>(B2*E2+E3*B3+B4*E4+E5*B5)/(B2*B2+B3*B3+B4*B4+B5*B5)</f>
        <v>-0.10815314937097467</v>
      </c>
      <c r="F8" s="27" t="s">
        <v>39</v>
      </c>
      <c r="G8" s="27" t="s">
        <v>40</v>
      </c>
      <c r="H8" s="32" t="s">
        <v>41</v>
      </c>
    </row>
    <row r="9" spans="1:10" x14ac:dyDescent="0.25">
      <c r="A9" s="11"/>
      <c r="B9">
        <f>B2</f>
        <v>-5.7089999999999996</v>
      </c>
      <c r="C9" s="12">
        <f>C2-$B$6*B9</f>
        <v>6.4134697578466451</v>
      </c>
      <c r="D9" s="12">
        <f>D2-$B$7*B9-$C$6*C9</f>
        <v>7.1227861557985719</v>
      </c>
      <c r="E9" s="12">
        <f>E2-$B$8*B9-$C$7*C9-$D$6*D9</f>
        <v>0.65978442105051371</v>
      </c>
      <c r="F9" s="12">
        <f>F2-$B$14*E2</f>
        <v>88.72494341043334</v>
      </c>
      <c r="G9" s="12">
        <f>F9-$B$15*D2</f>
        <v>14.488834989726357</v>
      </c>
      <c r="H9" s="13">
        <f>G9-$B$16*C2</f>
        <v>8.324729433334106</v>
      </c>
    </row>
    <row r="10" spans="1:10" x14ac:dyDescent="0.25">
      <c r="A10" s="46" t="s">
        <v>42</v>
      </c>
      <c r="B10">
        <f t="shared" ref="B10:B12" si="0">B3</f>
        <v>1.65</v>
      </c>
      <c r="C10" s="12">
        <f t="shared" ref="C10:C12" si="1">C3-$B$6*B10</f>
        <v>-5.946378542730244</v>
      </c>
      <c r="D10" s="12">
        <f t="shared" ref="D10:D12" si="2">D3-$B$7*B10-$C$6*C10</f>
        <v>7.66296357202918</v>
      </c>
      <c r="E10" s="12">
        <f t="shared" ref="E10:E12" si="3">E3-$B$8*B10-$C$7*C10-$D$6*D10</f>
        <v>-5.6805761065064475</v>
      </c>
      <c r="F10" s="12">
        <f t="shared" ref="F10:F11" si="4">F3-$B$14*E3</f>
        <v>44.149629026329556</v>
      </c>
      <c r="G10" s="12">
        <f t="shared" ref="G10:G12" si="5">F10-$B$15*D3</f>
        <v>-9.9871325259859987</v>
      </c>
      <c r="H10" s="13">
        <f t="shared" ref="H10:H12" si="6">G10-$B$16*C3</f>
        <v>-2.4059912095035765</v>
      </c>
    </row>
    <row r="11" spans="1:10" x14ac:dyDescent="0.25">
      <c r="A11" s="46"/>
      <c r="B11">
        <f t="shared" si="0"/>
        <v>7.25</v>
      </c>
      <c r="C11" s="12">
        <f t="shared" si="1"/>
        <v>5.5795488273974101</v>
      </c>
      <c r="D11" s="12">
        <f t="shared" si="2"/>
        <v>4.2835373046706726</v>
      </c>
      <c r="E11" s="12">
        <f t="shared" si="3"/>
        <v>2.7417814650985095</v>
      </c>
      <c r="F11" s="12">
        <f t="shared" si="4"/>
        <v>47.957847438763459</v>
      </c>
      <c r="G11" s="12">
        <f t="shared" si="5"/>
        <v>1.0479138968443209</v>
      </c>
      <c r="H11" s="13">
        <f t="shared" si="6"/>
        <v>-10.571779335895092</v>
      </c>
    </row>
    <row r="12" spans="1:10" x14ac:dyDescent="0.25">
      <c r="A12" s="11"/>
      <c r="B12">
        <f t="shared" si="0"/>
        <v>-0.86899999999999999</v>
      </c>
      <c r="C12" s="12">
        <f t="shared" si="1"/>
        <v>-6.8749073008287382</v>
      </c>
      <c r="D12" s="12">
        <f t="shared" si="2"/>
        <v>3.4931521165206831</v>
      </c>
      <c r="E12" s="12">
        <f t="shared" si="3"/>
        <v>7.7540342766987056</v>
      </c>
      <c r="F12" s="12">
        <v>7.8367019999999998</v>
      </c>
      <c r="G12" s="12">
        <f t="shared" si="5"/>
        <v>-8.9199146709548138</v>
      </c>
      <c r="H12" s="13">
        <f t="shared" si="6"/>
        <v>1.2671554083334353</v>
      </c>
    </row>
    <row r="13" spans="1:10" x14ac:dyDescent="0.25">
      <c r="A13" s="11"/>
      <c r="H13" s="10"/>
    </row>
    <row r="14" spans="1:10" x14ac:dyDescent="0.25">
      <c r="A14" s="28" t="s">
        <v>43</v>
      </c>
      <c r="B14" s="14">
        <f>(F2*E9+E10*F3+F4*E11+E12*F5)/(E2*E9+E3*E10+E4*E11+E12*E5)</f>
        <v>-1.5416478034777816</v>
      </c>
      <c r="D14" s="14">
        <f>$B$17*B2+C2*$B$16+D2*$B$15+$B$14*E2</f>
        <v>84.09999999473601</v>
      </c>
      <c r="H14" s="10"/>
    </row>
    <row r="15" spans="1:10" x14ac:dyDescent="0.25">
      <c r="A15" s="28" t="s">
        <v>31</v>
      </c>
      <c r="B15" s="15">
        <f>(F9*D9+F10*D10+F11*D11+D12*F12)/(D9*D2+D3*D10+D11*D4+D5*D12)</f>
        <v>8.5931367543358022</v>
      </c>
      <c r="C15" s="26" t="s">
        <v>32</v>
      </c>
      <c r="D15" s="14">
        <f t="shared" ref="D15:D17" si="7">$B$17*B3+C3*$B$16+D3*$B$15+$B$14*E3</f>
        <v>58.100000045321458</v>
      </c>
      <c r="H15" s="10"/>
    </row>
    <row r="16" spans="1:10" x14ac:dyDescent="0.25">
      <c r="A16" s="28" t="s">
        <v>30</v>
      </c>
      <c r="B16" s="14">
        <f>(C9*G9+G10*C10+C11*G11+G12*C12)/(C9*C2+C3*C10+C11*C4+C5*C12)</f>
        <v>1.4170357600901724</v>
      </c>
      <c r="D16" s="14">
        <f t="shared" si="7"/>
        <v>42.299999978125179</v>
      </c>
      <c r="H16" s="10"/>
    </row>
    <row r="17" spans="1:8" x14ac:dyDescent="0.25">
      <c r="A17" s="34" t="s">
        <v>24</v>
      </c>
      <c r="B17" s="16">
        <f>(H9*B9+H10*B10+B11*H11+H12*B12)/(B2*B2+B3*B3+B4*B4+B5*B5)</f>
        <v>-1.4581764631406775</v>
      </c>
      <c r="C17" s="17"/>
      <c r="D17" s="16">
        <f t="shared" si="7"/>
        <v>0.50000004138504917</v>
      </c>
      <c r="E17" s="17"/>
      <c r="F17" s="17"/>
      <c r="G17" s="17"/>
      <c r="H17" s="18"/>
    </row>
  </sheetData>
  <mergeCells count="3">
    <mergeCell ref="A1:H1"/>
    <mergeCell ref="A3:A4"/>
    <mergeCell ref="A10:A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130" zoomScaleNormal="130" workbookViewId="0">
      <selection activeCell="M29" sqref="M29"/>
    </sheetView>
  </sheetViews>
  <sheetFormatPr defaultRowHeight="15" x14ac:dyDescent="0.25"/>
  <cols>
    <col min="9" max="9" width="13.85546875" customWidth="1"/>
    <col min="11" max="11" width="12.5703125" customWidth="1"/>
    <col min="13" max="13" width="11.28515625" customWidth="1"/>
    <col min="14" max="14" width="9.140625" customWidth="1"/>
  </cols>
  <sheetData>
    <row r="1" spans="1:13" ht="15.75" x14ac:dyDescent="0.25">
      <c r="H1" s="47" t="s">
        <v>0</v>
      </c>
      <c r="I1" s="48"/>
      <c r="J1" s="48"/>
      <c r="K1" s="48"/>
      <c r="L1" s="48"/>
      <c r="M1" s="48"/>
    </row>
    <row r="2" spans="1:13" x14ac:dyDescent="0.25">
      <c r="A2" s="1"/>
      <c r="B2" s="1">
        <v>6</v>
      </c>
      <c r="C2" s="2">
        <v>1</v>
      </c>
      <c r="D2" s="1">
        <v>3</v>
      </c>
      <c r="E2" s="1"/>
      <c r="F2" s="1">
        <v>-17</v>
      </c>
      <c r="H2" s="1"/>
      <c r="I2" s="1">
        <f>B2*$B$6+C2*$B$7+D2*$B$8-F2</f>
        <v>23</v>
      </c>
      <c r="J2" s="1"/>
      <c r="K2" s="3">
        <f>B2*$I$20+C2*$I$21+D2*$I$22-F2</f>
        <v>-0.18934138578307369</v>
      </c>
      <c r="L2" s="1"/>
      <c r="M2" s="3">
        <f>B2*$K$31+$K$32*C2+D2*$K$33-F2</f>
        <v>-1.367199110046613E-2</v>
      </c>
    </row>
    <row r="3" spans="1:13" x14ac:dyDescent="0.25">
      <c r="A3" s="27" t="s">
        <v>1</v>
      </c>
      <c r="B3" s="1">
        <v>1</v>
      </c>
      <c r="C3" s="2">
        <v>7</v>
      </c>
      <c r="D3" s="1">
        <v>2</v>
      </c>
      <c r="E3" s="27" t="s">
        <v>2</v>
      </c>
      <c r="F3" s="1">
        <v>-21</v>
      </c>
      <c r="H3" s="27" t="s">
        <v>3</v>
      </c>
      <c r="I3" s="1">
        <f t="shared" ref="I3:I4" si="0">B3*$B$6+C3*$B$7+D3*$B$8-F3</f>
        <v>22</v>
      </c>
      <c r="J3" s="27" t="s">
        <v>4</v>
      </c>
      <c r="K3" s="3">
        <f t="shared" ref="K3:K4" si="1">B3*$I$20+C3*$I$21+D3*$I$22-F3</f>
        <v>0.31531053619521643</v>
      </c>
      <c r="L3" s="27" t="s">
        <v>5</v>
      </c>
      <c r="M3" s="3">
        <f t="shared" ref="M3:M4" si="2">B3*$K$31+$K$32*C3+D3*$K$33-F3</f>
        <v>-5.175825202318407E-3</v>
      </c>
    </row>
    <row r="4" spans="1:13" x14ac:dyDescent="0.25">
      <c r="A4" s="1"/>
      <c r="B4" s="1">
        <v>3</v>
      </c>
      <c r="C4" s="2">
        <v>2</v>
      </c>
      <c r="D4" s="1">
        <v>8</v>
      </c>
      <c r="E4" s="1"/>
      <c r="F4" s="1">
        <v>-31</v>
      </c>
      <c r="H4" s="1"/>
      <c r="I4" s="1">
        <f t="shared" si="0"/>
        <v>34</v>
      </c>
      <c r="J4" s="1"/>
      <c r="K4" s="3">
        <f t="shared" si="1"/>
        <v>-7.5940585978944597E-2</v>
      </c>
      <c r="L4" s="1"/>
      <c r="M4" s="3">
        <f t="shared" si="2"/>
        <v>1.2597763228288983E-2</v>
      </c>
    </row>
    <row r="5" spans="1:13" x14ac:dyDescent="0.25">
      <c r="H5" s="1"/>
      <c r="I5" s="1"/>
      <c r="J5" s="1"/>
      <c r="K5" s="1"/>
      <c r="L5" s="1"/>
      <c r="M5" s="3"/>
    </row>
    <row r="6" spans="1:13" x14ac:dyDescent="0.25">
      <c r="A6" s="1"/>
      <c r="B6" s="1">
        <v>1</v>
      </c>
      <c r="H6" s="27" t="s">
        <v>6</v>
      </c>
      <c r="I6" s="1">
        <f>I2*I2+I3*I3+I4*I4</f>
        <v>2169</v>
      </c>
      <c r="J6" s="27" t="s">
        <v>7</v>
      </c>
      <c r="K6" s="1">
        <f>K2*K2+K3*K3+K4*K4</f>
        <v>0.14103786720479511</v>
      </c>
      <c r="L6" s="1"/>
      <c r="M6" s="3">
        <f>B2*$M$2+$M$3*C2+D2*$M$4</f>
        <v>-4.9414482120248238E-2</v>
      </c>
    </row>
    <row r="7" spans="1:13" x14ac:dyDescent="0.25">
      <c r="A7" s="27" t="s">
        <v>8</v>
      </c>
      <c r="B7" s="1">
        <v>0</v>
      </c>
      <c r="H7" s="1"/>
      <c r="I7" s="1"/>
      <c r="J7" s="1"/>
      <c r="K7" s="1"/>
      <c r="L7" s="27" t="s">
        <v>9</v>
      </c>
      <c r="M7" s="3">
        <f>B3*$M$2+$M$3*C3+D3*$M$4</f>
        <v>-2.4707241060117013E-2</v>
      </c>
    </row>
    <row r="8" spans="1:13" x14ac:dyDescent="0.25">
      <c r="A8" s="1"/>
      <c r="B8" s="1">
        <v>0</v>
      </c>
      <c r="H8" s="1"/>
      <c r="I8" s="1">
        <f>B2*$I$2+C2*$I$3+D2*$I$4</f>
        <v>262</v>
      </c>
      <c r="J8" s="1"/>
      <c r="K8" s="3">
        <f>B2*$K$2+$K$3*C2+D2*$K$4</f>
        <v>-1.0485595364400595</v>
      </c>
      <c r="L8" s="1"/>
      <c r="M8" s="3">
        <f>B4*$M$2+$M$3*C4+D4*$M$4</f>
        <v>4.9414482120276659E-2</v>
      </c>
    </row>
    <row r="9" spans="1:13" x14ac:dyDescent="0.25">
      <c r="H9" s="27" t="s">
        <v>10</v>
      </c>
      <c r="I9" s="1">
        <f t="shared" ref="I9:I10" si="3">B3*$I$2+C3*$I$3+D3*$I$4</f>
        <v>245</v>
      </c>
      <c r="J9" s="27" t="s">
        <v>11</v>
      </c>
      <c r="K9" s="3">
        <f>B3*$K$2+$K$3*C3+D3*$K$4</f>
        <v>1.8659511956255521</v>
      </c>
      <c r="L9" s="1"/>
      <c r="M9" s="1"/>
    </row>
    <row r="10" spans="1:13" x14ac:dyDescent="0.25">
      <c r="H10" s="1"/>
      <c r="I10" s="1">
        <f t="shared" si="3"/>
        <v>385</v>
      </c>
      <c r="J10" s="1"/>
      <c r="K10" s="3">
        <f t="shared" ref="K10" si="4">B4*$K$2+$K$3*C4+D4*$K$4</f>
        <v>-0.54492777279034499</v>
      </c>
      <c r="L10" s="1"/>
      <c r="M10" s="3">
        <f>B2*$K$27+C2*$K$28+$K$29*D2</f>
        <v>0.17566939468260581</v>
      </c>
    </row>
    <row r="11" spans="1:13" x14ac:dyDescent="0.25">
      <c r="H11" s="1"/>
      <c r="I11" s="1"/>
      <c r="J11" s="1"/>
      <c r="K11" s="1"/>
      <c r="L11" s="27" t="s">
        <v>12</v>
      </c>
      <c r="M11" s="3">
        <f t="shared" ref="M11:M12" si="5">B3*$K$27+C3*$K$28+$K$29*D3</f>
        <v>-0.32048636139753639</v>
      </c>
    </row>
    <row r="12" spans="1:13" x14ac:dyDescent="0.25">
      <c r="H12" s="27" t="s">
        <v>13</v>
      </c>
      <c r="I12" s="1">
        <f>I8*I2+I3*I9+I4*I10</f>
        <v>24506</v>
      </c>
      <c r="J12" s="1"/>
      <c r="K12" s="3">
        <f>B2*$I$16+$I$17*C2+D2*$I$18</f>
        <v>-23.189341385783074</v>
      </c>
      <c r="L12" s="1"/>
      <c r="M12" s="3">
        <f t="shared" si="5"/>
        <v>8.8538349207232844E-2</v>
      </c>
    </row>
    <row r="13" spans="1:13" x14ac:dyDescent="0.25">
      <c r="H13" s="1"/>
      <c r="I13" s="1"/>
      <c r="J13" s="27" t="s">
        <v>14</v>
      </c>
      <c r="K13" s="3">
        <f t="shared" ref="K13:K14" si="6">B3*$I$16+$I$17*C3+D3*$I$18</f>
        <v>-21.684689463804784</v>
      </c>
      <c r="L13" s="1"/>
      <c r="M13" s="1"/>
    </row>
    <row r="14" spans="1:13" x14ac:dyDescent="0.25">
      <c r="H14" s="27" t="s">
        <v>15</v>
      </c>
      <c r="I14" s="1">
        <f>-I6/I12</f>
        <v>-8.8508936586958298E-2</v>
      </c>
      <c r="J14" s="1"/>
      <c r="K14" s="3">
        <f t="shared" si="6"/>
        <v>-34.075940585978941</v>
      </c>
      <c r="L14" s="27" t="s">
        <v>16</v>
      </c>
      <c r="M14" s="3">
        <f>M2*M2+M3*M3+M4*M4</f>
        <v>3.7241614553220953E-4</v>
      </c>
    </row>
    <row r="15" spans="1:13" x14ac:dyDescent="0.25">
      <c r="H15" s="1"/>
      <c r="I15" s="1"/>
      <c r="J15" s="1"/>
      <c r="K15" s="1"/>
      <c r="L15" s="1"/>
      <c r="M15" s="1"/>
    </row>
    <row r="16" spans="1:13" x14ac:dyDescent="0.25">
      <c r="H16" s="1"/>
      <c r="I16" s="3">
        <f>I2*I14</f>
        <v>-2.0357055415000409</v>
      </c>
      <c r="J16" s="27" t="s">
        <v>17</v>
      </c>
      <c r="K16" s="4">
        <f>I16*K2+K3*I17+K4*I18</f>
        <v>4.3853809472693683E-15</v>
      </c>
      <c r="L16" s="27" t="s">
        <v>18</v>
      </c>
      <c r="M16" s="1">
        <f>M2*K27+K28*M3+M4*K29</f>
        <v>-1.9786689647860456E-17</v>
      </c>
    </row>
    <row r="17" spans="8:15" x14ac:dyDescent="0.25">
      <c r="H17" s="27" t="s">
        <v>19</v>
      </c>
      <c r="I17" s="3">
        <f>I14*I3</f>
        <v>-1.9471966049130827</v>
      </c>
      <c r="J17" s="1"/>
      <c r="K17" s="1"/>
      <c r="L17" s="1"/>
      <c r="M17" s="1"/>
    </row>
    <row r="18" spans="8:15" x14ac:dyDescent="0.25">
      <c r="H18" s="1"/>
      <c r="I18" s="3">
        <f>I14*I4</f>
        <v>-3.009303843956582</v>
      </c>
      <c r="J18" s="27" t="s">
        <v>20</v>
      </c>
      <c r="K18" s="1">
        <f>K8*I16+K9*I17+K10*I18</f>
        <v>0.1410378672048449</v>
      </c>
      <c r="L18" s="27" t="s">
        <v>21</v>
      </c>
      <c r="M18" s="3">
        <f>M6*K27+K28*M7+M8*K29</f>
        <v>3.7241614553212225E-4</v>
      </c>
    </row>
    <row r="19" spans="8:15" x14ac:dyDescent="0.25">
      <c r="H19" s="1"/>
      <c r="I19" s="1"/>
      <c r="J19" s="1"/>
      <c r="K19" s="1"/>
      <c r="L19" s="1"/>
      <c r="M19" s="1"/>
    </row>
    <row r="20" spans="8:15" x14ac:dyDescent="0.25">
      <c r="H20" s="1"/>
      <c r="I20" s="3">
        <f>I16+B6</f>
        <v>-1.0357055415000409</v>
      </c>
      <c r="J20" s="27" t="s">
        <v>22</v>
      </c>
      <c r="K20" s="1">
        <f>K8*K2+K3*K9+K10*K4</f>
        <v>0.82827192209431622</v>
      </c>
      <c r="L20" s="27" t="s">
        <v>23</v>
      </c>
      <c r="M20" s="3">
        <f>M6*M2+M4*M8+M7*M3</f>
        <v>1.425986666540651E-3</v>
      </c>
    </row>
    <row r="21" spans="8:15" x14ac:dyDescent="0.25">
      <c r="H21" s="27" t="s">
        <v>24</v>
      </c>
      <c r="I21" s="3">
        <f t="shared" ref="I21:I22" si="7">I17+B7</f>
        <v>-1.9471966049130827</v>
      </c>
      <c r="J21" s="1"/>
      <c r="K21" s="1"/>
      <c r="L21" s="1"/>
      <c r="M21" s="1"/>
    </row>
    <row r="22" spans="8:15" x14ac:dyDescent="0.25">
      <c r="H22" s="1"/>
      <c r="I22" s="3">
        <f t="shared" si="7"/>
        <v>-3.009303843956582</v>
      </c>
      <c r="J22" s="27" t="s">
        <v>25</v>
      </c>
      <c r="K22" s="1">
        <f>I16*K12+K13*I17+I18*K14</f>
        <v>191.97588345711256</v>
      </c>
      <c r="L22" s="27" t="s">
        <v>26</v>
      </c>
      <c r="M22" s="1">
        <f>K27*M10+M11*K28+K29*M12</f>
        <v>2.4018885808166985E-2</v>
      </c>
    </row>
    <row r="23" spans="8:15" x14ac:dyDescent="0.25">
      <c r="H23" s="1"/>
      <c r="I23" s="1"/>
      <c r="J23" s="1"/>
      <c r="K23" s="1"/>
      <c r="L23" s="1"/>
      <c r="M23" s="1"/>
    </row>
    <row r="24" spans="8:15" x14ac:dyDescent="0.25">
      <c r="H24" s="1"/>
      <c r="I24" s="1"/>
      <c r="J24" s="27" t="s">
        <v>27</v>
      </c>
      <c r="K24" s="5">
        <f>(K18*K6-K16*K20)/((K22*K20-K18*K18))</f>
        <v>1.251140787875937E-4</v>
      </c>
      <c r="L24" s="27" t="s">
        <v>27</v>
      </c>
      <c r="M24" s="1">
        <f>(M18*M14-M16*M20)/((M22*M20-M18*M18))</f>
        <v>4.0658455212704055E-3</v>
      </c>
    </row>
    <row r="25" spans="8:15" x14ac:dyDescent="0.25">
      <c r="H25" s="1"/>
      <c r="I25" s="1"/>
      <c r="J25" s="27" t="s">
        <v>28</v>
      </c>
      <c r="K25" s="5">
        <f>(K18*K16-K6*K22)/((K22*K20-K18*K18))</f>
        <v>-0.1703009715347594</v>
      </c>
      <c r="L25" s="27" t="s">
        <v>28</v>
      </c>
      <c r="M25" s="1">
        <f>(M18*M16-M14*M22)/((M22*M20-M18*M18))</f>
        <v>-0.26222568613260611</v>
      </c>
    </row>
    <row r="26" spans="8:15" x14ac:dyDescent="0.25">
      <c r="H26" s="1"/>
      <c r="I26" s="1"/>
      <c r="J26" s="1"/>
      <c r="K26" s="1"/>
      <c r="L26" s="1"/>
      <c r="M26" s="1"/>
    </row>
    <row r="27" spans="8:15" x14ac:dyDescent="0.25">
      <c r="H27" s="1"/>
      <c r="I27" s="1"/>
      <c r="J27" s="1"/>
      <c r="K27" s="1">
        <f>K24*I16+K25*K2</f>
        <v>3.1990326527087554E-2</v>
      </c>
      <c r="L27" s="1"/>
      <c r="M27" s="1">
        <f>M24*K27+M25*M2</f>
        <v>3.7152149729527523E-3</v>
      </c>
    </row>
    <row r="28" spans="8:15" x14ac:dyDescent="0.25">
      <c r="H28" s="1"/>
      <c r="I28" s="1"/>
      <c r="J28" s="27" t="s">
        <v>29</v>
      </c>
      <c r="K28" s="1">
        <f>K24*I17+K25*K3</f>
        <v>-5.3941312358633309E-2</v>
      </c>
      <c r="L28" s="27" t="s">
        <v>29</v>
      </c>
      <c r="M28" s="1">
        <f>M24*K28+M25*M3</f>
        <v>1.1379172717155819E-3</v>
      </c>
    </row>
    <row r="29" spans="8:15" x14ac:dyDescent="0.25">
      <c r="H29" s="1"/>
      <c r="I29" s="1"/>
      <c r="J29" s="1"/>
      <c r="K29" s="1">
        <f>K24*I18+K25*K4</f>
        <v>1.25562492929046E-2</v>
      </c>
      <c r="L29" s="1"/>
      <c r="M29" s="1">
        <f>M24*K29+M25*M4</f>
        <v>-3.2524053363226827E-3</v>
      </c>
    </row>
    <row r="30" spans="8:15" x14ac:dyDescent="0.25">
      <c r="H30" s="1"/>
      <c r="I30" s="1"/>
      <c r="J30" s="1"/>
      <c r="K30" s="1"/>
      <c r="L30" s="1"/>
      <c r="M30" s="1"/>
    </row>
    <row r="31" spans="8:15" x14ac:dyDescent="0.25">
      <c r="H31" s="1"/>
      <c r="I31" s="1"/>
      <c r="J31" s="1"/>
      <c r="K31" s="3">
        <f>I20+K27</f>
        <v>-1.0037152149729534</v>
      </c>
      <c r="L31" s="1"/>
      <c r="M31" s="6">
        <f>K31+M27</f>
        <v>-1.0000000000000007</v>
      </c>
      <c r="O31" s="6">
        <f>$M$31*B2+C2*$M$32+$M$33*D2</f>
        <v>-17.000000000000004</v>
      </c>
    </row>
    <row r="32" spans="8:15" x14ac:dyDescent="0.25">
      <c r="H32" s="1"/>
      <c r="I32" s="1"/>
      <c r="J32" s="27" t="s">
        <v>30</v>
      </c>
      <c r="K32" s="1">
        <f>I21+K28</f>
        <v>-2.0011379172717159</v>
      </c>
      <c r="L32" s="27" t="s">
        <v>31</v>
      </c>
      <c r="M32" s="6">
        <f>K32+M28</f>
        <v>-2.0000000000000004</v>
      </c>
      <c r="N32" s="27" t="s">
        <v>32</v>
      </c>
      <c r="O32" s="6">
        <f t="shared" ref="O32:O33" si="8">$M$31*B3+C3*$M$32+$M$33*D3</f>
        <v>-21.000000000000004</v>
      </c>
    </row>
    <row r="33" spans="8:15" x14ac:dyDescent="0.25">
      <c r="H33" s="1"/>
      <c r="I33" s="1"/>
      <c r="J33" s="1"/>
      <c r="K33" s="1">
        <f t="shared" ref="K33" si="9">I22+K29</f>
        <v>-2.9967475946636775</v>
      </c>
      <c r="L33" s="1"/>
      <c r="M33" s="6">
        <f>K33+M29</f>
        <v>-3</v>
      </c>
      <c r="O33" s="6">
        <f t="shared" si="8"/>
        <v>-31.000000000000004</v>
      </c>
    </row>
  </sheetData>
  <mergeCells count="1">
    <mergeCell ref="H1:M1"/>
  </mergeCells>
  <pageMargins left="0.7" right="0.7" top="0.75" bottom="0.75" header="0.3" footer="0.3"/>
  <pageSetup paperSize="9" orientation="portrait" r:id="rId1"/>
  <ignoredErrors>
    <ignoredError sqref="M25 M27:M33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6"/>
  <sheetViews>
    <sheetView tabSelected="1" zoomScaleNormal="100" workbookViewId="0">
      <selection activeCell="B50" sqref="B50:B52"/>
    </sheetView>
  </sheetViews>
  <sheetFormatPr defaultRowHeight="15" x14ac:dyDescent="0.25"/>
  <cols>
    <col min="2" max="2" width="45.28515625" customWidth="1"/>
    <col min="3" max="3" width="44.140625" customWidth="1"/>
    <col min="4" max="4" width="42" customWidth="1"/>
    <col min="5" max="5" width="20.7109375" customWidth="1"/>
    <col min="6" max="6" width="37.28515625" customWidth="1"/>
  </cols>
  <sheetData>
    <row r="1" spans="1:12" ht="15.75" x14ac:dyDescent="0.25">
      <c r="A1" s="23"/>
      <c r="B1" s="49" t="s">
        <v>54</v>
      </c>
      <c r="C1" s="49"/>
      <c r="D1" s="49"/>
      <c r="E1" s="49"/>
    </row>
    <row r="2" spans="1:12" x14ac:dyDescent="0.25">
      <c r="A2" s="23"/>
      <c r="B2" s="1" t="s">
        <v>55</v>
      </c>
      <c r="C2" s="1" t="s">
        <v>56</v>
      </c>
      <c r="D2" s="1" t="s">
        <v>57</v>
      </c>
      <c r="E2" s="1" t="s">
        <v>74</v>
      </c>
      <c r="H2" s="1">
        <v>1</v>
      </c>
      <c r="J2" s="5">
        <v>1</v>
      </c>
      <c r="K2" s="5">
        <v>0</v>
      </c>
      <c r="L2" s="5">
        <v>0</v>
      </c>
    </row>
    <row r="3" spans="1:12" x14ac:dyDescent="0.25">
      <c r="A3" s="26" t="s">
        <v>34</v>
      </c>
      <c r="B3" s="1" t="s">
        <v>58</v>
      </c>
      <c r="C3" s="1" t="s">
        <v>59</v>
      </c>
      <c r="D3" s="1" t="s">
        <v>60</v>
      </c>
      <c r="E3" s="22" t="s">
        <v>75</v>
      </c>
      <c r="F3" s="30" t="s">
        <v>35</v>
      </c>
      <c r="G3" s="28" t="s">
        <v>61</v>
      </c>
      <c r="H3" s="31">
        <v>0</v>
      </c>
      <c r="I3" s="27" t="s">
        <v>62</v>
      </c>
      <c r="J3" s="5">
        <v>0</v>
      </c>
      <c r="K3" s="5">
        <v>1</v>
      </c>
      <c r="L3" s="5">
        <v>0</v>
      </c>
    </row>
    <row r="4" spans="1:12" x14ac:dyDescent="0.25">
      <c r="A4" s="23"/>
      <c r="B4" s="1" t="s">
        <v>63</v>
      </c>
      <c r="C4" s="1" t="s">
        <v>60</v>
      </c>
      <c r="D4" s="1" t="s">
        <v>64</v>
      </c>
      <c r="E4" s="22" t="s">
        <v>76</v>
      </c>
      <c r="H4" s="1">
        <v>0</v>
      </c>
      <c r="J4" s="5">
        <v>0</v>
      </c>
      <c r="K4" s="5">
        <v>0</v>
      </c>
      <c r="L4" s="5">
        <v>1</v>
      </c>
    </row>
    <row r="7" spans="1:12" x14ac:dyDescent="0.25">
      <c r="A7" s="23"/>
      <c r="B7" s="1" t="s">
        <v>55</v>
      </c>
    </row>
    <row r="8" spans="1:12" x14ac:dyDescent="0.25">
      <c r="A8" s="26" t="s">
        <v>65</v>
      </c>
      <c r="B8" s="1" t="s">
        <v>58</v>
      </c>
      <c r="D8" s="27" t="s">
        <v>66</v>
      </c>
      <c r="E8" t="str">
        <f>IMSQRT(IMSUM(IMPOWER(B7,2),IMPOWER(B8,2),IMPOWER(B9,2)))</f>
        <v>8,39050352758418+1,54937066139855i</v>
      </c>
      <c r="G8" s="27" t="s">
        <v>67</v>
      </c>
      <c r="H8" t="str">
        <f>IMSQRT(IMPRODUCT(IMSUM(IMPOWER(E8,2),IMPRODUCT(E8,B2)),2))</f>
        <v>12,6074288765786+3,51621081114497i</v>
      </c>
    </row>
    <row r="9" spans="1:12" x14ac:dyDescent="0.25">
      <c r="A9" s="23"/>
      <c r="B9" s="1" t="s">
        <v>63</v>
      </c>
    </row>
    <row r="11" spans="1:12" x14ac:dyDescent="0.25">
      <c r="A11" s="23"/>
      <c r="B11" s="1" t="str">
        <f>IMPRODUCT(IMDIV(1,$H$8),IMSUM(B7,IMPRODUCT($E$8,H2)))</f>
        <v>0,763934830822807+0,0684687384477594i</v>
      </c>
    </row>
    <row r="12" spans="1:12" x14ac:dyDescent="0.25">
      <c r="A12" s="26" t="s">
        <v>68</v>
      </c>
      <c r="B12" s="1" t="str">
        <f>IMPRODUCT(IMDIV(1,$H$8),IMSUM(B8,IMPRODUCT($E$8,H3)))</f>
        <v>0,609275767483959-0,090608644457073i</v>
      </c>
    </row>
    <row r="13" spans="1:12" x14ac:dyDescent="0.25">
      <c r="A13" s="23"/>
      <c r="B13" s="24" t="str">
        <f>IMPRODUCT(IMDIV(1,$H$8),IMSUM(B9,IMPRODUCT($E$8,H4)))</f>
        <v>0,241306729375144+0,0120178880921995i</v>
      </c>
    </row>
    <row r="15" spans="1:12" x14ac:dyDescent="0.25">
      <c r="A15" s="26" t="s">
        <v>69</v>
      </c>
      <c r="B15" s="1" t="str">
        <f>B11</f>
        <v>0,763934830822807+0,0684687384477594i</v>
      </c>
      <c r="C15" s="1" t="str">
        <f>B12</f>
        <v>0,609275767483959-0,090608644457073i</v>
      </c>
      <c r="D15" s="1" t="str">
        <f>B13</f>
        <v>0,241306729375144+0,0120178880921995i</v>
      </c>
    </row>
    <row r="17" spans="1:8" x14ac:dyDescent="0.25">
      <c r="A17" s="23"/>
      <c r="B17" s="1" t="str">
        <f t="shared" ref="B17:D19" si="0">IMSUB(J2,IMPRODUCT(2,$B11,B$15))</f>
        <v>-0,15781691519929-0,20922261649096i</v>
      </c>
      <c r="C17" s="1" t="str">
        <f t="shared" si="0"/>
        <v>-0,943301679871463+0,0550055126159617i</v>
      </c>
      <c r="D17" s="1" t="str">
        <f t="shared" si="0"/>
        <v>-0,367039531690252-0,0514057012916657i</v>
      </c>
    </row>
    <row r="18" spans="1:8" x14ac:dyDescent="0.25">
      <c r="A18" s="26" t="s">
        <v>70</v>
      </c>
      <c r="B18" s="1" t="str">
        <f t="shared" si="0"/>
        <v>-0,943301679871463+0,0550055126159617i</v>
      </c>
      <c r="C18" s="1" t="str">
        <f t="shared" si="0"/>
        <v>0,273985931214362+0,220822605569057i</v>
      </c>
      <c r="D18" s="1" t="str">
        <f t="shared" si="0"/>
        <v>-0,296222534576712+0,0290845353122807i</v>
      </c>
    </row>
    <row r="19" spans="1:8" x14ac:dyDescent="0.25">
      <c r="A19" s="23"/>
      <c r="B19" s="24" t="str">
        <f t="shared" si="0"/>
        <v>-0,367039531690252-0,0514057012916657i</v>
      </c>
      <c r="C19" s="24" t="str">
        <f t="shared" si="0"/>
        <v>-0,296222534576712+0,0290845353122807i</v>
      </c>
      <c r="D19" s="24" t="str">
        <f t="shared" si="0"/>
        <v>0,883830983984935-0,0115999890781006i</v>
      </c>
    </row>
    <row r="21" spans="1:8" x14ac:dyDescent="0.25">
      <c r="A21" s="23"/>
      <c r="B21" s="1" t="str">
        <f t="shared" ref="B21:E23" si="1">COMPLEX(ROUND(IMREAL(IMSUM(IMPRODUCT($B17,B$2),IMPRODUCT($C17,B$3),IMPRODUCT($D17,B$4))),6),ROUND(IMAGINARY(IMSUM(IMPRODUCT($B17,B$2),IMPRODUCT($C17,B$3),IMPRODUCT($D17,B$4))),6))</f>
        <v>-8,390504-1,549371i</v>
      </c>
      <c r="C21" s="1" t="str">
        <f t="shared" si="1"/>
        <v>-3,824612+0,587062i</v>
      </c>
      <c r="D21" s="1" t="str">
        <f t="shared" si="1"/>
        <v>-1,845997-4,188052i</v>
      </c>
      <c r="E21" s="1" t="str">
        <f t="shared" si="1"/>
        <v>-15,81409-32,715333i</v>
      </c>
      <c r="H21" s="1">
        <v>0</v>
      </c>
    </row>
    <row r="22" spans="1:8" x14ac:dyDescent="0.25">
      <c r="A22" s="26" t="s">
        <v>71</v>
      </c>
      <c r="B22" s="1" t="str">
        <f t="shared" si="1"/>
        <v>0</v>
      </c>
      <c r="C22" s="1" t="str">
        <f t="shared" si="1"/>
        <v>-3,054692+4,837052i</v>
      </c>
      <c r="D22" s="1" t="str">
        <f t="shared" si="1"/>
        <v>-7,449669-3,723858i</v>
      </c>
      <c r="E22" s="1" t="str">
        <f t="shared" si="1"/>
        <v>-45,112042-24,949697i</v>
      </c>
      <c r="F22" s="27" t="s">
        <v>39</v>
      </c>
      <c r="G22" s="27" t="s">
        <v>61</v>
      </c>
      <c r="H22" s="1">
        <v>1</v>
      </c>
    </row>
    <row r="23" spans="1:8" x14ac:dyDescent="0.25">
      <c r="A23" s="23"/>
      <c r="B23" s="1" t="str">
        <f t="shared" si="1"/>
        <v>0</v>
      </c>
      <c r="C23" s="1" t="str">
        <f t="shared" si="1"/>
        <v>-1,393116+2,856197i</v>
      </c>
      <c r="D23" s="1" t="str">
        <f t="shared" si="1"/>
        <v>-0,886499+0,533157i</v>
      </c>
      <c r="E23" s="1" t="str">
        <f t="shared" si="1"/>
        <v>-10,662347-67,912348i</v>
      </c>
      <c r="H23" s="1">
        <v>0</v>
      </c>
    </row>
    <row r="25" spans="1:8" x14ac:dyDescent="0.25">
      <c r="A25" s="23" t="s">
        <v>72</v>
      </c>
    </row>
    <row r="26" spans="1:8" x14ac:dyDescent="0.25">
      <c r="A26" s="23"/>
      <c r="B26" s="5">
        <v>0</v>
      </c>
    </row>
    <row r="27" spans="1:8" x14ac:dyDescent="0.25">
      <c r="A27" s="26" t="s">
        <v>65</v>
      </c>
      <c r="B27" s="1" t="str">
        <f>C22</f>
        <v>-3,054692+4,837052i</v>
      </c>
      <c r="D27" s="27" t="s">
        <v>66</v>
      </c>
      <c r="E27" t="str">
        <f>IMSUB(0,IMSQRT(IMSUM(IMPOWER(B26,2),IMPOWER(B27,2),IMPOWER(B28,2))))</f>
        <v>-3,34359072862904+5,60915474111448i</v>
      </c>
      <c r="G27" s="27" t="s">
        <v>67</v>
      </c>
      <c r="H27" t="str">
        <f>IMSQRT(IMPRODUCT(IMSUM(IMPOWER(E27,2),IMPRODUCT(E27,B27)),2))</f>
        <v>6,54157868776633-10,8256433639865i</v>
      </c>
    </row>
    <row r="28" spans="1:8" x14ac:dyDescent="0.25">
      <c r="A28" s="23"/>
      <c r="B28" s="1" t="str">
        <f>C23</f>
        <v>-1,393116+2,856197i</v>
      </c>
    </row>
    <row r="30" spans="1:8" x14ac:dyDescent="0.25">
      <c r="A30" s="23"/>
      <c r="B30" s="1" t="str">
        <f>IMPRODUCT(IMDIV(1,$H$27),IMSUM(B26,IMPRODUCT($E$27,H21)))</f>
        <v>0</v>
      </c>
    </row>
    <row r="31" spans="1:8" x14ac:dyDescent="0.25">
      <c r="A31" s="26" t="s">
        <v>68</v>
      </c>
      <c r="B31" s="1" t="str">
        <f>IMPRODUCT(IMDIV(1,$H$27),IMSUM(B27,IMPRODUCT($E$27,H22)))</f>
        <v>-0,968465978677944-0,00581825214122361i</v>
      </c>
    </row>
    <row r="32" spans="1:8" x14ac:dyDescent="0.25">
      <c r="A32" s="23"/>
      <c r="B32" s="1" t="str">
        <f>IMPRODUCT(IMDIV(1,$H$27),IMSUM(B28,IMPRODUCT($E$27,H23)))</f>
        <v>-0,250229059772372+0,0225184847006621i</v>
      </c>
    </row>
    <row r="34" spans="1:5" x14ac:dyDescent="0.25">
      <c r="A34" s="26" t="s">
        <v>69</v>
      </c>
      <c r="B34" s="1" t="str">
        <f>B30</f>
        <v>0</v>
      </c>
      <c r="C34" s="1" t="str">
        <f>B31</f>
        <v>-0,968465978677944-0,00581825214122361i</v>
      </c>
      <c r="D34" s="1" t="str">
        <f>B32</f>
        <v>-0,250229059772372+0,0225184847006621i</v>
      </c>
    </row>
    <row r="36" spans="1:5" x14ac:dyDescent="0.25">
      <c r="A36" s="23"/>
      <c r="B36" s="1" t="str">
        <f t="shared" ref="B36:D38" si="2">IMSUB(J2,IMPRODUCT(2,$B30,B$34))</f>
        <v>1</v>
      </c>
      <c r="C36" s="1" t="str">
        <f t="shared" si="2"/>
        <v>0</v>
      </c>
      <c r="D36" s="1" t="str">
        <f t="shared" si="2"/>
        <v>0</v>
      </c>
    </row>
    <row r="37" spans="1:5" x14ac:dyDescent="0.25">
      <c r="A37" s="26" t="s">
        <v>70</v>
      </c>
      <c r="B37" s="1" t="str">
        <f t="shared" si="2"/>
        <v>0</v>
      </c>
      <c r="C37" s="1" t="str">
        <f t="shared" si="2"/>
        <v>-0,8757849995973-0,0225391170165807i</v>
      </c>
      <c r="D37" s="1" t="str">
        <f t="shared" si="2"/>
        <v>-0,484938698975877+0,0407049811223081i</v>
      </c>
    </row>
    <row r="38" spans="1:5" x14ac:dyDescent="0.25">
      <c r="A38" s="23"/>
      <c r="B38" s="24" t="str">
        <f t="shared" si="2"/>
        <v>0</v>
      </c>
      <c r="C38" s="24" t="str">
        <f t="shared" si="2"/>
        <v>-0,484938698975877+0,0407049811223081i</v>
      </c>
      <c r="D38" s="24" t="str">
        <f t="shared" si="2"/>
        <v>0,875784999597297+0,0225391170165809i</v>
      </c>
    </row>
    <row r="40" spans="1:5" x14ac:dyDescent="0.25">
      <c r="B40" s="1" t="str">
        <f>COMPLEX(ROUND(IMREAL(IMSUM(IMPRODUCT($B36,B$21),IMPRODUCT($C36,B$22),IMPRODUCT($D36,B$23))),6),ROUND(IMAGINARY(IMSUM(IMPRODUCT($B36,B$21),IMPRODUCT($C36,B$22),IMPRODUCT($D36,B$23))),6))</f>
        <v>-8,390504-1,549371i</v>
      </c>
      <c r="C40" s="1" t="str">
        <f>COMPLEX(ROUND(IMREAL(IMSUM(IMPRODUCT($B36,C$21),IMPRODUCT($C36,C$22),IMPRODUCT($D36,C$23))),6),ROUND(IMAGINARY(IMSUM(IMPRODUCT($B36,C$21),IMPRODUCT($C36,C$22),IMPRODUCT($D36,C$23))),6))</f>
        <v>-3,824612+0,587062i</v>
      </c>
      <c r="D40" s="1" t="str">
        <f>COMPLEX(ROUND(IMREAL(IMSUM(IMPRODUCT($B36,D$21),IMPRODUCT($C36,D$22),IMPRODUCT($D36,D$23))),6),ROUND(IMAGINARY(IMSUM(IMPRODUCT($B36,D$21),IMPRODUCT($C36,D$22),IMPRODUCT($D36,D$23))),6))</f>
        <v>-1,845997-4,188052i</v>
      </c>
      <c r="E40" s="1" t="str">
        <f>COMPLEX(ROUND(IMREAL(IMSUM(IMPRODUCT($B36,E$21),IMPRODUCT($C36,E$22),IMPRODUCT($D36,E$23))),6),ROUND(IMAGINARY(IMSUM(IMPRODUCT($B36,E$21),IMPRODUCT($C36,E$22),IMPRODUCT($D36,E$23))),6))</f>
        <v>-15,81409-32,715333i</v>
      </c>
    </row>
    <row r="41" spans="1:5" x14ac:dyDescent="0.25">
      <c r="A41" s="26" t="s">
        <v>73</v>
      </c>
      <c r="B41" s="1" t="str">
        <f t="shared" ref="B41:D42" si="3">COMPLEX(ROUND(IMREAL(IMSUM(IMPRODUCT($B37,B$21),IMPRODUCT($C37,B$22),IMPRODUCT($D37,B$23))),6),ROUND(IMAGINARY(IMSUM(IMPRODUCT($B37,B$21),IMPRODUCT($C37,B$22),IMPRODUCT($D37,B$23))),6))</f>
        <v>0</v>
      </c>
      <c r="C41" s="1" t="str">
        <f t="shared" si="3"/>
        <v>3,343591-5,609155i</v>
      </c>
      <c r="D41" s="1" t="str">
        <f t="shared" si="3"/>
        <v>6,848571+3,134575i</v>
      </c>
      <c r="E41" s="1" t="s">
        <v>77</v>
      </c>
    </row>
    <row r="42" spans="1:5" x14ac:dyDescent="0.25">
      <c r="B42" s="1" t="str">
        <f t="shared" si="3"/>
        <v>0</v>
      </c>
      <c r="C42" s="1" t="str">
        <f t="shared" si="3"/>
        <v>0</v>
      </c>
      <c r="D42" s="1" t="str">
        <f t="shared" si="3"/>
        <v>2,975813+1,949554i</v>
      </c>
      <c r="E42" s="1" t="str">
        <f>COMPLEX(ROUND(IMREAL(IMSUM(IMPRODUCT($B38,E$21),IMPRODUCT($C38,E$22),IMPRODUCT($D38,E$23))),6),ROUND(IMAGINARY(IMSUM(IMPRODUCT($B38,E$21),IMPRODUCT($C38,E$22),IMPRODUCT($D38,E$23))),6))</f>
        <v>15,084913-49,454147i</v>
      </c>
    </row>
    <row r="44" spans="1:5" x14ac:dyDescent="0.25">
      <c r="A44" s="23"/>
      <c r="B44" s="25" t="str">
        <f>COMPLEX(ROUND(IMREAL(IMDIV(IMSUB(E40,IMSUM(IMPRODUCT(C40,B45),IMPRODUCT(D40,B46))),B40)),5),ROUND(IMAGINARY(IMDIV(IMSUB(E40,IMSUM(IMPRODUCT(C40,B45),IMPRODUCT(D40,B46))),B40)),5))</f>
        <v>3,21965-0,64062i</v>
      </c>
      <c r="D44" s="29" t="str">
        <f>IMSUM(IMPRODUCT($B$44,B2),IMPRODUCT($B$45,C2),IMPRODUCT($B$46,D2))</f>
        <v>39,999979+54,999978i</v>
      </c>
    </row>
    <row r="45" spans="1:5" x14ac:dyDescent="0.25">
      <c r="A45" s="26" t="s">
        <v>45</v>
      </c>
      <c r="B45" s="25" t="str">
        <f>COMPLEX(ROUND(IMREAL(IMDIV(IMSUB(E41,IMPRODUCT(B46,D41)),C41)),5),ROUND(IMAGINARY(IMDIV(IMSUB(E41,IMPRODUCT(B46,D41)),C41)),5))</f>
        <v>-19,09698+16,9155i</v>
      </c>
      <c r="C45" s="27" t="s">
        <v>32</v>
      </c>
      <c r="D45" s="29" t="str">
        <f>IMSUM(IMPRODUCT($B$44,B3),IMPRODUCT($B$45,C3),IMPRODUCT($B$46,D3))</f>
        <v>14,999997+33,000007i</v>
      </c>
    </row>
    <row r="46" spans="1:5" x14ac:dyDescent="0.25">
      <c r="A46" s="23"/>
      <c r="B46" s="25" t="str">
        <f>COMPLEX(ROUND(IMREAL(IMDIV(E42,D42)),6),ROUND(IMAGINARY(IMDIV(E42,D42)),5))</f>
        <v>-4,071013-13,95165i</v>
      </c>
      <c r="D46" s="29" t="str">
        <f>IMSUM(IMPRODUCT($B$44,B4),IMPRODUCT($B$45,C4),IMPRODUCT($B$46,D4))</f>
        <v>8,000014-41,000029i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CA8B-C611-4519-8184-B3939E5CBA57}">
  <dimension ref="A1:F14"/>
  <sheetViews>
    <sheetView topLeftCell="B1" zoomScale="145" zoomScaleNormal="145" workbookViewId="0">
      <selection activeCell="D18" sqref="D18"/>
    </sheetView>
  </sheetViews>
  <sheetFormatPr defaultRowHeight="15" x14ac:dyDescent="0.25"/>
  <cols>
    <col min="2" max="2" width="42.5703125" customWidth="1"/>
    <col min="3" max="3" width="44.140625" customWidth="1"/>
    <col min="4" max="4" width="40.5703125" customWidth="1"/>
    <col min="5" max="5" width="15.7109375" customWidth="1"/>
    <col min="6" max="6" width="49.85546875" customWidth="1"/>
  </cols>
  <sheetData>
    <row r="1" spans="1:6" ht="18.75" x14ac:dyDescent="0.3">
      <c r="A1" s="7"/>
      <c r="B1" s="8"/>
      <c r="C1" s="21" t="s">
        <v>48</v>
      </c>
      <c r="D1" s="21"/>
      <c r="E1" s="21"/>
      <c r="F1" s="9"/>
    </row>
    <row r="2" spans="1:6" x14ac:dyDescent="0.25">
      <c r="A2" s="11"/>
      <c r="F2" s="10"/>
    </row>
    <row r="3" spans="1:6" x14ac:dyDescent="0.25">
      <c r="A3" s="11"/>
      <c r="B3" s="1" t="s">
        <v>78</v>
      </c>
      <c r="C3" s="1" t="s">
        <v>79</v>
      </c>
      <c r="D3" s="22" t="s">
        <v>80</v>
      </c>
      <c r="E3" s="1" t="s">
        <v>49</v>
      </c>
      <c r="F3" s="10"/>
    </row>
    <row r="4" spans="1:6" x14ac:dyDescent="0.25">
      <c r="A4" s="28" t="s">
        <v>71</v>
      </c>
      <c r="B4" s="1" t="s">
        <v>79</v>
      </c>
      <c r="C4" s="22" t="s">
        <v>81</v>
      </c>
      <c r="D4" s="1" t="s">
        <v>82</v>
      </c>
      <c r="E4" s="1" t="s">
        <v>50</v>
      </c>
      <c r="F4" s="32" t="s">
        <v>35</v>
      </c>
    </row>
    <row r="5" spans="1:6" x14ac:dyDescent="0.25">
      <c r="A5" s="11"/>
      <c r="B5" s="22" t="s">
        <v>80</v>
      </c>
      <c r="C5" s="1" t="s">
        <v>82</v>
      </c>
      <c r="D5" s="1" t="s">
        <v>83</v>
      </c>
      <c r="E5" s="1" t="s">
        <v>51</v>
      </c>
      <c r="F5" s="10"/>
    </row>
    <row r="6" spans="1:6" x14ac:dyDescent="0.25">
      <c r="A6" s="11"/>
      <c r="F6" s="10"/>
    </row>
    <row r="7" spans="1:6" x14ac:dyDescent="0.25">
      <c r="A7" s="11"/>
      <c r="F7" s="10"/>
    </row>
    <row r="8" spans="1:6" x14ac:dyDescent="0.25">
      <c r="A8" s="11"/>
      <c r="B8" s="1" t="str">
        <f>IMSQRT(B3)</f>
        <v>10,2724073936487-4,18597105354159i</v>
      </c>
      <c r="C8" s="1" t="str">
        <f>IMDIV(C3,B8)</f>
        <v>7,46460147135245-2,31234932615514i</v>
      </c>
      <c r="D8" s="1" t="str">
        <f>IMDIV(D3,B8)</f>
        <v>-4,7807602189348+4,08744265103586i</v>
      </c>
      <c r="E8" s="27" t="s">
        <v>32</v>
      </c>
      <c r="F8" s="33" t="str">
        <f>IMSUM(IMPRODUCT($D$12,B3),IMPRODUCT($D$13,C3),IMPRODUCT($D$14,D3))</f>
        <v>72,2813056736682-5,8206339672596i</v>
      </c>
    </row>
    <row r="9" spans="1:6" x14ac:dyDescent="0.25">
      <c r="A9" s="28" t="s">
        <v>52</v>
      </c>
      <c r="B9" s="1">
        <v>0</v>
      </c>
      <c r="C9" s="1" t="str">
        <f>IMSQRT(IMSUB(C4,IMPOWER(C8,2)))</f>
        <v>1,25002540696088-1,39135877400285i</v>
      </c>
      <c r="D9" s="1" t="str">
        <f>IMDIV(IMSUB(D4,IMPRODUCT(C8,D8)),C9)</f>
        <v>38,4701197672805-12,8318827227726i</v>
      </c>
      <c r="F9" s="33" t="str">
        <f t="shared" ref="F9:F10" si="0">IMSUM(IMPRODUCT($D$12,B4),IMPRODUCT($D$13,C4),IMPRODUCT($D$14,D4))</f>
        <v>36,1891571559299-17,8429113000187i</v>
      </c>
    </row>
    <row r="10" spans="1:6" x14ac:dyDescent="0.25">
      <c r="A10" s="11"/>
      <c r="B10" s="1">
        <v>0</v>
      </c>
      <c r="C10" s="1">
        <v>0</v>
      </c>
      <c r="D10" s="1" t="str">
        <f>IMSQRT(IMSUB(D5,IMSUM(IMPOWER(D8,2),IMPOWER(D9,2))))</f>
        <v>15,3830276251718+37,3908935499027i</v>
      </c>
      <c r="F10" s="33" t="str">
        <f t="shared" si="0"/>
        <v>43,7156919541248-25,7527364880499i</v>
      </c>
    </row>
    <row r="11" spans="1:6" x14ac:dyDescent="0.25">
      <c r="A11" s="11"/>
      <c r="F11" s="10"/>
    </row>
    <row r="12" spans="1:6" x14ac:dyDescent="0.25">
      <c r="A12" s="11"/>
      <c r="B12" s="1" t="str">
        <f>IMDIV(E3,B8)</f>
        <v>6,21505122249275+1,94852323769875i</v>
      </c>
      <c r="D12" s="6" t="str">
        <f>COMPLEX(ROUND(IMREAL(IMDIV(IMSUB(B12,IMSUM(IMPRODUCT(C8,D13),IMPRODUCT(D8,D14))),B8)),2),ROUND(IMAGINARY(IMDIV(IMSUB(B12,IMSUM(IMPRODUCT(C8,D13),IMPRODUCT(D8,D14))),B8)),2))</f>
        <v>0,24+0,11i</v>
      </c>
      <c r="F12" s="10"/>
    </row>
    <row r="13" spans="1:6" x14ac:dyDescent="0.25">
      <c r="A13" s="28" t="s">
        <v>53</v>
      </c>
      <c r="B13" s="1" t="str">
        <f>IMDIV(IMSUB(E4,IMPRODUCT(B12,C8)),C9)</f>
        <v>1,90439238141232-12,4188570770412i</v>
      </c>
      <c r="C13" s="27" t="s">
        <v>45</v>
      </c>
      <c r="D13" s="6" t="str">
        <f>COMPLEX(ROUND(IMREAL(IMDIV(IMSUB(B13,IMPRODUCT(D9,D14)),C9)),2),ROUND(IMAGINARY(IMDIV(IMSUB(B13,IMPRODUCT(D9,D14)),C9)),2))</f>
        <v>0,34+0,11i</v>
      </c>
      <c r="F13" s="10"/>
    </row>
    <row r="14" spans="1:6" x14ac:dyDescent="0.25">
      <c r="A14" s="20"/>
      <c r="B14" s="1" t="str">
        <f>IMDIV(IMSUB(E5,IMSUM(IMPRODUCT(B12,D8),IMPRODUCT(D9,B13))),D10)</f>
        <v>12,1027292127643+0,492214945258973i</v>
      </c>
      <c r="C14" s="17"/>
      <c r="D14" s="6" t="str">
        <f>IMDIV(B14,D10)</f>
        <v>0,125147681280305-0,272194056042548i</v>
      </c>
      <c r="E14" s="17"/>
      <c r="F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Метод Зейделя</vt:lpstr>
      <vt:lpstr>Метод простой итерации</vt:lpstr>
      <vt:lpstr>Метод ортогонализации</vt:lpstr>
      <vt:lpstr>Метод сопряженных градиентов</vt:lpstr>
      <vt:lpstr>Метод отражений</vt:lpstr>
      <vt:lpstr>Метод квадратного корня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2024-01-22T02:10:08Z</dcterms:modified>
</cp:coreProperties>
</file>