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matheus.silverio\Downloads\"/>
    </mc:Choice>
  </mc:AlternateContent>
  <xr:revisionPtr revIDLastSave="0" documentId="13_ncr:1_{5F4FA50C-7DF3-4EA0-87A3-4CF0D5AE220D}" xr6:coauthVersionLast="47" xr6:coauthVersionMax="47" xr10:uidLastSave="{00000000-0000-0000-0000-000000000000}"/>
  <bookViews>
    <workbookView xWindow="-120" yWindow="-120" windowWidth="24240" windowHeight="13020" tabRatio="788" activeTab="6" xr2:uid="{00000000-000D-0000-FFFF-FFFF00000000}"/>
  </bookViews>
  <sheets>
    <sheet name="Projeto" sheetId="2" r:id="rId1"/>
    <sheet name="Dados" sheetId="1" r:id="rId2"/>
    <sheet name="Qtd Vendas x Faturamento" sheetId="3" r:id="rId3"/>
    <sheet name="Lotes" sheetId="4" r:id="rId4"/>
    <sheet name="RH" sheetId="5" r:id="rId5"/>
    <sheet name="Gráfico1" sheetId="9" state="hidden" r:id="rId6"/>
    <sheet name="FLUXO DE CAIXA" sheetId="7" r:id="rId7"/>
    <sheet name="GRÁFICOS" sheetId="8" state="hidden" r:id="rId8"/>
  </sheets>
  <definedNames>
    <definedName name="_xlnm._FilterDatabase" localSheetId="1" hidden="1">Dados!$A$39:$D$44</definedName>
    <definedName name="_xlnm._FilterDatabase" localSheetId="3" hidden="1">Lotes!$A$1:$F$61</definedName>
    <definedName name="_xlnm._FilterDatabase" localSheetId="2" hidden="1">'Qtd Vendas x Faturamento'!$A$1:$H$241</definedName>
    <definedName name="_xlnm._FilterDatabase" localSheetId="4" hidden="1">RH!$A$1:$S$61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8" i="7" l="1"/>
  <c r="D8" i="7"/>
  <c r="E8" i="7"/>
  <c r="F8" i="7"/>
  <c r="G8" i="7"/>
  <c r="H8" i="7"/>
  <c r="I8" i="7"/>
  <c r="J8" i="7"/>
  <c r="K8" i="7"/>
  <c r="L8" i="7"/>
  <c r="M8" i="7"/>
  <c r="C8" i="7"/>
  <c r="D47" i="2"/>
  <c r="J68" i="1"/>
  <c r="K68" i="1" s="1"/>
  <c r="C10" i="1"/>
  <c r="C2" i="1"/>
  <c r="E16" i="1"/>
  <c r="E17" i="1"/>
  <c r="E18" i="1"/>
  <c r="E19" i="1"/>
  <c r="E20" i="1"/>
  <c r="E21" i="1"/>
  <c r="E22" i="1"/>
  <c r="E23" i="1"/>
  <c r="E15" i="1"/>
  <c r="C26" i="2" l="1"/>
  <c r="C49" i="2" l="1"/>
  <c r="D46" i="2"/>
  <c r="D45" i="2"/>
  <c r="D44" i="2"/>
  <c r="D43" i="2"/>
  <c r="D42" i="2"/>
  <c r="D41" i="2"/>
  <c r="D40" i="2"/>
  <c r="D39" i="2"/>
  <c r="D38" i="2"/>
  <c r="D37" i="2"/>
  <c r="D36" i="2"/>
  <c r="D3" i="3" l="1"/>
  <c r="H3" i="3" s="1"/>
  <c r="D4" i="3"/>
  <c r="H4" i="3" s="1"/>
  <c r="D5" i="3"/>
  <c r="H5" i="3" s="1"/>
  <c r="D6" i="3"/>
  <c r="H6" i="3" s="1"/>
  <c r="D7" i="3"/>
  <c r="H7" i="3" s="1"/>
  <c r="D8" i="3"/>
  <c r="H8" i="3" s="1"/>
  <c r="D9" i="3"/>
  <c r="H9" i="3" s="1"/>
  <c r="D10" i="3"/>
  <c r="H10" i="3" s="1"/>
  <c r="D11" i="3"/>
  <c r="H11" i="3" s="1"/>
  <c r="D12" i="3"/>
  <c r="H12" i="3" s="1"/>
  <c r="D13" i="3"/>
  <c r="H13" i="3" s="1"/>
  <c r="D14" i="3"/>
  <c r="H14" i="3" s="1"/>
  <c r="D15" i="3"/>
  <c r="H15" i="3" s="1"/>
  <c r="D16" i="3"/>
  <c r="H16" i="3" s="1"/>
  <c r="D17" i="3"/>
  <c r="H17" i="3" s="1"/>
  <c r="D18" i="3"/>
  <c r="H18" i="3" s="1"/>
  <c r="D19" i="3"/>
  <c r="H19" i="3" s="1"/>
  <c r="D20" i="3"/>
  <c r="H20" i="3" s="1"/>
  <c r="D21" i="3"/>
  <c r="H21" i="3" s="1"/>
  <c r="D2" i="3"/>
  <c r="H2" i="3" s="1"/>
  <c r="K21" i="2"/>
  <c r="K22" i="2"/>
  <c r="K23" i="2"/>
  <c r="K24" i="2"/>
  <c r="K20" i="2"/>
  <c r="F36" i="2"/>
  <c r="J36" i="2" s="1"/>
  <c r="K36" i="2" s="1"/>
  <c r="G36" i="2"/>
  <c r="D22" i="3"/>
  <c r="H22" i="3" s="1"/>
  <c r="D23" i="3"/>
  <c r="H23" i="3" s="1"/>
  <c r="D24" i="3"/>
  <c r="H24" i="3" s="1"/>
  <c r="D19" i="7" s="1"/>
  <c r="D25" i="3"/>
  <c r="H25" i="3" s="1"/>
  <c r="D26" i="3"/>
  <c r="H26" i="3" s="1"/>
  <c r="D27" i="3"/>
  <c r="H27" i="3" s="1"/>
  <c r="D28" i="3"/>
  <c r="H28" i="3" s="1"/>
  <c r="D29" i="3"/>
  <c r="H29" i="3" s="1"/>
  <c r="D30" i="3"/>
  <c r="H30" i="3" s="1"/>
  <c r="D31" i="3"/>
  <c r="H31" i="3" s="1"/>
  <c r="D32" i="3"/>
  <c r="H32" i="3" s="1"/>
  <c r="D33" i="3"/>
  <c r="H33" i="3" s="1"/>
  <c r="D34" i="3"/>
  <c r="H34" i="3" s="1"/>
  <c r="D35" i="3"/>
  <c r="H35" i="3" s="1"/>
  <c r="D36" i="3"/>
  <c r="H36" i="3" s="1"/>
  <c r="D37" i="3"/>
  <c r="H37" i="3" s="1"/>
  <c r="D38" i="3"/>
  <c r="H38" i="3" s="1"/>
  <c r="D39" i="3"/>
  <c r="H39" i="3" s="1"/>
  <c r="D40" i="3"/>
  <c r="H40" i="3" s="1"/>
  <c r="D41" i="3"/>
  <c r="H41" i="3" s="1"/>
  <c r="G37" i="2"/>
  <c r="F37" i="2"/>
  <c r="D42" i="3"/>
  <c r="H42" i="3" s="1"/>
  <c r="D43" i="3"/>
  <c r="H43" i="3" s="1"/>
  <c r="D44" i="3"/>
  <c r="H44" i="3" s="1"/>
  <c r="D45" i="3"/>
  <c r="H45" i="3" s="1"/>
  <c r="D46" i="3"/>
  <c r="H46" i="3" s="1"/>
  <c r="D47" i="3"/>
  <c r="H47" i="3" s="1"/>
  <c r="D48" i="3"/>
  <c r="H48" i="3" s="1"/>
  <c r="D49" i="3"/>
  <c r="H49" i="3" s="1"/>
  <c r="D50" i="3"/>
  <c r="H50" i="3" s="1"/>
  <c r="D51" i="3"/>
  <c r="H51" i="3" s="1"/>
  <c r="D52" i="3"/>
  <c r="H52" i="3" s="1"/>
  <c r="D53" i="3"/>
  <c r="H53" i="3" s="1"/>
  <c r="D54" i="3"/>
  <c r="H54" i="3" s="1"/>
  <c r="D55" i="3"/>
  <c r="H55" i="3" s="1"/>
  <c r="D56" i="3"/>
  <c r="H56" i="3" s="1"/>
  <c r="D57" i="3"/>
  <c r="H57" i="3" s="1"/>
  <c r="D58" i="3"/>
  <c r="H58" i="3" s="1"/>
  <c r="D59" i="3"/>
  <c r="H59" i="3" s="1"/>
  <c r="D60" i="3"/>
  <c r="H60" i="3" s="1"/>
  <c r="D61" i="3"/>
  <c r="H61" i="3" s="1"/>
  <c r="G38" i="2"/>
  <c r="F38" i="2"/>
  <c r="D62" i="3"/>
  <c r="H62" i="3" s="1"/>
  <c r="D63" i="3"/>
  <c r="H63" i="3" s="1"/>
  <c r="D64" i="3"/>
  <c r="H64" i="3" s="1"/>
  <c r="D65" i="3"/>
  <c r="H65" i="3" s="1"/>
  <c r="D66" i="3"/>
  <c r="H66" i="3" s="1"/>
  <c r="D67" i="3"/>
  <c r="H67" i="3" s="1"/>
  <c r="D68" i="3"/>
  <c r="H68" i="3" s="1"/>
  <c r="D69" i="3"/>
  <c r="H69" i="3" s="1"/>
  <c r="D70" i="3"/>
  <c r="H70" i="3" s="1"/>
  <c r="D71" i="3"/>
  <c r="H71" i="3" s="1"/>
  <c r="D72" i="3"/>
  <c r="H72" i="3" s="1"/>
  <c r="D73" i="3"/>
  <c r="H73" i="3" s="1"/>
  <c r="D74" i="3"/>
  <c r="H74" i="3" s="1"/>
  <c r="D75" i="3"/>
  <c r="H75" i="3" s="1"/>
  <c r="D76" i="3"/>
  <c r="H76" i="3" s="1"/>
  <c r="D77" i="3"/>
  <c r="H77" i="3" s="1"/>
  <c r="D78" i="3"/>
  <c r="H78" i="3" s="1"/>
  <c r="D79" i="3"/>
  <c r="H79" i="3" s="1"/>
  <c r="D80" i="3"/>
  <c r="H80" i="3" s="1"/>
  <c r="D81" i="3"/>
  <c r="H81" i="3" s="1"/>
  <c r="G39" i="2"/>
  <c r="F39" i="2"/>
  <c r="D82" i="3"/>
  <c r="H82" i="3" s="1"/>
  <c r="D83" i="3"/>
  <c r="H83" i="3" s="1"/>
  <c r="D84" i="3"/>
  <c r="H84" i="3" s="1"/>
  <c r="G19" i="7" s="1"/>
  <c r="D85" i="3"/>
  <c r="H85" i="3" s="1"/>
  <c r="D86" i="3"/>
  <c r="H86" i="3" s="1"/>
  <c r="D87" i="3"/>
  <c r="H87" i="3" s="1"/>
  <c r="D88" i="3"/>
  <c r="H88" i="3" s="1"/>
  <c r="D89" i="3"/>
  <c r="H89" i="3" s="1"/>
  <c r="D90" i="3"/>
  <c r="H90" i="3" s="1"/>
  <c r="D91" i="3"/>
  <c r="H91" i="3" s="1"/>
  <c r="D92" i="3"/>
  <c r="H92" i="3" s="1"/>
  <c r="D93" i="3"/>
  <c r="H93" i="3" s="1"/>
  <c r="D94" i="3"/>
  <c r="H94" i="3" s="1"/>
  <c r="D95" i="3"/>
  <c r="H95" i="3" s="1"/>
  <c r="D96" i="3"/>
  <c r="H96" i="3" s="1"/>
  <c r="D97" i="3"/>
  <c r="H97" i="3" s="1"/>
  <c r="D98" i="3"/>
  <c r="H98" i="3" s="1"/>
  <c r="D99" i="3"/>
  <c r="H99" i="3" s="1"/>
  <c r="D100" i="3"/>
  <c r="H100" i="3" s="1"/>
  <c r="D101" i="3"/>
  <c r="H101" i="3" s="1"/>
  <c r="G40" i="2"/>
  <c r="F40" i="2"/>
  <c r="D102" i="3"/>
  <c r="H102" i="3" s="1"/>
  <c r="D103" i="3"/>
  <c r="H103" i="3" s="1"/>
  <c r="D104" i="3"/>
  <c r="H104" i="3" s="1"/>
  <c r="D105" i="3"/>
  <c r="H105" i="3" s="1"/>
  <c r="D106" i="3"/>
  <c r="H106" i="3" s="1"/>
  <c r="D107" i="3"/>
  <c r="H107" i="3" s="1"/>
  <c r="D108" i="3"/>
  <c r="H108" i="3" s="1"/>
  <c r="D109" i="3"/>
  <c r="H109" i="3" s="1"/>
  <c r="D110" i="3"/>
  <c r="H110" i="3" s="1"/>
  <c r="D111" i="3"/>
  <c r="H111" i="3" s="1"/>
  <c r="D112" i="3"/>
  <c r="H112" i="3" s="1"/>
  <c r="D113" i="3"/>
  <c r="H113" i="3" s="1"/>
  <c r="D114" i="3"/>
  <c r="H114" i="3" s="1"/>
  <c r="D115" i="3"/>
  <c r="H115" i="3" s="1"/>
  <c r="D116" i="3"/>
  <c r="H116" i="3" s="1"/>
  <c r="D117" i="3"/>
  <c r="H117" i="3" s="1"/>
  <c r="D118" i="3"/>
  <c r="H118" i="3" s="1"/>
  <c r="D119" i="3"/>
  <c r="H119" i="3" s="1"/>
  <c r="D120" i="3"/>
  <c r="H120" i="3" s="1"/>
  <c r="D121" i="3"/>
  <c r="H121" i="3" s="1"/>
  <c r="G41" i="2"/>
  <c r="F41" i="2"/>
  <c r="D122" i="3"/>
  <c r="H122" i="3" s="1"/>
  <c r="D123" i="3"/>
  <c r="H123" i="3" s="1"/>
  <c r="D124" i="3"/>
  <c r="H124" i="3" s="1"/>
  <c r="D125" i="3"/>
  <c r="H125" i="3" s="1"/>
  <c r="D126" i="3"/>
  <c r="H126" i="3" s="1"/>
  <c r="D127" i="3"/>
  <c r="H127" i="3" s="1"/>
  <c r="D128" i="3"/>
  <c r="H128" i="3" s="1"/>
  <c r="D129" i="3"/>
  <c r="H129" i="3" s="1"/>
  <c r="D130" i="3"/>
  <c r="H130" i="3" s="1"/>
  <c r="D131" i="3"/>
  <c r="H131" i="3" s="1"/>
  <c r="D132" i="3"/>
  <c r="H132" i="3" s="1"/>
  <c r="D133" i="3"/>
  <c r="H133" i="3" s="1"/>
  <c r="D134" i="3"/>
  <c r="H134" i="3" s="1"/>
  <c r="D135" i="3"/>
  <c r="H135" i="3" s="1"/>
  <c r="D136" i="3"/>
  <c r="H136" i="3" s="1"/>
  <c r="D137" i="3"/>
  <c r="H137" i="3" s="1"/>
  <c r="D138" i="3"/>
  <c r="H138" i="3" s="1"/>
  <c r="D139" i="3"/>
  <c r="H139" i="3" s="1"/>
  <c r="D140" i="3"/>
  <c r="H140" i="3" s="1"/>
  <c r="D141" i="3"/>
  <c r="H141" i="3" s="1"/>
  <c r="G42" i="2"/>
  <c r="F42" i="2"/>
  <c r="D142" i="3"/>
  <c r="H142" i="3" s="1"/>
  <c r="D143" i="3"/>
  <c r="H143" i="3" s="1"/>
  <c r="D144" i="3"/>
  <c r="H144" i="3" s="1"/>
  <c r="J19" i="7" s="1"/>
  <c r="D145" i="3"/>
  <c r="H145" i="3" s="1"/>
  <c r="D146" i="3"/>
  <c r="H146" i="3" s="1"/>
  <c r="D147" i="3"/>
  <c r="H147" i="3" s="1"/>
  <c r="D148" i="3"/>
  <c r="H148" i="3" s="1"/>
  <c r="D149" i="3"/>
  <c r="H149" i="3" s="1"/>
  <c r="D150" i="3"/>
  <c r="H150" i="3" s="1"/>
  <c r="D151" i="3"/>
  <c r="H151" i="3" s="1"/>
  <c r="D152" i="3"/>
  <c r="H152" i="3" s="1"/>
  <c r="D153" i="3"/>
  <c r="H153" i="3" s="1"/>
  <c r="D154" i="3"/>
  <c r="H154" i="3" s="1"/>
  <c r="D155" i="3"/>
  <c r="H155" i="3" s="1"/>
  <c r="D156" i="3"/>
  <c r="H156" i="3" s="1"/>
  <c r="D157" i="3"/>
  <c r="H157" i="3" s="1"/>
  <c r="D158" i="3"/>
  <c r="H158" i="3" s="1"/>
  <c r="D159" i="3"/>
  <c r="H159" i="3" s="1"/>
  <c r="D160" i="3"/>
  <c r="H160" i="3" s="1"/>
  <c r="D161" i="3"/>
  <c r="H161" i="3" s="1"/>
  <c r="G43" i="2"/>
  <c r="F43" i="2"/>
  <c r="D162" i="3"/>
  <c r="H162" i="3" s="1"/>
  <c r="D163" i="3"/>
  <c r="H163" i="3" s="1"/>
  <c r="D164" i="3"/>
  <c r="H164" i="3" s="1"/>
  <c r="D165" i="3"/>
  <c r="H165" i="3" s="1"/>
  <c r="D166" i="3"/>
  <c r="H166" i="3" s="1"/>
  <c r="D167" i="3"/>
  <c r="H167" i="3" s="1"/>
  <c r="D168" i="3"/>
  <c r="H168" i="3" s="1"/>
  <c r="D169" i="3"/>
  <c r="H169" i="3" s="1"/>
  <c r="D170" i="3"/>
  <c r="H170" i="3" s="1"/>
  <c r="D171" i="3"/>
  <c r="H171" i="3" s="1"/>
  <c r="D172" i="3"/>
  <c r="H172" i="3" s="1"/>
  <c r="D173" i="3"/>
  <c r="H173" i="3" s="1"/>
  <c r="D174" i="3"/>
  <c r="H174" i="3" s="1"/>
  <c r="D175" i="3"/>
  <c r="H175" i="3" s="1"/>
  <c r="D176" i="3"/>
  <c r="H176" i="3" s="1"/>
  <c r="D177" i="3"/>
  <c r="H177" i="3" s="1"/>
  <c r="D178" i="3"/>
  <c r="H178" i="3" s="1"/>
  <c r="D179" i="3"/>
  <c r="H179" i="3" s="1"/>
  <c r="D180" i="3"/>
  <c r="H180" i="3" s="1"/>
  <c r="D181" i="3"/>
  <c r="H181" i="3" s="1"/>
  <c r="G44" i="2"/>
  <c r="F44" i="2"/>
  <c r="D182" i="3"/>
  <c r="H182" i="3" s="1"/>
  <c r="D183" i="3"/>
  <c r="H183" i="3" s="1"/>
  <c r="D184" i="3"/>
  <c r="H184" i="3" s="1"/>
  <c r="D185" i="3"/>
  <c r="H185" i="3" s="1"/>
  <c r="D186" i="3"/>
  <c r="H186" i="3" s="1"/>
  <c r="D187" i="3"/>
  <c r="H187" i="3" s="1"/>
  <c r="D188" i="3"/>
  <c r="H188" i="3" s="1"/>
  <c r="D189" i="3"/>
  <c r="H189" i="3" s="1"/>
  <c r="D190" i="3"/>
  <c r="H190" i="3" s="1"/>
  <c r="D191" i="3"/>
  <c r="H191" i="3" s="1"/>
  <c r="D192" i="3"/>
  <c r="H192" i="3" s="1"/>
  <c r="D193" i="3"/>
  <c r="H193" i="3" s="1"/>
  <c r="D194" i="3"/>
  <c r="H194" i="3" s="1"/>
  <c r="D195" i="3"/>
  <c r="H195" i="3" s="1"/>
  <c r="D196" i="3"/>
  <c r="H196" i="3" s="1"/>
  <c r="D197" i="3"/>
  <c r="H197" i="3" s="1"/>
  <c r="D198" i="3"/>
  <c r="H198" i="3" s="1"/>
  <c r="D199" i="3"/>
  <c r="H199" i="3" s="1"/>
  <c r="D200" i="3"/>
  <c r="H200" i="3" s="1"/>
  <c r="D201" i="3"/>
  <c r="H201" i="3" s="1"/>
  <c r="G45" i="2"/>
  <c r="F45" i="2"/>
  <c r="D202" i="3"/>
  <c r="H202" i="3" s="1"/>
  <c r="D203" i="3"/>
  <c r="H203" i="3" s="1"/>
  <c r="D204" i="3"/>
  <c r="H204" i="3" s="1"/>
  <c r="M19" i="7" s="1"/>
  <c r="D205" i="3"/>
  <c r="H205" i="3" s="1"/>
  <c r="D206" i="3"/>
  <c r="H206" i="3" s="1"/>
  <c r="D207" i="3"/>
  <c r="H207" i="3" s="1"/>
  <c r="D208" i="3"/>
  <c r="H208" i="3" s="1"/>
  <c r="D209" i="3"/>
  <c r="H209" i="3" s="1"/>
  <c r="D210" i="3"/>
  <c r="H210" i="3" s="1"/>
  <c r="D211" i="3"/>
  <c r="H211" i="3" s="1"/>
  <c r="D212" i="3"/>
  <c r="H212" i="3" s="1"/>
  <c r="D213" i="3"/>
  <c r="H213" i="3" s="1"/>
  <c r="D214" i="3"/>
  <c r="H214" i="3" s="1"/>
  <c r="D215" i="3"/>
  <c r="H215" i="3" s="1"/>
  <c r="D216" i="3"/>
  <c r="H216" i="3" s="1"/>
  <c r="D217" i="3"/>
  <c r="H217" i="3" s="1"/>
  <c r="D218" i="3"/>
  <c r="H218" i="3" s="1"/>
  <c r="D219" i="3"/>
  <c r="H219" i="3" s="1"/>
  <c r="D220" i="3"/>
  <c r="H220" i="3" s="1"/>
  <c r="D221" i="3"/>
  <c r="H221" i="3" s="1"/>
  <c r="G46" i="2"/>
  <c r="F46" i="2"/>
  <c r="D222" i="3"/>
  <c r="H222" i="3" s="1"/>
  <c r="D223" i="3"/>
  <c r="H223" i="3" s="1"/>
  <c r="D224" i="3"/>
  <c r="H224" i="3" s="1"/>
  <c r="N19" i="7" s="1"/>
  <c r="D225" i="3"/>
  <c r="H225" i="3" s="1"/>
  <c r="D226" i="3"/>
  <c r="H226" i="3" s="1"/>
  <c r="D227" i="3"/>
  <c r="H227" i="3" s="1"/>
  <c r="D228" i="3"/>
  <c r="H228" i="3" s="1"/>
  <c r="D229" i="3"/>
  <c r="H229" i="3" s="1"/>
  <c r="D230" i="3"/>
  <c r="H230" i="3" s="1"/>
  <c r="D231" i="3"/>
  <c r="H231" i="3" s="1"/>
  <c r="D232" i="3"/>
  <c r="H232" i="3" s="1"/>
  <c r="D233" i="3"/>
  <c r="H233" i="3" s="1"/>
  <c r="D234" i="3"/>
  <c r="H234" i="3" s="1"/>
  <c r="D235" i="3"/>
  <c r="H235" i="3" s="1"/>
  <c r="D236" i="3"/>
  <c r="H236" i="3" s="1"/>
  <c r="D237" i="3"/>
  <c r="H237" i="3" s="1"/>
  <c r="D238" i="3"/>
  <c r="H238" i="3" s="1"/>
  <c r="D239" i="3"/>
  <c r="H239" i="3" s="1"/>
  <c r="D240" i="3"/>
  <c r="H240" i="3" s="1"/>
  <c r="D241" i="3"/>
  <c r="H241" i="3" s="1"/>
  <c r="G47" i="2"/>
  <c r="F47" i="2"/>
  <c r="D49" i="2"/>
  <c r="K19" i="7" l="1"/>
  <c r="H19" i="7"/>
  <c r="E19" i="7"/>
  <c r="L19" i="7"/>
  <c r="I19" i="7"/>
  <c r="F19" i="7"/>
  <c r="C19" i="7"/>
  <c r="C60" i="5"/>
  <c r="C60" i="4"/>
  <c r="D60" i="4" s="1"/>
  <c r="G60" i="4" s="1"/>
  <c r="C59" i="5"/>
  <c r="C59" i="4"/>
  <c r="D59" i="4" s="1"/>
  <c r="G59" i="4" s="1"/>
  <c r="C61" i="5"/>
  <c r="C61" i="4"/>
  <c r="D61" i="4" s="1"/>
  <c r="G61" i="4" s="1"/>
  <c r="C58" i="5"/>
  <c r="C58" i="4"/>
  <c r="D58" i="4" s="1"/>
  <c r="G58" i="4" s="1"/>
  <c r="C57" i="5"/>
  <c r="C57" i="4"/>
  <c r="D57" i="4" s="1"/>
  <c r="G57" i="4" s="1"/>
  <c r="C55" i="5"/>
  <c r="C55" i="4"/>
  <c r="D55" i="4" s="1"/>
  <c r="G55" i="4" s="1"/>
  <c r="C54" i="5"/>
  <c r="C54" i="4"/>
  <c r="D54" i="4" s="1"/>
  <c r="G54" i="4" s="1"/>
  <c r="C56" i="5"/>
  <c r="C56" i="4"/>
  <c r="D56" i="4" s="1"/>
  <c r="G56" i="4" s="1"/>
  <c r="C53" i="5"/>
  <c r="C53" i="4"/>
  <c r="D53" i="4" s="1"/>
  <c r="G53" i="4" s="1"/>
  <c r="C52" i="5"/>
  <c r="C52" i="4"/>
  <c r="D52" i="4" s="1"/>
  <c r="G52" i="4" s="1"/>
  <c r="C50" i="5"/>
  <c r="C50" i="4"/>
  <c r="D50" i="4" s="1"/>
  <c r="G50" i="4" s="1"/>
  <c r="C49" i="5"/>
  <c r="C49" i="4"/>
  <c r="D49" i="4" s="1"/>
  <c r="G49" i="4" s="1"/>
  <c r="C51" i="5"/>
  <c r="C51" i="4"/>
  <c r="D51" i="4" s="1"/>
  <c r="G51" i="4" s="1"/>
  <c r="C48" i="5"/>
  <c r="C48" i="4"/>
  <c r="D48" i="4" s="1"/>
  <c r="G48" i="4" s="1"/>
  <c r="C47" i="5"/>
  <c r="C47" i="4"/>
  <c r="D47" i="4" s="1"/>
  <c r="G47" i="4" s="1"/>
  <c r="C45" i="5"/>
  <c r="C45" i="4"/>
  <c r="D45" i="4" s="1"/>
  <c r="G45" i="4" s="1"/>
  <c r="C44" i="5"/>
  <c r="C44" i="4"/>
  <c r="D44" i="4" s="1"/>
  <c r="G44" i="4" s="1"/>
  <c r="C46" i="5"/>
  <c r="C46" i="4"/>
  <c r="D46" i="4" s="1"/>
  <c r="G46" i="4" s="1"/>
  <c r="C43" i="5"/>
  <c r="C43" i="4"/>
  <c r="D43" i="4" s="1"/>
  <c r="G43" i="4" s="1"/>
  <c r="C42" i="5"/>
  <c r="C42" i="4"/>
  <c r="D42" i="4" s="1"/>
  <c r="G42" i="4" s="1"/>
  <c r="C40" i="5"/>
  <c r="C40" i="4"/>
  <c r="D40" i="4" s="1"/>
  <c r="G40" i="4" s="1"/>
  <c r="C39" i="5"/>
  <c r="C39" i="4"/>
  <c r="D39" i="4" s="1"/>
  <c r="G39" i="4" s="1"/>
  <c r="C41" i="5"/>
  <c r="C41" i="4"/>
  <c r="D41" i="4" s="1"/>
  <c r="G41" i="4" s="1"/>
  <c r="C38" i="5"/>
  <c r="C38" i="4"/>
  <c r="D38" i="4" s="1"/>
  <c r="G38" i="4" s="1"/>
  <c r="C37" i="5"/>
  <c r="C37" i="4"/>
  <c r="D37" i="4" s="1"/>
  <c r="G37" i="4" s="1"/>
  <c r="C35" i="5"/>
  <c r="C35" i="4"/>
  <c r="D35" i="4" s="1"/>
  <c r="G35" i="4" s="1"/>
  <c r="C34" i="5"/>
  <c r="C34" i="4"/>
  <c r="D34" i="4" s="1"/>
  <c r="G34" i="4" s="1"/>
  <c r="C36" i="5"/>
  <c r="C36" i="4"/>
  <c r="D36" i="4" s="1"/>
  <c r="G36" i="4" s="1"/>
  <c r="C33" i="5"/>
  <c r="C33" i="4"/>
  <c r="D33" i="4" s="1"/>
  <c r="G33" i="4" s="1"/>
  <c r="C32" i="5"/>
  <c r="C32" i="4"/>
  <c r="D32" i="4" s="1"/>
  <c r="G32" i="4" s="1"/>
  <c r="C30" i="5"/>
  <c r="C30" i="4"/>
  <c r="D30" i="4" s="1"/>
  <c r="G30" i="4" s="1"/>
  <c r="C29" i="5"/>
  <c r="C29" i="4"/>
  <c r="D29" i="4" s="1"/>
  <c r="G29" i="4" s="1"/>
  <c r="C31" i="5"/>
  <c r="C31" i="4"/>
  <c r="D31" i="4" s="1"/>
  <c r="G31" i="4" s="1"/>
  <c r="C28" i="5"/>
  <c r="C28" i="4"/>
  <c r="D28" i="4" s="1"/>
  <c r="G28" i="4" s="1"/>
  <c r="C27" i="5"/>
  <c r="C27" i="4"/>
  <c r="D27" i="4" s="1"/>
  <c r="G27" i="4" s="1"/>
  <c r="C25" i="5"/>
  <c r="C25" i="4"/>
  <c r="D25" i="4" s="1"/>
  <c r="G25" i="4" s="1"/>
  <c r="C24" i="5"/>
  <c r="C24" i="4"/>
  <c r="D24" i="4" s="1"/>
  <c r="G24" i="4" s="1"/>
  <c r="C26" i="5"/>
  <c r="C26" i="4"/>
  <c r="D26" i="4" s="1"/>
  <c r="G26" i="4" s="1"/>
  <c r="C23" i="5"/>
  <c r="C23" i="4"/>
  <c r="D23" i="4" s="1"/>
  <c r="G23" i="4" s="1"/>
  <c r="C22" i="5"/>
  <c r="C22" i="4"/>
  <c r="D22" i="4" s="1"/>
  <c r="G22" i="4" s="1"/>
  <c r="C20" i="5"/>
  <c r="C20" i="4"/>
  <c r="D20" i="4" s="1"/>
  <c r="G20" i="4" s="1"/>
  <c r="C19" i="5"/>
  <c r="C19" i="4"/>
  <c r="D19" i="4" s="1"/>
  <c r="G19" i="4" s="1"/>
  <c r="C21" i="5"/>
  <c r="C21" i="4"/>
  <c r="D21" i="4" s="1"/>
  <c r="G21" i="4" s="1"/>
  <c r="C18" i="5"/>
  <c r="C18" i="4"/>
  <c r="D18" i="4" s="1"/>
  <c r="G18" i="4" s="1"/>
  <c r="C17" i="5"/>
  <c r="C17" i="4"/>
  <c r="D17" i="4" s="1"/>
  <c r="G17" i="4" s="1"/>
  <c r="C15" i="5"/>
  <c r="C15" i="4"/>
  <c r="D15" i="4" s="1"/>
  <c r="G15" i="4" s="1"/>
  <c r="C14" i="5"/>
  <c r="C14" i="4"/>
  <c r="D14" i="4" s="1"/>
  <c r="G14" i="4" s="1"/>
  <c r="C16" i="5"/>
  <c r="C16" i="4"/>
  <c r="D16" i="4" s="1"/>
  <c r="G16" i="4" s="1"/>
  <c r="C13" i="5"/>
  <c r="C13" i="4"/>
  <c r="D13" i="4" s="1"/>
  <c r="G13" i="4" s="1"/>
  <c r="C12" i="5"/>
  <c r="C12" i="4"/>
  <c r="D12" i="4" s="1"/>
  <c r="G12" i="4" s="1"/>
  <c r="C10" i="5"/>
  <c r="C10" i="4"/>
  <c r="D10" i="4" s="1"/>
  <c r="G10" i="4" s="1"/>
  <c r="C9" i="5"/>
  <c r="C9" i="4"/>
  <c r="D9" i="4" s="1"/>
  <c r="G9" i="4" s="1"/>
  <c r="C11" i="5"/>
  <c r="C11" i="4"/>
  <c r="D11" i="4" s="1"/>
  <c r="G11" i="4" s="1"/>
  <c r="C8" i="5"/>
  <c r="C8" i="4"/>
  <c r="D8" i="4" s="1"/>
  <c r="G8" i="4" s="1"/>
  <c r="C7" i="5"/>
  <c r="C7" i="4"/>
  <c r="D7" i="4" s="1"/>
  <c r="G7" i="4" s="1"/>
  <c r="C2" i="5"/>
  <c r="C2" i="4"/>
  <c r="D2" i="4" s="1"/>
  <c r="G2" i="4" s="1"/>
  <c r="C5" i="5"/>
  <c r="C5" i="4"/>
  <c r="D5" i="4" s="1"/>
  <c r="G5" i="4" s="1"/>
  <c r="C4" i="5"/>
  <c r="C4" i="4"/>
  <c r="D4" i="4" s="1"/>
  <c r="G4" i="4" s="1"/>
  <c r="C6" i="5"/>
  <c r="C6" i="4"/>
  <c r="D6" i="4" s="1"/>
  <c r="G6" i="4" s="1"/>
  <c r="C3" i="5"/>
  <c r="C3" i="4"/>
  <c r="D3" i="4" s="1"/>
  <c r="G3" i="4" s="1"/>
  <c r="E241" i="3"/>
  <c r="F241" i="3"/>
  <c r="E240" i="3"/>
  <c r="F240" i="3"/>
  <c r="E239" i="3"/>
  <c r="F239" i="3"/>
  <c r="E238" i="3"/>
  <c r="F238" i="3"/>
  <c r="E237" i="3"/>
  <c r="F237" i="3"/>
  <c r="E236" i="3"/>
  <c r="F236" i="3"/>
  <c r="E235" i="3"/>
  <c r="F235" i="3"/>
  <c r="E234" i="3"/>
  <c r="F234" i="3"/>
  <c r="E233" i="3"/>
  <c r="F233" i="3"/>
  <c r="E232" i="3"/>
  <c r="F232" i="3"/>
  <c r="E231" i="3"/>
  <c r="F231" i="3"/>
  <c r="E230" i="3"/>
  <c r="F230" i="3"/>
  <c r="E229" i="3"/>
  <c r="F229" i="3"/>
  <c r="E228" i="3"/>
  <c r="F228" i="3"/>
  <c r="E227" i="3"/>
  <c r="F227" i="3"/>
  <c r="E226" i="3"/>
  <c r="F226" i="3"/>
  <c r="E225" i="3"/>
  <c r="F225" i="3"/>
  <c r="E224" i="3"/>
  <c r="F224" i="3"/>
  <c r="E223" i="3"/>
  <c r="F223" i="3"/>
  <c r="E222" i="3"/>
  <c r="F222" i="3"/>
  <c r="E221" i="3"/>
  <c r="F221" i="3"/>
  <c r="E220" i="3"/>
  <c r="F220" i="3"/>
  <c r="E219" i="3"/>
  <c r="F219" i="3"/>
  <c r="E218" i="3"/>
  <c r="F218" i="3"/>
  <c r="E217" i="3"/>
  <c r="F217" i="3"/>
  <c r="E216" i="3"/>
  <c r="F216" i="3"/>
  <c r="E215" i="3"/>
  <c r="F215" i="3"/>
  <c r="E214" i="3"/>
  <c r="F214" i="3"/>
  <c r="E213" i="3"/>
  <c r="F213" i="3"/>
  <c r="E212" i="3"/>
  <c r="F212" i="3"/>
  <c r="E211" i="3"/>
  <c r="F211" i="3"/>
  <c r="E210" i="3"/>
  <c r="F210" i="3"/>
  <c r="E209" i="3"/>
  <c r="F209" i="3"/>
  <c r="E208" i="3"/>
  <c r="F208" i="3"/>
  <c r="E207" i="3"/>
  <c r="F207" i="3"/>
  <c r="E206" i="3"/>
  <c r="F206" i="3"/>
  <c r="E205" i="3"/>
  <c r="F205" i="3"/>
  <c r="E204" i="3"/>
  <c r="M18" i="7" s="1"/>
  <c r="M22" i="7" s="1"/>
  <c r="F204" i="3"/>
  <c r="M12" i="7" s="1"/>
  <c r="E203" i="3"/>
  <c r="F203" i="3"/>
  <c r="E202" i="3"/>
  <c r="F202" i="3"/>
  <c r="E201" i="3"/>
  <c r="F201" i="3"/>
  <c r="E200" i="3"/>
  <c r="F200" i="3"/>
  <c r="E199" i="3"/>
  <c r="F199" i="3"/>
  <c r="E198" i="3"/>
  <c r="F198" i="3"/>
  <c r="E197" i="3"/>
  <c r="F197" i="3"/>
  <c r="E196" i="3"/>
  <c r="F196" i="3"/>
  <c r="E195" i="3"/>
  <c r="F195" i="3"/>
  <c r="E194" i="3"/>
  <c r="F194" i="3"/>
  <c r="E193" i="3"/>
  <c r="F193" i="3"/>
  <c r="E192" i="3"/>
  <c r="F192" i="3"/>
  <c r="E191" i="3"/>
  <c r="F191" i="3"/>
  <c r="E190" i="3"/>
  <c r="F190" i="3"/>
  <c r="E189" i="3"/>
  <c r="F189" i="3"/>
  <c r="E188" i="3"/>
  <c r="F188" i="3"/>
  <c r="E187" i="3"/>
  <c r="F187" i="3"/>
  <c r="E186" i="3"/>
  <c r="F186" i="3"/>
  <c r="E185" i="3"/>
  <c r="F185" i="3"/>
  <c r="E184" i="3"/>
  <c r="F184" i="3"/>
  <c r="E183" i="3"/>
  <c r="F183" i="3"/>
  <c r="E182" i="3"/>
  <c r="F182" i="3"/>
  <c r="E181" i="3"/>
  <c r="F181" i="3"/>
  <c r="E180" i="3"/>
  <c r="F180" i="3"/>
  <c r="E179" i="3"/>
  <c r="F179" i="3"/>
  <c r="E178" i="3"/>
  <c r="F178" i="3"/>
  <c r="E177" i="3"/>
  <c r="F177" i="3"/>
  <c r="E176" i="3"/>
  <c r="F176" i="3"/>
  <c r="E175" i="3"/>
  <c r="F175" i="3"/>
  <c r="E174" i="3"/>
  <c r="F174" i="3"/>
  <c r="E173" i="3"/>
  <c r="F173" i="3"/>
  <c r="E172" i="3"/>
  <c r="F172" i="3"/>
  <c r="E171" i="3"/>
  <c r="F171" i="3"/>
  <c r="E170" i="3"/>
  <c r="F170" i="3"/>
  <c r="E169" i="3"/>
  <c r="F169" i="3"/>
  <c r="E168" i="3"/>
  <c r="F168" i="3"/>
  <c r="E167" i="3"/>
  <c r="F167" i="3"/>
  <c r="E166" i="3"/>
  <c r="F166" i="3"/>
  <c r="E165" i="3"/>
  <c r="F165" i="3"/>
  <c r="E164" i="3"/>
  <c r="F164" i="3"/>
  <c r="E163" i="3"/>
  <c r="F163" i="3"/>
  <c r="E162" i="3"/>
  <c r="F162" i="3"/>
  <c r="E161" i="3"/>
  <c r="F161" i="3"/>
  <c r="E160" i="3"/>
  <c r="F160" i="3"/>
  <c r="E159" i="3"/>
  <c r="F159" i="3"/>
  <c r="E158" i="3"/>
  <c r="F158" i="3"/>
  <c r="E157" i="3"/>
  <c r="F157" i="3"/>
  <c r="E156" i="3"/>
  <c r="F156" i="3"/>
  <c r="E155" i="3"/>
  <c r="F155" i="3"/>
  <c r="E154" i="3"/>
  <c r="F154" i="3"/>
  <c r="E153" i="3"/>
  <c r="F153" i="3"/>
  <c r="E152" i="3"/>
  <c r="F152" i="3"/>
  <c r="E151" i="3"/>
  <c r="F151" i="3"/>
  <c r="E150" i="3"/>
  <c r="F150" i="3"/>
  <c r="E149" i="3"/>
  <c r="F149" i="3"/>
  <c r="E148" i="3"/>
  <c r="F148" i="3"/>
  <c r="E147" i="3"/>
  <c r="F147" i="3"/>
  <c r="E146" i="3"/>
  <c r="F146" i="3"/>
  <c r="E145" i="3"/>
  <c r="F145" i="3"/>
  <c r="E144" i="3"/>
  <c r="J18" i="7" s="1"/>
  <c r="J22" i="7" s="1"/>
  <c r="K17" i="7" s="1"/>
  <c r="F144" i="3"/>
  <c r="J12" i="7" s="1"/>
  <c r="E143" i="3"/>
  <c r="F143" i="3"/>
  <c r="E142" i="3"/>
  <c r="F142" i="3"/>
  <c r="E141" i="3"/>
  <c r="F141" i="3"/>
  <c r="E140" i="3"/>
  <c r="F140" i="3"/>
  <c r="E139" i="3"/>
  <c r="F139" i="3"/>
  <c r="E138" i="3"/>
  <c r="F138" i="3"/>
  <c r="E137" i="3"/>
  <c r="F137" i="3"/>
  <c r="E136" i="3"/>
  <c r="F136" i="3"/>
  <c r="E135" i="3"/>
  <c r="F135" i="3"/>
  <c r="E134" i="3"/>
  <c r="F134" i="3"/>
  <c r="E133" i="3"/>
  <c r="F133" i="3"/>
  <c r="E132" i="3"/>
  <c r="F132" i="3"/>
  <c r="E131" i="3"/>
  <c r="F131" i="3"/>
  <c r="E130" i="3"/>
  <c r="F130" i="3"/>
  <c r="E129" i="3"/>
  <c r="F129" i="3"/>
  <c r="E128" i="3"/>
  <c r="F128" i="3"/>
  <c r="E127" i="3"/>
  <c r="F127" i="3"/>
  <c r="E126" i="3"/>
  <c r="F126" i="3"/>
  <c r="E125" i="3"/>
  <c r="F125" i="3"/>
  <c r="E124" i="3"/>
  <c r="F124" i="3"/>
  <c r="E123" i="3"/>
  <c r="F123" i="3"/>
  <c r="E122" i="3"/>
  <c r="F122" i="3"/>
  <c r="E121" i="3"/>
  <c r="F121" i="3"/>
  <c r="E120" i="3"/>
  <c r="F120" i="3"/>
  <c r="E119" i="3"/>
  <c r="F119" i="3"/>
  <c r="E118" i="3"/>
  <c r="F118" i="3"/>
  <c r="E117" i="3"/>
  <c r="F117" i="3"/>
  <c r="E116" i="3"/>
  <c r="F116" i="3"/>
  <c r="E115" i="3"/>
  <c r="F115" i="3"/>
  <c r="E114" i="3"/>
  <c r="F114" i="3"/>
  <c r="E113" i="3"/>
  <c r="F113" i="3"/>
  <c r="E112" i="3"/>
  <c r="F112" i="3"/>
  <c r="E111" i="3"/>
  <c r="F111" i="3"/>
  <c r="E110" i="3"/>
  <c r="F110" i="3"/>
  <c r="E109" i="3"/>
  <c r="F109" i="3"/>
  <c r="E108" i="3"/>
  <c r="F108" i="3"/>
  <c r="E107" i="3"/>
  <c r="F107" i="3"/>
  <c r="E106" i="3"/>
  <c r="F106" i="3"/>
  <c r="E105" i="3"/>
  <c r="F105" i="3"/>
  <c r="E104" i="3"/>
  <c r="F104" i="3"/>
  <c r="E103" i="3"/>
  <c r="F103" i="3"/>
  <c r="E102" i="3"/>
  <c r="F102" i="3"/>
  <c r="E101" i="3"/>
  <c r="F101" i="3"/>
  <c r="E100" i="3"/>
  <c r="F100" i="3"/>
  <c r="E99" i="3"/>
  <c r="F99" i="3"/>
  <c r="E98" i="3"/>
  <c r="F98" i="3"/>
  <c r="E97" i="3"/>
  <c r="F97" i="3"/>
  <c r="E96" i="3"/>
  <c r="F96" i="3"/>
  <c r="E95" i="3"/>
  <c r="F95" i="3"/>
  <c r="E94" i="3"/>
  <c r="F94" i="3"/>
  <c r="E93" i="3"/>
  <c r="F93" i="3"/>
  <c r="E92" i="3"/>
  <c r="F92" i="3"/>
  <c r="E91" i="3"/>
  <c r="F91" i="3"/>
  <c r="E90" i="3"/>
  <c r="F90" i="3"/>
  <c r="E89" i="3"/>
  <c r="F89" i="3"/>
  <c r="E88" i="3"/>
  <c r="F88" i="3"/>
  <c r="E87" i="3"/>
  <c r="F87" i="3"/>
  <c r="E86" i="3"/>
  <c r="F86" i="3"/>
  <c r="E85" i="3"/>
  <c r="F85" i="3"/>
  <c r="E84" i="3"/>
  <c r="G18" i="7" s="1"/>
  <c r="G22" i="7" s="1"/>
  <c r="H17" i="7" s="1"/>
  <c r="F84" i="3"/>
  <c r="G12" i="7" s="1"/>
  <c r="E83" i="3"/>
  <c r="F83" i="3"/>
  <c r="E82" i="3"/>
  <c r="F82" i="3"/>
  <c r="E81" i="3"/>
  <c r="F81" i="3"/>
  <c r="E80" i="3"/>
  <c r="F80" i="3"/>
  <c r="E79" i="3"/>
  <c r="F79" i="3"/>
  <c r="E78" i="3"/>
  <c r="F78" i="3"/>
  <c r="E77" i="3"/>
  <c r="F77" i="3"/>
  <c r="E76" i="3"/>
  <c r="F76" i="3"/>
  <c r="E75" i="3"/>
  <c r="F75" i="3"/>
  <c r="E74" i="3"/>
  <c r="F74" i="3"/>
  <c r="E73" i="3"/>
  <c r="F73" i="3"/>
  <c r="E72" i="3"/>
  <c r="F72" i="3"/>
  <c r="E71" i="3"/>
  <c r="F71" i="3"/>
  <c r="E70" i="3"/>
  <c r="F70" i="3"/>
  <c r="E69" i="3"/>
  <c r="F69" i="3"/>
  <c r="E68" i="3"/>
  <c r="F68" i="3"/>
  <c r="E67" i="3"/>
  <c r="F67" i="3"/>
  <c r="E66" i="3"/>
  <c r="F66" i="3"/>
  <c r="E65" i="3"/>
  <c r="F65" i="3"/>
  <c r="E64" i="3"/>
  <c r="F64" i="3"/>
  <c r="E63" i="3"/>
  <c r="F63" i="3"/>
  <c r="E62" i="3"/>
  <c r="F62" i="3"/>
  <c r="E61" i="3"/>
  <c r="F61" i="3"/>
  <c r="E60" i="3"/>
  <c r="F60" i="3"/>
  <c r="E59" i="3"/>
  <c r="F59" i="3"/>
  <c r="E58" i="3"/>
  <c r="F58" i="3"/>
  <c r="E57" i="3"/>
  <c r="F57" i="3"/>
  <c r="E56" i="3"/>
  <c r="F56" i="3"/>
  <c r="E55" i="3"/>
  <c r="F55" i="3"/>
  <c r="E54" i="3"/>
  <c r="F54" i="3"/>
  <c r="E53" i="3"/>
  <c r="F53" i="3"/>
  <c r="E52" i="3"/>
  <c r="F52" i="3"/>
  <c r="E51" i="3"/>
  <c r="F51" i="3"/>
  <c r="E50" i="3"/>
  <c r="F50" i="3"/>
  <c r="E49" i="3"/>
  <c r="F49" i="3"/>
  <c r="E48" i="3"/>
  <c r="F48" i="3"/>
  <c r="E47" i="3"/>
  <c r="F47" i="3"/>
  <c r="E46" i="3"/>
  <c r="F46" i="3"/>
  <c r="E45" i="3"/>
  <c r="F45" i="3"/>
  <c r="E44" i="3"/>
  <c r="F44" i="3"/>
  <c r="E43" i="3"/>
  <c r="F43" i="3"/>
  <c r="E42" i="3"/>
  <c r="F42" i="3"/>
  <c r="E41" i="3"/>
  <c r="F41" i="3"/>
  <c r="E40" i="3"/>
  <c r="F40" i="3"/>
  <c r="E39" i="3"/>
  <c r="F39" i="3"/>
  <c r="E38" i="3"/>
  <c r="F38" i="3"/>
  <c r="E37" i="3"/>
  <c r="F37" i="3"/>
  <c r="E36" i="3"/>
  <c r="F36" i="3"/>
  <c r="E35" i="3"/>
  <c r="F35" i="3"/>
  <c r="E34" i="3"/>
  <c r="F34" i="3"/>
  <c r="E33" i="3"/>
  <c r="F33" i="3"/>
  <c r="E32" i="3"/>
  <c r="F32" i="3"/>
  <c r="E31" i="3"/>
  <c r="F31" i="3"/>
  <c r="E30" i="3"/>
  <c r="F30" i="3"/>
  <c r="E29" i="3"/>
  <c r="F29" i="3"/>
  <c r="E28" i="3"/>
  <c r="F28" i="3"/>
  <c r="E27" i="3"/>
  <c r="F27" i="3"/>
  <c r="E26" i="3"/>
  <c r="F26" i="3"/>
  <c r="E25" i="3"/>
  <c r="F25" i="3"/>
  <c r="E24" i="3"/>
  <c r="D18" i="7" s="1"/>
  <c r="D22" i="7" s="1"/>
  <c r="E17" i="7" s="1"/>
  <c r="F24" i="3"/>
  <c r="D12" i="7" s="1"/>
  <c r="E23" i="3"/>
  <c r="F23" i="3"/>
  <c r="E22" i="3"/>
  <c r="F22" i="3"/>
  <c r="F2" i="3"/>
  <c r="E2" i="3"/>
  <c r="J2" i="3" s="1"/>
  <c r="E21" i="3"/>
  <c r="F21" i="3"/>
  <c r="E20" i="3"/>
  <c r="F20" i="3"/>
  <c r="E19" i="3"/>
  <c r="F19" i="3"/>
  <c r="E18" i="3"/>
  <c r="F18" i="3"/>
  <c r="E17" i="3"/>
  <c r="F17" i="3"/>
  <c r="E16" i="3"/>
  <c r="F16" i="3"/>
  <c r="E15" i="3"/>
  <c r="F15" i="3"/>
  <c r="E14" i="3"/>
  <c r="F14" i="3"/>
  <c r="E13" i="3"/>
  <c r="F13" i="3"/>
  <c r="E12" i="3"/>
  <c r="F12" i="3"/>
  <c r="E11" i="3"/>
  <c r="F11" i="3"/>
  <c r="E10" i="3"/>
  <c r="F10" i="3"/>
  <c r="E9" i="3"/>
  <c r="F9" i="3"/>
  <c r="E8" i="3"/>
  <c r="F8" i="3"/>
  <c r="E7" i="3"/>
  <c r="F7" i="3"/>
  <c r="E6" i="3"/>
  <c r="F6" i="3"/>
  <c r="E5" i="3"/>
  <c r="F5" i="3"/>
  <c r="E4" i="3"/>
  <c r="C18" i="7" s="1"/>
  <c r="F4" i="3"/>
  <c r="C12" i="7" s="1"/>
  <c r="E3" i="3"/>
  <c r="F3" i="3"/>
  <c r="M20" i="2"/>
  <c r="N20" i="2"/>
  <c r="O20" i="2"/>
  <c r="L20" i="2"/>
  <c r="L24" i="2"/>
  <c r="M24" i="2"/>
  <c r="N24" i="2"/>
  <c r="O24" i="2"/>
  <c r="L23" i="2"/>
  <c r="M23" i="2"/>
  <c r="N23" i="2"/>
  <c r="O23" i="2"/>
  <c r="L22" i="2"/>
  <c r="M22" i="2"/>
  <c r="N22" i="2"/>
  <c r="O22" i="2"/>
  <c r="L21" i="2"/>
  <c r="M21" i="2"/>
  <c r="N21" i="2"/>
  <c r="O21" i="2"/>
  <c r="I12" i="7" l="1"/>
  <c r="F18" i="7"/>
  <c r="F22" i="7" s="1"/>
  <c r="I18" i="7"/>
  <c r="I22" i="7" s="1"/>
  <c r="L18" i="7"/>
  <c r="L22" i="7" s="1"/>
  <c r="L12" i="7"/>
  <c r="N12" i="7"/>
  <c r="F12" i="7"/>
  <c r="E12" i="7"/>
  <c r="H12" i="7"/>
  <c r="K12" i="7"/>
  <c r="E18" i="7"/>
  <c r="E22" i="7" s="1"/>
  <c r="F17" i="7" s="1"/>
  <c r="H18" i="7"/>
  <c r="H22" i="7" s="1"/>
  <c r="K18" i="7"/>
  <c r="K22" i="7" s="1"/>
  <c r="L17" i="7" s="1"/>
  <c r="N18" i="7"/>
  <c r="N22" i="7" s="1"/>
  <c r="I3" i="5"/>
  <c r="T3" i="5" s="1"/>
  <c r="H3" i="5"/>
  <c r="I6" i="5"/>
  <c r="T6" i="5" s="1"/>
  <c r="C7" i="7" s="1"/>
  <c r="H6" i="5"/>
  <c r="I4" i="5"/>
  <c r="T4" i="5" s="1"/>
  <c r="H4" i="5"/>
  <c r="I5" i="5"/>
  <c r="T5" i="5" s="1"/>
  <c r="H5" i="5"/>
  <c r="I2" i="5"/>
  <c r="T2" i="5" s="1"/>
  <c r="H2" i="5"/>
  <c r="I7" i="5"/>
  <c r="T7" i="5" s="1"/>
  <c r="H7" i="5"/>
  <c r="I8" i="5"/>
  <c r="T8" i="5" s="1"/>
  <c r="H8" i="5"/>
  <c r="I11" i="5"/>
  <c r="T11" i="5" s="1"/>
  <c r="D7" i="7" s="1"/>
  <c r="H11" i="5"/>
  <c r="I9" i="5"/>
  <c r="T9" i="5" s="1"/>
  <c r="H9" i="5"/>
  <c r="I10" i="5"/>
  <c r="T10" i="5" s="1"/>
  <c r="H10" i="5"/>
  <c r="I12" i="5"/>
  <c r="T12" i="5" s="1"/>
  <c r="H12" i="5"/>
  <c r="I13" i="5"/>
  <c r="T13" i="5" s="1"/>
  <c r="H13" i="5"/>
  <c r="I16" i="5"/>
  <c r="T16" i="5" s="1"/>
  <c r="E7" i="7" s="1"/>
  <c r="H16" i="5"/>
  <c r="I14" i="5"/>
  <c r="T14" i="5" s="1"/>
  <c r="H14" i="5"/>
  <c r="I15" i="5"/>
  <c r="T15" i="5" s="1"/>
  <c r="H15" i="5"/>
  <c r="I17" i="5"/>
  <c r="T17" i="5" s="1"/>
  <c r="H17" i="5"/>
  <c r="I18" i="5"/>
  <c r="T18" i="5" s="1"/>
  <c r="H18" i="5"/>
  <c r="I21" i="5"/>
  <c r="T21" i="5" s="1"/>
  <c r="F7" i="7" s="1"/>
  <c r="H21" i="5"/>
  <c r="I19" i="5"/>
  <c r="T19" i="5" s="1"/>
  <c r="H19" i="5"/>
  <c r="I20" i="5"/>
  <c r="T20" i="5" s="1"/>
  <c r="H20" i="5"/>
  <c r="I22" i="5"/>
  <c r="T22" i="5" s="1"/>
  <c r="H22" i="5"/>
  <c r="I23" i="5"/>
  <c r="T23" i="5" s="1"/>
  <c r="H23" i="5"/>
  <c r="I26" i="5"/>
  <c r="T26" i="5" s="1"/>
  <c r="G7" i="7" s="1"/>
  <c r="H26" i="5"/>
  <c r="I24" i="5"/>
  <c r="T24" i="5" s="1"/>
  <c r="H24" i="5"/>
  <c r="I25" i="5"/>
  <c r="T25" i="5" s="1"/>
  <c r="H25" i="5"/>
  <c r="I27" i="5"/>
  <c r="T27" i="5" s="1"/>
  <c r="H27" i="5"/>
  <c r="I28" i="5"/>
  <c r="T28" i="5" s="1"/>
  <c r="H28" i="5"/>
  <c r="I31" i="5"/>
  <c r="T31" i="5" s="1"/>
  <c r="H7" i="7" s="1"/>
  <c r="H31" i="5"/>
  <c r="I29" i="5"/>
  <c r="T29" i="5" s="1"/>
  <c r="H29" i="5"/>
  <c r="I30" i="5"/>
  <c r="T30" i="5" s="1"/>
  <c r="H30" i="5"/>
  <c r="I32" i="5"/>
  <c r="T32" i="5" s="1"/>
  <c r="H32" i="5"/>
  <c r="I33" i="5"/>
  <c r="T33" i="5" s="1"/>
  <c r="H33" i="5"/>
  <c r="I36" i="5"/>
  <c r="T36" i="5" s="1"/>
  <c r="I7" i="7" s="1"/>
  <c r="H36" i="5"/>
  <c r="I34" i="5"/>
  <c r="T34" i="5" s="1"/>
  <c r="H34" i="5"/>
  <c r="I35" i="5"/>
  <c r="T35" i="5" s="1"/>
  <c r="H35" i="5"/>
  <c r="I37" i="5"/>
  <c r="T37" i="5" s="1"/>
  <c r="H37" i="5"/>
  <c r="I38" i="5"/>
  <c r="T38" i="5" s="1"/>
  <c r="H38" i="5"/>
  <c r="I41" i="5"/>
  <c r="T41" i="5" s="1"/>
  <c r="J7" i="7" s="1"/>
  <c r="H41" i="5"/>
  <c r="I39" i="5"/>
  <c r="T39" i="5" s="1"/>
  <c r="H39" i="5"/>
  <c r="I40" i="5"/>
  <c r="T40" i="5" s="1"/>
  <c r="H40" i="5"/>
  <c r="I42" i="5"/>
  <c r="T42" i="5" s="1"/>
  <c r="H42" i="5"/>
  <c r="I43" i="5"/>
  <c r="T43" i="5" s="1"/>
  <c r="H43" i="5"/>
  <c r="I46" i="5"/>
  <c r="T46" i="5" s="1"/>
  <c r="K7" i="7" s="1"/>
  <c r="H46" i="5"/>
  <c r="I44" i="5"/>
  <c r="T44" i="5" s="1"/>
  <c r="H44" i="5"/>
  <c r="I45" i="5"/>
  <c r="T45" i="5" s="1"/>
  <c r="H45" i="5"/>
  <c r="I47" i="5"/>
  <c r="T47" i="5" s="1"/>
  <c r="H47" i="5"/>
  <c r="I48" i="5"/>
  <c r="T48" i="5" s="1"/>
  <c r="H48" i="5"/>
  <c r="I51" i="5"/>
  <c r="T51" i="5" s="1"/>
  <c r="L7" i="7" s="1"/>
  <c r="H51" i="5"/>
  <c r="I49" i="5"/>
  <c r="T49" i="5" s="1"/>
  <c r="H49" i="5"/>
  <c r="I50" i="5"/>
  <c r="T50" i="5" s="1"/>
  <c r="H50" i="5"/>
  <c r="I52" i="5"/>
  <c r="T52" i="5" s="1"/>
  <c r="H52" i="5"/>
  <c r="I53" i="5"/>
  <c r="T53" i="5" s="1"/>
  <c r="H53" i="5"/>
  <c r="I56" i="5"/>
  <c r="T56" i="5" s="1"/>
  <c r="M7" i="7" s="1"/>
  <c r="H56" i="5"/>
  <c r="I54" i="5"/>
  <c r="T54" i="5" s="1"/>
  <c r="H54" i="5"/>
  <c r="I55" i="5"/>
  <c r="T55" i="5" s="1"/>
  <c r="H55" i="5"/>
  <c r="I57" i="5"/>
  <c r="T57" i="5" s="1"/>
  <c r="H57" i="5"/>
  <c r="I58" i="5"/>
  <c r="T58" i="5" s="1"/>
  <c r="H58" i="5"/>
  <c r="I61" i="5"/>
  <c r="T61" i="5" s="1"/>
  <c r="N7" i="7" s="1"/>
  <c r="H61" i="5"/>
  <c r="I59" i="5"/>
  <c r="T59" i="5" s="1"/>
  <c r="H59" i="5"/>
  <c r="I60" i="5"/>
  <c r="T60" i="5" s="1"/>
  <c r="H60" i="5"/>
  <c r="F3" i="4"/>
  <c r="E3" i="4"/>
  <c r="D3" i="5"/>
  <c r="F6" i="4"/>
  <c r="C10" i="7" s="1"/>
  <c r="E6" i="4"/>
  <c r="C9" i="7" s="1"/>
  <c r="D6" i="5"/>
  <c r="F4" i="4"/>
  <c r="E4" i="4"/>
  <c r="D4" i="5"/>
  <c r="F5" i="4"/>
  <c r="E5" i="4"/>
  <c r="D5" i="5"/>
  <c r="F2" i="4"/>
  <c r="E2" i="4"/>
  <c r="D2" i="5"/>
  <c r="F7" i="4"/>
  <c r="E7" i="4"/>
  <c r="D7" i="5"/>
  <c r="F8" i="4"/>
  <c r="E8" i="4"/>
  <c r="D8" i="5"/>
  <c r="F11" i="4"/>
  <c r="D10" i="7" s="1"/>
  <c r="E11" i="4"/>
  <c r="D9" i="7" s="1"/>
  <c r="D11" i="5"/>
  <c r="F9" i="4"/>
  <c r="E9" i="4"/>
  <c r="D9" i="5"/>
  <c r="F10" i="4"/>
  <c r="E10" i="4"/>
  <c r="D10" i="5"/>
  <c r="F12" i="4"/>
  <c r="E12" i="4"/>
  <c r="D12" i="5"/>
  <c r="F13" i="4"/>
  <c r="E13" i="4"/>
  <c r="D13" i="5"/>
  <c r="F16" i="4"/>
  <c r="E10" i="7" s="1"/>
  <c r="E16" i="4"/>
  <c r="E9" i="7" s="1"/>
  <c r="D16" i="5"/>
  <c r="F14" i="4"/>
  <c r="E14" i="4"/>
  <c r="D14" i="5"/>
  <c r="F15" i="4"/>
  <c r="E15" i="4"/>
  <c r="D15" i="5"/>
  <c r="F17" i="4"/>
  <c r="E17" i="4"/>
  <c r="D17" i="5"/>
  <c r="F18" i="4"/>
  <c r="E18" i="4"/>
  <c r="D18" i="5"/>
  <c r="F21" i="4"/>
  <c r="F10" i="7" s="1"/>
  <c r="E21" i="4"/>
  <c r="F9" i="7" s="1"/>
  <c r="D21" i="5"/>
  <c r="F19" i="4"/>
  <c r="E19" i="4"/>
  <c r="D19" i="5"/>
  <c r="F20" i="4"/>
  <c r="E20" i="4"/>
  <c r="D20" i="5"/>
  <c r="F22" i="4"/>
  <c r="E22" i="4"/>
  <c r="D22" i="5"/>
  <c r="F23" i="4"/>
  <c r="E23" i="4"/>
  <c r="D23" i="5"/>
  <c r="F26" i="4"/>
  <c r="G10" i="7" s="1"/>
  <c r="E26" i="4"/>
  <c r="G9" i="7" s="1"/>
  <c r="D26" i="5"/>
  <c r="F24" i="4"/>
  <c r="E24" i="4"/>
  <c r="D24" i="5"/>
  <c r="F25" i="4"/>
  <c r="E25" i="4"/>
  <c r="D25" i="5"/>
  <c r="F27" i="4"/>
  <c r="E27" i="4"/>
  <c r="D27" i="5"/>
  <c r="F28" i="4"/>
  <c r="E28" i="4"/>
  <c r="D28" i="5"/>
  <c r="F31" i="4"/>
  <c r="H10" i="7" s="1"/>
  <c r="E31" i="4"/>
  <c r="H9" i="7" s="1"/>
  <c r="D31" i="5"/>
  <c r="F29" i="4"/>
  <c r="E29" i="4"/>
  <c r="D29" i="5"/>
  <c r="F30" i="4"/>
  <c r="E30" i="4"/>
  <c r="D30" i="5"/>
  <c r="F32" i="4"/>
  <c r="E32" i="4"/>
  <c r="D32" i="5"/>
  <c r="F33" i="4"/>
  <c r="E33" i="4"/>
  <c r="D33" i="5"/>
  <c r="F36" i="4"/>
  <c r="I10" i="7" s="1"/>
  <c r="E36" i="4"/>
  <c r="I9" i="7" s="1"/>
  <c r="D36" i="5"/>
  <c r="F34" i="4"/>
  <c r="E34" i="4"/>
  <c r="D34" i="5"/>
  <c r="F35" i="4"/>
  <c r="E35" i="4"/>
  <c r="D35" i="5"/>
  <c r="F37" i="4"/>
  <c r="E37" i="4"/>
  <c r="D37" i="5"/>
  <c r="F38" i="4"/>
  <c r="E38" i="4"/>
  <c r="D38" i="5"/>
  <c r="F41" i="4"/>
  <c r="J10" i="7" s="1"/>
  <c r="E41" i="4"/>
  <c r="J9" i="7" s="1"/>
  <c r="D41" i="5"/>
  <c r="F39" i="4"/>
  <c r="E39" i="4"/>
  <c r="D39" i="5"/>
  <c r="F40" i="4"/>
  <c r="E40" i="4"/>
  <c r="D40" i="5"/>
  <c r="F42" i="4"/>
  <c r="E42" i="4"/>
  <c r="D42" i="5"/>
  <c r="F43" i="4"/>
  <c r="E43" i="4"/>
  <c r="D43" i="5"/>
  <c r="F46" i="4"/>
  <c r="K10" i="7" s="1"/>
  <c r="E46" i="4"/>
  <c r="K9" i="7" s="1"/>
  <c r="D46" i="5"/>
  <c r="F44" i="4"/>
  <c r="E44" i="4"/>
  <c r="D44" i="5"/>
  <c r="F45" i="4"/>
  <c r="E45" i="4"/>
  <c r="D45" i="5"/>
  <c r="F47" i="4"/>
  <c r="E47" i="4"/>
  <c r="D47" i="5"/>
  <c r="F48" i="4"/>
  <c r="E48" i="4"/>
  <c r="D48" i="5"/>
  <c r="F51" i="4"/>
  <c r="L10" i="7" s="1"/>
  <c r="E51" i="4"/>
  <c r="L9" i="7" s="1"/>
  <c r="D51" i="5"/>
  <c r="F49" i="4"/>
  <c r="E49" i="4"/>
  <c r="D49" i="5"/>
  <c r="F50" i="4"/>
  <c r="E50" i="4"/>
  <c r="D50" i="5"/>
  <c r="F52" i="4"/>
  <c r="E52" i="4"/>
  <c r="D52" i="5"/>
  <c r="F53" i="4"/>
  <c r="E53" i="4"/>
  <c r="D53" i="5"/>
  <c r="F56" i="4"/>
  <c r="M10" i="7" s="1"/>
  <c r="E56" i="4"/>
  <c r="M9" i="7" s="1"/>
  <c r="D56" i="5"/>
  <c r="F54" i="4"/>
  <c r="E54" i="4"/>
  <c r="D54" i="5"/>
  <c r="F55" i="4"/>
  <c r="E55" i="4"/>
  <c r="D55" i="5"/>
  <c r="F57" i="4"/>
  <c r="E57" i="4"/>
  <c r="D57" i="5"/>
  <c r="F58" i="4"/>
  <c r="E58" i="4"/>
  <c r="D58" i="5"/>
  <c r="F61" i="4"/>
  <c r="N10" i="7" s="1"/>
  <c r="E61" i="4"/>
  <c r="N9" i="7" s="1"/>
  <c r="D61" i="5"/>
  <c r="F59" i="4"/>
  <c r="E59" i="4"/>
  <c r="D59" i="5"/>
  <c r="F60" i="4"/>
  <c r="E60" i="4"/>
  <c r="D60" i="5"/>
  <c r="G3" i="3"/>
  <c r="G4" i="3"/>
  <c r="C11" i="7" s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F11" i="7" s="1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H11" i="7" s="1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I11" i="7" s="1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K11" i="7" s="1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L11" i="7" s="1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N11" i="7" s="1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E11" i="7" l="1"/>
  <c r="M17" i="7"/>
  <c r="M11" i="7"/>
  <c r="G11" i="7"/>
  <c r="D11" i="7"/>
  <c r="G17" i="7"/>
  <c r="J11" i="7"/>
  <c r="I17" i="7"/>
  <c r="J17" i="7" s="1"/>
  <c r="N17" i="7"/>
  <c r="F60" i="5"/>
  <c r="E60" i="5"/>
  <c r="F59" i="5"/>
  <c r="E59" i="5"/>
  <c r="F61" i="5"/>
  <c r="E61" i="5"/>
  <c r="F58" i="5"/>
  <c r="E58" i="5"/>
  <c r="F57" i="5"/>
  <c r="E57" i="5"/>
  <c r="F55" i="5"/>
  <c r="E55" i="5"/>
  <c r="F54" i="5"/>
  <c r="E54" i="5"/>
  <c r="F56" i="5"/>
  <c r="E56" i="5"/>
  <c r="F53" i="5"/>
  <c r="E53" i="5"/>
  <c r="F52" i="5"/>
  <c r="E52" i="5"/>
  <c r="F50" i="5"/>
  <c r="E50" i="5"/>
  <c r="F49" i="5"/>
  <c r="E49" i="5"/>
  <c r="F51" i="5"/>
  <c r="E51" i="5"/>
  <c r="F48" i="5"/>
  <c r="E48" i="5"/>
  <c r="F47" i="5"/>
  <c r="E47" i="5"/>
  <c r="F45" i="5"/>
  <c r="E45" i="5"/>
  <c r="F44" i="5"/>
  <c r="E44" i="5"/>
  <c r="F46" i="5"/>
  <c r="E46" i="5"/>
  <c r="F43" i="5"/>
  <c r="E43" i="5"/>
  <c r="F42" i="5"/>
  <c r="E42" i="5"/>
  <c r="F40" i="5"/>
  <c r="E40" i="5"/>
  <c r="F39" i="5"/>
  <c r="E39" i="5"/>
  <c r="F41" i="5"/>
  <c r="E41" i="5"/>
  <c r="F38" i="5"/>
  <c r="E38" i="5"/>
  <c r="F37" i="5"/>
  <c r="E37" i="5"/>
  <c r="F35" i="5"/>
  <c r="E35" i="5"/>
  <c r="F34" i="5"/>
  <c r="E34" i="5"/>
  <c r="F36" i="5"/>
  <c r="E36" i="5"/>
  <c r="F33" i="5"/>
  <c r="E33" i="5"/>
  <c r="F32" i="5"/>
  <c r="E32" i="5"/>
  <c r="F30" i="5"/>
  <c r="E30" i="5"/>
  <c r="F29" i="5"/>
  <c r="E29" i="5"/>
  <c r="F31" i="5"/>
  <c r="E31" i="5"/>
  <c r="F28" i="5"/>
  <c r="E28" i="5"/>
  <c r="F27" i="5"/>
  <c r="E27" i="5"/>
  <c r="F25" i="5"/>
  <c r="E25" i="5"/>
  <c r="F24" i="5"/>
  <c r="E24" i="5"/>
  <c r="F26" i="5"/>
  <c r="E26" i="5"/>
  <c r="F23" i="5"/>
  <c r="E23" i="5"/>
  <c r="F22" i="5"/>
  <c r="E22" i="5"/>
  <c r="F20" i="5"/>
  <c r="E20" i="5"/>
  <c r="F19" i="5"/>
  <c r="E19" i="5"/>
  <c r="F21" i="5"/>
  <c r="E21" i="5"/>
  <c r="F18" i="5"/>
  <c r="E18" i="5"/>
  <c r="F17" i="5"/>
  <c r="E17" i="5"/>
  <c r="F15" i="5"/>
  <c r="E15" i="5"/>
  <c r="F14" i="5"/>
  <c r="E14" i="5"/>
  <c r="F16" i="5"/>
  <c r="E16" i="5"/>
  <c r="F13" i="5"/>
  <c r="E13" i="5"/>
  <c r="F12" i="5"/>
  <c r="E12" i="5"/>
  <c r="F10" i="5"/>
  <c r="E10" i="5"/>
  <c r="F9" i="5"/>
  <c r="E9" i="5"/>
  <c r="F11" i="5"/>
  <c r="E11" i="5"/>
  <c r="F8" i="5"/>
  <c r="E8" i="5"/>
  <c r="F7" i="5"/>
  <c r="E7" i="5"/>
  <c r="F2" i="5"/>
  <c r="E2" i="5"/>
  <c r="F5" i="5"/>
  <c r="E5" i="5"/>
  <c r="F4" i="5"/>
  <c r="E4" i="5"/>
  <c r="F6" i="5"/>
  <c r="E6" i="5"/>
  <c r="F3" i="5"/>
  <c r="E3" i="5"/>
  <c r="S60" i="5"/>
  <c r="G60" i="5"/>
  <c r="S59" i="5"/>
  <c r="G59" i="5"/>
  <c r="S61" i="5"/>
  <c r="N6" i="7" s="1"/>
  <c r="G61" i="5"/>
  <c r="S58" i="5"/>
  <c r="G58" i="5"/>
  <c r="S57" i="5"/>
  <c r="G57" i="5"/>
  <c r="S55" i="5"/>
  <c r="G55" i="5"/>
  <c r="S54" i="5"/>
  <c r="G54" i="5"/>
  <c r="S56" i="5"/>
  <c r="M6" i="7" s="1"/>
  <c r="G56" i="5"/>
  <c r="S53" i="5"/>
  <c r="G53" i="5"/>
  <c r="S52" i="5"/>
  <c r="G52" i="5"/>
  <c r="S50" i="5"/>
  <c r="G50" i="5"/>
  <c r="S49" i="5"/>
  <c r="G49" i="5"/>
  <c r="S51" i="5"/>
  <c r="L6" i="7" s="1"/>
  <c r="G51" i="5"/>
  <c r="S48" i="5"/>
  <c r="G48" i="5"/>
  <c r="S47" i="5"/>
  <c r="G47" i="5"/>
  <c r="S45" i="5"/>
  <c r="G45" i="5"/>
  <c r="S44" i="5"/>
  <c r="G44" i="5"/>
  <c r="S46" i="5"/>
  <c r="K6" i="7" s="1"/>
  <c r="G46" i="5"/>
  <c r="S43" i="5"/>
  <c r="G43" i="5"/>
  <c r="S42" i="5"/>
  <c r="G42" i="5"/>
  <c r="S40" i="5"/>
  <c r="G40" i="5"/>
  <c r="S39" i="5"/>
  <c r="G39" i="5"/>
  <c r="S41" i="5"/>
  <c r="J6" i="7" s="1"/>
  <c r="G41" i="5"/>
  <c r="S38" i="5"/>
  <c r="G38" i="5"/>
  <c r="S37" i="5"/>
  <c r="G37" i="5"/>
  <c r="S35" i="5"/>
  <c r="G35" i="5"/>
  <c r="S34" i="5"/>
  <c r="G34" i="5"/>
  <c r="S36" i="5"/>
  <c r="I6" i="7" s="1"/>
  <c r="G36" i="5"/>
  <c r="S33" i="5"/>
  <c r="G33" i="5"/>
  <c r="S32" i="5"/>
  <c r="G32" i="5"/>
  <c r="S30" i="5"/>
  <c r="G30" i="5"/>
  <c r="S29" i="5"/>
  <c r="G29" i="5"/>
  <c r="S31" i="5"/>
  <c r="H6" i="7" s="1"/>
  <c r="G31" i="5"/>
  <c r="S28" i="5"/>
  <c r="G28" i="5"/>
  <c r="S27" i="5"/>
  <c r="G27" i="5"/>
  <c r="S25" i="5"/>
  <c r="G25" i="5"/>
  <c r="S24" i="5"/>
  <c r="G24" i="5"/>
  <c r="S26" i="5"/>
  <c r="G6" i="7" s="1"/>
  <c r="G26" i="5"/>
  <c r="S23" i="5"/>
  <c r="G23" i="5"/>
  <c r="S22" i="5"/>
  <c r="G22" i="5"/>
  <c r="S20" i="5"/>
  <c r="G20" i="5"/>
  <c r="S19" i="5"/>
  <c r="G19" i="5"/>
  <c r="S21" i="5"/>
  <c r="F6" i="7" s="1"/>
  <c r="G21" i="5"/>
  <c r="S18" i="5"/>
  <c r="G18" i="5"/>
  <c r="S17" i="5"/>
  <c r="G17" i="5"/>
  <c r="S15" i="5"/>
  <c r="G15" i="5"/>
  <c r="S14" i="5"/>
  <c r="G14" i="5"/>
  <c r="S16" i="5"/>
  <c r="E6" i="7" s="1"/>
  <c r="G16" i="5"/>
  <c r="S13" i="5"/>
  <c r="G13" i="5"/>
  <c r="S12" i="5"/>
  <c r="G12" i="5"/>
  <c r="S10" i="5"/>
  <c r="G10" i="5"/>
  <c r="S9" i="5"/>
  <c r="G9" i="5"/>
  <c r="S11" i="5"/>
  <c r="D6" i="7" s="1"/>
  <c r="G11" i="5"/>
  <c r="S8" i="5"/>
  <c r="G8" i="5"/>
  <c r="S7" i="5"/>
  <c r="G7" i="5"/>
  <c r="S2" i="5"/>
  <c r="G2" i="5"/>
  <c r="S5" i="5"/>
  <c r="G5" i="5"/>
  <c r="S4" i="5"/>
  <c r="G4" i="5"/>
  <c r="S6" i="5"/>
  <c r="C6" i="7" s="1"/>
  <c r="G6" i="5"/>
  <c r="S3" i="5"/>
  <c r="G3" i="5"/>
  <c r="R3" i="5" l="1"/>
  <c r="Q3" i="5"/>
  <c r="P3" i="5"/>
  <c r="R6" i="5"/>
  <c r="Q6" i="5"/>
  <c r="P6" i="5"/>
  <c r="R4" i="5"/>
  <c r="Q4" i="5"/>
  <c r="P4" i="5"/>
  <c r="R5" i="5"/>
  <c r="Q5" i="5"/>
  <c r="P5" i="5"/>
  <c r="R2" i="5"/>
  <c r="Q2" i="5"/>
  <c r="P2" i="5"/>
  <c r="R7" i="5"/>
  <c r="Q7" i="5"/>
  <c r="P7" i="5"/>
  <c r="R8" i="5"/>
  <c r="Q8" i="5"/>
  <c r="P8" i="5"/>
  <c r="R11" i="5"/>
  <c r="Q11" i="5"/>
  <c r="P11" i="5"/>
  <c r="R9" i="5"/>
  <c r="Q9" i="5"/>
  <c r="P9" i="5"/>
  <c r="R10" i="5"/>
  <c r="Q10" i="5"/>
  <c r="P10" i="5"/>
  <c r="R12" i="5"/>
  <c r="Q12" i="5"/>
  <c r="P12" i="5"/>
  <c r="R13" i="5"/>
  <c r="Q13" i="5"/>
  <c r="P13" i="5"/>
  <c r="R16" i="5"/>
  <c r="Q16" i="5"/>
  <c r="P16" i="5"/>
  <c r="R14" i="5"/>
  <c r="Q14" i="5"/>
  <c r="P14" i="5"/>
  <c r="R15" i="5"/>
  <c r="Q15" i="5"/>
  <c r="P15" i="5"/>
  <c r="R17" i="5"/>
  <c r="Q17" i="5"/>
  <c r="P17" i="5"/>
  <c r="R18" i="5"/>
  <c r="Q18" i="5"/>
  <c r="P18" i="5"/>
  <c r="R21" i="5"/>
  <c r="Q21" i="5"/>
  <c r="P21" i="5"/>
  <c r="R19" i="5"/>
  <c r="Q19" i="5"/>
  <c r="P19" i="5"/>
  <c r="R20" i="5"/>
  <c r="Q20" i="5"/>
  <c r="P20" i="5"/>
  <c r="R22" i="5"/>
  <c r="Q22" i="5"/>
  <c r="P22" i="5"/>
  <c r="R23" i="5"/>
  <c r="Q23" i="5"/>
  <c r="P23" i="5"/>
  <c r="R26" i="5"/>
  <c r="Q26" i="5"/>
  <c r="P26" i="5"/>
  <c r="R24" i="5"/>
  <c r="Q24" i="5"/>
  <c r="P24" i="5"/>
  <c r="R25" i="5"/>
  <c r="Q25" i="5"/>
  <c r="P25" i="5"/>
  <c r="R27" i="5"/>
  <c r="Q27" i="5"/>
  <c r="P27" i="5"/>
  <c r="R28" i="5"/>
  <c r="Q28" i="5"/>
  <c r="P28" i="5"/>
  <c r="R31" i="5"/>
  <c r="Q31" i="5"/>
  <c r="P31" i="5"/>
  <c r="R29" i="5"/>
  <c r="Q29" i="5"/>
  <c r="P29" i="5"/>
  <c r="R30" i="5"/>
  <c r="Q30" i="5"/>
  <c r="P30" i="5"/>
  <c r="R32" i="5"/>
  <c r="Q32" i="5"/>
  <c r="P32" i="5"/>
  <c r="R33" i="5"/>
  <c r="Q33" i="5"/>
  <c r="P33" i="5"/>
  <c r="R36" i="5"/>
  <c r="Q36" i="5"/>
  <c r="P36" i="5"/>
  <c r="R34" i="5"/>
  <c r="Q34" i="5"/>
  <c r="P34" i="5"/>
  <c r="R35" i="5"/>
  <c r="Q35" i="5"/>
  <c r="P35" i="5"/>
  <c r="R37" i="5"/>
  <c r="Q37" i="5"/>
  <c r="P37" i="5"/>
  <c r="R38" i="5"/>
  <c r="Q38" i="5"/>
  <c r="P38" i="5"/>
  <c r="R41" i="5"/>
  <c r="Q41" i="5"/>
  <c r="P41" i="5"/>
  <c r="R39" i="5"/>
  <c r="Q39" i="5"/>
  <c r="P39" i="5"/>
  <c r="R40" i="5"/>
  <c r="Q40" i="5"/>
  <c r="P40" i="5"/>
  <c r="R42" i="5"/>
  <c r="Q42" i="5"/>
  <c r="P42" i="5"/>
  <c r="R43" i="5"/>
  <c r="Q43" i="5"/>
  <c r="P43" i="5"/>
  <c r="R46" i="5"/>
  <c r="Q46" i="5"/>
  <c r="P46" i="5"/>
  <c r="R44" i="5"/>
  <c r="Q44" i="5"/>
  <c r="P44" i="5"/>
  <c r="R45" i="5"/>
  <c r="Q45" i="5"/>
  <c r="P45" i="5"/>
  <c r="R47" i="5"/>
  <c r="Q47" i="5"/>
  <c r="P47" i="5"/>
  <c r="R48" i="5"/>
  <c r="Q48" i="5"/>
  <c r="P48" i="5"/>
  <c r="R51" i="5"/>
  <c r="Q51" i="5"/>
  <c r="P51" i="5"/>
  <c r="R49" i="5"/>
  <c r="Q49" i="5"/>
  <c r="P49" i="5"/>
  <c r="R50" i="5"/>
  <c r="Q50" i="5"/>
  <c r="P50" i="5"/>
  <c r="R52" i="5"/>
  <c r="Q52" i="5"/>
  <c r="P52" i="5"/>
  <c r="R53" i="5"/>
  <c r="Q53" i="5"/>
  <c r="P53" i="5"/>
  <c r="R56" i="5"/>
  <c r="Q56" i="5"/>
  <c r="P56" i="5"/>
  <c r="R54" i="5"/>
  <c r="Q54" i="5"/>
  <c r="P54" i="5"/>
  <c r="R55" i="5"/>
  <c r="Q55" i="5"/>
  <c r="P55" i="5"/>
  <c r="R57" i="5"/>
  <c r="Q57" i="5"/>
  <c r="P57" i="5"/>
  <c r="R58" i="5"/>
  <c r="Q58" i="5"/>
  <c r="P58" i="5"/>
  <c r="R61" i="5"/>
  <c r="Q61" i="5"/>
  <c r="P61" i="5"/>
  <c r="R59" i="5"/>
  <c r="Q59" i="5"/>
  <c r="P59" i="5"/>
  <c r="R60" i="5"/>
  <c r="Q60" i="5"/>
  <c r="P60" i="5"/>
  <c r="L3" i="5"/>
  <c r="K3" i="5"/>
  <c r="J3" i="5"/>
  <c r="O3" i="5"/>
  <c r="N3" i="5"/>
  <c r="M3" i="5"/>
  <c r="L6" i="5"/>
  <c r="C4" i="7" s="1"/>
  <c r="K6" i="5"/>
  <c r="J6" i="5"/>
  <c r="O6" i="5"/>
  <c r="N6" i="5"/>
  <c r="M6" i="5"/>
  <c r="L4" i="5"/>
  <c r="K4" i="5"/>
  <c r="J4" i="5"/>
  <c r="O4" i="5"/>
  <c r="N4" i="5"/>
  <c r="M4" i="5"/>
  <c r="L5" i="5"/>
  <c r="K5" i="5"/>
  <c r="J5" i="5"/>
  <c r="O5" i="5"/>
  <c r="N5" i="5"/>
  <c r="M5" i="5"/>
  <c r="L2" i="5"/>
  <c r="K2" i="5"/>
  <c r="J2" i="5"/>
  <c r="O2" i="5"/>
  <c r="N2" i="5"/>
  <c r="M2" i="5"/>
  <c r="L7" i="5"/>
  <c r="K7" i="5"/>
  <c r="J7" i="5"/>
  <c r="O7" i="5"/>
  <c r="N7" i="5"/>
  <c r="M7" i="5"/>
  <c r="L8" i="5"/>
  <c r="K8" i="5"/>
  <c r="J8" i="5"/>
  <c r="O8" i="5"/>
  <c r="N8" i="5"/>
  <c r="M8" i="5"/>
  <c r="L11" i="5"/>
  <c r="D4" i="7" s="1"/>
  <c r="K11" i="5"/>
  <c r="J11" i="5"/>
  <c r="O11" i="5"/>
  <c r="N11" i="5"/>
  <c r="M11" i="5"/>
  <c r="L9" i="5"/>
  <c r="K9" i="5"/>
  <c r="J9" i="5"/>
  <c r="O9" i="5"/>
  <c r="N9" i="5"/>
  <c r="M9" i="5"/>
  <c r="L10" i="5"/>
  <c r="K10" i="5"/>
  <c r="J10" i="5"/>
  <c r="O10" i="5"/>
  <c r="N10" i="5"/>
  <c r="M10" i="5"/>
  <c r="L12" i="5"/>
  <c r="K12" i="5"/>
  <c r="J12" i="5"/>
  <c r="O12" i="5"/>
  <c r="N12" i="5"/>
  <c r="M12" i="5"/>
  <c r="L13" i="5"/>
  <c r="K13" i="5"/>
  <c r="J13" i="5"/>
  <c r="O13" i="5"/>
  <c r="N13" i="5"/>
  <c r="M13" i="5"/>
  <c r="L16" i="5"/>
  <c r="E4" i="7" s="1"/>
  <c r="K16" i="5"/>
  <c r="E5" i="7" s="1"/>
  <c r="J16" i="5"/>
  <c r="E3" i="7" s="1"/>
  <c r="E14" i="7" s="1"/>
  <c r="O16" i="5"/>
  <c r="N16" i="5"/>
  <c r="M16" i="5"/>
  <c r="L14" i="5"/>
  <c r="K14" i="5"/>
  <c r="J14" i="5"/>
  <c r="O14" i="5"/>
  <c r="N14" i="5"/>
  <c r="M14" i="5"/>
  <c r="L15" i="5"/>
  <c r="K15" i="5"/>
  <c r="J15" i="5"/>
  <c r="O15" i="5"/>
  <c r="N15" i="5"/>
  <c r="M15" i="5"/>
  <c r="L17" i="5"/>
  <c r="K17" i="5"/>
  <c r="J17" i="5"/>
  <c r="O17" i="5"/>
  <c r="N17" i="5"/>
  <c r="M17" i="5"/>
  <c r="L18" i="5"/>
  <c r="K18" i="5"/>
  <c r="J18" i="5"/>
  <c r="O18" i="5"/>
  <c r="N18" i="5"/>
  <c r="M18" i="5"/>
  <c r="L21" i="5"/>
  <c r="F4" i="7" s="1"/>
  <c r="K21" i="5"/>
  <c r="F5" i="7" s="1"/>
  <c r="J21" i="5"/>
  <c r="F3" i="7" s="1"/>
  <c r="F14" i="7" s="1"/>
  <c r="O21" i="5"/>
  <c r="N21" i="5"/>
  <c r="M21" i="5"/>
  <c r="L19" i="5"/>
  <c r="K19" i="5"/>
  <c r="J19" i="5"/>
  <c r="O19" i="5"/>
  <c r="N19" i="5"/>
  <c r="M19" i="5"/>
  <c r="L20" i="5"/>
  <c r="K20" i="5"/>
  <c r="J20" i="5"/>
  <c r="O20" i="5"/>
  <c r="N20" i="5"/>
  <c r="M20" i="5"/>
  <c r="L22" i="5"/>
  <c r="K22" i="5"/>
  <c r="J22" i="5"/>
  <c r="O22" i="5"/>
  <c r="N22" i="5"/>
  <c r="M22" i="5"/>
  <c r="L23" i="5"/>
  <c r="K23" i="5"/>
  <c r="J23" i="5"/>
  <c r="O23" i="5"/>
  <c r="N23" i="5"/>
  <c r="M23" i="5"/>
  <c r="L26" i="5"/>
  <c r="G4" i="7" s="1"/>
  <c r="K26" i="5"/>
  <c r="G5" i="7" s="1"/>
  <c r="J26" i="5"/>
  <c r="G3" i="7" s="1"/>
  <c r="G14" i="7" s="1"/>
  <c r="O26" i="5"/>
  <c r="N26" i="5"/>
  <c r="M26" i="5"/>
  <c r="L24" i="5"/>
  <c r="K24" i="5"/>
  <c r="J24" i="5"/>
  <c r="O24" i="5"/>
  <c r="N24" i="5"/>
  <c r="M24" i="5"/>
  <c r="L25" i="5"/>
  <c r="K25" i="5"/>
  <c r="J25" i="5"/>
  <c r="O25" i="5"/>
  <c r="N25" i="5"/>
  <c r="M25" i="5"/>
  <c r="L27" i="5"/>
  <c r="K27" i="5"/>
  <c r="J27" i="5"/>
  <c r="O27" i="5"/>
  <c r="N27" i="5"/>
  <c r="M27" i="5"/>
  <c r="L28" i="5"/>
  <c r="K28" i="5"/>
  <c r="J28" i="5"/>
  <c r="O28" i="5"/>
  <c r="N28" i="5"/>
  <c r="M28" i="5"/>
  <c r="L31" i="5"/>
  <c r="H4" i="7" s="1"/>
  <c r="K31" i="5"/>
  <c r="H5" i="7" s="1"/>
  <c r="J31" i="5"/>
  <c r="H3" i="7" s="1"/>
  <c r="H14" i="7" s="1"/>
  <c r="O31" i="5"/>
  <c r="N31" i="5"/>
  <c r="M31" i="5"/>
  <c r="L29" i="5"/>
  <c r="K29" i="5"/>
  <c r="J29" i="5"/>
  <c r="O29" i="5"/>
  <c r="N29" i="5"/>
  <c r="M29" i="5"/>
  <c r="L30" i="5"/>
  <c r="K30" i="5"/>
  <c r="J30" i="5"/>
  <c r="O30" i="5"/>
  <c r="N30" i="5"/>
  <c r="M30" i="5"/>
  <c r="L32" i="5"/>
  <c r="K32" i="5"/>
  <c r="J32" i="5"/>
  <c r="O32" i="5"/>
  <c r="N32" i="5"/>
  <c r="M32" i="5"/>
  <c r="L33" i="5"/>
  <c r="K33" i="5"/>
  <c r="J33" i="5"/>
  <c r="O33" i="5"/>
  <c r="N33" i="5"/>
  <c r="M33" i="5"/>
  <c r="L36" i="5"/>
  <c r="I4" i="7" s="1"/>
  <c r="K36" i="5"/>
  <c r="I5" i="7" s="1"/>
  <c r="J36" i="5"/>
  <c r="I3" i="7" s="1"/>
  <c r="I14" i="7" s="1"/>
  <c r="O36" i="5"/>
  <c r="N36" i="5"/>
  <c r="M36" i="5"/>
  <c r="L34" i="5"/>
  <c r="K34" i="5"/>
  <c r="J34" i="5"/>
  <c r="O34" i="5"/>
  <c r="N34" i="5"/>
  <c r="M34" i="5"/>
  <c r="L35" i="5"/>
  <c r="K35" i="5"/>
  <c r="J35" i="5"/>
  <c r="O35" i="5"/>
  <c r="N35" i="5"/>
  <c r="M35" i="5"/>
  <c r="L37" i="5"/>
  <c r="K37" i="5"/>
  <c r="J37" i="5"/>
  <c r="O37" i="5"/>
  <c r="N37" i="5"/>
  <c r="M37" i="5"/>
  <c r="L38" i="5"/>
  <c r="K38" i="5"/>
  <c r="J38" i="5"/>
  <c r="O38" i="5"/>
  <c r="N38" i="5"/>
  <c r="M38" i="5"/>
  <c r="L41" i="5"/>
  <c r="J4" i="7" s="1"/>
  <c r="K41" i="5"/>
  <c r="J5" i="7" s="1"/>
  <c r="J41" i="5"/>
  <c r="J3" i="7" s="1"/>
  <c r="J14" i="7" s="1"/>
  <c r="O41" i="5"/>
  <c r="N41" i="5"/>
  <c r="M41" i="5"/>
  <c r="L39" i="5"/>
  <c r="K39" i="5"/>
  <c r="J39" i="5"/>
  <c r="O39" i="5"/>
  <c r="N39" i="5"/>
  <c r="M39" i="5"/>
  <c r="L40" i="5"/>
  <c r="K40" i="5"/>
  <c r="J40" i="5"/>
  <c r="O40" i="5"/>
  <c r="N40" i="5"/>
  <c r="M40" i="5"/>
  <c r="L42" i="5"/>
  <c r="K42" i="5"/>
  <c r="J42" i="5"/>
  <c r="O42" i="5"/>
  <c r="N42" i="5"/>
  <c r="M42" i="5"/>
  <c r="L43" i="5"/>
  <c r="K43" i="5"/>
  <c r="J43" i="5"/>
  <c r="O43" i="5"/>
  <c r="N43" i="5"/>
  <c r="M43" i="5"/>
  <c r="L46" i="5"/>
  <c r="K4" i="7" s="1"/>
  <c r="K46" i="5"/>
  <c r="K5" i="7" s="1"/>
  <c r="J46" i="5"/>
  <c r="K3" i="7" s="1"/>
  <c r="K14" i="7" s="1"/>
  <c r="O46" i="5"/>
  <c r="N46" i="5"/>
  <c r="M46" i="5"/>
  <c r="L44" i="5"/>
  <c r="K44" i="5"/>
  <c r="J44" i="5"/>
  <c r="O44" i="5"/>
  <c r="N44" i="5"/>
  <c r="M44" i="5"/>
  <c r="L45" i="5"/>
  <c r="K45" i="5"/>
  <c r="J45" i="5"/>
  <c r="O45" i="5"/>
  <c r="N45" i="5"/>
  <c r="M45" i="5"/>
  <c r="L47" i="5"/>
  <c r="K47" i="5"/>
  <c r="J47" i="5"/>
  <c r="O47" i="5"/>
  <c r="N47" i="5"/>
  <c r="M47" i="5"/>
  <c r="L48" i="5"/>
  <c r="K48" i="5"/>
  <c r="J48" i="5"/>
  <c r="O48" i="5"/>
  <c r="N48" i="5"/>
  <c r="M48" i="5"/>
  <c r="L51" i="5"/>
  <c r="L4" i="7" s="1"/>
  <c r="K51" i="5"/>
  <c r="L5" i="7" s="1"/>
  <c r="J51" i="5"/>
  <c r="L3" i="7" s="1"/>
  <c r="L14" i="7" s="1"/>
  <c r="O51" i="5"/>
  <c r="N51" i="5"/>
  <c r="M51" i="5"/>
  <c r="L49" i="5"/>
  <c r="K49" i="5"/>
  <c r="J49" i="5"/>
  <c r="O49" i="5"/>
  <c r="N49" i="5"/>
  <c r="M49" i="5"/>
  <c r="L50" i="5"/>
  <c r="K50" i="5"/>
  <c r="J50" i="5"/>
  <c r="O50" i="5"/>
  <c r="N50" i="5"/>
  <c r="M50" i="5"/>
  <c r="L52" i="5"/>
  <c r="K52" i="5"/>
  <c r="J52" i="5"/>
  <c r="O52" i="5"/>
  <c r="N52" i="5"/>
  <c r="M52" i="5"/>
  <c r="L53" i="5"/>
  <c r="K53" i="5"/>
  <c r="J53" i="5"/>
  <c r="O53" i="5"/>
  <c r="N53" i="5"/>
  <c r="M53" i="5"/>
  <c r="L56" i="5"/>
  <c r="M4" i="7" s="1"/>
  <c r="K56" i="5"/>
  <c r="M5" i="7" s="1"/>
  <c r="J56" i="5"/>
  <c r="M3" i="7" s="1"/>
  <c r="M14" i="7" s="1"/>
  <c r="O56" i="5"/>
  <c r="N56" i="5"/>
  <c r="M56" i="5"/>
  <c r="L54" i="5"/>
  <c r="K54" i="5"/>
  <c r="J54" i="5"/>
  <c r="O54" i="5"/>
  <c r="N54" i="5"/>
  <c r="M54" i="5"/>
  <c r="L55" i="5"/>
  <c r="K55" i="5"/>
  <c r="J55" i="5"/>
  <c r="O55" i="5"/>
  <c r="N55" i="5"/>
  <c r="M55" i="5"/>
  <c r="L57" i="5"/>
  <c r="K57" i="5"/>
  <c r="J57" i="5"/>
  <c r="O57" i="5"/>
  <c r="N57" i="5"/>
  <c r="M57" i="5"/>
  <c r="L58" i="5"/>
  <c r="K58" i="5"/>
  <c r="J58" i="5"/>
  <c r="O58" i="5"/>
  <c r="N58" i="5"/>
  <c r="M58" i="5"/>
  <c r="L61" i="5"/>
  <c r="N4" i="7" s="1"/>
  <c r="K61" i="5"/>
  <c r="N5" i="7" s="1"/>
  <c r="J61" i="5"/>
  <c r="N3" i="7" s="1"/>
  <c r="N14" i="7" s="1"/>
  <c r="O61" i="5"/>
  <c r="N61" i="5"/>
  <c r="M61" i="5"/>
  <c r="L59" i="5"/>
  <c r="K59" i="5"/>
  <c r="J59" i="5"/>
  <c r="O59" i="5"/>
  <c r="N59" i="5"/>
  <c r="M59" i="5"/>
  <c r="L60" i="5"/>
  <c r="K60" i="5"/>
  <c r="J60" i="5"/>
  <c r="O60" i="5"/>
  <c r="N60" i="5"/>
  <c r="M60" i="5"/>
  <c r="C22" i="7"/>
  <c r="D3" i="7" l="1"/>
  <c r="J3" i="3"/>
  <c r="K2" i="3" s="1"/>
  <c r="K3" i="3" s="1"/>
  <c r="C3" i="7"/>
  <c r="D5" i="7"/>
  <c r="C5" i="7"/>
  <c r="D17" i="7"/>
  <c r="I5" i="1" l="1"/>
  <c r="I6" i="1"/>
  <c r="I7" i="1"/>
  <c r="I8" i="1"/>
  <c r="C17" i="7" s="1"/>
  <c r="I4" i="1"/>
  <c r="D14" i="7"/>
  <c r="C1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 desconhecido</author>
  </authors>
  <commentList>
    <comment ref="C14" authorId="0" shapeId="0" xr:uid="{00000000-0006-0000-0100-000001000000}">
      <text>
        <r>
          <rPr>
            <sz val="10"/>
            <rFont val="Arial"/>
            <family val="2"/>
          </rPr>
          <t xml:space="preserve">iran:
</t>
        </r>
        <r>
          <rPr>
            <sz val="9"/>
            <color rgb="FF000000"/>
            <rFont val="Segoe UI"/>
            <family val="2"/>
            <charset val="1"/>
          </rPr>
          <t>valor de aquisição e ampliação</t>
        </r>
      </text>
    </comment>
    <comment ref="C48" authorId="0" shapeId="0" xr:uid="{00000000-0006-0000-0100-000003000000}">
      <text>
        <r>
          <rPr>
            <sz val="10"/>
            <rFont val="Arial"/>
            <family val="2"/>
          </rPr>
          <t xml:space="preserve">iran: </t>
        </r>
        <r>
          <rPr>
            <sz val="9"/>
            <color rgb="FF000000"/>
            <rFont val="Segoe UI"/>
            <family val="2"/>
            <charset val="1"/>
          </rPr>
          <t>custo para contratar equipe, pago no primeiro mês (janeiro) junto com salário.</t>
        </r>
      </text>
    </comment>
  </commentList>
</comments>
</file>

<file path=xl/sharedStrings.xml><?xml version="1.0" encoding="utf-8"?>
<sst xmlns="http://schemas.openxmlformats.org/spreadsheetml/2006/main" count="1264" uniqueCount="211">
  <si>
    <t>PROJ INTEG I - GPI -  2024 2</t>
  </si>
  <si>
    <t>Demanda Nacional 2024</t>
  </si>
  <si>
    <t>Previsão do número total de celulares em unidade a serem comercializados no país neste ano corrente.</t>
  </si>
  <si>
    <t>Fonte(s):</t>
  </si>
  <si>
    <t>https://www.barte.com/blog-posts/mercado-de-celulares-no-brasil-continua-em-queda-com-consumidores-mantendo-aparelhos-por-mais-tempo#:~:text=O%20total%20de%20aparelhos%20vendidos,a%20apenas%203%2C5%25.</t>
  </si>
  <si>
    <t>Pesquisa de Preços</t>
  </si>
  <si>
    <t>Aparelho</t>
  </si>
  <si>
    <t>Modelo</t>
  </si>
  <si>
    <t>Preço</t>
  </si>
  <si>
    <t>No Jogo será:</t>
  </si>
  <si>
    <t>A</t>
  </si>
  <si>
    <t>Apple - Iphone 15 Pro Max 1 TB</t>
  </si>
  <si>
    <t>O Importado mais caro</t>
  </si>
  <si>
    <t>Fonte:</t>
  </si>
  <si>
    <t>https://www.google.com/search?q=qual+celular+mais+caro+vendio+atualmete+no+brasil&amp;sca_esv=ef2b8d4842bb75f7&amp;sxsrf=ADLYWIJD6nfWMBpx3ldXNG9mnYtuTqDBxA%3A1726409019805&amp;ei=O-nmZvrtMNSP5OUPn-Th8Qk&amp;ved=0ahUKEwi69_LijsWIAxXUB7kGHR9yOJ4Q4dUDCA8&amp;uact=5&amp;oq=qual+celular+mais+caro+vendio+atualmete+no+brasil&amp;gs_lp=Egxnd3Mtd2l6LXNlcnAiMXF1YWwgY2VsdWxhciBtYWlzIGNhcm8gdmVuZGlvIGF0dWFsbWV0ZSBubyBicmFzaWwyBhAAGBYYHjIIEAAYgAQYogQyCBAAGIAEGKIEMggQABiABBiiBDIIEAAYgAQYogRI6JsBULQEWN2YAXADeAGQAQGYAeoBoAGQTaoBBjAuNjQuNLgBA8gBAPgBAZgCNqAC9j3CAgoQABiwAxjWBBhHwgIEECMYJ8ICChAAGAgYDRgeGA_CAggQABgWGAoYHsICChAAGIAEGBQYhwLCAgUQABiABMICBRAhGKABwgIHECEYoAEYCsICCBAAGAgYDRgewgIEECEYCpgDAIgGAZAGCJIHBjMuNDguM6AHrrcD&amp;sclient=gws-wiz-serp</t>
  </si>
  <si>
    <t>B</t>
  </si>
  <si>
    <t xml:space="preserve">Galaxy Z Flip4 5G </t>
  </si>
  <si>
    <t>O Nacional mais caro</t>
  </si>
  <si>
    <t>https://www.google.com/search?q=qual+%C3%A9+o+celular+da+samsung+mais+caro+produzido+no+brasil&amp;oq=qual+%C3%A9+o+celular+da+samsung+mais+caro+produzido+no+&amp;gs_lcrp=EgZjaHJvbWUqBwgBECEYoAEyBggAEEUYOTIHCAEQIRigAdIBCTIyMTQyajBqOagCCLACAQ&amp;sourceid=chrome&amp;ie=UTF-8</t>
  </si>
  <si>
    <t>C</t>
  </si>
  <si>
    <t>Motorola Moto G14.</t>
  </si>
  <si>
    <t>O Nacional mais barato</t>
  </si>
  <si>
    <t>https://www.google.com/search?q=qual+celular+que+produzido+no+brasil+mais+barato&amp;sca_esv=ef2b8d4842bb75f7&amp;sxsrf=ADLYWILK5NowCRyIwGfvmdciLACLdozJpw%3A1726409014636&amp;ei=NunmZuzIJpfc5OUP8bOI8AY&amp;ved=0ahUKEwjsu7fgjsWIAxUXLrkGHfEZAm4Q4dUDCA8&amp;uact=5&amp;oq=qual+celular+que+produzido+no+brasil+mais+barato&amp;gs_lp=Egxnd3Mtd2l6LXNlcnAiMHF1YWwgY2VsdWxhciBxdWUgcHJvZHV6aWRvIG5vIGJyYXNpbCBtYWlzIGJhcmF0bzIKEAAYsAMY1gQYRzIKEAAYsAMY1gQYRzIKEAAYsAMY1gQYRzIKEAAYsAMY1gQYRzIKEAAYsAMY1gQYRzIKEAAYsAMY1gQYRzIKEAAYsAMY1gQYRzIKEAAYsAMY1gQYR0jMGFC_Bli1FXACeAGQAQCYAasBoAGrBqoBAzAuNrgBA8gBAPgBAZgCB6ACvgXCAgUQIRigAZgDAOIDBRIBMSBAiAYBkAYIkgcDMi41oAeiFw&amp;sclient=gws-wiz-serp</t>
  </si>
  <si>
    <t>D/E</t>
  </si>
  <si>
    <t>Redmi 9A</t>
  </si>
  <si>
    <t>O Importado mais barato</t>
  </si>
  <si>
    <t>https://www.google.com/search?q=qual+celular+que+o+brasil+importa+mais+barato&amp;sca_esv=ef2b8d4842bb75f7&amp;sxsrf=ADLYWILtYJtdKrTEm-mjozO1AsiMAYSdSw%3A1726408724977&amp;ei=FOjmZtyjO66H1sQPq57akQM&amp;ved=0ahUKEwjc_afWjcWIAxWug5UCHSuPNjIQ4dUDCA8&amp;uact=5&amp;oq=qual+celular+que+o+brasil+importa+mais+barato&amp;gs_lp=Egxnd3Mtd2l6LXNlcnAiLXF1YWwgY2VsdWxhciBxdWUgbyBicmFzaWwgaW1wb3J0YSBtYWlzIGJhcmF0bzIIEAAYgAQYogQyCBAAGIAEGKIEMggQABiABBiiBDIIEAAYgAQYogRI0hlQqQNYxxZwAXgBkAEAmAH9AaAB5guqAQUwLjkuMbgBA8gBAPgBAZgCCqACrwvCAgoQABiwAxjWBBhHwgIEECMYJ8ICBRAhGKABwgIFECEYnwWYAwCIBgGQBgiSBwUxLjguMaAHwig&amp;sclient=gws-wiz-serp</t>
  </si>
  <si>
    <t>Obs: ordenar os preços de 1 a 4 por ordem de valor, sendo o 1 mais caro e o 4 mais barato</t>
  </si>
  <si>
    <t>Demografia e dados Sócio-Econômicos</t>
  </si>
  <si>
    <t>Regiao</t>
  </si>
  <si>
    <t>Regiao nome</t>
  </si>
  <si>
    <t>População</t>
  </si>
  <si>
    <t>Classes sociais em %</t>
  </si>
  <si>
    <t>E</t>
  </si>
  <si>
    <t>Sul</t>
  </si>
  <si>
    <t>1) Região Sul</t>
  </si>
  <si>
    <t>Sudeste</t>
  </si>
  <si>
    <t>2) Região Sudeste</t>
  </si>
  <si>
    <t>Nordeste</t>
  </si>
  <si>
    <t>3) Região Nordeste</t>
  </si>
  <si>
    <t>Centro-Oeste</t>
  </si>
  <si>
    <t xml:space="preserve">4) Região Cento-Oeste </t>
  </si>
  <si>
    <t>Norte</t>
  </si>
  <si>
    <t>5) Região Norte</t>
  </si>
  <si>
    <t>Total de População no Brasil</t>
  </si>
  <si>
    <t>https://censo2022.ibge.gov.br/panorama/</t>
  </si>
  <si>
    <t>https://gente.globo.com/infografico-pesquisa-panorama-das-classes-abcde/</t>
  </si>
  <si>
    <t>Obs: Para o desenvolvimento do Planejamento Estratégico da Empresa, pesquisem mais informações que considerarem relevantes!</t>
  </si>
  <si>
    <t>Sazonalidade</t>
  </si>
  <si>
    <t xml:space="preserve">Comportamento de vendas ao longo do ano no varejo. </t>
  </si>
  <si>
    <t>Considerando datas comemorativas e períodos especifícos (janeiro menos circulação de dinheiro e dezembro mais, por exemplo).</t>
  </si>
  <si>
    <t>Mês</t>
  </si>
  <si>
    <t>%</t>
  </si>
  <si>
    <t>Qtde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</si>
  <si>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</si>
  <si>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</si>
  <si>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</si>
  <si>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</si>
  <si>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</si>
  <si>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</si>
  <si>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</si>
  <si>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</si>
  <si>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</si>
  <si>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</si>
  <si>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</si>
  <si>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</si>
  <si>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</si>
  <si>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Obs: Ao inserir as porcentagens mensais, a soma deve corresponder a 100% da Demanda!</t>
  </si>
  <si>
    <t>Na coluna Qtde será realizada o cálculo automático sobre o item 1 da pesquisa</t>
  </si>
  <si>
    <t>MARKET SHARE</t>
  </si>
  <si>
    <t>Com estes números pesquisados proponha um valor inicial de Market Share Nacional para a sua Empresa.</t>
  </si>
  <si>
    <t>Empresa:</t>
  </si>
  <si>
    <t>START PHONE</t>
  </si>
  <si>
    <t>Se já definiu o nome</t>
  </si>
  <si>
    <t>Market Share</t>
  </si>
  <si>
    <t>Obs: No desenvolvimento do Planej. Estratégico vcs definirão em algumas semanas o valor definitivo a ser colocado como objetivo!</t>
  </si>
  <si>
    <t>DEMANDA MÉDIA 2024:</t>
  </si>
  <si>
    <t>VALOR DA FRANQUIA PARA ATUAÇÃO NAS REGIÕES DO BRASIL</t>
  </si>
  <si>
    <t>REGIÃO</t>
  </si>
  <si>
    <t xml:space="preserve">VALOR </t>
  </si>
  <si>
    <t>SUL/SUDESTE</t>
  </si>
  <si>
    <t>NORDESTE</t>
  </si>
  <si>
    <t>NORTE/C.OESTE</t>
  </si>
  <si>
    <t>PREVISÃO TOTAL</t>
  </si>
  <si>
    <t>CUSTO ARMAZÉM</t>
  </si>
  <si>
    <t>1 Lote</t>
  </si>
  <si>
    <t>Celulares</t>
  </si>
  <si>
    <t>CAPACIDADE ARMAZÉM Nº LOTES</t>
  </si>
  <si>
    <t xml:space="preserve">AQUISIÇÃO </t>
  </si>
  <si>
    <t>MANUTENÇÃO MENSAL</t>
  </si>
  <si>
    <t>VALOR DOS PACOTES DE SERVIÇO</t>
  </si>
  <si>
    <t>MODELO CELULAR</t>
  </si>
  <si>
    <t>VALOR</t>
  </si>
  <si>
    <t>IMPORTADO + CARO</t>
  </si>
  <si>
    <t>NACIONAL + CARO</t>
  </si>
  <si>
    <t>IMPORTADO + BARATO</t>
  </si>
  <si>
    <t>NACIONAL + BARATO</t>
  </si>
  <si>
    <t>VARIAÇÃO PREÇO DE VENDA</t>
  </si>
  <si>
    <t>Margem Lucro</t>
  </si>
  <si>
    <t>Máximo</t>
  </si>
  <si>
    <t>até 30% maior do que o preço médio</t>
  </si>
  <si>
    <t>Minímo</t>
  </si>
  <si>
    <t>até 10% menor do que o preço médio</t>
  </si>
  <si>
    <t>Taxa de Impostos / no valor de compra</t>
  </si>
  <si>
    <t>Nacional</t>
  </si>
  <si>
    <t>Internacional</t>
  </si>
  <si>
    <t>PROPORÇÃO ENTRE PREÇO DE COMPRA E VENDA</t>
  </si>
  <si>
    <t>Preço de Venda Médio</t>
  </si>
  <si>
    <t>Preço de Compra</t>
  </si>
  <si>
    <t>Importado mais barato</t>
  </si>
  <si>
    <t>Nacional mais caro</t>
  </si>
  <si>
    <t>Nacional mais barato</t>
  </si>
  <si>
    <t>Importado mais caro</t>
  </si>
  <si>
    <t>CUSTO EQUIPES FUNCIONÁRIOS</t>
  </si>
  <si>
    <t>1 Equipe</t>
  </si>
  <si>
    <t>Funcionários</t>
  </si>
  <si>
    <t>CONTRATAÇÃO</t>
  </si>
  <si>
    <t>TREINAMENTO</t>
  </si>
  <si>
    <t>SALÁRIO MENSAL</t>
  </si>
  <si>
    <t>LOGÍSTICA</t>
  </si>
  <si>
    <t>COMERCIAL</t>
  </si>
  <si>
    <t>INFRAESTRUTURA</t>
  </si>
  <si>
    <t>1 EQUIPE LOGÍSTICA MOVIMENTA 10 LOTES</t>
  </si>
  <si>
    <t>1 EQUIPE COMERCIAL VENDE 5 LOTES</t>
  </si>
  <si>
    <t>1 EQUIPE INFRAESTRUTURA INSTALA E MANTÉM 5 ERBs/MÊS</t>
  </si>
  <si>
    <t>POSTO DE ATENDIMENTO (PA)</t>
  </si>
  <si>
    <t>1 PA = 10 ATENDENTES</t>
  </si>
  <si>
    <t>NÍVEL DE SERVIÇO PAs</t>
  </si>
  <si>
    <t>NÍVEL DE OCUPAÇÃO</t>
  </si>
  <si>
    <t>NÍVEL 5</t>
  </si>
  <si>
    <t>&lt; 49%</t>
  </si>
  <si>
    <t>CUSTO MÊS 1 PA</t>
  </si>
  <si>
    <t>NÍVEL 4</t>
  </si>
  <si>
    <t>ENTRE 50 E 64%</t>
  </si>
  <si>
    <t>1 PA ATENDE 27.000 CLIENTES</t>
  </si>
  <si>
    <t>NÍVEL 3</t>
  </si>
  <si>
    <t>ENTRE 65 E 74%</t>
  </si>
  <si>
    <t>NÍVEL 2</t>
  </si>
  <si>
    <t>ENTRE 75 A 89%</t>
  </si>
  <si>
    <t>NÍVEL DE SERVIÇO GERAL É A MÉDIA GERAL ENTRE OS DOIS NÍVEIS DE SERVIÇO</t>
  </si>
  <si>
    <t>NÍVEL 1</t>
  </si>
  <si>
    <t>&gt; 90%</t>
  </si>
  <si>
    <t>ERB (ESTAÇÃO RÁDIO BASE)</t>
  </si>
  <si>
    <t>CUSTO DE INSTALAÇÃO 1 ERB</t>
  </si>
  <si>
    <t>NÍVEL DE SERVIÇO ERBs</t>
  </si>
  <si>
    <t>EXCELENTE</t>
  </si>
  <si>
    <t>&lt; 50%</t>
  </si>
  <si>
    <t>BOM</t>
  </si>
  <si>
    <t>QTDE DE CLIENTES SUPORTADOS POR UMA ERB POR REGIÃO</t>
  </si>
  <si>
    <t>ENTRE 50,01 E 60%</t>
  </si>
  <si>
    <t>REGULAR</t>
  </si>
  <si>
    <t>QTD CELULARES</t>
  </si>
  <si>
    <t>ENTRE 60,01 E 75%</t>
  </si>
  <si>
    <t>RUIM</t>
  </si>
  <si>
    <t>ENTRE 75,01 A 85%</t>
  </si>
  <si>
    <t>PÉSSIMO</t>
  </si>
  <si>
    <t>&gt; 85,01%</t>
  </si>
  <si>
    <t>DEMANDA ANUAL NACIONAL - PESQUISA DE CADA EMPRESA</t>
  </si>
  <si>
    <t>APÓS A PESQUISA DE DEMANDA SERÁ DEFINIDA A DEMANDA MÉDIA NACIONAL. A DEMANDA REGIONAL E POR APARELHOS SERÁ DEFINIDA POR CADA EMPRESA.</t>
  </si>
  <si>
    <t>PREÇOS DOS CELULARES - PESQUISA DE CADA EMPRESA.</t>
  </si>
  <si>
    <t>APÓS A PESQUISA DE PREÇOS DOS CELULARES, SERÁ DEFINIDO O PREÇO ÚNICO DE COMPRA NACIONAL PARA CADA UM DOS 4 APARELHOS. O PREÇO DE VENDA REGIONAL SERÁ DEFINIDO POR CADA EMPRESA.</t>
  </si>
  <si>
    <t>CÂMBIO E INFLAÇÃO PODEM SER UTILIZADOS OS VALORES E PROJEÇÕES DESTE ANO DE 2024</t>
  </si>
  <si>
    <t xml:space="preserve">Mês </t>
  </si>
  <si>
    <t>Região</t>
  </si>
  <si>
    <t>Categoria Cel</t>
  </si>
  <si>
    <t>QTD Aparelhos</t>
  </si>
  <si>
    <t xml:space="preserve">Receita </t>
  </si>
  <si>
    <t>Preço Compra</t>
  </si>
  <si>
    <t>Imposto Pago</t>
  </si>
  <si>
    <t>Pacotes de Serviço</t>
  </si>
  <si>
    <t>Qtd Vendas</t>
  </si>
  <si>
    <t>Qtd Lotes Necessaários</t>
  </si>
  <si>
    <t>Preço Aquisição</t>
  </si>
  <si>
    <t>Custo Manutenção</t>
  </si>
  <si>
    <t>Qtd Equipe Com</t>
  </si>
  <si>
    <t>Qtd Equipe Log</t>
  </si>
  <si>
    <t>Qtd Equipe Infra</t>
  </si>
  <si>
    <t>Qtd ERB</t>
  </si>
  <si>
    <t>Qtd PA</t>
  </si>
  <si>
    <t>Custo contratação Com</t>
  </si>
  <si>
    <t>Custo treinamento Com</t>
  </si>
  <si>
    <t>Custo Salário Com</t>
  </si>
  <si>
    <t>Custo contratação Log</t>
  </si>
  <si>
    <t>Custo treinamento Log</t>
  </si>
  <si>
    <t>Custo Salário Log</t>
  </si>
  <si>
    <t>Custo contratação Infra</t>
  </si>
  <si>
    <t>Custo treinamento Infra</t>
  </si>
  <si>
    <t>Custo Salário Infra</t>
  </si>
  <si>
    <t>Custo de ERB</t>
  </si>
  <si>
    <t>CONTRATAÇÕES</t>
  </si>
  <si>
    <t>SALÁRIOS</t>
  </si>
  <si>
    <t>TREINAMENTOS</t>
  </si>
  <si>
    <t>ERB</t>
  </si>
  <si>
    <t>FRANQUIAS</t>
  </si>
  <si>
    <t>PA</t>
  </si>
  <si>
    <t>ENTRADA</t>
  </si>
  <si>
    <t>VENDAS</t>
  </si>
  <si>
    <t>PACOTES DE SERVIÇO</t>
  </si>
  <si>
    <t>FINANCIAMENTOS</t>
  </si>
  <si>
    <t>COMPRAS DE PRODUTOS</t>
  </si>
  <si>
    <t>CAPITAL INICIAL</t>
  </si>
  <si>
    <t>SAIDAS</t>
  </si>
  <si>
    <t>ENTRADAS</t>
  </si>
  <si>
    <t>ARMAZÉM (ALUGUEL)</t>
  </si>
  <si>
    <t>ARMAZÉM (MANUTENÇAO)</t>
  </si>
  <si>
    <t>IMPOSTOS</t>
  </si>
  <si>
    <t>CUSTOS</t>
  </si>
  <si>
    <t>Custo de PA</t>
  </si>
  <si>
    <t>Qtd Lotes</t>
  </si>
  <si>
    <t>CUSTOS TOTAL P/MÊS</t>
  </si>
  <si>
    <t>RECEITAS TOTAL P/MÊS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</si>
</sst>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_-[$R$-416]\ * #,##0.00_-;\-[$R$-416]\ * #,##0.00_-;_-[$R$-416]\ * \-??_-;_-@_-"/>
    <numFmt numFmtId="166" formatCode="_-&quot;R$ &quot;* #,##0.00_-;&quot;-R$ &quot;* #,##0.00_-;_-&quot;R$ &quot;* \-??_-;_-@_-"/>
    <numFmt numFmtId="167" formatCode="&quot;R$ &quot;#,##0.00;[Red]&quot;-R$ &quot;#,##0.00"/>
    <numFmt numFmtId="168" formatCode="_-[$R$-416]\ * #,##0.00_-;\-[$R$-416]\ * #,##0.00_-;_-[$R$-416]\ * &quot;-&quot;??_-;_-@_-"/>
    <numFmt numFmtId="169" formatCode="&quot;R$&quot;\ #,##0.00"/>
  </numFmts>
  <fonts count="20" x14ac:knownFonts="1">
    <font>
      <sz val="11"/>
      <color theme="1"/>
      <name val="Calibri"/>
      <family val="2"/>
      <charset val="1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9"/>
      <color rgb="FF000000"/>
      <name val="Segoe UI"/>
      <family val="2"/>
      <charset val="1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F1F1F"/>
      <name val="Calibri"/>
      <family val="2"/>
      <scheme val="minor"/>
    </font>
    <font>
      <sz val="11"/>
      <color rgb="FF040C28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theme="1"/>
      <name val="Calibri"/>
    </font>
    <font>
      <b/>
      <sz val="11"/>
      <color theme="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7" tint="0.59987182226020086"/>
        <bgColor rgb="FFFFD966"/>
      </patternFill>
    </fill>
    <fill>
      <patternFill patternType="solid">
        <fgColor theme="9" tint="0.59987182226020086"/>
        <bgColor rgb="FFC9C9C9"/>
      </patternFill>
    </fill>
    <fill>
      <patternFill patternType="solid">
        <fgColor theme="5" tint="0.59987182226020086"/>
        <bgColor rgb="FFFFE699"/>
      </patternFill>
    </fill>
    <fill>
      <patternFill patternType="solid">
        <fgColor theme="6" tint="0.39988402966399123"/>
        <bgColor rgb="FFBDD7EE"/>
      </patternFill>
    </fill>
    <fill>
      <patternFill patternType="solid">
        <fgColor theme="7" tint="0.39988402966399123"/>
        <bgColor rgb="FFFFE699"/>
      </patternFill>
    </fill>
    <fill>
      <patternFill patternType="solid">
        <fgColor theme="4" tint="0.59987182226020086"/>
        <bgColor rgb="FFC9C9C9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E699"/>
      </patternFill>
    </fill>
    <fill>
      <patternFill patternType="solid">
        <fgColor rgb="FF92D050"/>
        <bgColor rgb="FFFFFF00"/>
      </patternFill>
    </fill>
    <fill>
      <patternFill patternType="solid">
        <fgColor rgb="FF92D050"/>
        <bgColor rgb="FFF8CBAD"/>
      </patternFill>
    </fill>
    <fill>
      <patternFill patternType="solid">
        <fgColor rgb="FFFFFF00"/>
        <bgColor rgb="FFF8CBAD"/>
      </patternFill>
    </fill>
    <fill>
      <patternFill patternType="solid">
        <fgColor rgb="FFFFFF00"/>
        <bgColor rgb="FFBDD7EE"/>
      </patternFill>
    </fill>
    <fill>
      <patternFill patternType="solid">
        <fgColor rgb="FFFFFF00"/>
        <bgColor rgb="FF33CC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thin">
        <color auto="1"/>
      </bottom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medium">
        <color rgb="FF00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thin">
        <color auto="1"/>
      </top>
      <bottom/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166" fontId="8" fillId="0" borderId="0" applyBorder="0" applyProtection="0"/>
    <xf numFmtId="9" fontId="8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34">
    <xf numFmtId="0" fontId="0" fillId="0" borderId="0" xfId="0"/>
    <xf numFmtId="0" fontId="4" fillId="3" borderId="1" xfId="0" applyFont="1" applyFill="1" applyBorder="1" applyAlignment="1">
      <alignment horizontal="left" indent="1"/>
    </xf>
    <xf numFmtId="0" fontId="4" fillId="3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4" fillId="3" borderId="0" xfId="0" applyFont="1" applyFill="1"/>
    <xf numFmtId="0" fontId="4" fillId="3" borderId="5" xfId="0" applyFont="1" applyFill="1" applyBorder="1"/>
    <xf numFmtId="0" fontId="4" fillId="3" borderId="4" xfId="0" applyFont="1" applyFill="1" applyBorder="1" applyAlignment="1">
      <alignment horizontal="left" indent="1"/>
    </xf>
    <xf numFmtId="0" fontId="4" fillId="3" borderId="7" xfId="0" applyFont="1" applyFill="1" applyBorder="1" applyAlignment="1">
      <alignment horizontal="left" indent="1"/>
    </xf>
    <xf numFmtId="0" fontId="4" fillId="3" borderId="9" xfId="0" applyFont="1" applyFill="1" applyBorder="1"/>
    <xf numFmtId="0" fontId="4" fillId="3" borderId="8" xfId="0" applyFont="1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0" xfId="0" applyFill="1"/>
    <xf numFmtId="0" fontId="0" fillId="7" borderId="5" xfId="0" applyFill="1" applyBorder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7" borderId="9" xfId="0" applyFill="1" applyBorder="1"/>
    <xf numFmtId="0" fontId="0" fillId="7" borderId="8" xfId="0" applyFill="1" applyBorder="1"/>
    <xf numFmtId="167" fontId="0" fillId="0" borderId="0" xfId="0" applyNumberFormat="1"/>
    <xf numFmtId="0" fontId="9" fillId="0" borderId="0" xfId="0" applyFont="1"/>
    <xf numFmtId="0" fontId="9" fillId="0" borderId="0" xfId="0" applyFont="1" applyAlignment="1">
      <alignment horizontal="center"/>
    </xf>
    <xf numFmtId="10" fontId="9" fillId="0" borderId="0" xfId="2" applyNumberFormat="1" applyFont="1" applyFill="1" applyAlignment="1">
      <alignment horizontal="left"/>
    </xf>
    <xf numFmtId="10" fontId="12" fillId="9" borderId="0" xfId="0" applyNumberFormat="1" applyFont="1" applyFill="1" applyAlignment="1">
      <alignment horizontal="center" vertical="center"/>
    </xf>
    <xf numFmtId="0" fontId="3" fillId="0" borderId="0" xfId="0" applyFont="1"/>
    <xf numFmtId="0" fontId="11" fillId="9" borderId="0" xfId="3" applyFont="1" applyFill="1" applyAlignment="1"/>
    <xf numFmtId="0" fontId="9" fillId="0" borderId="0" xfId="0" applyFont="1" applyAlignment="1">
      <alignment horizontal="center" vertical="center" wrapText="1"/>
    </xf>
    <xf numFmtId="0" fontId="11" fillId="9" borderId="0" xfId="4" applyFill="1"/>
    <xf numFmtId="0" fontId="11" fillId="0" borderId="0" xfId="3" applyFont="1" applyFill="1" applyAlignment="1"/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166" fontId="8" fillId="0" borderId="0" xfId="1" applyBorder="1" applyProtection="1"/>
    <xf numFmtId="0" fontId="4" fillId="0" borderId="0" xfId="0" applyFont="1"/>
    <xf numFmtId="3" fontId="0" fillId="0" borderId="0" xfId="0" applyNumberFormat="1" applyAlignment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  <xf numFmtId="166" fontId="8" fillId="4" borderId="10" xfId="1" applyFill="1" applyBorder="1" applyAlignment="1" applyProtection="1">
      <alignment horizontal="center" vertical="center"/>
    </xf>
    <xf numFmtId="0" fontId="4" fillId="5" borderId="10" xfId="0" applyFont="1" applyFill="1" applyBorder="1" applyAlignment="1">
      <alignment horizontal="left" vertical="center" indent="1"/>
    </xf>
    <xf numFmtId="0" fontId="0" fillId="5" borderId="10" xfId="0" applyFill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166" fontId="8" fillId="5" borderId="10" xfId="1" applyFill="1" applyBorder="1" applyAlignment="1" applyProtection="1">
      <alignment horizontal="center" vertical="center"/>
    </xf>
    <xf numFmtId="0" fontId="4" fillId="5" borderId="10" xfId="0" applyFont="1" applyFill="1" applyBorder="1" applyAlignment="1">
      <alignment vertical="center"/>
    </xf>
    <xf numFmtId="0" fontId="0" fillId="5" borderId="10" xfId="0" applyFill="1" applyBorder="1" applyAlignment="1">
      <alignment horizontal="center" vertical="center"/>
    </xf>
    <xf numFmtId="0" fontId="4" fillId="7" borderId="10" xfId="0" applyFont="1" applyFill="1" applyBorder="1" applyAlignment="1">
      <alignment horizontal="left" indent="1"/>
    </xf>
    <xf numFmtId="0" fontId="0" fillId="7" borderId="10" xfId="0" applyFill="1" applyBorder="1"/>
    <xf numFmtId="0" fontId="0" fillId="7" borderId="10" xfId="0" applyFill="1" applyBorder="1" applyAlignment="1">
      <alignment horizontal="left" indent="1"/>
    </xf>
    <xf numFmtId="0" fontId="4" fillId="7" borderId="10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166" fontId="8" fillId="7" borderId="10" xfId="1" applyFill="1" applyBorder="1" applyProtection="1"/>
    <xf numFmtId="0" fontId="4" fillId="7" borderId="10" xfId="0" applyFont="1" applyFill="1" applyBorder="1"/>
    <xf numFmtId="3" fontId="0" fillId="7" borderId="10" xfId="0" applyNumberFormat="1" applyFill="1" applyBorder="1" applyAlignment="1">
      <alignment horizontal="center" vertical="center"/>
    </xf>
    <xf numFmtId="0" fontId="15" fillId="11" borderId="10" xfId="0" applyFont="1" applyFill="1" applyBorder="1" applyAlignment="1">
      <alignment horizontal="center"/>
    </xf>
    <xf numFmtId="0" fontId="0" fillId="8" borderId="24" xfId="0" applyFill="1" applyBorder="1"/>
    <xf numFmtId="9" fontId="15" fillId="8" borderId="19" xfId="0" applyNumberFormat="1" applyFont="1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1" xfId="0" applyFill="1" applyBorder="1"/>
    <xf numFmtId="9" fontId="15" fillId="8" borderId="22" xfId="0" applyNumberFormat="1" applyFont="1" applyFill="1" applyBorder="1" applyAlignment="1">
      <alignment horizontal="center"/>
    </xf>
    <xf numFmtId="9" fontId="0" fillId="8" borderId="21" xfId="0" applyNumberFormat="1" applyFill="1" applyBorder="1"/>
    <xf numFmtId="0" fontId="0" fillId="8" borderId="22" xfId="0" applyFill="1" applyBorder="1"/>
    <xf numFmtId="0" fontId="0" fillId="8" borderId="26" xfId="0" applyFill="1" applyBorder="1" applyAlignment="1">
      <alignment horizontal="center"/>
    </xf>
    <xf numFmtId="0" fontId="0" fillId="8" borderId="16" xfId="0" applyFill="1" applyBorder="1"/>
    <xf numFmtId="9" fontId="0" fillId="8" borderId="16" xfId="0" applyNumberFormat="1" applyFill="1" applyBorder="1" applyAlignment="1">
      <alignment wrapText="1"/>
    </xf>
    <xf numFmtId="0" fontId="0" fillId="8" borderId="18" xfId="0" applyFill="1" applyBorder="1" applyAlignment="1">
      <alignment wrapText="1"/>
    </xf>
    <xf numFmtId="0" fontId="5" fillId="14" borderId="14" xfId="0" applyFont="1" applyFill="1" applyBorder="1"/>
    <xf numFmtId="167" fontId="5" fillId="14" borderId="15" xfId="0" applyNumberFormat="1" applyFont="1" applyFill="1" applyBorder="1"/>
    <xf numFmtId="167" fontId="5" fillId="14" borderId="19" xfId="0" applyNumberFormat="1" applyFont="1" applyFill="1" applyBorder="1"/>
    <xf numFmtId="0" fontId="5" fillId="14" borderId="25" xfId="0" applyFont="1" applyFill="1" applyBorder="1"/>
    <xf numFmtId="167" fontId="5" fillId="14" borderId="23" xfId="0" applyNumberFormat="1" applyFont="1" applyFill="1" applyBorder="1"/>
    <xf numFmtId="167" fontId="5" fillId="14" borderId="22" xfId="0" applyNumberFormat="1" applyFont="1" applyFill="1" applyBorder="1"/>
    <xf numFmtId="0" fontId="16" fillId="13" borderId="34" xfId="0" applyFont="1" applyFill="1" applyBorder="1" applyAlignment="1">
      <alignment horizontal="center" vertical="center"/>
    </xf>
    <xf numFmtId="0" fontId="16" fillId="13" borderId="8" xfId="0" applyFont="1" applyFill="1" applyBorder="1" applyAlignment="1">
      <alignment horizontal="center" vertical="center"/>
    </xf>
    <xf numFmtId="0" fontId="16" fillId="13" borderId="18" xfId="0" applyFont="1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15" fillId="15" borderId="20" xfId="0" applyFont="1" applyFill="1" applyBorder="1" applyAlignment="1">
      <alignment horizontal="center" vertical="center"/>
    </xf>
    <xf numFmtId="0" fontId="15" fillId="15" borderId="21" xfId="0" applyFont="1" applyFill="1" applyBorder="1" applyAlignment="1">
      <alignment horizontal="center" vertical="center"/>
    </xf>
    <xf numFmtId="0" fontId="15" fillId="15" borderId="22" xfId="0" applyFont="1" applyFill="1" applyBorder="1" applyAlignment="1">
      <alignment horizontal="center" vertical="center"/>
    </xf>
    <xf numFmtId="0" fontId="0" fillId="5" borderId="30" xfId="0" applyFill="1" applyBorder="1" applyAlignment="1">
      <alignment vertical="center"/>
    </xf>
    <xf numFmtId="0" fontId="4" fillId="5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left" vertical="center" indent="8"/>
    </xf>
    <xf numFmtId="166" fontId="8" fillId="5" borderId="19" xfId="1" applyFill="1" applyBorder="1" applyAlignment="1" applyProtection="1">
      <alignment horizontal="center" vertical="center"/>
    </xf>
    <xf numFmtId="0" fontId="4" fillId="5" borderId="20" xfId="0" applyFont="1" applyFill="1" applyBorder="1" applyAlignment="1">
      <alignment horizontal="left" vertical="center" indent="8"/>
    </xf>
    <xf numFmtId="166" fontId="8" fillId="5" borderId="21" xfId="1" applyFill="1" applyBorder="1" applyAlignment="1" applyProtection="1">
      <alignment horizontal="center" vertical="center"/>
    </xf>
    <xf numFmtId="166" fontId="8" fillId="5" borderId="22" xfId="1" applyFill="1" applyBorder="1" applyAlignment="1" applyProtection="1">
      <alignment horizontal="center" vertical="center"/>
    </xf>
    <xf numFmtId="0" fontId="17" fillId="16" borderId="13" xfId="0" applyFont="1" applyFill="1" applyBorder="1"/>
    <xf numFmtId="0" fontId="9" fillId="9" borderId="13" xfId="0" applyFont="1" applyFill="1" applyBorder="1"/>
    <xf numFmtId="0" fontId="9" fillId="9" borderId="28" xfId="0" applyFont="1" applyFill="1" applyBorder="1"/>
    <xf numFmtId="0" fontId="9" fillId="9" borderId="27" xfId="0" applyFont="1" applyFill="1" applyBorder="1"/>
    <xf numFmtId="3" fontId="13" fillId="9" borderId="0" xfId="0" applyNumberFormat="1" applyFont="1" applyFill="1" applyAlignment="1">
      <alignment horizontal="center"/>
    </xf>
    <xf numFmtId="3" fontId="14" fillId="9" borderId="0" xfId="0" applyNumberFormat="1" applyFont="1" applyFill="1" applyAlignment="1">
      <alignment horizontal="center"/>
    </xf>
    <xf numFmtId="3" fontId="9" fillId="9" borderId="28" xfId="0" applyNumberFormat="1" applyFont="1" applyFill="1" applyBorder="1" applyAlignment="1">
      <alignment horizontal="center"/>
    </xf>
    <xf numFmtId="166" fontId="15" fillId="9" borderId="27" xfId="1" applyFont="1" applyFill="1" applyBorder="1"/>
    <xf numFmtId="0" fontId="15" fillId="0" borderId="0" xfId="0" applyFont="1"/>
    <xf numFmtId="165" fontId="15" fillId="0" borderId="0" xfId="0" applyNumberFormat="1" applyFont="1"/>
    <xf numFmtId="9" fontId="15" fillId="0" borderId="0" xfId="2" applyFont="1" applyFill="1" applyBorder="1" applyAlignment="1">
      <alignment horizontal="center"/>
    </xf>
    <xf numFmtId="0" fontId="15" fillId="4" borderId="17" xfId="0" applyFont="1" applyFill="1" applyBorder="1" applyAlignment="1">
      <alignment horizontal="center"/>
    </xf>
    <xf numFmtId="0" fontId="15" fillId="4" borderId="1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/>
    </xf>
    <xf numFmtId="166" fontId="8" fillId="4" borderId="19" xfId="1" applyFill="1" applyBorder="1" applyAlignment="1" applyProtection="1">
      <alignment horizontal="center" vertical="center"/>
    </xf>
    <xf numFmtId="0" fontId="0" fillId="4" borderId="20" xfId="0" applyFill="1" applyBorder="1" applyAlignment="1">
      <alignment horizontal="center" vertical="center"/>
    </xf>
    <xf numFmtId="166" fontId="8" fillId="4" borderId="21" xfId="1" applyFill="1" applyBorder="1" applyAlignment="1" applyProtection="1">
      <alignment horizontal="center" vertical="center"/>
    </xf>
    <xf numFmtId="166" fontId="8" fillId="4" borderId="22" xfId="1" applyFill="1" applyBorder="1" applyAlignment="1" applyProtection="1">
      <alignment horizontal="center" vertical="center"/>
    </xf>
    <xf numFmtId="0" fontId="2" fillId="0" borderId="0" xfId="0" applyFont="1"/>
    <xf numFmtId="3" fontId="0" fillId="0" borderId="0" xfId="0" applyNumberFormat="1"/>
    <xf numFmtId="164" fontId="0" fillId="0" borderId="0" xfId="0" applyNumberFormat="1"/>
    <xf numFmtId="0" fontId="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0" fontId="15" fillId="0" borderId="0" xfId="0" applyNumberFormat="1" applyFont="1" applyAlignment="1">
      <alignment horizontal="center"/>
    </xf>
    <xf numFmtId="9" fontId="0" fillId="0" borderId="0" xfId="2" applyFont="1" applyFill="1" applyBorder="1" applyAlignment="1">
      <alignment horizontal="center"/>
    </xf>
    <xf numFmtId="168" fontId="0" fillId="0" borderId="0" xfId="0" applyNumberFormat="1"/>
    <xf numFmtId="0" fontId="4" fillId="2" borderId="40" xfId="0" applyFont="1" applyFill="1" applyBorder="1" applyAlignment="1">
      <alignment horizontal="center"/>
    </xf>
    <xf numFmtId="0" fontId="4" fillId="2" borderId="41" xfId="0" applyFont="1" applyFill="1" applyBorder="1" applyAlignment="1">
      <alignment horizontal="center" vertical="center"/>
    </xf>
    <xf numFmtId="0" fontId="0" fillId="2" borderId="42" xfId="0" applyFill="1" applyBorder="1" applyAlignment="1">
      <alignment horizontal="left" vertical="center" indent="1"/>
    </xf>
    <xf numFmtId="165" fontId="0" fillId="2" borderId="43" xfId="0" applyNumberFormat="1" applyFill="1" applyBorder="1" applyAlignment="1">
      <alignment horizontal="left" vertical="center"/>
    </xf>
    <xf numFmtId="0" fontId="0" fillId="2" borderId="44" xfId="0" applyFill="1" applyBorder="1" applyAlignment="1">
      <alignment horizontal="left" vertical="center" indent="1"/>
    </xf>
    <xf numFmtId="165" fontId="0" fillId="2" borderId="45" xfId="0" applyNumberFormat="1" applyFill="1" applyBorder="1" applyAlignment="1">
      <alignment horizontal="left" vertical="center"/>
    </xf>
    <xf numFmtId="0" fontId="0" fillId="2" borderId="46" xfId="0" applyFill="1" applyBorder="1" applyAlignment="1">
      <alignment horizontal="left" vertical="center" indent="1"/>
    </xf>
    <xf numFmtId="165" fontId="0" fillId="2" borderId="47" xfId="0" applyNumberFormat="1" applyFill="1" applyBorder="1" applyAlignment="1">
      <alignment horizontal="left" vertical="center"/>
    </xf>
    <xf numFmtId="0" fontId="15" fillId="9" borderId="48" xfId="0" applyFont="1" applyFill="1" applyBorder="1"/>
    <xf numFmtId="165" fontId="15" fillId="9" borderId="49" xfId="0" applyNumberFormat="1" applyFont="1" applyFill="1" applyBorder="1"/>
    <xf numFmtId="0" fontId="18" fillId="0" borderId="0" xfId="0" applyFont="1"/>
    <xf numFmtId="0" fontId="18" fillId="0" borderId="29" xfId="0" applyFont="1" applyBorder="1"/>
    <xf numFmtId="0" fontId="18" fillId="0" borderId="0" xfId="0" applyFont="1" applyAlignment="1">
      <alignment horizontal="center"/>
    </xf>
    <xf numFmtId="1" fontId="0" fillId="0" borderId="0" xfId="0" applyNumberFormat="1"/>
    <xf numFmtId="3" fontId="2" fillId="9" borderId="0" xfId="2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166" fontId="2" fillId="0" borderId="0" xfId="1" applyFont="1"/>
    <xf numFmtId="0" fontId="2" fillId="0" borderId="0" xfId="0" applyFont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29" xfId="0" applyFont="1" applyBorder="1"/>
    <xf numFmtId="10" fontId="2" fillId="9" borderId="0" xfId="2" applyNumberFormat="1" applyFont="1" applyFill="1" applyBorder="1"/>
    <xf numFmtId="1" fontId="2" fillId="0" borderId="0" xfId="0" applyNumberFormat="1" applyFont="1"/>
    <xf numFmtId="3" fontId="2" fillId="9" borderId="0" xfId="0" applyNumberFormat="1" applyFont="1" applyFill="1" applyAlignment="1">
      <alignment horizontal="center"/>
    </xf>
    <xf numFmtId="10" fontId="2" fillId="9" borderId="0" xfId="0" applyNumberFormat="1" applyFont="1" applyFill="1"/>
    <xf numFmtId="3" fontId="2" fillId="0" borderId="0" xfId="0" applyNumberFormat="1" applyFont="1" applyAlignment="1">
      <alignment horizontal="center"/>
    </xf>
    <xf numFmtId="9" fontId="2" fillId="0" borderId="0" xfId="2" applyFont="1"/>
    <xf numFmtId="0" fontId="2" fillId="10" borderId="0" xfId="0" applyFont="1" applyFill="1"/>
    <xf numFmtId="0" fontId="2" fillId="10" borderId="35" xfId="0" applyFont="1" applyFill="1" applyBorder="1"/>
    <xf numFmtId="4" fontId="2" fillId="9" borderId="0" xfId="0" applyNumberFormat="1" applyFont="1" applyFill="1" applyAlignment="1">
      <alignment horizontal="center"/>
    </xf>
    <xf numFmtId="169" fontId="2" fillId="0" borderId="0" xfId="0" applyNumberFormat="1" applyFont="1"/>
    <xf numFmtId="9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9" borderId="0" xfId="0" applyFont="1" applyFill="1" applyAlignment="1">
      <alignment horizontal="center"/>
    </xf>
    <xf numFmtId="166" fontId="8" fillId="0" borderId="0" xfId="1" applyBorder="1" applyAlignment="1" applyProtection="1">
      <alignment horizontal="center" vertical="center"/>
    </xf>
    <xf numFmtId="0" fontId="4" fillId="0" borderId="0" xfId="0" applyFont="1" applyAlignment="1">
      <alignment horizontal="left" vertical="center" indent="8"/>
    </xf>
    <xf numFmtId="43" fontId="0" fillId="0" borderId="0" xfId="0" applyNumberFormat="1"/>
    <xf numFmtId="166" fontId="0" fillId="0" borderId="0" xfId="0" applyNumberFormat="1"/>
    <xf numFmtId="0" fontId="9" fillId="0" borderId="0" xfId="0" applyFont="1" applyAlignment="1">
      <alignment horizontal="left"/>
    </xf>
    <xf numFmtId="10" fontId="2" fillId="9" borderId="0" xfId="0" applyNumberFormat="1" applyFont="1" applyFill="1" applyAlignment="1">
      <alignment horizontal="center"/>
    </xf>
    <xf numFmtId="0" fontId="4" fillId="6" borderId="10" xfId="0" applyFont="1" applyFill="1" applyBorder="1" applyAlignment="1">
      <alignment horizontal="center" vertical="center"/>
    </xf>
    <xf numFmtId="168" fontId="8" fillId="6" borderId="10" xfId="1" applyNumberFormat="1" applyFill="1" applyBorder="1" applyProtection="1"/>
    <xf numFmtId="168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1" fillId="0" borderId="0" xfId="2" applyNumberFormat="1" applyFont="1"/>
    <xf numFmtId="1" fontId="1" fillId="0" borderId="0" xfId="0" applyNumberFormat="1" applyFont="1"/>
    <xf numFmtId="168" fontId="9" fillId="0" borderId="0" xfId="0" applyNumberFormat="1" applyFont="1" applyAlignment="1">
      <alignment horizontal="center" vertical="center"/>
    </xf>
    <xf numFmtId="4" fontId="0" fillId="0" borderId="0" xfId="0" applyNumberFormat="1"/>
    <xf numFmtId="168" fontId="15" fillId="0" borderId="0" xfId="0" applyNumberFormat="1" applyFont="1" applyAlignment="1">
      <alignment horizontal="center" vertical="center" wrapText="1"/>
    </xf>
    <xf numFmtId="168" fontId="19" fillId="19" borderId="13" xfId="0" applyNumberFormat="1" applyFont="1" applyFill="1" applyBorder="1" applyAlignment="1">
      <alignment horizontal="center" vertical="center"/>
    </xf>
    <xf numFmtId="168" fontId="15" fillId="18" borderId="51" xfId="0" applyNumberFormat="1" applyFont="1" applyFill="1" applyBorder="1" applyAlignment="1">
      <alignment horizontal="center" vertical="center"/>
    </xf>
    <xf numFmtId="168" fontId="9" fillId="18" borderId="34" xfId="0" applyNumberFormat="1" applyFont="1" applyFill="1" applyBorder="1" applyAlignment="1">
      <alignment horizontal="center" vertical="center"/>
    </xf>
    <xf numFmtId="168" fontId="9" fillId="18" borderId="14" xfId="0" applyNumberFormat="1" applyFont="1" applyFill="1" applyBorder="1" applyAlignment="1">
      <alignment horizontal="center" vertical="center"/>
    </xf>
    <xf numFmtId="168" fontId="9" fillId="18" borderId="25" xfId="0" applyNumberFormat="1" applyFont="1" applyFill="1" applyBorder="1" applyAlignment="1">
      <alignment horizontal="center" vertical="center"/>
    </xf>
    <xf numFmtId="0" fontId="9" fillId="9" borderId="11" xfId="0" applyFont="1" applyFill="1" applyBorder="1" applyAlignment="1">
      <alignment horizontal="center"/>
    </xf>
    <xf numFmtId="0" fontId="9" fillId="9" borderId="33" xfId="0" applyFont="1" applyFill="1" applyBorder="1" applyAlignment="1">
      <alignment horizontal="center"/>
    </xf>
    <xf numFmtId="0" fontId="9" fillId="9" borderId="12" xfId="0" applyFont="1" applyFill="1" applyBorder="1" applyAlignment="1">
      <alignment horizontal="center"/>
    </xf>
    <xf numFmtId="168" fontId="9" fillId="20" borderId="8" xfId="0" applyNumberFormat="1" applyFont="1" applyFill="1" applyBorder="1" applyAlignment="1">
      <alignment horizontal="center" vertical="center"/>
    </xf>
    <xf numFmtId="168" fontId="9" fillId="20" borderId="16" xfId="0" applyNumberFormat="1" applyFont="1" applyFill="1" applyBorder="1" applyAlignment="1">
      <alignment horizontal="center" vertical="center"/>
    </xf>
    <xf numFmtId="168" fontId="9" fillId="20" borderId="18" xfId="0" applyNumberFormat="1" applyFont="1" applyFill="1" applyBorder="1" applyAlignment="1">
      <alignment horizontal="center" vertical="center"/>
    </xf>
    <xf numFmtId="168" fontId="9" fillId="20" borderId="15" xfId="0" applyNumberFormat="1" applyFont="1" applyFill="1" applyBorder="1" applyAlignment="1">
      <alignment horizontal="center" vertical="center"/>
    </xf>
    <xf numFmtId="168" fontId="9" fillId="20" borderId="10" xfId="0" applyNumberFormat="1" applyFont="1" applyFill="1" applyBorder="1" applyAlignment="1">
      <alignment horizontal="center" vertical="center"/>
    </xf>
    <xf numFmtId="168" fontId="9" fillId="20" borderId="19" xfId="0" applyNumberFormat="1" applyFont="1" applyFill="1" applyBorder="1" applyAlignment="1">
      <alignment horizontal="center" vertical="center"/>
    </xf>
    <xf numFmtId="168" fontId="9" fillId="20" borderId="23" xfId="0" applyNumberFormat="1" applyFont="1" applyFill="1" applyBorder="1" applyAlignment="1">
      <alignment horizontal="center" vertical="center"/>
    </xf>
    <xf numFmtId="168" fontId="9" fillId="20" borderId="21" xfId="0" applyNumberFormat="1" applyFont="1" applyFill="1" applyBorder="1" applyAlignment="1">
      <alignment horizontal="center" vertical="center"/>
    </xf>
    <xf numFmtId="168" fontId="9" fillId="20" borderId="22" xfId="0" applyNumberFormat="1" applyFont="1" applyFill="1" applyBorder="1" applyAlignment="1">
      <alignment horizontal="center" vertical="center"/>
    </xf>
    <xf numFmtId="168" fontId="0" fillId="20" borderId="52" xfId="0" applyNumberFormat="1" applyFill="1" applyBorder="1" applyAlignment="1">
      <alignment horizontal="center" vertical="center"/>
    </xf>
    <xf numFmtId="168" fontId="9" fillId="17" borderId="53" xfId="0" applyNumberFormat="1" applyFont="1" applyFill="1" applyBorder="1" applyAlignment="1">
      <alignment horizontal="center" vertical="center"/>
    </xf>
    <xf numFmtId="168" fontId="15" fillId="17" borderId="54" xfId="0" applyNumberFormat="1" applyFont="1" applyFill="1" applyBorder="1" applyAlignment="1">
      <alignment horizontal="center" vertical="center"/>
    </xf>
    <xf numFmtId="168" fontId="9" fillId="17" borderId="55" xfId="0" applyNumberFormat="1" applyFont="1" applyFill="1" applyBorder="1" applyAlignment="1">
      <alignment horizontal="center" vertical="center"/>
    </xf>
    <xf numFmtId="168" fontId="15" fillId="17" borderId="56" xfId="0" applyNumberFormat="1" applyFont="1" applyFill="1" applyBorder="1" applyAlignment="1">
      <alignment horizontal="center" vertical="center"/>
    </xf>
    <xf numFmtId="0" fontId="9" fillId="9" borderId="57" xfId="0" applyFont="1" applyFill="1" applyBorder="1" applyAlignment="1">
      <alignment horizontal="center"/>
    </xf>
    <xf numFmtId="0" fontId="9" fillId="9" borderId="58" xfId="0" applyFont="1" applyFill="1" applyBorder="1" applyAlignment="1">
      <alignment horizontal="center"/>
    </xf>
    <xf numFmtId="0" fontId="9" fillId="9" borderId="59" xfId="0" applyFont="1" applyFill="1" applyBorder="1" applyAlignment="1">
      <alignment horizontal="center"/>
    </xf>
    <xf numFmtId="168" fontId="0" fillId="0" borderId="30" xfId="0" applyNumberFormat="1" applyBorder="1" applyAlignment="1">
      <alignment horizontal="center" vertical="center"/>
    </xf>
    <xf numFmtId="168" fontId="0" fillId="0" borderId="32" xfId="0" applyNumberFormat="1" applyBorder="1" applyAlignment="1">
      <alignment horizontal="center" vertical="center"/>
    </xf>
    <xf numFmtId="168" fontId="0" fillId="0" borderId="17" xfId="0" applyNumberFormat="1" applyBorder="1" applyAlignment="1">
      <alignment horizontal="center" vertical="center"/>
    </xf>
    <xf numFmtId="168" fontId="0" fillId="0" borderId="20" xfId="0" applyNumberFormat="1" applyBorder="1" applyAlignment="1">
      <alignment horizontal="center" vertical="center"/>
    </xf>
    <xf numFmtId="168" fontId="0" fillId="0" borderId="21" xfId="0" applyNumberFormat="1" applyBorder="1" applyAlignment="1">
      <alignment horizontal="center" vertical="center"/>
    </xf>
    <xf numFmtId="168" fontId="0" fillId="0" borderId="22" xfId="0" applyNumberFormat="1" applyBorder="1" applyAlignment="1">
      <alignment horizontal="center" vertical="center"/>
    </xf>
    <xf numFmtId="10" fontId="2" fillId="9" borderId="0" xfId="0" applyNumberFormat="1" applyFont="1" applyFill="1" applyAlignment="1">
      <alignment horizontal="center"/>
    </xf>
    <xf numFmtId="10" fontId="2" fillId="9" borderId="35" xfId="0" applyNumberFormat="1" applyFont="1" applyFill="1" applyBorder="1" applyAlignment="1">
      <alignment horizontal="center"/>
    </xf>
    <xf numFmtId="0" fontId="11" fillId="0" borderId="0" xfId="4" applyAlignment="1">
      <alignment horizontal="center"/>
    </xf>
    <xf numFmtId="10" fontId="2" fillId="9" borderId="0" xfId="2" applyNumberFormat="1" applyFont="1" applyFill="1" applyBorder="1" applyAlignment="1">
      <alignment horizontal="center"/>
    </xf>
    <xf numFmtId="10" fontId="2" fillId="9" borderId="35" xfId="2" applyNumberFormat="1" applyFont="1" applyFill="1" applyBorder="1" applyAlignment="1">
      <alignment horizontal="center"/>
    </xf>
    <xf numFmtId="0" fontId="9" fillId="9" borderId="13" xfId="0" applyFont="1" applyFill="1" applyBorder="1" applyAlignment="1">
      <alignment horizontal="center"/>
    </xf>
    <xf numFmtId="0" fontId="9" fillId="9" borderId="28" xfId="0" applyFont="1" applyFill="1" applyBorder="1" applyAlignment="1">
      <alignment horizontal="center"/>
    </xf>
    <xf numFmtId="0" fontId="9" fillId="9" borderId="27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11" fillId="9" borderId="0" xfId="3" applyFont="1" applyFill="1" applyAlignment="1">
      <alignment horizontal="left"/>
    </xf>
    <xf numFmtId="0" fontId="0" fillId="0" borderId="0" xfId="0" applyAlignment="1">
      <alignment horizontal="center" vertical="center" wrapText="1"/>
    </xf>
    <xf numFmtId="0" fontId="0" fillId="6" borderId="50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16" fillId="13" borderId="11" xfId="0" applyFont="1" applyFill="1" applyBorder="1" applyAlignment="1">
      <alignment horizontal="center"/>
    </xf>
    <xf numFmtId="0" fontId="16" fillId="13" borderId="33" xfId="0" applyFont="1" applyFill="1" applyBorder="1" applyAlignment="1">
      <alignment horizontal="center"/>
    </xf>
    <xf numFmtId="0" fontId="16" fillId="13" borderId="12" xfId="0" applyFont="1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2" borderId="27" xfId="0" applyFill="1" applyBorder="1" applyAlignment="1">
      <alignment horizontal="center"/>
    </xf>
    <xf numFmtId="0" fontId="15" fillId="12" borderId="13" xfId="0" applyFont="1" applyFill="1" applyBorder="1" applyAlignment="1">
      <alignment horizontal="center"/>
    </xf>
    <xf numFmtId="0" fontId="15" fillId="12" borderId="28" xfId="0" applyFont="1" applyFill="1" applyBorder="1" applyAlignment="1">
      <alignment horizontal="center"/>
    </xf>
    <xf numFmtId="0" fontId="15" fillId="12" borderId="27" xfId="0" applyFont="1" applyFill="1" applyBorder="1" applyAlignment="1">
      <alignment horizontal="center"/>
    </xf>
    <xf numFmtId="0" fontId="4" fillId="2" borderId="36" xfId="0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 wrapText="1"/>
    </xf>
    <xf numFmtId="0" fontId="4" fillId="2" borderId="39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wrapText="1" indent="1"/>
    </xf>
    <xf numFmtId="0" fontId="4" fillId="3" borderId="6" xfId="0" applyFont="1" applyFill="1" applyBorder="1" applyAlignment="1">
      <alignment horizontal="left" vertical="top" wrapText="1" indent="1"/>
    </xf>
    <xf numFmtId="0" fontId="4" fillId="4" borderId="30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15" fillId="15" borderId="30" xfId="0" applyFont="1" applyFill="1" applyBorder="1" applyAlignment="1">
      <alignment horizontal="center" vertical="center"/>
    </xf>
    <xf numFmtId="0" fontId="15" fillId="15" borderId="32" xfId="0" applyFont="1" applyFill="1" applyBorder="1" applyAlignment="1">
      <alignment horizontal="center" vertical="center"/>
    </xf>
    <xf numFmtId="0" fontId="15" fillId="15" borderId="31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/>
    </xf>
    <xf numFmtId="168" fontId="0" fillId="17" borderId="51" xfId="0" applyNumberFormat="1" applyFill="1" applyBorder="1" applyAlignment="1">
      <alignment horizontal="center" vertical="center"/>
    </xf>
  </cellXfs>
  <cellStyles count="5">
    <cellStyle name="Hiperlink" xfId="3" builtinId="8"/>
    <cellStyle name="Hyperlink" xfId="4" xr:uid="{00000000-0005-0000-0000-000001000000}"/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E699"/>
      <rgbColor rgb="FF99CCFF"/>
      <rgbColor rgb="FFF4B084"/>
      <rgbColor rgb="FFCC99FF"/>
      <rgbColor rgb="FFF8CBAD"/>
      <rgbColor rgb="FF3366FF"/>
      <rgbColor rgb="FF33CCCC"/>
      <rgbColor rgb="FF99CC00"/>
      <rgbColor rgb="FFFFD966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'FLUXO DE CAIXA'!$A$3:$B$3</c:f>
              <c:strCache>
                <c:ptCount val="2"/>
                <c:pt idx="0">
                  <c:v> Nordeste </c:v>
                </c:pt>
                <c:pt idx="1">
                  <c:v> CONTRATAÇÕES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'FLUXO DE CAIXA'!$C$2:$N$2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'FLUXO DE CAIXA'!$C$3:$N$3</c:f>
              <c:numCache>
                <c:formatCode>_-[$R$-416]\ * #,##0.00_-;\-[$R$-416]\ * #,##0.00_-;_-[$R$-416]\ * "-"??_-;_-@_-</c:formatCode>
                <c:ptCount val="12"/>
                <c:pt idx="0">
                  <c:v>2358000</c:v>
                </c:pt>
                <c:pt idx="1">
                  <c:v>2036000</c:v>
                </c:pt>
                <c:pt idx="2">
                  <c:v>2036000</c:v>
                </c:pt>
                <c:pt idx="3">
                  <c:v>2036000</c:v>
                </c:pt>
                <c:pt idx="4">
                  <c:v>3052000</c:v>
                </c:pt>
                <c:pt idx="5">
                  <c:v>3052000</c:v>
                </c:pt>
                <c:pt idx="6">
                  <c:v>2036000</c:v>
                </c:pt>
                <c:pt idx="7">
                  <c:v>2711000</c:v>
                </c:pt>
                <c:pt idx="8">
                  <c:v>2036000</c:v>
                </c:pt>
                <c:pt idx="9">
                  <c:v>3052000</c:v>
                </c:pt>
                <c:pt idx="10">
                  <c:v>4053000</c:v>
                </c:pt>
                <c:pt idx="11">
                  <c:v>5391000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4-4043-BF08-D08C867EBBEC}"/>
            </c:ext>
          </c:extLst>
        </c:ser>
        <c:ser>
          <c:idx val="1"/>
          <c:order val="1"/>
          <c:tx>
            <c:strRef>
              <c:f>'FLUXO DE CAIXA'!$A$4:$B$4</c:f>
              <c:strCache>
                <c:ptCount val="2"/>
                <c:pt idx="0">
                  <c:v> Nordeste </c:v>
                </c:pt>
                <c:pt idx="1">
                  <c:v> SALÁRIOS 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'FLUXO DE CAIXA'!$C$2:$N$2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'FLUXO DE CAIXA'!$C$4:$N$4</c:f>
              <c:numCache>
                <c:formatCode>_-[$R$-416]\ * #,##0.00_-;\-[$R$-416]\ * #,##0.00_-;_-[$R$-416]\ * "-"??_-;_-@_-</c:formatCode>
                <c:ptCount val="12"/>
                <c:pt idx="0">
                  <c:v>10560000</c:v>
                </c:pt>
                <c:pt idx="1">
                  <c:v>9119000</c:v>
                </c:pt>
                <c:pt idx="2">
                  <c:v>9119000</c:v>
                </c:pt>
                <c:pt idx="3">
                  <c:v>9119000</c:v>
                </c:pt>
                <c:pt idx="4">
                  <c:v>13671500</c:v>
                </c:pt>
                <c:pt idx="5">
                  <c:v>13671500</c:v>
                </c:pt>
                <c:pt idx="6">
                  <c:v>9119000</c:v>
                </c:pt>
                <c:pt idx="7">
                  <c:v>12148000</c:v>
                </c:pt>
                <c:pt idx="8">
                  <c:v>9119000</c:v>
                </c:pt>
                <c:pt idx="9">
                  <c:v>13671500</c:v>
                </c:pt>
                <c:pt idx="10">
                  <c:v>18155500</c:v>
                </c:pt>
                <c:pt idx="11">
                  <c:v>24149000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4-4043-BF08-D08C867EBBEC}"/>
            </c:ext>
          </c:extLst>
        </c:ser>
        <c:ser>
          <c:idx val="2"/>
          <c:order val="2"/>
          <c:tx>
            <c:strRef>
              <c:f>'FLUXO DE CAIXA'!$A$5:$B$5</c:f>
              <c:strCache>
                <c:ptCount val="2"/>
                <c:pt idx="0">
                  <c:v> Nordeste </c:v>
                </c:pt>
                <c:pt idx="1">
                  <c:v> TREINAMENTOS 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'FLUXO DE CAIXA'!$C$2:$N$2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'FLUXO DE CAIXA'!$C$5:$N$5</c:f>
              <c:numCache>
                <c:formatCode>_-[$R$-416]\ * #,##0.00_-;\-[$R$-416]\ * #,##0.00_-;_-[$R$-416]\ * "-"??_-;_-@_-</c:formatCode>
                <c:ptCount val="12"/>
                <c:pt idx="0">
                  <c:v>12600000</c:v>
                </c:pt>
                <c:pt idx="1">
                  <c:v>10880000</c:v>
                </c:pt>
                <c:pt idx="2">
                  <c:v>10880000</c:v>
                </c:pt>
                <c:pt idx="3">
                  <c:v>10880000</c:v>
                </c:pt>
                <c:pt idx="4">
                  <c:v>16310000</c:v>
                </c:pt>
                <c:pt idx="5">
                  <c:v>16310000</c:v>
                </c:pt>
                <c:pt idx="6">
                  <c:v>10880000</c:v>
                </c:pt>
                <c:pt idx="7">
                  <c:v>14490000</c:v>
                </c:pt>
                <c:pt idx="8">
                  <c:v>10880000</c:v>
                </c:pt>
                <c:pt idx="9">
                  <c:v>16310000</c:v>
                </c:pt>
                <c:pt idx="10">
                  <c:v>21660000</c:v>
                </c:pt>
                <c:pt idx="11">
                  <c:v>28810000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34-4043-BF08-D08C867EBBEC}"/>
            </c:ext>
          </c:extLst>
        </c:ser>
        <c:ser>
          <c:idx val="3"/>
          <c:order val="3"/>
          <c:tx>
            <c:strRef>
              <c:f>'FLUXO DE CAIXA'!$A$6:$B$6</c:f>
              <c:strCache>
                <c:ptCount val="2"/>
                <c:pt idx="0">
                  <c:v> Nordeste </c:v>
                </c:pt>
                <c:pt idx="1">
                  <c:v> ERB 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'FLUXO DE CAIXA'!$C$2:$N$2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'FLUXO DE CAIXA'!$C$6:$N$6</c:f>
              <c:numCache>
                <c:formatCode>_-[$R$-416]\ * #,##0.00_-;\-[$R$-416]\ * #,##0.00_-;_-[$R$-416]\ * "-"??_-;_-@_-</c:formatCode>
                <c:ptCount val="12"/>
                <c:pt idx="0">
                  <c:v>545104000</c:v>
                </c:pt>
                <c:pt idx="1">
                  <c:v>467232000</c:v>
                </c:pt>
                <c:pt idx="2">
                  <c:v>467232000</c:v>
                </c:pt>
                <c:pt idx="3">
                  <c:v>467232000</c:v>
                </c:pt>
                <c:pt idx="4">
                  <c:v>699592000</c:v>
                </c:pt>
                <c:pt idx="5">
                  <c:v>699592000</c:v>
                </c:pt>
                <c:pt idx="6">
                  <c:v>467232000</c:v>
                </c:pt>
                <c:pt idx="7">
                  <c:v>621720000</c:v>
                </c:pt>
                <c:pt idx="8">
                  <c:v>467232000</c:v>
                </c:pt>
                <c:pt idx="9">
                  <c:v>699592000</c:v>
                </c:pt>
                <c:pt idx="10">
                  <c:v>933208000</c:v>
                </c:pt>
                <c:pt idx="11">
                  <c:v>1243440000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34-4043-BF08-D08C867EBBEC}"/>
            </c:ext>
          </c:extLst>
        </c:ser>
        <c:ser>
          <c:idx val="4"/>
          <c:order val="4"/>
          <c:tx>
            <c:strRef>
              <c:f>'FLUXO DE CAIXA'!$A$7:$B$7</c:f>
              <c:strCache>
                <c:ptCount val="2"/>
                <c:pt idx="0">
                  <c:v> Nordeste </c:v>
                </c:pt>
                <c:pt idx="1">
                  <c:v> PA 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'FLUXO DE CAIXA'!$C$2:$N$2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'FLUXO DE CAIXA'!$C$7:$N$7</c:f>
              <c:numCache>
                <c:formatCode>_-[$R$-416]\ * #,##0.00_-;\-[$R$-416]\ * #,##0.00_-;_-[$R$-416]\ * "-"??_-;_-@_-</c:formatCode>
                <c:ptCount val="12"/>
                <c:pt idx="0">
                  <c:v>4200000</c:v>
                </c:pt>
                <c:pt idx="1">
                  <c:v>3600000</c:v>
                </c:pt>
                <c:pt idx="2">
                  <c:v>3600000</c:v>
                </c:pt>
                <c:pt idx="3">
                  <c:v>3600000</c:v>
                </c:pt>
                <c:pt idx="4">
                  <c:v>5400000</c:v>
                </c:pt>
                <c:pt idx="5">
                  <c:v>5400000</c:v>
                </c:pt>
                <c:pt idx="6">
                  <c:v>3600000</c:v>
                </c:pt>
                <c:pt idx="7">
                  <c:v>4800000</c:v>
                </c:pt>
                <c:pt idx="8">
                  <c:v>3600000</c:v>
                </c:pt>
                <c:pt idx="9">
                  <c:v>5400000</c:v>
                </c:pt>
                <c:pt idx="10">
                  <c:v>7200000</c:v>
                </c:pt>
                <c:pt idx="11">
                  <c:v>9600000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34-4043-BF08-D08C867EBBEC}"/>
            </c:ext>
          </c:extLst>
        </c:ser>
        <c:ser>
          <c:idx val="5"/>
          <c:order val="5"/>
          <c:tx>
            <c:strRef>
              <c:f>'FLUXO DE CAIXA'!$A$8:$B$8</c:f>
              <c:strCache>
                <c:ptCount val="2"/>
                <c:pt idx="0">
                  <c:v> Nordeste </c:v>
                </c:pt>
                <c:pt idx="1">
                  <c:v> FRANQUIAS 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'FLUXO DE CAIXA'!$C$2:$N$2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'FLUXO DE CAIXA'!$C$8:$N$8</c:f>
              <c:numCache>
                <c:formatCode>_-[$R$-416]\ * #,##0.00_-;\-[$R$-416]\ * #,##0.00_-;_-[$R$-416]\ * "-"??_-;_-@_-</c:formatCode>
                <c:ptCount val="12"/>
                <c:pt idx="0">
                  <c:v>100000000</c:v>
                </c:pt>
                <c:pt idx="1">
                  <c:v>100000000</c:v>
                </c:pt>
                <c:pt idx="2">
                  <c:v>100000000</c:v>
                </c:pt>
                <c:pt idx="3">
                  <c:v>100000000</c:v>
                </c:pt>
                <c:pt idx="4">
                  <c:v>100000000</c:v>
                </c:pt>
                <c:pt idx="5">
                  <c:v>100000000</c:v>
                </c:pt>
                <c:pt idx="6">
                  <c:v>100000000</c:v>
                </c:pt>
                <c:pt idx="7">
                  <c:v>100000000</c:v>
                </c:pt>
                <c:pt idx="8">
                  <c:v>100000000</c:v>
                </c:pt>
                <c:pt idx="9">
                  <c:v>100000000</c:v>
                </c:pt>
                <c:pt idx="10">
                  <c:v>100000000</c:v>
                </c:pt>
                <c:pt idx="11">
                  <c:v>100000000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34-4043-BF08-D08C867EBBEC}"/>
            </c:ext>
          </c:extLst>
        </c:ser>
        <c:ser>
          <c:idx val="6"/>
          <c:order val="6"/>
          <c:tx>
            <c:strRef>
              <c:f>'FLUXO DE CAIXA'!$A$9:$B$9</c:f>
              <c:strCache>
                <c:ptCount val="2"/>
                <c:pt idx="0">
                  <c:v> Nordeste </c:v>
                </c:pt>
                <c:pt idx="1">
                  <c:v> ARMAZÉM (ALUGUEL) 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'FLUXO DE CAIXA'!$C$2:$N$2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'FLUXO DE CAIXA'!$C$9:$N$9</c:f>
              <c:numCache>
                <c:formatCode>_-[$R$-416]\ * #,##0.00_-;\-[$R$-416]\ * #,##0.00_-;_-[$R$-416]\ * "-"??_-;_-@_-</c:formatCode>
                <c:ptCount val="12"/>
                <c:pt idx="0">
                  <c:v>3150000</c:v>
                </c:pt>
                <c:pt idx="1">
                  <c:v>3150000</c:v>
                </c:pt>
                <c:pt idx="2">
                  <c:v>3150000</c:v>
                </c:pt>
                <c:pt idx="3">
                  <c:v>3150000</c:v>
                </c:pt>
                <c:pt idx="4">
                  <c:v>4200000</c:v>
                </c:pt>
                <c:pt idx="5">
                  <c:v>4200000</c:v>
                </c:pt>
                <c:pt idx="6">
                  <c:v>3150000</c:v>
                </c:pt>
                <c:pt idx="7">
                  <c:v>4200000</c:v>
                </c:pt>
                <c:pt idx="8">
                  <c:v>3150000</c:v>
                </c:pt>
                <c:pt idx="9">
                  <c:v>4200000</c:v>
                </c:pt>
                <c:pt idx="10">
                  <c:v>6300000</c:v>
                </c:pt>
                <c:pt idx="11">
                  <c:v>7350000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34-4043-BF08-D08C867EBBEC}"/>
            </c:ext>
          </c:extLst>
        </c:ser>
        <c:ser>
          <c:idx val="7"/>
          <c:order val="7"/>
          <c:tx>
            <c:strRef>
              <c:f>'FLUXO DE CAIXA'!$A$10:$B$10</c:f>
              <c:strCache>
                <c:ptCount val="2"/>
                <c:pt idx="0">
                  <c:v> Nordeste </c:v>
                </c:pt>
                <c:pt idx="1">
                  <c:v> ARMAZÉM (MANUTENÇAO) 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'FLUXO DE CAIXA'!$C$2:$N$2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'FLUXO DE CAIXA'!$C$10:$N$10</c:f>
              <c:numCache>
                <c:formatCode>_-[$R$-416]\ * #,##0.00_-;\-[$R$-416]\ * #,##0.00_-;_-[$R$-416]\ * "-"??_-;_-@_-</c:formatCode>
                <c:ptCount val="12"/>
                <c:pt idx="0">
                  <c:v>200812</c:v>
                </c:pt>
                <c:pt idx="1">
                  <c:v>200812</c:v>
                </c:pt>
                <c:pt idx="2">
                  <c:v>200812</c:v>
                </c:pt>
                <c:pt idx="3">
                  <c:v>200812</c:v>
                </c:pt>
                <c:pt idx="4">
                  <c:v>311220</c:v>
                </c:pt>
                <c:pt idx="5">
                  <c:v>311220</c:v>
                </c:pt>
                <c:pt idx="6">
                  <c:v>200812</c:v>
                </c:pt>
                <c:pt idx="7">
                  <c:v>311220</c:v>
                </c:pt>
                <c:pt idx="8">
                  <c:v>200812</c:v>
                </c:pt>
                <c:pt idx="9">
                  <c:v>311220</c:v>
                </c:pt>
                <c:pt idx="10">
                  <c:v>517954</c:v>
                </c:pt>
                <c:pt idx="11">
                  <c:v>637245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34-4043-BF08-D08C867EBBEC}"/>
            </c:ext>
          </c:extLst>
        </c:ser>
        <c:ser>
          <c:idx val="8"/>
          <c:order val="8"/>
          <c:tx>
            <c:strRef>
              <c:f>'FLUXO DE CAIXA'!$A$11:$B$11</c:f>
              <c:strCache>
                <c:ptCount val="2"/>
                <c:pt idx="0">
                  <c:v> Nordeste </c:v>
                </c:pt>
                <c:pt idx="1">
                  <c:v> IMPOSTOS 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'FLUXO DE CAIXA'!$C$2:$N$2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'FLUXO DE CAIXA'!$C$11:$N$11</c:f>
              <c:numCache>
                <c:formatCode>_-[$R$-416]\ * #,##0.00_-;\-[$R$-416]\ * #,##0.00_-;_-[$R$-416]\ * "-"??_-;_-@_-</c:formatCode>
                <c:ptCount val="12"/>
                <c:pt idx="0">
                  <c:v>243115021.73778874</c:v>
                </c:pt>
                <c:pt idx="1">
                  <c:v>208384304.34667602</c:v>
                </c:pt>
                <c:pt idx="2">
                  <c:v>208384304.34667602</c:v>
                </c:pt>
                <c:pt idx="3">
                  <c:v>208384304.34667602</c:v>
                </c:pt>
                <c:pt idx="4">
                  <c:v>312576456.52001405</c:v>
                </c:pt>
                <c:pt idx="5">
                  <c:v>312576456.52001405</c:v>
                </c:pt>
                <c:pt idx="6">
                  <c:v>208384304.34667602</c:v>
                </c:pt>
                <c:pt idx="7">
                  <c:v>277845739.1289013</c:v>
                </c:pt>
                <c:pt idx="8">
                  <c:v>208384304.34667602</c:v>
                </c:pt>
                <c:pt idx="9">
                  <c:v>312576456.52001405</c:v>
                </c:pt>
                <c:pt idx="10">
                  <c:v>416768608.69335204</c:v>
                </c:pt>
                <c:pt idx="11">
                  <c:v>555691478.25780261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34-4043-BF08-D08C867EBBEC}"/>
            </c:ext>
          </c:extLst>
        </c:ser>
        <c:ser>
          <c:idx val="9"/>
          <c:order val="9"/>
          <c:tx>
            <c:strRef>
              <c:f>'FLUXO DE CAIXA'!$A$12:$B$12</c:f>
              <c:strCache>
                <c:ptCount val="2"/>
                <c:pt idx="0">
                  <c:v> Nordeste </c:v>
                </c:pt>
                <c:pt idx="1">
                  <c:v> COMPRAS DE PRODUTOS 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'FLUXO DE CAIXA'!$C$2:$N$2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'FLUXO DE CAIXA'!$C$12:$N$12</c:f>
              <c:numCache>
                <c:formatCode>_-[$R$-416]\ * #,##0.00_-;\-[$R$-416]\ * #,##0.00_-;_-[$R$-416]\ * "-"??_-;_-@_-</c:formatCode>
                <c:ptCount val="12"/>
                <c:pt idx="0">
                  <c:v>738684286.65841341</c:v>
                </c:pt>
                <c:pt idx="1">
                  <c:v>633157959.99292564</c:v>
                </c:pt>
                <c:pt idx="2">
                  <c:v>633157959.99292564</c:v>
                </c:pt>
                <c:pt idx="3">
                  <c:v>633157959.99292564</c:v>
                </c:pt>
                <c:pt idx="4">
                  <c:v>949736939.98938835</c:v>
                </c:pt>
                <c:pt idx="5">
                  <c:v>949736939.98938835</c:v>
                </c:pt>
                <c:pt idx="6">
                  <c:v>633157959.99292564</c:v>
                </c:pt>
                <c:pt idx="7">
                  <c:v>844210613.3239007</c:v>
                </c:pt>
                <c:pt idx="8">
                  <c:v>633157959.99292564</c:v>
                </c:pt>
                <c:pt idx="9">
                  <c:v>949736939.98938835</c:v>
                </c:pt>
                <c:pt idx="10">
                  <c:v>1266315919.9858513</c:v>
                </c:pt>
                <c:pt idx="11">
                  <c:v>1688421226.6478014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34-4043-BF08-D08C867EBBE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12100784"/>
        <c:axId val="812095024"/>
      </c:barChart>
      <c:catAx>
        <c:axId val="81210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2095024"/>
        <c:crosses val="autoZero"/>
        <c:auto val="1"/>
        <c:lblAlgn val="ctr"/>
        <c:lblOffset val="100"/>
        <c:noMultiLvlLbl val="0"/>
      </c:catAx>
      <c:valAx>
        <c:axId val="812095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81210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369F3B-32EB-47CD-9CC1-2AF196BC993F}">
  <sheetPr/>
  <sheetViews>
    <sheetView zoomScale="9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0137" cy="600807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1E8DCC-E790-68AE-E20F-47495E122B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google.com/search?q=qual+celular+que+o+brasil+importa+mais+barato&amp;sca_esv=ef2b8d4842bb75f7&amp;sxsrf=ADLYWILtYJtdKrTEm-mjozO1AsiMAYSdSw%3A1726408724977&amp;ei=FOjmZtyjO66H1sQPq57akQM&amp;ved=0ahUKEwjc_afWjcWIAxWug5UCHSuPNjIQ4dUDCA8&amp;uact=5&amp;oq=qual+celular+que+o+brasil+importa+mais+barato&amp;gs_lp=Egxnd3Mtd2l6LXNlcnAiLXF1YWwgY2VsdWxhciBxdWUgbyBicmFzaWwgaW1wb3J0YSBtYWlzIGJhcmF0bzIIEAAYgAQYogQyCBAAGIAEGKIEMggQABiABBiiBDIIEAAYgAQYogRI0hlQqQNYxxZwAXgBkAEAmAH9AaAB5guqAQUwLjkuMbgBA8gBAPgBAZgCCqACrwvCAgoQABiwAxjWBBhHwgIEECMYJ8ICBRAhGKABwgIFECEYnwWYAwCIBgGQBgiSBwUxLjguMaAHwig&amp;sclient=gws-wiz-serp" TargetMode="External"/><Relationship Id="rId7" Type="http://schemas.openxmlformats.org/officeDocument/2006/relationships/hyperlink" Target="https://gente.globo.com/infografico-pesquisa-panorama-das-classes-abcde/" TargetMode="External"/><Relationship Id="rId2" Type="http://schemas.openxmlformats.org/officeDocument/2006/relationships/hyperlink" Target="https://www.google.com/search?q=qual+%C3%A9+o+celular+da+samsung+mais+caro+produzido+no+brasil&amp;oq=qual+%C3%A9+o+celular+da+samsung+mais+caro+produzido+no+&amp;gs_lcrp=EgZjaHJvbWUqBwgBECEYoAEyBggAEEUYOTIHCAEQIRigAdIBCTIyMTQyajBqOagCCLACAQ&amp;sourceid=chrome&amp;ie=UTF-8" TargetMode="External"/><Relationship Id="rId1" Type="http://schemas.openxmlformats.org/officeDocument/2006/relationships/hyperlink" Target="https://www.barte.com/blog-posts/mercado-de-celulares-no-brasil-continua-em-queda-com-consumidores-mantendo-aparelhos-por-mais-tempo" TargetMode="External"/><Relationship Id="rId6" Type="http://schemas.openxmlformats.org/officeDocument/2006/relationships/hyperlink" Target="https://censo2022.ibge.gov.br/panorama/" TargetMode="External"/><Relationship Id="rId5" Type="http://schemas.openxmlformats.org/officeDocument/2006/relationships/hyperlink" Target="https://www.google.com/search?q=qual+celular+mais+caro+vendio+atualmete+no+brasil&amp;sca_esv=ef2b8d4842bb75f7&amp;sxsrf=ADLYWIJD6nfWMBpx3ldXNG9mnYtuTqDBxA%3A1726409019805&amp;ei=O-nmZvrtMNSP5OUPn-Th8Qk&amp;ved=0ahUKEwi69_LijsWIAxXUB7kGHR9yOJ4Q4dUDCA8&amp;uact=5&amp;oq=qual+celular+mais+caro+vendio+atualmete+no+brasil&amp;gs_lp=Egxnd3Mtd2l6LXNlcnAiMXF1YWwgY2VsdWxhciBtYWlzIGNhcm8gdmVuZGlvIGF0dWFsbWV0ZSBubyBicmFzaWwyBhAAGBYYHjIIEAAYgAQYogQyCBAAGIAEGKIEMggQABiABBiiBDIIEAAYgAQYogRI6JsBULQEWN2YAXADeAGQAQGYAeoBoAGQTaoBBjAuNjQuNLgBA8gBAPgBAZgCNqAC9j3CAgoQABiwAxjWBBhHwgIEECMYJ8ICChAAGAgYDRgeGA_CAggQABgWGAoYHsICChAAGIAEGBQYhwLCAgUQABiABMICBRAhGKABwgIHECEYoAEYCsICCBAAGAgYDRgewgIEECEYCpgDAIgGAZAGCJIHBjMuNDguM6AHrrcD&amp;sclient=gws-wiz-serp" TargetMode="External"/><Relationship Id="rId4" Type="http://schemas.openxmlformats.org/officeDocument/2006/relationships/hyperlink" Target="https://www.google.com/search?q=qual+celular+que+produzido+no+brasil+mais+barato&amp;sca_esv=ef2b8d4842bb75f7&amp;sxsrf=ADLYWILK5NowCRyIwGfvmdciLACLdozJpw%3A1726409014636&amp;ei=NunmZuzIJpfc5OUP8bOI8AY&amp;ved=0ahUKEwjsu7fgjsWIAxUXLrkGHfEZAm4Q4dUDCA8&amp;uact=5&amp;oq=qual+celular+que+produzido+no+brasil+mais+barato&amp;gs_lp=Egxnd3Mtd2l6LXNlcnAiMHF1YWwgY2VsdWxhciBxdWUgcHJvZHV6aWRvIG5vIGJyYXNpbCBtYWlzIGJhcmF0bzIKEAAYsAMY1gQYRzIKEAAYsAMY1gQYRzIKEAAYsAMY1gQYRzIKEAAYsAMY1gQYRzIKEAAYsAMY1gQYRzIKEAAYsAMY1gQYRzIKEAAYsAMY1gQYRzIKEAAYsAMY1gQYR0jMGFC_Bli1FXACeAGQAQCYAasBoAGrBqoBAzAuNrgBA8gBAPgBAZgCB6ACvgXCAgUQIRigAZgDAOIDBRIBMSBAiAYBkAYIkgcDMi41oAeiFw&amp;sclient=gws-wiz-ser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topLeftCell="A13" zoomScale="90" zoomScaleNormal="90" workbookViewId="0">
      <selection activeCell="D24" sqref="D24"/>
    </sheetView>
  </sheetViews>
  <sheetFormatPr defaultRowHeight="15" x14ac:dyDescent="0.25"/>
  <cols>
    <col min="1" max="1" width="8" style="24" customWidth="1"/>
    <col min="2" max="2" width="48.140625" style="24" customWidth="1"/>
    <col min="3" max="3" width="48.7109375" style="24" customWidth="1"/>
    <col min="4" max="4" width="19.85546875" style="24" bestFit="1" customWidth="1"/>
    <col min="5" max="5" width="12.7109375" style="24" bestFit="1" customWidth="1"/>
    <col min="6" max="7" width="7.140625" style="24" bestFit="1" customWidth="1"/>
    <col min="8" max="8" width="6.7109375" style="24" bestFit="1" customWidth="1"/>
    <col min="9" max="9" width="2" style="24" bestFit="1" customWidth="1"/>
    <col min="10" max="10" width="9.140625" style="24"/>
    <col min="11" max="11" width="17.7109375" style="24" bestFit="1" customWidth="1"/>
    <col min="12" max="12" width="9.140625" style="24"/>
    <col min="13" max="13" width="7.85546875" style="24" bestFit="1" customWidth="1"/>
    <col min="14" max="18" width="9.140625" style="24"/>
    <col min="19" max="19" width="26.140625" style="24" customWidth="1"/>
    <col min="20" max="16384" width="9.140625" style="24"/>
  </cols>
  <sheetData>
    <row r="1" spans="1:19" x14ac:dyDescent="0.25">
      <c r="A1" s="109"/>
      <c r="B1" s="20" t="s">
        <v>0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</row>
    <row r="2" spans="1:19" x14ac:dyDescent="0.25">
      <c r="A2" s="109"/>
      <c r="B2" s="20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</row>
    <row r="3" spans="1:19" x14ac:dyDescent="0.25">
      <c r="A3" s="21">
        <v>1</v>
      </c>
      <c r="B3" s="20" t="s">
        <v>1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</row>
    <row r="4" spans="1:19" ht="11.25" customHeight="1" x14ac:dyDescent="0.25">
      <c r="A4" s="21"/>
      <c r="B4" s="131">
        <v>39700000</v>
      </c>
      <c r="C4" s="132" t="s">
        <v>2</v>
      </c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</row>
    <row r="5" spans="1:19" x14ac:dyDescent="0.25">
      <c r="A5" s="21"/>
      <c r="B5" s="22" t="s">
        <v>3</v>
      </c>
      <c r="C5" s="205" t="s">
        <v>4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</row>
    <row r="6" spans="1:19" x14ac:dyDescent="0.25">
      <c r="A6" s="109"/>
      <c r="B6" s="109"/>
      <c r="C6" s="25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</row>
    <row r="7" spans="1:19" x14ac:dyDescent="0.25">
      <c r="A7" s="21">
        <v>2</v>
      </c>
      <c r="B7" s="20" t="s">
        <v>5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</row>
    <row r="8" spans="1:19" x14ac:dyDescent="0.25">
      <c r="A8" s="109"/>
      <c r="B8" s="21"/>
      <c r="C8" s="21"/>
      <c r="D8" s="21"/>
      <c r="E8" s="21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</row>
    <row r="9" spans="1:19" ht="15" customHeight="1" x14ac:dyDescent="0.25">
      <c r="A9" s="21"/>
      <c r="B9" s="26" t="s">
        <v>6</v>
      </c>
      <c r="C9" s="21" t="s">
        <v>7</v>
      </c>
      <c r="D9" s="21" t="s">
        <v>8</v>
      </c>
      <c r="E9" s="154" t="s">
        <v>9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</row>
    <row r="10" spans="1:19" x14ac:dyDescent="0.25">
      <c r="A10" s="127" t="s">
        <v>10</v>
      </c>
      <c r="B10" s="21">
        <v>1</v>
      </c>
      <c r="C10" s="29" t="s">
        <v>11</v>
      </c>
      <c r="D10" s="72">
        <v>12000</v>
      </c>
      <c r="E10" s="204" t="s">
        <v>12</v>
      </c>
      <c r="F10" s="204"/>
      <c r="G10" s="204"/>
      <c r="H10" s="20" t="s">
        <v>13</v>
      </c>
      <c r="I10" s="198" t="s">
        <v>14</v>
      </c>
      <c r="J10" s="198"/>
      <c r="K10" s="198"/>
      <c r="L10" s="198"/>
      <c r="M10" s="198"/>
      <c r="N10" s="198"/>
      <c r="O10" s="198"/>
      <c r="P10" s="198"/>
      <c r="Q10" s="198"/>
      <c r="R10" s="198"/>
      <c r="S10" s="198"/>
    </row>
    <row r="11" spans="1:19" ht="15" customHeight="1" x14ac:dyDescent="0.25">
      <c r="A11" s="127" t="s">
        <v>15</v>
      </c>
      <c r="B11" s="26">
        <v>2</v>
      </c>
      <c r="C11" s="29" t="s">
        <v>16</v>
      </c>
      <c r="D11" s="69">
        <v>7500</v>
      </c>
      <c r="E11" s="204" t="s">
        <v>17</v>
      </c>
      <c r="F11" s="204"/>
      <c r="G11" s="204"/>
      <c r="H11" s="20" t="s">
        <v>13</v>
      </c>
      <c r="I11" s="198" t="s">
        <v>18</v>
      </c>
      <c r="J11" s="198"/>
      <c r="K11" s="198"/>
      <c r="L11" s="198"/>
      <c r="M11" s="198"/>
      <c r="N11" s="198"/>
      <c r="O11" s="198"/>
      <c r="P11" s="198"/>
      <c r="Q11" s="198"/>
      <c r="R11" s="198"/>
      <c r="S11" s="198"/>
    </row>
    <row r="12" spans="1:19" x14ac:dyDescent="0.25">
      <c r="A12" s="127" t="s">
        <v>19</v>
      </c>
      <c r="B12" s="26">
        <v>3</v>
      </c>
      <c r="C12" s="30" t="s">
        <v>20</v>
      </c>
      <c r="D12" s="69">
        <v>1600</v>
      </c>
      <c r="E12" s="204" t="s">
        <v>21</v>
      </c>
      <c r="F12" s="204"/>
      <c r="G12" s="204"/>
      <c r="H12" s="20" t="s">
        <v>13</v>
      </c>
      <c r="I12" s="198" t="s">
        <v>22</v>
      </c>
      <c r="J12" s="198"/>
      <c r="K12" s="198"/>
      <c r="L12" s="198"/>
      <c r="M12" s="198"/>
      <c r="N12" s="198"/>
      <c r="O12" s="198"/>
      <c r="P12" s="198"/>
      <c r="Q12" s="198"/>
      <c r="R12" s="198"/>
      <c r="S12" s="198"/>
    </row>
    <row r="13" spans="1:19" x14ac:dyDescent="0.25">
      <c r="A13" s="127" t="s">
        <v>23</v>
      </c>
      <c r="B13" s="26">
        <v>4</v>
      </c>
      <c r="C13" s="29" t="s">
        <v>24</v>
      </c>
      <c r="D13" s="69">
        <v>800</v>
      </c>
      <c r="E13" s="20" t="s">
        <v>25</v>
      </c>
      <c r="F13" s="109"/>
      <c r="G13" s="109"/>
      <c r="H13" s="20" t="s">
        <v>13</v>
      </c>
      <c r="I13" s="198" t="s">
        <v>26</v>
      </c>
      <c r="J13" s="198"/>
      <c r="K13" s="198"/>
      <c r="L13" s="198"/>
      <c r="M13" s="198"/>
      <c r="N13" s="198"/>
      <c r="O13" s="198"/>
      <c r="P13" s="198"/>
      <c r="Q13" s="198"/>
      <c r="R13" s="198"/>
      <c r="S13" s="198"/>
    </row>
    <row r="15" spans="1:19" x14ac:dyDescent="0.25">
      <c r="A15" s="109"/>
      <c r="B15" s="26"/>
      <c r="C15" s="109"/>
      <c r="D15" s="133"/>
      <c r="E15" s="20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</row>
    <row r="16" spans="1:19" x14ac:dyDescent="0.25">
      <c r="A16" s="109"/>
      <c r="B16" s="109" t="s">
        <v>27</v>
      </c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</row>
    <row r="17" spans="1:19" ht="15.75" thickBot="1" x14ac:dyDescent="0.3">
      <c r="A17" s="109"/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</row>
    <row r="18" spans="1:19" ht="15.75" thickBot="1" x14ac:dyDescent="0.3">
      <c r="A18" s="21">
        <v>3</v>
      </c>
      <c r="B18" s="201" t="s">
        <v>28</v>
      </c>
      <c r="C18" s="202"/>
      <c r="D18" s="202"/>
      <c r="E18" s="202"/>
      <c r="F18" s="202"/>
      <c r="G18" s="202"/>
      <c r="H18" s="202"/>
      <c r="I18" s="203"/>
      <c r="J18" s="109"/>
      <c r="K18" s="109"/>
      <c r="L18" s="109"/>
      <c r="M18" s="109"/>
      <c r="N18" s="109"/>
      <c r="O18" s="109"/>
      <c r="P18" s="109"/>
      <c r="Q18" s="109"/>
      <c r="R18" s="109"/>
      <c r="S18" s="109"/>
    </row>
    <row r="19" spans="1:19" x14ac:dyDescent="0.25">
      <c r="A19" s="127" t="s">
        <v>29</v>
      </c>
      <c r="B19" s="128" t="s">
        <v>30</v>
      </c>
      <c r="C19" s="134" t="s">
        <v>31</v>
      </c>
      <c r="D19" s="109" t="s">
        <v>32</v>
      </c>
      <c r="E19" s="134" t="s">
        <v>10</v>
      </c>
      <c r="F19" s="134" t="s">
        <v>15</v>
      </c>
      <c r="G19" s="134" t="s">
        <v>19</v>
      </c>
      <c r="H19" s="129" t="s">
        <v>23</v>
      </c>
      <c r="I19" s="135" t="s">
        <v>33</v>
      </c>
      <c r="J19" s="109"/>
      <c r="K19" s="109"/>
      <c r="L19" s="127" t="s">
        <v>10</v>
      </c>
      <c r="M19" s="127" t="s">
        <v>15</v>
      </c>
      <c r="N19" s="127" t="s">
        <v>19</v>
      </c>
      <c r="O19" s="127" t="s">
        <v>23</v>
      </c>
      <c r="P19" s="109"/>
      <c r="Q19" s="109"/>
      <c r="R19" s="109"/>
      <c r="S19" s="109"/>
    </row>
    <row r="20" spans="1:19" x14ac:dyDescent="0.25">
      <c r="A20" t="s">
        <v>34</v>
      </c>
      <c r="B20" s="136" t="s">
        <v>35</v>
      </c>
      <c r="C20" s="93">
        <v>29937706</v>
      </c>
      <c r="D20" s="160">
        <v>0.14741773957154267</v>
      </c>
      <c r="E20" s="137">
        <v>0.03</v>
      </c>
      <c r="F20" s="137">
        <v>0.27</v>
      </c>
      <c r="G20" s="137">
        <v>0.5</v>
      </c>
      <c r="H20" s="199">
        <v>0.2</v>
      </c>
      <c r="I20" s="200"/>
      <c r="J20" t="s">
        <v>34</v>
      </c>
      <c r="K20" s="138">
        <f>$D$36*D20</f>
        <v>409673.89826931711</v>
      </c>
      <c r="L20" s="138">
        <f t="shared" ref="L20:O24" si="0">$K20*E20</f>
        <v>12290.216948079513</v>
      </c>
      <c r="M20" s="138">
        <f t="shared" si="0"/>
        <v>110611.95253271563</v>
      </c>
      <c r="N20" s="138">
        <f t="shared" si="0"/>
        <v>204836.94913465856</v>
      </c>
      <c r="O20" s="138">
        <f t="shared" si="0"/>
        <v>81934.779653863428</v>
      </c>
      <c r="P20" s="109"/>
      <c r="Q20" s="109"/>
      <c r="R20" s="109"/>
      <c r="S20" s="109"/>
    </row>
    <row r="21" spans="1:19" x14ac:dyDescent="0.25">
      <c r="A21" t="s">
        <v>36</v>
      </c>
      <c r="B21" s="136" t="s">
        <v>37</v>
      </c>
      <c r="C21" s="139">
        <v>84840113</v>
      </c>
      <c r="D21" s="160">
        <v>0.41776539870670953</v>
      </c>
      <c r="E21" s="140">
        <v>0.04</v>
      </c>
      <c r="F21" s="140">
        <v>0.27</v>
      </c>
      <c r="G21" s="140">
        <v>0.5</v>
      </c>
      <c r="H21" s="196">
        <v>0.19</v>
      </c>
      <c r="I21" s="197"/>
      <c r="J21" t="s">
        <v>36</v>
      </c>
      <c r="K21" s="161">
        <f>$D$36*D21</f>
        <v>1160970.0430059461</v>
      </c>
      <c r="L21" s="161">
        <f t="shared" si="0"/>
        <v>46438.801720237847</v>
      </c>
      <c r="M21" s="161">
        <f t="shared" si="0"/>
        <v>313461.91161160549</v>
      </c>
      <c r="N21" s="161">
        <f t="shared" si="0"/>
        <v>580485.02150297305</v>
      </c>
      <c r="O21" s="161">
        <f t="shared" si="0"/>
        <v>220584.30817112976</v>
      </c>
      <c r="P21" s="109"/>
      <c r="Q21" s="109"/>
      <c r="R21" s="109"/>
      <c r="S21" s="109"/>
    </row>
    <row r="22" spans="1:19" x14ac:dyDescent="0.25">
      <c r="A22" t="s">
        <v>38</v>
      </c>
      <c r="B22" s="136" t="s">
        <v>39</v>
      </c>
      <c r="C22" s="93">
        <v>54658515</v>
      </c>
      <c r="D22" s="160">
        <v>0.26914669846905631</v>
      </c>
      <c r="E22" s="137">
        <v>0.01</v>
      </c>
      <c r="F22" s="137">
        <v>0.12</v>
      </c>
      <c r="G22" s="137">
        <v>0.41</v>
      </c>
      <c r="H22" s="199">
        <v>0.46</v>
      </c>
      <c r="I22" s="200"/>
      <c r="J22" t="s">
        <v>38</v>
      </c>
      <c r="K22" s="161">
        <f>$D$36*D22</f>
        <v>747958.67504550761</v>
      </c>
      <c r="L22" s="161">
        <f t="shared" si="0"/>
        <v>7479.5867504550761</v>
      </c>
      <c r="M22" s="161">
        <f t="shared" si="0"/>
        <v>89755.041005460909</v>
      </c>
      <c r="N22" s="161">
        <f t="shared" si="0"/>
        <v>306663.05676865811</v>
      </c>
      <c r="O22" s="161">
        <f t="shared" si="0"/>
        <v>344060.99052093353</v>
      </c>
      <c r="P22" s="109"/>
      <c r="Q22" s="109"/>
      <c r="R22" s="109"/>
      <c r="S22" s="109"/>
    </row>
    <row r="23" spans="1:19" x14ac:dyDescent="0.25">
      <c r="A23" t="s">
        <v>40</v>
      </c>
      <c r="B23" s="136" t="s">
        <v>41</v>
      </c>
      <c r="C23" s="139">
        <v>16289538</v>
      </c>
      <c r="D23" s="160">
        <v>8.0212120147908059E-2</v>
      </c>
      <c r="E23" s="137">
        <v>0.05</v>
      </c>
      <c r="F23" s="137">
        <v>0.24</v>
      </c>
      <c r="G23" s="137">
        <v>0.5</v>
      </c>
      <c r="H23" s="199">
        <v>0.21</v>
      </c>
      <c r="I23" s="200"/>
      <c r="J23" t="s">
        <v>40</v>
      </c>
      <c r="K23" s="161">
        <f>$D$36*D23</f>
        <v>222909.48189103653</v>
      </c>
      <c r="L23" s="161">
        <f t="shared" si="0"/>
        <v>11145.474094551828</v>
      </c>
      <c r="M23" s="161">
        <f t="shared" si="0"/>
        <v>53498.275653848767</v>
      </c>
      <c r="N23" s="161">
        <f t="shared" si="0"/>
        <v>111454.74094551826</v>
      </c>
      <c r="O23" s="161">
        <f t="shared" si="0"/>
        <v>46810.99119711767</v>
      </c>
      <c r="P23" s="109"/>
      <c r="Q23" s="109"/>
      <c r="R23" s="109"/>
      <c r="S23" s="109"/>
    </row>
    <row r="24" spans="1:19" x14ac:dyDescent="0.25">
      <c r="A24" t="s">
        <v>42</v>
      </c>
      <c r="B24" s="136" t="s">
        <v>43</v>
      </c>
      <c r="C24" s="94">
        <v>17354884</v>
      </c>
      <c r="D24" s="160">
        <v>8.5458043104783402E-2</v>
      </c>
      <c r="E24" s="140">
        <v>0.01</v>
      </c>
      <c r="F24" s="140">
        <v>0.12</v>
      </c>
      <c r="G24" s="140">
        <v>0.43</v>
      </c>
      <c r="H24" s="196">
        <v>0.44</v>
      </c>
      <c r="I24" s="197"/>
      <c r="J24" t="s">
        <v>42</v>
      </c>
      <c r="K24" s="161">
        <f>$D$36*D24</f>
        <v>237487.90178819312</v>
      </c>
      <c r="L24" s="161">
        <f t="shared" si="0"/>
        <v>2374.8790178819313</v>
      </c>
      <c r="M24" s="161">
        <f t="shared" si="0"/>
        <v>28498.548214583174</v>
      </c>
      <c r="N24" s="161">
        <f t="shared" si="0"/>
        <v>102119.79776892305</v>
      </c>
      <c r="O24" s="161">
        <f t="shared" si="0"/>
        <v>104494.67678680498</v>
      </c>
      <c r="P24" s="109"/>
      <c r="Q24" s="109"/>
      <c r="R24" s="109"/>
      <c r="S24" s="109"/>
    </row>
    <row r="25" spans="1:19" ht="15.75" thickBot="1" x14ac:dyDescent="0.3">
      <c r="A25" s="109"/>
      <c r="B25" s="136"/>
      <c r="C25" s="141"/>
      <c r="D25" s="142"/>
      <c r="E25" s="143"/>
      <c r="F25" s="143"/>
      <c r="G25" s="143"/>
      <c r="H25" s="143"/>
      <c r="I25" s="144"/>
      <c r="J25" s="143"/>
      <c r="K25" s="143"/>
      <c r="L25" s="109"/>
      <c r="M25" s="109"/>
      <c r="N25" s="109"/>
      <c r="O25" s="109"/>
      <c r="P25" s="109"/>
      <c r="Q25" s="109"/>
      <c r="R25" s="109"/>
      <c r="S25" s="109"/>
    </row>
    <row r="26" spans="1:19" ht="15.75" thickBot="1" x14ac:dyDescent="0.3">
      <c r="A26" s="109"/>
      <c r="B26" s="90" t="s">
        <v>44</v>
      </c>
      <c r="C26" s="95">
        <f>SUM(C20:C24)</f>
        <v>203080756</v>
      </c>
      <c r="D26" s="91"/>
      <c r="E26" s="91"/>
      <c r="F26" s="91"/>
      <c r="G26" s="91"/>
      <c r="H26" s="91"/>
      <c r="I26" s="92"/>
      <c r="J26" s="143"/>
      <c r="K26" s="143"/>
      <c r="L26" s="109"/>
      <c r="M26" s="109"/>
      <c r="N26" s="109"/>
      <c r="O26" s="109"/>
      <c r="P26" s="109"/>
      <c r="Q26" s="109"/>
      <c r="R26" s="109"/>
      <c r="S26" s="109"/>
    </row>
    <row r="27" spans="1:19" x14ac:dyDescent="0.25">
      <c r="A27" s="109"/>
      <c r="B27" s="20" t="s">
        <v>3</v>
      </c>
      <c r="C27" s="27" t="s">
        <v>45</v>
      </c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</row>
    <row r="28" spans="1:19" x14ac:dyDescent="0.25">
      <c r="A28" s="109"/>
      <c r="B28" s="20"/>
      <c r="C28" s="27" t="s">
        <v>46</v>
      </c>
      <c r="D28" s="28"/>
      <c r="E28" s="28"/>
      <c r="F28" s="28"/>
      <c r="G28" s="28"/>
      <c r="H28" s="28"/>
      <c r="I28" s="28"/>
      <c r="J28" s="28"/>
      <c r="K28" s="28"/>
      <c r="L28" s="109"/>
      <c r="M28" s="109"/>
      <c r="N28" s="109"/>
      <c r="O28" s="109"/>
      <c r="P28" s="109"/>
      <c r="Q28" s="109"/>
      <c r="R28" s="109"/>
      <c r="S28" s="109"/>
    </row>
    <row r="29" spans="1:19" x14ac:dyDescent="0.25">
      <c r="A29" s="109"/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</row>
    <row r="30" spans="1:19" x14ac:dyDescent="0.25">
      <c r="A30" s="109"/>
      <c r="B30" s="109" t="s">
        <v>47</v>
      </c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</row>
    <row r="31" spans="1:19" x14ac:dyDescent="0.25">
      <c r="A31" s="109"/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</row>
    <row r="32" spans="1:19" x14ac:dyDescent="0.25">
      <c r="A32" s="21">
        <v>4</v>
      </c>
      <c r="B32" s="20" t="s">
        <v>48</v>
      </c>
      <c r="C32" s="109" t="s">
        <v>49</v>
      </c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</row>
    <row r="33" spans="1:19" x14ac:dyDescent="0.25">
      <c r="A33" s="21"/>
      <c r="B33" s="109"/>
      <c r="C33" s="109" t="s">
        <v>50</v>
      </c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</row>
    <row r="34" spans="1:19" x14ac:dyDescent="0.25">
      <c r="A34" s="109"/>
      <c r="B34" s="21" t="s">
        <v>51</v>
      </c>
      <c r="C34" s="21" t="s">
        <v>52</v>
      </c>
      <c r="D34" s="134" t="s">
        <v>53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</row>
    <row r="35" spans="1:19" x14ac:dyDescent="0.25">
      <c r="A35" s="109"/>
      <c r="B35" s="21"/>
      <c r="C35" s="21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</row>
    <row r="36" spans="1:19" x14ac:dyDescent="0.25">
      <c r="A36" s="109"/>
      <c r="B36" s="21" t="s">
        <v>54</v>
      </c>
      <c r="C36" s="23">
        <v>7.0000000000000007E-2</v>
      </c>
      <c r="D36" s="145">
        <f>B4*C36</f>
        <v>2779000.0000000005</v>
      </c>
      <c r="E36" s="109"/>
      <c r="F36" s="109">
        <f>D36*$E$20</f>
        <v>83370.000000000015</v>
      </c>
      <c r="G36" s="109">
        <f>D36*$F$20</f>
        <v>750330.00000000023</v>
      </c>
      <c r="H36" s="109"/>
      <c r="I36" s="109"/>
      <c r="J36" s="109">
        <f>F36*D20</f>
        <v>12290.216948079515</v>
      </c>
      <c r="K36" s="146">
        <f>J36*D10</f>
        <v>147482603.37695417</v>
      </c>
      <c r="L36" s="109"/>
      <c r="M36" s="109"/>
      <c r="N36" s="109"/>
      <c r="O36" s="109"/>
      <c r="P36" s="109"/>
      <c r="Q36" s="109"/>
      <c r="R36" s="109"/>
      <c r="S36" s="109"/>
    </row>
    <row r="37" spans="1:19" x14ac:dyDescent="0.25">
      <c r="A37" s="109"/>
      <c r="B37" s="21" t="s">
        <v>55</v>
      </c>
      <c r="C37" s="23">
        <v>0.06</v>
      </c>
      <c r="D37" s="145">
        <f>B4*C37</f>
        <v>2382000</v>
      </c>
      <c r="E37" s="109"/>
      <c r="F37" s="109">
        <f>D37*$E$20</f>
        <v>71460</v>
      </c>
      <c r="G37" s="109">
        <f t="shared" ref="G37:G47" si="1">D37*$F$20</f>
        <v>643140</v>
      </c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</row>
    <row r="38" spans="1:19" x14ac:dyDescent="0.25">
      <c r="A38" s="109"/>
      <c r="B38" s="21" t="s">
        <v>56</v>
      </c>
      <c r="C38" s="23">
        <v>0.06</v>
      </c>
      <c r="D38" s="145">
        <f>B4*C38</f>
        <v>2382000</v>
      </c>
      <c r="E38" s="109"/>
      <c r="F38" s="109">
        <f t="shared" ref="F38:F47" si="2">D38*$E$20</f>
        <v>71460</v>
      </c>
      <c r="G38" s="109">
        <f t="shared" si="1"/>
        <v>643140</v>
      </c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</row>
    <row r="39" spans="1:19" x14ac:dyDescent="0.25">
      <c r="A39" s="109"/>
      <c r="B39" s="21" t="s">
        <v>57</v>
      </c>
      <c r="C39" s="23">
        <v>0.06</v>
      </c>
      <c r="D39" s="145">
        <f>B4*C39</f>
        <v>2382000</v>
      </c>
      <c r="E39" s="109"/>
      <c r="F39" s="109">
        <f t="shared" si="2"/>
        <v>71460</v>
      </c>
      <c r="G39" s="109">
        <f t="shared" si="1"/>
        <v>643140</v>
      </c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</row>
    <row r="40" spans="1:19" x14ac:dyDescent="0.25">
      <c r="A40" s="109"/>
      <c r="B40" s="21" t="s">
        <v>58</v>
      </c>
      <c r="C40" s="23">
        <v>0.09</v>
      </c>
      <c r="D40" s="145">
        <f>B4*C40</f>
        <v>3573000</v>
      </c>
      <c r="E40" s="109"/>
      <c r="F40" s="109">
        <f t="shared" si="2"/>
        <v>107190</v>
      </c>
      <c r="G40" s="109">
        <f t="shared" si="1"/>
        <v>964710.00000000012</v>
      </c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</row>
    <row r="41" spans="1:19" x14ac:dyDescent="0.25">
      <c r="A41" s="109"/>
      <c r="B41" s="21" t="s">
        <v>59</v>
      </c>
      <c r="C41" s="23">
        <v>0.09</v>
      </c>
      <c r="D41" s="145">
        <f>B4*C41</f>
        <v>3573000</v>
      </c>
      <c r="E41" s="109"/>
      <c r="F41" s="109">
        <f t="shared" si="2"/>
        <v>107190</v>
      </c>
      <c r="G41" s="109">
        <f t="shared" si="1"/>
        <v>964710.00000000012</v>
      </c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</row>
    <row r="42" spans="1:19" x14ac:dyDescent="0.25">
      <c r="A42" s="109"/>
      <c r="B42" s="21" t="s">
        <v>60</v>
      </c>
      <c r="C42" s="23">
        <v>0.06</v>
      </c>
      <c r="D42" s="145">
        <f>B4*C42</f>
        <v>2382000</v>
      </c>
      <c r="E42" s="109"/>
      <c r="F42" s="109">
        <f t="shared" si="2"/>
        <v>71460</v>
      </c>
      <c r="G42" s="109">
        <f t="shared" si="1"/>
        <v>643140</v>
      </c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</row>
    <row r="43" spans="1:19" x14ac:dyDescent="0.25">
      <c r="A43" s="109"/>
      <c r="B43" s="21" t="s">
        <v>61</v>
      </c>
      <c r="C43" s="23">
        <v>0.08</v>
      </c>
      <c r="D43" s="145">
        <f>B4*C43</f>
        <v>3176000</v>
      </c>
      <c r="E43" s="109"/>
      <c r="F43" s="109">
        <f t="shared" si="2"/>
        <v>95280</v>
      </c>
      <c r="G43" s="109">
        <f t="shared" si="1"/>
        <v>857520</v>
      </c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</row>
    <row r="44" spans="1:19" x14ac:dyDescent="0.25">
      <c r="A44" s="109"/>
      <c r="B44" s="21" t="s">
        <v>62</v>
      </c>
      <c r="C44" s="23">
        <v>0.06</v>
      </c>
      <c r="D44" s="145">
        <f>B4*C44</f>
        <v>2382000</v>
      </c>
      <c r="E44" s="109"/>
      <c r="F44" s="109">
        <f t="shared" si="2"/>
        <v>71460</v>
      </c>
      <c r="G44" s="109">
        <f t="shared" si="1"/>
        <v>643140</v>
      </c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</row>
    <row r="45" spans="1:19" x14ac:dyDescent="0.25">
      <c r="A45" s="109"/>
      <c r="B45" s="21" t="s">
        <v>63</v>
      </c>
      <c r="C45" s="23">
        <v>0.09</v>
      </c>
      <c r="D45" s="145">
        <f>B4*C45</f>
        <v>3573000</v>
      </c>
      <c r="E45" s="109"/>
      <c r="F45" s="109">
        <f t="shared" si="2"/>
        <v>107190</v>
      </c>
      <c r="G45" s="109">
        <f t="shared" si="1"/>
        <v>964710.00000000012</v>
      </c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</row>
    <row r="46" spans="1:19" x14ac:dyDescent="0.25">
      <c r="A46" s="109"/>
      <c r="B46" s="21" t="s">
        <v>64</v>
      </c>
      <c r="C46" s="23">
        <v>0.12</v>
      </c>
      <c r="D46" s="145">
        <f>B4*C46</f>
        <v>4764000</v>
      </c>
      <c r="E46" s="109"/>
      <c r="F46" s="109">
        <f t="shared" si="2"/>
        <v>142920</v>
      </c>
      <c r="G46" s="109">
        <f t="shared" si="1"/>
        <v>1286280</v>
      </c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</row>
    <row r="47" spans="1:19" x14ac:dyDescent="0.25">
      <c r="A47" s="109"/>
      <c r="B47" s="21" t="s">
        <v>65</v>
      </c>
      <c r="C47" s="23">
        <v>0.16</v>
      </c>
      <c r="D47" s="145">
        <f>B4*C47</f>
        <v>6352000</v>
      </c>
      <c r="E47" s="109"/>
      <c r="F47" s="109">
        <f t="shared" si="2"/>
        <v>190560</v>
      </c>
      <c r="G47" s="109">
        <f t="shared" si="1"/>
        <v>1715040</v>
      </c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</row>
    <row r="48" spans="1:19" x14ac:dyDescent="0.25">
      <c r="A48" s="109"/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</row>
    <row r="49" spans="1:19" x14ac:dyDescent="0.25">
      <c r="A49" s="109"/>
      <c r="B49" s="21" t="s">
        <v>66</v>
      </c>
      <c r="C49" s="147">
        <f>SUM(C36:C47)</f>
        <v>0.99999999999999989</v>
      </c>
      <c r="D49" s="148">
        <f>SUM(D36:D47)</f>
        <v>39700000</v>
      </c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</row>
    <row r="51" spans="1:19" x14ac:dyDescent="0.25">
      <c r="A51" s="109"/>
      <c r="B51" s="154" t="s">
        <v>3</v>
      </c>
      <c r="C51" s="25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</row>
    <row r="52" spans="1:19" x14ac:dyDescent="0.25">
      <c r="A52" s="109"/>
      <c r="B52" s="154"/>
      <c r="C52" s="25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</row>
    <row r="53" spans="1:19" x14ac:dyDescent="0.25">
      <c r="A53" s="109"/>
      <c r="B53" s="154"/>
      <c r="C53" s="25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</row>
    <row r="54" spans="1:19" x14ac:dyDescent="0.25">
      <c r="A54" s="109"/>
      <c r="B54" s="154"/>
      <c r="C54" s="25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</row>
    <row r="56" spans="1:19" x14ac:dyDescent="0.25">
      <c r="A56" s="109"/>
      <c r="B56" s="109" t="s">
        <v>67</v>
      </c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</row>
    <row r="57" spans="1:19" x14ac:dyDescent="0.25">
      <c r="A57" s="109"/>
      <c r="B57" s="109" t="s">
        <v>68</v>
      </c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</row>
    <row r="59" spans="1:19" x14ac:dyDescent="0.25">
      <c r="A59" s="21">
        <v>5</v>
      </c>
      <c r="B59" s="20" t="s">
        <v>69</v>
      </c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</row>
    <row r="60" spans="1:19" x14ac:dyDescent="0.25">
      <c r="A60" s="109"/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</row>
    <row r="61" spans="1:19" x14ac:dyDescent="0.25">
      <c r="A61" s="109"/>
      <c r="B61" s="109" t="s">
        <v>70</v>
      </c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</row>
    <row r="62" spans="1:19" x14ac:dyDescent="0.25">
      <c r="A62" s="109"/>
      <c r="B62" s="109" t="s">
        <v>71</v>
      </c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</row>
    <row r="63" spans="1:19" x14ac:dyDescent="0.25">
      <c r="A63" s="109"/>
      <c r="B63" s="149" t="s">
        <v>72</v>
      </c>
      <c r="C63" s="109" t="s">
        <v>73</v>
      </c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</row>
    <row r="65" spans="1:19" x14ac:dyDescent="0.25">
      <c r="A65" s="109"/>
      <c r="B65" s="155">
        <v>0.4</v>
      </c>
      <c r="C65" s="109" t="s">
        <v>74</v>
      </c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</row>
    <row r="67" spans="1:19" x14ac:dyDescent="0.25">
      <c r="A67" s="109"/>
      <c r="B67" s="109" t="s">
        <v>75</v>
      </c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</row>
    <row r="68" spans="1:19" x14ac:dyDescent="0.25">
      <c r="A68" s="109"/>
      <c r="B68" s="109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</row>
    <row r="69" spans="1:19" x14ac:dyDescent="0.25">
      <c r="A69" s="109"/>
      <c r="B69" s="109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</row>
    <row r="70" spans="1:19" x14ac:dyDescent="0.25">
      <c r="A70" s="109"/>
      <c r="B70" s="109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</row>
    <row r="71" spans="1:19" x14ac:dyDescent="0.25">
      <c r="A71" s="109"/>
      <c r="B71" s="109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</row>
  </sheetData>
  <mergeCells count="14">
    <mergeCell ref="C5:S5"/>
    <mergeCell ref="E10:G10"/>
    <mergeCell ref="I10:S10"/>
    <mergeCell ref="E11:G11"/>
    <mergeCell ref="I11:S11"/>
    <mergeCell ref="H24:I24"/>
    <mergeCell ref="I12:S12"/>
    <mergeCell ref="H20:I20"/>
    <mergeCell ref="H21:I21"/>
    <mergeCell ref="H22:I22"/>
    <mergeCell ref="H23:I23"/>
    <mergeCell ref="B18:I18"/>
    <mergeCell ref="E12:G12"/>
    <mergeCell ref="I13:S13"/>
  </mergeCells>
  <hyperlinks>
    <hyperlink ref="C5:S5" r:id="rId1" location=":~:text=O%20total%20de%20aparelhos%20vendidos,a%20apenas%203%2C5%25" display="https://www.barte.com/blog-posts/mercado-de-celulares-no-brasil-continua-em-queda-com-consumidores-mantendo-aparelhos-por-mais-tempo#:~:text=O%20total%20de%20aparelhos%20vendidos,a%20apenas%203%2C5%25." xr:uid="{00000000-0004-0000-0000-000000000000}"/>
    <hyperlink ref="I11:S11" r:id="rId2" display="https://www.google.com/search?q=qual+%C3%A9+o+celular+da+samsung+mais+caro+produzido+no+brasil&amp;oq=qual+%C3%A9+o+celular+da+samsung+mais+caro+produzido+no+&amp;gs_lcrp=EgZjaHJvbWUqBwgBECEYoAEyBggAEEUYOTIHCAEQIRigAdIBCTIyMTQyajBqOagCCLACAQ&amp;sourceid=chrome&amp;ie=UTF-8" xr:uid="{00000000-0004-0000-0000-000001000000}"/>
    <hyperlink ref="I13:S13" r:id="rId3" display="https://www.google.com/search?q=qual+celular+que+o+brasil+importa+mais+barato&amp;sca_esv=ef2b8d4842bb75f7&amp;sxsrf=ADLYWILtYJtdKrTEm-mjozO1AsiMAYSdSw%3A1726408724977&amp;ei=FOjmZtyjO66H1sQPq57akQM&amp;ved=0ahUKEwjc_afWjcWIAxWug5UCHSuPNjIQ4dUDCA8&amp;uact=5&amp;oq=qual+celular+que+o+brasil+importa+mais+barato&amp;gs_lp=Egxnd3Mtd2l6LXNlcnAiLXF1YWwgY2VsdWxhciBxdWUgbyBicmFzaWwgaW1wb3J0YSBtYWlzIGJhcmF0bzIIEAAYgAQYogQyCBAAGIAEGKIEMggQABiABBiiBDIIEAAYgAQYogRI0hlQqQNYxxZwAXgBkAEAmAH9AaAB5guqAQUwLjkuMbgBA8gBAPgBAZgCCqACrwvCAgoQABiwAxjWBBhHwgIEECMYJ8ICBRAhGKABwgIFECEYnwWYAwCIBgGQBgiSBwUxLjguMaAHwig&amp;sclient=gws-wiz-serp" xr:uid="{00000000-0004-0000-0000-000002000000}"/>
    <hyperlink ref="I12:S12" r:id="rId4" display="https://www.google.com/search?q=qual+celular+que+produzido+no+brasil+mais+barato&amp;sca_esv=ef2b8d4842bb75f7&amp;sxsrf=ADLYWILK5NowCRyIwGfvmdciLACLdozJpw%3A1726409014636&amp;ei=NunmZuzIJpfc5OUP8bOI8AY&amp;ved=0ahUKEwjsu7fgjsWIAxUXLrkGHfEZAm4Q4dUDCA8&amp;uact=5&amp;oq=qual+celular+que+produzido+no+brasil+mais+barato&amp;gs_lp=Egxnd3Mtd2l6LXNlcnAiMHF1YWwgY2VsdWxhciBxdWUgcHJvZHV6aWRvIG5vIGJyYXNpbCBtYWlzIGJhcmF0bzIKEAAYsAMY1gQYRzIKEAAYsAMY1gQYRzIKEAAYsAMY1gQYRzIKEAAYsAMY1gQYRzIKEAAYsAMY1gQYRzIKEAAYsAMY1gQYRzIKEAAYsAMY1gQYRzIKEAAYsAMY1gQYR0jMGFC_Bli1FXACeAGQAQCYAasBoAGrBqoBAzAuNrgBA8gBAPgBAZgCB6ACvgXCAgUQIRigAZgDAOIDBRIBMSBAiAYBkAYIkgcDMi41oAeiFw&amp;sclient=gws-wiz-serp" xr:uid="{00000000-0004-0000-0000-000003000000}"/>
    <hyperlink ref="I10:S10" r:id="rId5" display="https://www.google.com/search?q=qual+celular+mais+caro+vendio+atualmete+no+brasil&amp;sca_esv=ef2b8d4842bb75f7&amp;sxsrf=ADLYWIJD6nfWMBpx3ldXNG9mnYtuTqDBxA%3A1726409019805&amp;ei=O-nmZvrtMNSP5OUPn-Th8Qk&amp;ved=0ahUKEwi69_LijsWIAxXUB7kGHR9yOJ4Q4dUDCA8&amp;uact=5&amp;oq=qual+celular+mais+caro+vendio+atualmete+no+brasil&amp;gs_lp=Egxnd3Mtd2l6LXNlcnAiMXF1YWwgY2VsdWxhciBtYWlzIGNhcm8gdmVuZGlvIGF0dWFsbWV0ZSBubyBicmFzaWwyBhAAGBYYHjIIEAAYgAQYogQyCBAAGIAEGKIEMggQABiABBiiBDIIEAAYgAQYogRI6JsBULQEWN2YAXADeAGQAQGYAeoBoAGQTaoBBjAuNjQuNLgBA8gBAPgBAZgCNqAC9j3CAgoQABiwAxjWBBhHwgIEECMYJ8ICChAAGAgYDRgeGA_CAggQABgWGAoYHsICChAAGIAEGBQYhwLCAgUQABiABMICBRAhGKABwgIHECEYoAEYCsICCBAAGAgYDRgewgIEECEYCpgDAIgGAZAGCJIHBjMuNDguM6AHrrcD&amp;sclient=gws-wiz-serp" xr:uid="{00000000-0004-0000-0000-000004000000}"/>
    <hyperlink ref="C27" r:id="rId6" xr:uid="{00000000-0004-0000-0000-000005000000}"/>
    <hyperlink ref="C28" r:id="rId7" xr:uid="{00000000-0004-0000-0000-000006000000}"/>
  </hyperlinks>
  <pageMargins left="0.51180555555555596" right="0.51180555555555596" top="0.78749999999999998" bottom="0.78749999999999998" header="0.511811023622047" footer="0.511811023622047"/>
  <pageSetup paperSize="9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98"/>
  <sheetViews>
    <sheetView showGridLines="0" zoomScale="90" zoomScaleNormal="90" workbookViewId="0">
      <selection activeCell="J24" sqref="J24"/>
    </sheetView>
  </sheetViews>
  <sheetFormatPr defaultColWidth="8.7109375" defaultRowHeight="15" x14ac:dyDescent="0.25"/>
  <cols>
    <col min="2" max="2" width="57" bestFit="1" customWidth="1"/>
    <col min="3" max="3" width="34.7109375" bestFit="1" customWidth="1"/>
    <col min="4" max="4" width="16.140625" bestFit="1" customWidth="1"/>
    <col min="5" max="5" width="17.42578125" customWidth="1"/>
    <col min="6" max="6" width="29.140625" customWidth="1"/>
    <col min="7" max="7" width="16.85546875" customWidth="1"/>
    <col min="8" max="8" width="18.85546875" bestFit="1" customWidth="1"/>
    <col min="9" max="9" width="25.7109375" bestFit="1" customWidth="1"/>
    <col min="10" max="10" width="26.7109375" customWidth="1"/>
    <col min="11" max="11" width="17.7109375" bestFit="1" customWidth="1"/>
    <col min="12" max="12" width="14" customWidth="1"/>
    <col min="13" max="13" width="13.7109375" customWidth="1"/>
    <col min="14" max="14" width="13" customWidth="1"/>
  </cols>
  <sheetData>
    <row r="2" spans="2:9" x14ac:dyDescent="0.25">
      <c r="B2" s="89" t="s">
        <v>76</v>
      </c>
      <c r="C2" s="96">
        <f>Projeto!B4</f>
        <v>39700000</v>
      </c>
    </row>
    <row r="3" spans="2:9" x14ac:dyDescent="0.25">
      <c r="I3" t="s">
        <v>200</v>
      </c>
    </row>
    <row r="4" spans="2:9" ht="15.75" customHeight="1" x14ac:dyDescent="0.25">
      <c r="B4" s="217" t="s">
        <v>77</v>
      </c>
      <c r="C4" s="218"/>
      <c r="D4" s="113"/>
      <c r="E4" t="s">
        <v>34</v>
      </c>
      <c r="F4" s="120">
        <v>150000000</v>
      </c>
      <c r="H4" t="s">
        <v>34</v>
      </c>
      <c r="I4" s="163">
        <f>'Qtd Vendas x Faturamento'!$K$3*Projeto!D20</f>
        <v>901885393.74038267</v>
      </c>
    </row>
    <row r="5" spans="2:9" ht="15.75" customHeight="1" x14ac:dyDescent="0.25">
      <c r="B5" s="219"/>
      <c r="C5" s="220"/>
      <c r="D5" s="114"/>
      <c r="E5" t="s">
        <v>36</v>
      </c>
      <c r="F5" s="120">
        <v>150000000</v>
      </c>
      <c r="H5" t="s">
        <v>36</v>
      </c>
      <c r="I5" s="163">
        <f>'Qtd Vendas x Faturamento'!$K$3*Projeto!D21</f>
        <v>2555842412.173583</v>
      </c>
    </row>
    <row r="6" spans="2:9" ht="15" customHeight="1" x14ac:dyDescent="0.25">
      <c r="B6" s="117" t="s">
        <v>78</v>
      </c>
      <c r="C6" s="118" t="s">
        <v>79</v>
      </c>
      <c r="D6" s="113"/>
      <c r="E6" t="s">
        <v>40</v>
      </c>
      <c r="F6" s="124">
        <v>80000000</v>
      </c>
      <c r="H6" t="s">
        <v>40</v>
      </c>
      <c r="I6" s="163">
        <f>'Qtd Vendas x Faturamento'!$K$3*Projeto!D22</f>
        <v>1646609674.1694107</v>
      </c>
    </row>
    <row r="7" spans="2:9" ht="17.25" customHeight="1" x14ac:dyDescent="0.25">
      <c r="B7" s="119" t="s">
        <v>80</v>
      </c>
      <c r="C7" s="120">
        <v>150000000</v>
      </c>
      <c r="D7" s="115"/>
      <c r="E7" t="s">
        <v>42</v>
      </c>
      <c r="F7" s="124">
        <v>80000000</v>
      </c>
      <c r="H7" t="s">
        <v>42</v>
      </c>
      <c r="I7" s="163">
        <f>'Qtd Vendas x Faturamento'!$K$3*Projeto!D23</f>
        <v>490728861.89005011</v>
      </c>
    </row>
    <row r="8" spans="2:9" x14ac:dyDescent="0.25">
      <c r="B8" s="121" t="s">
        <v>81</v>
      </c>
      <c r="C8" s="122">
        <v>100000000</v>
      </c>
      <c r="D8" s="115"/>
      <c r="E8" t="s">
        <v>38</v>
      </c>
      <c r="F8" s="122">
        <v>100000000</v>
      </c>
      <c r="H8" t="s">
        <v>38</v>
      </c>
      <c r="I8" s="163">
        <f>'Qtd Vendas x Faturamento'!$K$3*Projeto!D24</f>
        <v>522822837.18260401</v>
      </c>
    </row>
    <row r="9" spans="2:9" x14ac:dyDescent="0.25">
      <c r="B9" s="123" t="s">
        <v>82</v>
      </c>
      <c r="C9" s="124">
        <v>80000000</v>
      </c>
      <c r="D9" s="115"/>
      <c r="E9" s="116"/>
    </row>
    <row r="10" spans="2:9" ht="15" customHeight="1" x14ac:dyDescent="0.25">
      <c r="B10" s="125" t="s">
        <v>83</v>
      </c>
      <c r="C10" s="126">
        <f>SUM(C7:C9)</f>
        <v>330000000</v>
      </c>
      <c r="D10" s="99"/>
      <c r="E10" s="116"/>
    </row>
    <row r="11" spans="2:9" ht="15" customHeight="1" x14ac:dyDescent="0.25">
      <c r="B11" s="97"/>
      <c r="C11" s="98"/>
      <c r="D11" s="99"/>
    </row>
    <row r="12" spans="2:9" x14ac:dyDescent="0.25">
      <c r="B12" s="223" t="s">
        <v>84</v>
      </c>
      <c r="C12" s="224"/>
      <c r="D12" s="225"/>
    </row>
    <row r="13" spans="2:9" x14ac:dyDescent="0.25">
      <c r="B13" s="100" t="s">
        <v>85</v>
      </c>
      <c r="C13" s="56">
        <v>5000</v>
      </c>
      <c r="D13" s="101" t="s">
        <v>86</v>
      </c>
    </row>
    <row r="14" spans="2:9" ht="33.75" customHeight="1" x14ac:dyDescent="0.25">
      <c r="B14" s="102" t="s">
        <v>87</v>
      </c>
      <c r="C14" s="40" t="s">
        <v>88</v>
      </c>
      <c r="D14" s="103" t="s">
        <v>89</v>
      </c>
    </row>
    <row r="15" spans="2:9" x14ac:dyDescent="0.25">
      <c r="B15" s="104">
        <v>25</v>
      </c>
      <c r="C15" s="41">
        <v>525000</v>
      </c>
      <c r="D15" s="105">
        <v>14437</v>
      </c>
      <c r="E15" s="110">
        <f>B15*$C$13</f>
        <v>125000</v>
      </c>
      <c r="F15" s="226"/>
      <c r="G15" s="226"/>
      <c r="H15" s="226"/>
      <c r="I15" s="226"/>
    </row>
    <row r="16" spans="2:9" x14ac:dyDescent="0.25">
      <c r="B16" s="104">
        <v>50</v>
      </c>
      <c r="C16" s="41">
        <v>1050000</v>
      </c>
      <c r="D16" s="105">
        <v>36540</v>
      </c>
      <c r="E16" s="110">
        <f t="shared" ref="E16:E23" si="0">B16*$C$13</f>
        <v>250000</v>
      </c>
      <c r="F16" s="31"/>
      <c r="G16" s="34"/>
      <c r="H16" s="32"/>
      <c r="I16" s="32"/>
    </row>
    <row r="17" spans="1:13" x14ac:dyDescent="0.25">
      <c r="B17" s="104">
        <v>100</v>
      </c>
      <c r="C17" s="41">
        <v>2100000</v>
      </c>
      <c r="D17" s="105">
        <v>95550</v>
      </c>
      <c r="E17" s="110">
        <f t="shared" si="0"/>
        <v>500000</v>
      </c>
      <c r="F17" s="32"/>
      <c r="G17" s="34"/>
      <c r="H17" s="112"/>
      <c r="I17" s="112"/>
    </row>
    <row r="18" spans="1:13" x14ac:dyDescent="0.25">
      <c r="B18" s="104">
        <v>150</v>
      </c>
      <c r="C18" s="41">
        <v>3150000</v>
      </c>
      <c r="D18" s="105">
        <v>200812</v>
      </c>
      <c r="E18" s="110">
        <f t="shared" si="0"/>
        <v>750000</v>
      </c>
      <c r="F18" s="151"/>
      <c r="G18" s="34"/>
      <c r="H18" s="150"/>
      <c r="I18" s="150"/>
    </row>
    <row r="19" spans="1:13" x14ac:dyDescent="0.25">
      <c r="B19" s="104">
        <v>200</v>
      </c>
      <c r="C19" s="41">
        <v>4200000</v>
      </c>
      <c r="D19" s="105">
        <v>311220</v>
      </c>
      <c r="E19" s="110">
        <f t="shared" si="0"/>
        <v>1000000</v>
      </c>
      <c r="F19" s="151"/>
      <c r="G19" s="150"/>
      <c r="H19" s="150"/>
      <c r="I19" s="150"/>
    </row>
    <row r="20" spans="1:13" x14ac:dyDescent="0.25">
      <c r="B20" s="104">
        <v>250</v>
      </c>
      <c r="C20" s="41">
        <v>5250000</v>
      </c>
      <c r="D20" s="105">
        <v>406455</v>
      </c>
      <c r="E20" s="110">
        <f t="shared" si="0"/>
        <v>1250000</v>
      </c>
      <c r="F20" s="151"/>
      <c r="G20" s="150"/>
      <c r="H20" s="150"/>
      <c r="I20" s="150"/>
    </row>
    <row r="21" spans="1:13" x14ac:dyDescent="0.25">
      <c r="B21" s="104">
        <v>300</v>
      </c>
      <c r="C21" s="41">
        <v>6300000</v>
      </c>
      <c r="D21" s="105">
        <v>517954</v>
      </c>
      <c r="E21" s="110">
        <f t="shared" si="0"/>
        <v>1500000</v>
      </c>
      <c r="F21" s="32"/>
      <c r="G21" s="32"/>
      <c r="H21" s="32"/>
      <c r="I21" s="32"/>
    </row>
    <row r="22" spans="1:13" x14ac:dyDescent="0.25">
      <c r="B22" s="104">
        <v>350</v>
      </c>
      <c r="C22" s="41">
        <v>7350000</v>
      </c>
      <c r="D22" s="105">
        <v>637245</v>
      </c>
      <c r="E22" s="110">
        <f t="shared" si="0"/>
        <v>1750000</v>
      </c>
      <c r="F22" s="31"/>
      <c r="G22" s="31"/>
      <c r="H22" s="33"/>
      <c r="I22" s="32"/>
    </row>
    <row r="23" spans="1:13" x14ac:dyDescent="0.25">
      <c r="B23" s="106">
        <v>400</v>
      </c>
      <c r="C23" s="107">
        <v>8400000</v>
      </c>
      <c r="D23" s="108">
        <v>778680</v>
      </c>
      <c r="E23" s="110">
        <f t="shared" si="0"/>
        <v>2000000</v>
      </c>
      <c r="F23" s="31"/>
      <c r="G23" s="31"/>
      <c r="H23" s="112"/>
      <c r="I23" s="34"/>
    </row>
    <row r="25" spans="1:13" x14ac:dyDescent="0.25">
      <c r="B25" s="227" t="s">
        <v>90</v>
      </c>
      <c r="C25" s="227"/>
      <c r="D25" s="227"/>
      <c r="F25" s="35"/>
    </row>
    <row r="26" spans="1:13" x14ac:dyDescent="0.25">
      <c r="B26" s="227" t="s">
        <v>91</v>
      </c>
      <c r="C26" s="227"/>
      <c r="D26" s="156" t="s">
        <v>92</v>
      </c>
      <c r="F26" s="36"/>
      <c r="I26" s="34"/>
      <c r="J26" s="34"/>
    </row>
    <row r="27" spans="1:13" x14ac:dyDescent="0.25">
      <c r="A27" t="s">
        <v>10</v>
      </c>
      <c r="B27" s="207" t="s">
        <v>93</v>
      </c>
      <c r="C27" s="208"/>
      <c r="D27" s="157">
        <v>219.9</v>
      </c>
      <c r="F27" s="36"/>
      <c r="G27" s="37"/>
      <c r="I27" s="34"/>
      <c r="J27" s="34"/>
    </row>
    <row r="28" spans="1:13" x14ac:dyDescent="0.25">
      <c r="A28" t="s">
        <v>15</v>
      </c>
      <c r="B28" s="207" t="s">
        <v>94</v>
      </c>
      <c r="C28" s="208"/>
      <c r="D28" s="157">
        <v>149.9</v>
      </c>
      <c r="F28" s="36"/>
      <c r="I28" s="34"/>
      <c r="J28" s="34"/>
    </row>
    <row r="29" spans="1:13" x14ac:dyDescent="0.25">
      <c r="A29" t="s">
        <v>23</v>
      </c>
      <c r="B29" s="207" t="s">
        <v>95</v>
      </c>
      <c r="C29" s="208"/>
      <c r="D29" s="157">
        <v>99.9</v>
      </c>
      <c r="I29" s="34"/>
      <c r="J29" s="34"/>
      <c r="L29" s="206"/>
      <c r="M29" s="206"/>
    </row>
    <row r="30" spans="1:13" x14ac:dyDescent="0.25">
      <c r="A30" t="s">
        <v>19</v>
      </c>
      <c r="B30" s="207" t="s">
        <v>96</v>
      </c>
      <c r="C30" s="208"/>
      <c r="D30" s="157">
        <v>59.9</v>
      </c>
      <c r="I30" s="34"/>
      <c r="J30" s="34"/>
      <c r="L30" s="206"/>
      <c r="M30" s="206"/>
    </row>
    <row r="31" spans="1:13" x14ac:dyDescent="0.25">
      <c r="B31" s="15"/>
      <c r="F31" s="36"/>
      <c r="G31" s="37"/>
      <c r="I31" s="112"/>
      <c r="J31" s="112"/>
      <c r="L31" s="15"/>
    </row>
    <row r="32" spans="1:13" x14ac:dyDescent="0.25">
      <c r="B32" s="212" t="s">
        <v>97</v>
      </c>
      <c r="C32" s="213"/>
      <c r="D32" s="57" t="s">
        <v>98</v>
      </c>
      <c r="I32" s="34"/>
      <c r="J32" s="34"/>
      <c r="L32" s="15"/>
    </row>
    <row r="33" spans="1:12" x14ac:dyDescent="0.25">
      <c r="B33" s="64" t="s">
        <v>99</v>
      </c>
      <c r="C33" s="65" t="s">
        <v>100</v>
      </c>
      <c r="D33" s="58">
        <v>0.3</v>
      </c>
      <c r="F33" s="35"/>
      <c r="G33" s="38"/>
      <c r="I33" s="34"/>
      <c r="J33" s="34"/>
      <c r="L33" s="15"/>
    </row>
    <row r="34" spans="1:12" x14ac:dyDescent="0.25">
      <c r="B34" s="59" t="s">
        <v>101</v>
      </c>
      <c r="C34" s="60" t="s">
        <v>102</v>
      </c>
      <c r="D34" s="61">
        <v>0.1</v>
      </c>
      <c r="F34" s="112"/>
      <c r="G34" s="112"/>
      <c r="I34" s="34"/>
      <c r="J34" s="34"/>
      <c r="L34" s="15"/>
    </row>
    <row r="35" spans="1:12" x14ac:dyDescent="0.25">
      <c r="B35" s="214" t="s">
        <v>103</v>
      </c>
      <c r="C35" s="215"/>
      <c r="D35" s="216"/>
      <c r="F35" s="36"/>
      <c r="G35" s="39"/>
      <c r="I35" s="34"/>
      <c r="J35" s="34"/>
      <c r="L35" s="15"/>
    </row>
    <row r="36" spans="1:12" ht="15" customHeight="1" x14ac:dyDescent="0.25">
      <c r="B36" s="64" t="s">
        <v>104</v>
      </c>
      <c r="C36" s="66">
        <v>0.3</v>
      </c>
      <c r="D36" s="67" t="s">
        <v>104</v>
      </c>
      <c r="F36" s="36"/>
      <c r="G36" s="39"/>
      <c r="I36" s="34"/>
      <c r="J36" s="34"/>
    </row>
    <row r="37" spans="1:12" x14ac:dyDescent="0.25">
      <c r="B37" s="59" t="s">
        <v>105</v>
      </c>
      <c r="C37" s="62">
        <v>0.4</v>
      </c>
      <c r="D37" s="63" t="s">
        <v>105</v>
      </c>
      <c r="F37" s="36"/>
      <c r="G37" s="39"/>
    </row>
    <row r="39" spans="1:12" x14ac:dyDescent="0.25">
      <c r="B39" s="209" t="s">
        <v>106</v>
      </c>
      <c r="C39" s="210"/>
      <c r="D39" s="211"/>
    </row>
    <row r="40" spans="1:12" x14ac:dyDescent="0.25">
      <c r="B40" s="74" t="s">
        <v>6</v>
      </c>
      <c r="C40" s="75" t="s">
        <v>107</v>
      </c>
      <c r="D40" s="76" t="s">
        <v>108</v>
      </c>
    </row>
    <row r="41" spans="1:12" x14ac:dyDescent="0.25">
      <c r="A41" t="s">
        <v>23</v>
      </c>
      <c r="B41" s="68" t="s">
        <v>109</v>
      </c>
      <c r="C41" s="69">
        <v>800</v>
      </c>
      <c r="D41" s="70">
        <v>491.26</v>
      </c>
    </row>
    <row r="42" spans="1:12" x14ac:dyDescent="0.25">
      <c r="A42" t="s">
        <v>15</v>
      </c>
      <c r="B42" s="68" t="s">
        <v>110</v>
      </c>
      <c r="C42" s="69">
        <v>7500</v>
      </c>
      <c r="D42" s="70">
        <v>2789.26</v>
      </c>
    </row>
    <row r="43" spans="1:12" x14ac:dyDescent="0.25">
      <c r="A43" t="s">
        <v>19</v>
      </c>
      <c r="B43" s="68" t="s">
        <v>111</v>
      </c>
      <c r="C43" s="69">
        <v>1600</v>
      </c>
      <c r="D43" s="70">
        <v>891</v>
      </c>
    </row>
    <row r="44" spans="1:12" x14ac:dyDescent="0.25">
      <c r="A44" t="s">
        <v>10</v>
      </c>
      <c r="B44" s="71" t="s">
        <v>112</v>
      </c>
      <c r="C44" s="72">
        <v>12000</v>
      </c>
      <c r="D44" s="73">
        <v>6159.96</v>
      </c>
    </row>
    <row r="46" spans="1:12" x14ac:dyDescent="0.25">
      <c r="B46" s="228" t="s">
        <v>113</v>
      </c>
      <c r="C46" s="229"/>
      <c r="D46" s="229"/>
      <c r="E46" s="230"/>
      <c r="F46" s="19"/>
      <c r="H46" s="19"/>
    </row>
    <row r="47" spans="1:12" x14ac:dyDescent="0.25">
      <c r="B47" s="78" t="s">
        <v>114</v>
      </c>
      <c r="C47" s="79">
        <v>10</v>
      </c>
      <c r="D47" s="79" t="s">
        <v>115</v>
      </c>
      <c r="E47" s="80"/>
    </row>
    <row r="48" spans="1:12" x14ac:dyDescent="0.25">
      <c r="B48" s="81"/>
      <c r="C48" s="82" t="s">
        <v>116</v>
      </c>
      <c r="D48" s="82" t="s">
        <v>117</v>
      </c>
      <c r="E48" s="83" t="s">
        <v>118</v>
      </c>
      <c r="F48" s="19"/>
      <c r="H48" s="19"/>
    </row>
    <row r="49" spans="2:9" x14ac:dyDescent="0.25">
      <c r="B49" s="84" t="s">
        <v>119</v>
      </c>
      <c r="C49" s="45">
        <v>15000</v>
      </c>
      <c r="D49" s="45">
        <v>80000</v>
      </c>
      <c r="E49" s="85">
        <v>68500</v>
      </c>
      <c r="G49" s="111"/>
      <c r="H49" s="111"/>
      <c r="I49" s="111"/>
    </row>
    <row r="50" spans="2:9" x14ac:dyDescent="0.25">
      <c r="B50" s="84" t="s">
        <v>120</v>
      </c>
      <c r="C50" s="45">
        <v>16000</v>
      </c>
      <c r="D50" s="45">
        <v>90000</v>
      </c>
      <c r="E50" s="85">
        <v>78500</v>
      </c>
      <c r="F50" s="19"/>
      <c r="H50" s="19"/>
    </row>
    <row r="51" spans="2:9" x14ac:dyDescent="0.25">
      <c r="B51" s="86" t="s">
        <v>121</v>
      </c>
      <c r="C51" s="87">
        <v>19000</v>
      </c>
      <c r="D51" s="87">
        <v>100000</v>
      </c>
      <c r="E51" s="88">
        <v>82500</v>
      </c>
    </row>
    <row r="52" spans="2:9" x14ac:dyDescent="0.25">
      <c r="B52" s="77"/>
      <c r="C52" s="77"/>
      <c r="D52" s="77"/>
      <c r="E52" s="77"/>
      <c r="F52" s="19"/>
      <c r="H52" s="19"/>
    </row>
    <row r="53" spans="2:9" x14ac:dyDescent="0.25">
      <c r="B53" s="42" t="s">
        <v>122</v>
      </c>
      <c r="C53" s="42"/>
      <c r="D53" s="46"/>
      <c r="E53" s="43"/>
    </row>
    <row r="54" spans="2:9" x14ac:dyDescent="0.25">
      <c r="B54" s="42" t="s">
        <v>123</v>
      </c>
      <c r="C54" s="42"/>
      <c r="D54" s="44"/>
      <c r="E54" s="47"/>
    </row>
    <row r="55" spans="2:9" x14ac:dyDescent="0.25">
      <c r="B55" s="42" t="s">
        <v>124</v>
      </c>
      <c r="C55" s="42"/>
      <c r="D55" s="46"/>
      <c r="E55" s="43"/>
    </row>
    <row r="58" spans="2:9" x14ac:dyDescent="0.25">
      <c r="B58" s="48" t="s">
        <v>125</v>
      </c>
      <c r="C58" s="49"/>
      <c r="D58" s="49"/>
      <c r="E58" s="49"/>
      <c r="F58" s="49"/>
      <c r="G58" s="11"/>
      <c r="H58" s="11"/>
      <c r="I58" s="12"/>
    </row>
    <row r="59" spans="2:9" x14ac:dyDescent="0.25">
      <c r="B59" s="50" t="s">
        <v>126</v>
      </c>
      <c r="C59" s="49"/>
      <c r="D59" s="49"/>
      <c r="E59" s="51" t="s">
        <v>127</v>
      </c>
      <c r="F59" s="51" t="s">
        <v>128</v>
      </c>
      <c r="G59" s="13"/>
      <c r="H59" s="13"/>
      <c r="I59" s="14"/>
    </row>
    <row r="60" spans="2:9" x14ac:dyDescent="0.25">
      <c r="B60" s="50"/>
      <c r="C60" s="49"/>
      <c r="D60" s="49"/>
      <c r="E60" s="52" t="s">
        <v>129</v>
      </c>
      <c r="F60" s="52" t="s">
        <v>130</v>
      </c>
      <c r="G60" s="13"/>
      <c r="H60" s="13"/>
      <c r="I60" s="14"/>
    </row>
    <row r="61" spans="2:9" x14ac:dyDescent="0.25">
      <c r="B61" s="50" t="s">
        <v>131</v>
      </c>
      <c r="C61" s="53">
        <v>150000</v>
      </c>
      <c r="D61" s="49"/>
      <c r="E61" s="52" t="s">
        <v>132</v>
      </c>
      <c r="F61" s="52" t="s">
        <v>133</v>
      </c>
      <c r="G61" s="13"/>
      <c r="H61" s="13"/>
      <c r="I61" s="14"/>
    </row>
    <row r="62" spans="2:9" x14ac:dyDescent="0.25">
      <c r="B62" s="50" t="s">
        <v>134</v>
      </c>
      <c r="C62" s="49"/>
      <c r="D62" s="49"/>
      <c r="E62" s="52" t="s">
        <v>135</v>
      </c>
      <c r="F62" s="52" t="s">
        <v>136</v>
      </c>
      <c r="G62" s="13"/>
      <c r="H62" s="13"/>
      <c r="I62" s="14"/>
    </row>
    <row r="63" spans="2:9" x14ac:dyDescent="0.25">
      <c r="B63" s="49"/>
      <c r="C63" s="49"/>
      <c r="D63" s="49"/>
      <c r="E63" s="52" t="s">
        <v>137</v>
      </c>
      <c r="F63" s="52" t="s">
        <v>138</v>
      </c>
      <c r="G63" s="13"/>
      <c r="H63" s="231" t="s">
        <v>139</v>
      </c>
      <c r="I63" s="231"/>
    </row>
    <row r="64" spans="2:9" x14ac:dyDescent="0.25">
      <c r="B64" s="49"/>
      <c r="C64" s="49"/>
      <c r="D64" s="49"/>
      <c r="E64" s="52" t="s">
        <v>140</v>
      </c>
      <c r="F64" s="52" t="s">
        <v>141</v>
      </c>
      <c r="G64" s="13"/>
      <c r="H64" s="231"/>
      <c r="I64" s="231"/>
    </row>
    <row r="65" spans="2:11" x14ac:dyDescent="0.25">
      <c r="B65" s="48" t="s">
        <v>142</v>
      </c>
      <c r="C65" s="49"/>
      <c r="D65" s="49"/>
      <c r="E65" s="49"/>
      <c r="F65" s="49"/>
      <c r="G65" s="13"/>
      <c r="H65" s="231"/>
      <c r="I65" s="231"/>
    </row>
    <row r="66" spans="2:11" x14ac:dyDescent="0.25">
      <c r="B66" s="50" t="s">
        <v>143</v>
      </c>
      <c r="C66" s="53">
        <v>1256000</v>
      </c>
      <c r="D66" s="49"/>
      <c r="E66" s="51" t="s">
        <v>144</v>
      </c>
      <c r="F66" s="51" t="s">
        <v>128</v>
      </c>
      <c r="G66" s="13"/>
      <c r="H66" s="16">
        <v>5</v>
      </c>
      <c r="I66" s="14" t="s">
        <v>145</v>
      </c>
    </row>
    <row r="67" spans="2:11" x14ac:dyDescent="0.25">
      <c r="B67" s="49"/>
      <c r="C67" s="49"/>
      <c r="D67" s="49"/>
      <c r="E67" s="52" t="s">
        <v>129</v>
      </c>
      <c r="F67" s="52" t="s">
        <v>146</v>
      </c>
      <c r="G67" s="13"/>
      <c r="H67" s="16">
        <v>4</v>
      </c>
      <c r="I67" s="14" t="s">
        <v>147</v>
      </c>
    </row>
    <row r="68" spans="2:11" x14ac:dyDescent="0.25">
      <c r="B68" s="48" t="s">
        <v>148</v>
      </c>
      <c r="C68" s="54"/>
      <c r="D68" s="49"/>
      <c r="E68" s="52" t="s">
        <v>132</v>
      </c>
      <c r="F68" s="52" t="s">
        <v>149</v>
      </c>
      <c r="G68" s="13"/>
      <c r="H68" s="16">
        <v>3</v>
      </c>
      <c r="I68" s="14" t="s">
        <v>150</v>
      </c>
      <c r="J68">
        <f>2779000/C70</f>
        <v>2126.2433052792653</v>
      </c>
      <c r="K68" s="111">
        <f>J68*C66</f>
        <v>2670561591.430757</v>
      </c>
    </row>
    <row r="69" spans="2:11" x14ac:dyDescent="0.25">
      <c r="B69" s="51" t="s">
        <v>78</v>
      </c>
      <c r="C69" s="51" t="s">
        <v>151</v>
      </c>
      <c r="D69" s="49"/>
      <c r="E69" s="52" t="s">
        <v>135</v>
      </c>
      <c r="F69" s="52" t="s">
        <v>152</v>
      </c>
      <c r="G69" s="13"/>
      <c r="H69" s="16">
        <v>2</v>
      </c>
      <c r="I69" s="14" t="s">
        <v>153</v>
      </c>
    </row>
    <row r="70" spans="2:11" x14ac:dyDescent="0.25">
      <c r="B70" s="50" t="s">
        <v>34</v>
      </c>
      <c r="C70" s="55">
        <v>1307</v>
      </c>
      <c r="D70" s="49"/>
      <c r="E70" s="52" t="s">
        <v>137</v>
      </c>
      <c r="F70" s="52" t="s">
        <v>154</v>
      </c>
      <c r="G70" s="13"/>
      <c r="H70" s="16">
        <v>1</v>
      </c>
      <c r="I70" s="14" t="s">
        <v>155</v>
      </c>
    </row>
    <row r="71" spans="2:11" x14ac:dyDescent="0.25">
      <c r="B71" s="50" t="s">
        <v>36</v>
      </c>
      <c r="C71" s="55">
        <v>1307</v>
      </c>
      <c r="D71" s="49"/>
      <c r="E71" s="52"/>
      <c r="F71" s="52"/>
      <c r="G71" s="13"/>
      <c r="H71" s="16"/>
      <c r="I71" s="14"/>
    </row>
    <row r="72" spans="2:11" x14ac:dyDescent="0.25">
      <c r="B72" s="50" t="s">
        <v>38</v>
      </c>
      <c r="C72" s="55">
        <v>1727</v>
      </c>
      <c r="D72" s="49"/>
      <c r="E72" s="52" t="s">
        <v>140</v>
      </c>
      <c r="F72" s="52" t="s">
        <v>156</v>
      </c>
      <c r="G72" s="13"/>
      <c r="H72" s="13"/>
      <c r="I72" s="14"/>
    </row>
    <row r="73" spans="2:11" x14ac:dyDescent="0.25">
      <c r="B73" s="50" t="s">
        <v>40</v>
      </c>
      <c r="C73" s="55">
        <v>2346</v>
      </c>
      <c r="D73" s="49"/>
      <c r="E73" s="49"/>
      <c r="F73" s="49"/>
      <c r="G73" s="13"/>
      <c r="H73" s="13"/>
      <c r="I73" s="14"/>
    </row>
    <row r="74" spans="2:11" x14ac:dyDescent="0.25">
      <c r="B74" s="49" t="s">
        <v>42</v>
      </c>
      <c r="C74" s="55">
        <v>2346</v>
      </c>
      <c r="D74" s="49"/>
      <c r="E74" s="49"/>
      <c r="F74" s="49"/>
      <c r="G74" s="17"/>
      <c r="H74" s="17"/>
      <c r="I74" s="18"/>
    </row>
    <row r="78" spans="2:11" x14ac:dyDescent="0.25">
      <c r="B78" s="1" t="s">
        <v>157</v>
      </c>
      <c r="C78" s="2"/>
      <c r="D78" s="2"/>
      <c r="E78" s="2"/>
      <c r="F78" s="2"/>
      <c r="G78" s="2"/>
      <c r="H78" s="3"/>
    </row>
    <row r="79" spans="2:11" x14ac:dyDescent="0.25">
      <c r="B79" s="4"/>
      <c r="C79" s="5"/>
      <c r="D79" s="5"/>
      <c r="E79" s="5"/>
      <c r="F79" s="5"/>
      <c r="G79" s="5"/>
      <c r="H79" s="6"/>
    </row>
    <row r="80" spans="2:11" x14ac:dyDescent="0.25">
      <c r="B80" s="221" t="s">
        <v>158</v>
      </c>
      <c r="C80" s="221"/>
      <c r="D80" s="221"/>
      <c r="E80" s="221"/>
      <c r="F80" s="221"/>
      <c r="G80" s="221"/>
      <c r="H80" s="221"/>
    </row>
    <row r="81" spans="2:8" x14ac:dyDescent="0.25">
      <c r="B81" s="221"/>
      <c r="C81" s="221"/>
      <c r="D81" s="221"/>
      <c r="E81" s="221"/>
      <c r="F81" s="221"/>
      <c r="G81" s="221"/>
      <c r="H81" s="221"/>
    </row>
    <row r="82" spans="2:8" x14ac:dyDescent="0.25">
      <c r="B82" s="7" t="s">
        <v>159</v>
      </c>
      <c r="C82" s="5"/>
      <c r="D82" s="5"/>
      <c r="E82" s="5"/>
      <c r="F82" s="5"/>
      <c r="G82" s="5"/>
      <c r="H82" s="6"/>
    </row>
    <row r="83" spans="2:8" x14ac:dyDescent="0.25">
      <c r="B83" s="4"/>
      <c r="C83" s="5"/>
      <c r="D83" s="5"/>
      <c r="E83" s="5"/>
      <c r="F83" s="5"/>
      <c r="G83" s="5"/>
      <c r="H83" s="6"/>
    </row>
    <row r="84" spans="2:8" x14ac:dyDescent="0.25">
      <c r="B84" s="222" t="s">
        <v>160</v>
      </c>
      <c r="C84" s="222"/>
      <c r="D84" s="222"/>
      <c r="E84" s="222"/>
      <c r="F84" s="222"/>
      <c r="G84" s="222"/>
      <c r="H84" s="222"/>
    </row>
    <row r="85" spans="2:8" x14ac:dyDescent="0.25">
      <c r="B85" s="222"/>
      <c r="C85" s="222"/>
      <c r="D85" s="222"/>
      <c r="E85" s="222"/>
      <c r="F85" s="222"/>
      <c r="G85" s="222"/>
      <c r="H85" s="222"/>
    </row>
    <row r="86" spans="2:8" x14ac:dyDescent="0.25">
      <c r="B86" s="8" t="s">
        <v>161</v>
      </c>
      <c r="C86" s="9"/>
      <c r="D86" s="9"/>
      <c r="E86" s="9"/>
      <c r="F86" s="9"/>
      <c r="G86" s="9"/>
      <c r="H86" s="10"/>
    </row>
    <row r="88" spans="2:8" x14ac:dyDescent="0.25">
      <c r="B88" t="s">
        <v>201</v>
      </c>
      <c r="C88" t="s">
        <v>202</v>
      </c>
    </row>
    <row r="89" spans="2:8" x14ac:dyDescent="0.25">
      <c r="B89" s="162" t="s">
        <v>189</v>
      </c>
    </row>
    <row r="90" spans="2:8" x14ac:dyDescent="0.25">
      <c r="B90" s="162" t="s">
        <v>190</v>
      </c>
    </row>
    <row r="91" spans="2:8" x14ac:dyDescent="0.25">
      <c r="B91" s="162" t="s">
        <v>191</v>
      </c>
    </row>
    <row r="92" spans="2:8" x14ac:dyDescent="0.25">
      <c r="B92" s="162" t="s">
        <v>192</v>
      </c>
    </row>
    <row r="93" spans="2:8" x14ac:dyDescent="0.25">
      <c r="B93" s="162" t="s">
        <v>194</v>
      </c>
    </row>
    <row r="94" spans="2:8" x14ac:dyDescent="0.25">
      <c r="B94" s="162" t="s">
        <v>193</v>
      </c>
    </row>
    <row r="95" spans="2:8" x14ac:dyDescent="0.25">
      <c r="B95" s="162" t="s">
        <v>203</v>
      </c>
    </row>
    <row r="96" spans="2:8" x14ac:dyDescent="0.25">
      <c r="B96" s="162" t="s">
        <v>204</v>
      </c>
    </row>
    <row r="97" spans="2:2" x14ac:dyDescent="0.25">
      <c r="B97" s="162" t="s">
        <v>205</v>
      </c>
    </row>
    <row r="98" spans="2:2" x14ac:dyDescent="0.25">
      <c r="B98" s="162" t="s">
        <v>199</v>
      </c>
    </row>
  </sheetData>
  <mergeCells count="17">
    <mergeCell ref="B4:C5"/>
    <mergeCell ref="B80:H81"/>
    <mergeCell ref="B84:H85"/>
    <mergeCell ref="B12:D12"/>
    <mergeCell ref="F15:I15"/>
    <mergeCell ref="B25:D25"/>
    <mergeCell ref="B26:C26"/>
    <mergeCell ref="B27:C27"/>
    <mergeCell ref="B28:C28"/>
    <mergeCell ref="B29:C29"/>
    <mergeCell ref="B46:E46"/>
    <mergeCell ref="H63:I65"/>
    <mergeCell ref="L29:M30"/>
    <mergeCell ref="B30:C30"/>
    <mergeCell ref="B39:D39"/>
    <mergeCell ref="B32:C32"/>
    <mergeCell ref="B35:D35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3478F-0C3F-41DC-B90D-A1E2156D393B}">
  <dimension ref="A1:K241"/>
  <sheetViews>
    <sheetView workbookViewId="0">
      <selection activeCell="K3" sqref="K3"/>
    </sheetView>
  </sheetViews>
  <sheetFormatPr defaultRowHeight="15" x14ac:dyDescent="0.25"/>
  <cols>
    <col min="1" max="4" width="21.7109375" customWidth="1"/>
    <col min="5" max="5" width="21.7109375" style="116" customWidth="1"/>
    <col min="6" max="6" width="20.28515625" style="116" bestFit="1" customWidth="1"/>
    <col min="7" max="7" width="18.7109375" bestFit="1" customWidth="1"/>
    <col min="8" max="8" width="18.7109375" style="116" bestFit="1" customWidth="1"/>
    <col min="10" max="10" width="22.5703125" bestFit="1" customWidth="1"/>
    <col min="11" max="11" width="21.5703125" bestFit="1" customWidth="1"/>
  </cols>
  <sheetData>
    <row r="1" spans="1:11" x14ac:dyDescent="0.25">
      <c r="A1" s="34" t="s">
        <v>162</v>
      </c>
      <c r="B1" s="34" t="s">
        <v>163</v>
      </c>
      <c r="C1" s="34" t="s">
        <v>164</v>
      </c>
      <c r="D1" s="34" t="s">
        <v>165</v>
      </c>
      <c r="E1" s="158" t="s">
        <v>166</v>
      </c>
      <c r="F1" s="158" t="s">
        <v>167</v>
      </c>
      <c r="G1" s="34" t="s">
        <v>168</v>
      </c>
      <c r="H1" s="158" t="s">
        <v>169</v>
      </c>
    </row>
    <row r="2" spans="1:11" x14ac:dyDescent="0.25">
      <c r="A2" s="34" t="s">
        <v>54</v>
      </c>
      <c r="B2" s="34" t="s">
        <v>34</v>
      </c>
      <c r="C2" s="34" t="s">
        <v>10</v>
      </c>
      <c r="D2" s="159">
        <f>VLOOKUP(A2,Projeto!$B$36:$D$47,3,FALSE)*VLOOKUP(B2,Projeto!$A$20:$D$24,4,FALSE)*VLOOKUP(B2,Projeto!$A$20:$I$24,MATCH(C2,Projeto!$A$19:$H$19,0),FALSE)</f>
        <v>12290.216948079513</v>
      </c>
      <c r="E2" s="158">
        <f>D2*VLOOKUP(C2,Projeto!$A$10:$D$13,4,FALSE)</f>
        <v>147482603.37695417</v>
      </c>
      <c r="F2" s="158">
        <f>D2*VLOOKUP(C2,Dados!$A$41:$D$44,4,FALSE)</f>
        <v>75707244.791491881</v>
      </c>
      <c r="G2" s="158">
        <f t="shared" ref="G2:G65" si="0">IF(OR(C2="A",C2="D/E"),0.4,0.3)*F2</f>
        <v>30282897.916596755</v>
      </c>
      <c r="H2" s="158">
        <f>VLOOKUP(C2,Dados!$A$27:$D$30,4,FALSE)*D2</f>
        <v>2702618.706882685</v>
      </c>
      <c r="J2" s="116">
        <f>SUM(E:E,H:H)</f>
        <v>120248612167.11348</v>
      </c>
      <c r="K2" s="116">
        <f>J2-J3</f>
        <v>15294722947.890076</v>
      </c>
    </row>
    <row r="3" spans="1:11" x14ac:dyDescent="0.25">
      <c r="A3" s="34" t="s">
        <v>54</v>
      </c>
      <c r="B3" s="34" t="s">
        <v>36</v>
      </c>
      <c r="C3" s="34" t="s">
        <v>10</v>
      </c>
      <c r="D3" s="159">
        <f>VLOOKUP(A3,Projeto!$B$36:$D$47,3,FALSE)*VLOOKUP(B3,Projeto!$A$20:$D$24,4,FALSE)*VLOOKUP(B3,Projeto!$A$20:$I$24,MATCH(C3,Projeto!$A$19:$H$19,0),FALSE)</f>
        <v>46438.801720237847</v>
      </c>
      <c r="E3" s="158">
        <f>D3*VLOOKUP(C3,Projeto!$A$10:$D$13,4,FALSE)</f>
        <v>557265620.64285421</v>
      </c>
      <c r="F3" s="158">
        <f>D3*VLOOKUP(C3,Dados!$A$41:$D$44,4,FALSE)</f>
        <v>286061161.04459631</v>
      </c>
      <c r="G3" s="158">
        <f t="shared" si="0"/>
        <v>114424464.41783853</v>
      </c>
      <c r="H3" s="158">
        <f>VLOOKUP(C3,Dados!$A$27:$D$30,4,FALSE)*D3</f>
        <v>10211892.498280304</v>
      </c>
      <c r="J3" s="116">
        <f>SUM('Qtd Vendas x Faturamento'!F:F,'Qtd Vendas x Faturamento'!G:G,Lotes!E:E,Lotes!F:F,RH!J:T)</f>
        <v>104953889219.2234</v>
      </c>
      <c r="K3" s="116">
        <f>K2*0.4</f>
        <v>6117889179.1560307</v>
      </c>
    </row>
    <row r="4" spans="1:11" x14ac:dyDescent="0.25">
      <c r="A4" s="34" t="s">
        <v>54</v>
      </c>
      <c r="B4" s="34" t="s">
        <v>38</v>
      </c>
      <c r="C4" s="34" t="s">
        <v>10</v>
      </c>
      <c r="D4" s="159">
        <f>VLOOKUP(A4,Projeto!$B$36:$D$47,3,FALSE)*VLOOKUP(B4,Projeto!$A$20:$D$24,4,FALSE)*VLOOKUP(B4,Projeto!$A$20:$I$24,MATCH(C4,Projeto!$A$19:$H$19,0),FALSE)</f>
        <v>7479.5867504550761</v>
      </c>
      <c r="E4" s="158">
        <f>D4*VLOOKUP(C4,Projeto!$A$10:$D$13,4,FALSE)</f>
        <v>89755041.005460918</v>
      </c>
      <c r="F4" s="158">
        <f>D4*VLOOKUP(C4,Dados!$A$41:$D$44,4,FALSE)</f>
        <v>46073955.199333251</v>
      </c>
      <c r="G4" s="158">
        <f t="shared" si="0"/>
        <v>18429582.079733301</v>
      </c>
      <c r="H4" s="158">
        <f>VLOOKUP(C4,Dados!$A$27:$D$30,4,FALSE)*D4</f>
        <v>1644761.1264250714</v>
      </c>
    </row>
    <row r="5" spans="1:11" x14ac:dyDescent="0.25">
      <c r="A5" s="34" t="s">
        <v>54</v>
      </c>
      <c r="B5" s="34" t="s">
        <v>40</v>
      </c>
      <c r="C5" s="34" t="s">
        <v>10</v>
      </c>
      <c r="D5" s="159">
        <f>VLOOKUP(A5,Projeto!$B$36:$D$47,3,FALSE)*VLOOKUP(B5,Projeto!$A$20:$D$24,4,FALSE)*VLOOKUP(B5,Projeto!$A$20:$I$24,MATCH(C5,Projeto!$A$19:$H$19,0),FALSE)</f>
        <v>11145.474094551828</v>
      </c>
      <c r="E5" s="158">
        <f>D5*VLOOKUP(C5,Projeto!$A$10:$D$13,4,FALSE)</f>
        <v>133745689.13462193</v>
      </c>
      <c r="F5" s="158">
        <f>D5*VLOOKUP(C5,Dados!$A$41:$D$44,4,FALSE)</f>
        <v>68655674.603475481</v>
      </c>
      <c r="G5" s="158">
        <f t="shared" si="0"/>
        <v>27462269.841390193</v>
      </c>
      <c r="H5" s="158">
        <f>VLOOKUP(C5,Dados!$A$27:$D$30,4,FALSE)*D5</f>
        <v>2450889.7533919471</v>
      </c>
    </row>
    <row r="6" spans="1:11" x14ac:dyDescent="0.25">
      <c r="A6" s="34" t="s">
        <v>54</v>
      </c>
      <c r="B6" s="34" t="s">
        <v>42</v>
      </c>
      <c r="C6" s="34" t="s">
        <v>10</v>
      </c>
      <c r="D6" s="159">
        <f>VLOOKUP(A6,Projeto!$B$36:$D$47,3,FALSE)*VLOOKUP(B6,Projeto!$A$20:$D$24,4,FALSE)*VLOOKUP(B6,Projeto!$A$20:$I$24,MATCH(C6,Projeto!$A$19:$H$19,0),FALSE)</f>
        <v>2374.8790178819313</v>
      </c>
      <c r="E6" s="158">
        <f>D6*VLOOKUP(C6,Projeto!$A$10:$D$13,4,FALSE)</f>
        <v>28498548.214583177</v>
      </c>
      <c r="F6" s="158">
        <f>D6*VLOOKUP(C6,Dados!$A$41:$D$44,4,FALSE)</f>
        <v>14629159.754991982</v>
      </c>
      <c r="G6" s="158">
        <f t="shared" si="0"/>
        <v>5851663.9019967932</v>
      </c>
      <c r="H6" s="158">
        <f>VLOOKUP(C6,Dados!$A$27:$D$30,4,FALSE)*D6</f>
        <v>522235.89603223669</v>
      </c>
    </row>
    <row r="7" spans="1:11" x14ac:dyDescent="0.25">
      <c r="A7" s="34" t="s">
        <v>54</v>
      </c>
      <c r="B7" s="34" t="s">
        <v>34</v>
      </c>
      <c r="C7" s="34" t="s">
        <v>15</v>
      </c>
      <c r="D7" s="159">
        <f>VLOOKUP(A7,Projeto!$B$36:$D$47,3,FALSE)*VLOOKUP(B7,Projeto!$A$20:$D$24,4,FALSE)*VLOOKUP(B7,Projeto!$A$20:$I$24,MATCH(C7,Projeto!$A$19:$H$19,0),FALSE)</f>
        <v>110611.95253271563</v>
      </c>
      <c r="E7" s="158">
        <f>D7*VLOOKUP(C7,Projeto!$A$10:$D$13,4,FALSE)</f>
        <v>829589643.99536717</v>
      </c>
      <c r="F7" s="158">
        <f>D7*VLOOKUP(C7,Dados!$A$41:$D$44,4,FALSE)</f>
        <v>308525494.72140241</v>
      </c>
      <c r="G7" s="158">
        <f t="shared" si="0"/>
        <v>92557648.416420713</v>
      </c>
      <c r="H7" s="158">
        <f>VLOOKUP(C7,Dados!$A$27:$D$30,4,FALSE)*D7</f>
        <v>16580731.684654074</v>
      </c>
    </row>
    <row r="8" spans="1:11" x14ac:dyDescent="0.25">
      <c r="A8" s="34" t="s">
        <v>54</v>
      </c>
      <c r="B8" s="34" t="s">
        <v>36</v>
      </c>
      <c r="C8" s="34" t="s">
        <v>15</v>
      </c>
      <c r="D8" s="159">
        <f>VLOOKUP(A8,Projeto!$B$36:$D$47,3,FALSE)*VLOOKUP(B8,Projeto!$A$20:$D$24,4,FALSE)*VLOOKUP(B8,Projeto!$A$20:$I$24,MATCH(C8,Projeto!$A$19:$H$19,0),FALSE)</f>
        <v>313461.91161160549</v>
      </c>
      <c r="E8" s="158">
        <f>D8*VLOOKUP(C8,Projeto!$A$10:$D$13,4,FALSE)</f>
        <v>2350964337.0870414</v>
      </c>
      <c r="F8" s="158">
        <f>D8*VLOOKUP(C8,Dados!$A$41:$D$44,4,FALSE)</f>
        <v>874326771.58178675</v>
      </c>
      <c r="G8" s="158">
        <f t="shared" si="0"/>
        <v>262298031.474536</v>
      </c>
      <c r="H8" s="158">
        <f>VLOOKUP(C8,Dados!$A$27:$D$30,4,FALSE)*D8</f>
        <v>46987940.550579667</v>
      </c>
    </row>
    <row r="9" spans="1:11" x14ac:dyDescent="0.25">
      <c r="A9" s="34" t="s">
        <v>54</v>
      </c>
      <c r="B9" s="34" t="s">
        <v>38</v>
      </c>
      <c r="C9" s="34" t="s">
        <v>15</v>
      </c>
      <c r="D9" s="159">
        <f>VLOOKUP(A9,Projeto!$B$36:$D$47,3,FALSE)*VLOOKUP(B9,Projeto!$A$20:$D$24,4,FALSE)*VLOOKUP(B9,Projeto!$A$20:$I$24,MATCH(C9,Projeto!$A$19:$H$19,0),FALSE)</f>
        <v>89755.041005460909</v>
      </c>
      <c r="E9" s="158">
        <f>D9*VLOOKUP(C9,Projeto!$A$10:$D$13,4,FALSE)</f>
        <v>673162807.54095685</v>
      </c>
      <c r="F9" s="158">
        <f>D9*VLOOKUP(C9,Dados!$A$41:$D$44,4,FALSE)</f>
        <v>250350145.67489192</v>
      </c>
      <c r="G9" s="158">
        <f t="shared" si="0"/>
        <v>75105043.702467576</v>
      </c>
      <c r="H9" s="158">
        <f>VLOOKUP(C9,Dados!$A$27:$D$30,4,FALSE)*D9</f>
        <v>13454280.646718591</v>
      </c>
    </row>
    <row r="10" spans="1:11" x14ac:dyDescent="0.25">
      <c r="A10" s="34" t="s">
        <v>54</v>
      </c>
      <c r="B10" s="34" t="s">
        <v>40</v>
      </c>
      <c r="C10" s="34" t="s">
        <v>15</v>
      </c>
      <c r="D10" s="159">
        <f>VLOOKUP(A10,Projeto!$B$36:$D$47,3,FALSE)*VLOOKUP(B10,Projeto!$A$20:$D$24,4,FALSE)*VLOOKUP(B10,Projeto!$A$20:$I$24,MATCH(C10,Projeto!$A$19:$H$19,0),FALSE)</f>
        <v>53498.275653848767</v>
      </c>
      <c r="E10" s="158">
        <f>D10*VLOOKUP(C10,Projeto!$A$10:$D$13,4,FALSE)</f>
        <v>401237067.40386575</v>
      </c>
      <c r="F10" s="158">
        <f>D10*VLOOKUP(C10,Dados!$A$41:$D$44,4,FALSE)</f>
        <v>149220600.35025421</v>
      </c>
      <c r="G10" s="158">
        <f t="shared" si="0"/>
        <v>44766180.105076261</v>
      </c>
      <c r="H10" s="158">
        <f>VLOOKUP(C10,Dados!$A$27:$D$30,4,FALSE)*D10</f>
        <v>8019391.5205119308</v>
      </c>
    </row>
    <row r="11" spans="1:11" x14ac:dyDescent="0.25">
      <c r="A11" s="34" t="s">
        <v>54</v>
      </c>
      <c r="B11" s="34" t="s">
        <v>42</v>
      </c>
      <c r="C11" s="34" t="s">
        <v>15</v>
      </c>
      <c r="D11" s="159">
        <f>VLOOKUP(A11,Projeto!$B$36:$D$47,3,FALSE)*VLOOKUP(B11,Projeto!$A$20:$D$24,4,FALSE)*VLOOKUP(B11,Projeto!$A$20:$I$24,MATCH(C11,Projeto!$A$19:$H$19,0),FALSE)</f>
        <v>28498.548214583174</v>
      </c>
      <c r="E11" s="158">
        <f>D11*VLOOKUP(C11,Projeto!$A$10:$D$13,4,FALSE)</f>
        <v>213739111.60937381</v>
      </c>
      <c r="F11" s="158">
        <f>D11*VLOOKUP(C11,Dados!$A$41:$D$44,4,FALSE)</f>
        <v>79489860.593008265</v>
      </c>
      <c r="G11" s="158">
        <f t="shared" si="0"/>
        <v>23846958.177902479</v>
      </c>
      <c r="H11" s="158">
        <f>VLOOKUP(C11,Dados!$A$27:$D$30,4,FALSE)*D11</f>
        <v>4271932.3773660176</v>
      </c>
    </row>
    <row r="12" spans="1:11" x14ac:dyDescent="0.25">
      <c r="A12" s="34" t="s">
        <v>54</v>
      </c>
      <c r="B12" s="34" t="s">
        <v>34</v>
      </c>
      <c r="C12" s="34" t="s">
        <v>19</v>
      </c>
      <c r="D12" s="159">
        <f>VLOOKUP(A12,Projeto!$B$36:$D$47,3,FALSE)*VLOOKUP(B12,Projeto!$A$20:$D$24,4,FALSE)*VLOOKUP(B12,Projeto!$A$20:$I$24,MATCH(C12,Projeto!$A$19:$H$19,0),FALSE)</f>
        <v>204836.94913465856</v>
      </c>
      <c r="E12" s="158">
        <f>D12*VLOOKUP(C12,Projeto!$A$10:$D$13,4,FALSE)</f>
        <v>327739118.61545372</v>
      </c>
      <c r="F12" s="158">
        <f>D12*VLOOKUP(C12,Dados!$A$41:$D$44,4,FALSE)</f>
        <v>182509721.67898077</v>
      </c>
      <c r="G12" s="158">
        <f t="shared" si="0"/>
        <v>54752916.503694229</v>
      </c>
      <c r="H12" s="158">
        <f>VLOOKUP(C12,Dados!$A$27:$D$30,4,FALSE)*D12</f>
        <v>12269733.253166048</v>
      </c>
    </row>
    <row r="13" spans="1:11" x14ac:dyDescent="0.25">
      <c r="A13" s="34" t="s">
        <v>54</v>
      </c>
      <c r="B13" s="34" t="s">
        <v>36</v>
      </c>
      <c r="C13" s="34" t="s">
        <v>19</v>
      </c>
      <c r="D13" s="159">
        <f>VLOOKUP(A13,Projeto!$B$36:$D$47,3,FALSE)*VLOOKUP(B13,Projeto!$A$20:$D$24,4,FALSE)*VLOOKUP(B13,Projeto!$A$20:$I$24,MATCH(C13,Projeto!$A$19:$H$19,0),FALSE)</f>
        <v>580485.02150297305</v>
      </c>
      <c r="E13" s="158">
        <f>D13*VLOOKUP(C13,Projeto!$A$10:$D$13,4,FALSE)</f>
        <v>928776034.4047569</v>
      </c>
      <c r="F13" s="158">
        <f>D13*VLOOKUP(C13,Dados!$A$41:$D$44,4,FALSE)</f>
        <v>517212154.15914899</v>
      </c>
      <c r="G13" s="158">
        <f t="shared" si="0"/>
        <v>155163646.24774468</v>
      </c>
      <c r="H13" s="158">
        <f>VLOOKUP(C13,Dados!$A$27:$D$30,4,FALSE)*D13</f>
        <v>34771052.788028084</v>
      </c>
    </row>
    <row r="14" spans="1:11" x14ac:dyDescent="0.25">
      <c r="A14" s="34" t="s">
        <v>54</v>
      </c>
      <c r="B14" s="34" t="s">
        <v>38</v>
      </c>
      <c r="C14" s="34" t="s">
        <v>19</v>
      </c>
      <c r="D14" s="159">
        <f>VLOOKUP(A14,Projeto!$B$36:$D$47,3,FALSE)*VLOOKUP(B14,Projeto!$A$20:$D$24,4,FALSE)*VLOOKUP(B14,Projeto!$A$20:$I$24,MATCH(C14,Projeto!$A$19:$H$19,0),FALSE)</f>
        <v>306663.05676865811</v>
      </c>
      <c r="E14" s="158">
        <f>D14*VLOOKUP(C14,Projeto!$A$10:$D$13,4,FALSE)</f>
        <v>490660890.82985294</v>
      </c>
      <c r="F14" s="158">
        <f>D14*VLOOKUP(C14,Dados!$A$41:$D$44,4,FALSE)</f>
        <v>273236783.58087438</v>
      </c>
      <c r="G14" s="158">
        <f t="shared" si="0"/>
        <v>81971035.074262306</v>
      </c>
      <c r="H14" s="158">
        <f>VLOOKUP(C14,Dados!$A$27:$D$30,4,FALSE)*D14</f>
        <v>18369117.100442622</v>
      </c>
    </row>
    <row r="15" spans="1:11" x14ac:dyDescent="0.25">
      <c r="A15" s="34" t="s">
        <v>54</v>
      </c>
      <c r="B15" s="34" t="s">
        <v>40</v>
      </c>
      <c r="C15" s="34" t="s">
        <v>19</v>
      </c>
      <c r="D15" s="159">
        <f>VLOOKUP(A15,Projeto!$B$36:$D$47,3,FALSE)*VLOOKUP(B15,Projeto!$A$20:$D$24,4,FALSE)*VLOOKUP(B15,Projeto!$A$20:$I$24,MATCH(C15,Projeto!$A$19:$H$19,0),FALSE)</f>
        <v>111454.74094551826</v>
      </c>
      <c r="E15" s="158">
        <f>D15*VLOOKUP(C15,Projeto!$A$10:$D$13,4,FALSE)</f>
        <v>178327585.51282921</v>
      </c>
      <c r="F15" s="158">
        <f>D15*VLOOKUP(C15,Dados!$A$41:$D$44,4,FALSE)</f>
        <v>99306174.182456776</v>
      </c>
      <c r="G15" s="158">
        <f t="shared" si="0"/>
        <v>29791852.254737031</v>
      </c>
      <c r="H15" s="158">
        <f>VLOOKUP(C15,Dados!$A$27:$D$30,4,FALSE)*D15</f>
        <v>6676138.9826365439</v>
      </c>
    </row>
    <row r="16" spans="1:11" x14ac:dyDescent="0.25">
      <c r="A16" s="34" t="s">
        <v>54</v>
      </c>
      <c r="B16" s="34" t="s">
        <v>42</v>
      </c>
      <c r="C16" s="34" t="s">
        <v>19</v>
      </c>
      <c r="D16" s="159">
        <f>VLOOKUP(A16,Projeto!$B$36:$D$47,3,FALSE)*VLOOKUP(B16,Projeto!$A$20:$D$24,4,FALSE)*VLOOKUP(B16,Projeto!$A$20:$I$24,MATCH(C16,Projeto!$A$19:$H$19,0),FALSE)</f>
        <v>102119.79776892305</v>
      </c>
      <c r="E16" s="158">
        <f>D16*VLOOKUP(C16,Projeto!$A$10:$D$13,4,FALSE)</f>
        <v>163391676.43027687</v>
      </c>
      <c r="F16" s="158">
        <f>D16*VLOOKUP(C16,Dados!$A$41:$D$44,4,FALSE)</f>
        <v>90988739.812110439</v>
      </c>
      <c r="G16" s="158">
        <f t="shared" si="0"/>
        <v>27296621.943633132</v>
      </c>
      <c r="H16" s="158">
        <f>VLOOKUP(C16,Dados!$A$27:$D$30,4,FALSE)*D16</f>
        <v>6116975.8863584902</v>
      </c>
    </row>
    <row r="17" spans="1:8" x14ac:dyDescent="0.25">
      <c r="A17" s="34" t="s">
        <v>54</v>
      </c>
      <c r="B17" s="34" t="s">
        <v>34</v>
      </c>
      <c r="C17" s="34" t="s">
        <v>23</v>
      </c>
      <c r="D17" s="159">
        <f>VLOOKUP(A17,Projeto!$B$36:$D$47,3,FALSE)*VLOOKUP(B17,Projeto!$A$20:$D$24,4,FALSE)*VLOOKUP(B17,Projeto!$A$20:$I$24,MATCH(C17,Projeto!$A$19:$H$19,0),FALSE)</f>
        <v>81934.779653863428</v>
      </c>
      <c r="E17" s="158">
        <f>D17*VLOOKUP(C17,Projeto!$A$10:$D$13,4,FALSE)</f>
        <v>65547823.723090746</v>
      </c>
      <c r="F17" s="158">
        <f>D17*VLOOKUP(C17,Dados!$A$41:$D$44,4,FALSE)</f>
        <v>40251279.852756947</v>
      </c>
      <c r="G17" s="158">
        <f t="shared" si="0"/>
        <v>16100511.94110278</v>
      </c>
      <c r="H17" s="158">
        <f>VLOOKUP(C17,Dados!$A$27:$D$30,4,FALSE)*D17</f>
        <v>8185284.4874209566</v>
      </c>
    </row>
    <row r="18" spans="1:8" x14ac:dyDescent="0.25">
      <c r="A18" s="34" t="s">
        <v>54</v>
      </c>
      <c r="B18" s="34" t="s">
        <v>36</v>
      </c>
      <c r="C18" s="34" t="s">
        <v>23</v>
      </c>
      <c r="D18" s="159">
        <f>VLOOKUP(A18,Projeto!$B$36:$D$47,3,FALSE)*VLOOKUP(B18,Projeto!$A$20:$D$24,4,FALSE)*VLOOKUP(B18,Projeto!$A$20:$I$24,MATCH(C18,Projeto!$A$19:$H$19,0),FALSE)</f>
        <v>220584.30817112976</v>
      </c>
      <c r="E18" s="158">
        <f>D18*VLOOKUP(C18,Projeto!$A$10:$D$13,4,FALSE)</f>
        <v>176467446.5369038</v>
      </c>
      <c r="F18" s="158">
        <f>D18*VLOOKUP(C18,Dados!$A$41:$D$44,4,FALSE)</f>
        <v>108364247.2321492</v>
      </c>
      <c r="G18" s="158">
        <f t="shared" si="0"/>
        <v>43345698.892859682</v>
      </c>
      <c r="H18" s="158">
        <f>VLOOKUP(C18,Dados!$A$27:$D$30,4,FALSE)*D18</f>
        <v>22036372.386295862</v>
      </c>
    </row>
    <row r="19" spans="1:8" x14ac:dyDescent="0.25">
      <c r="A19" s="34" t="s">
        <v>54</v>
      </c>
      <c r="B19" s="34" t="s">
        <v>38</v>
      </c>
      <c r="C19" s="34" t="s">
        <v>23</v>
      </c>
      <c r="D19" s="159">
        <f>VLOOKUP(A19,Projeto!$B$36:$D$47,3,FALSE)*VLOOKUP(B19,Projeto!$A$20:$D$24,4,FALSE)*VLOOKUP(B19,Projeto!$A$20:$I$24,MATCH(C19,Projeto!$A$19:$H$19,0),FALSE)</f>
        <v>344060.99052093353</v>
      </c>
      <c r="E19" s="158">
        <f>D19*VLOOKUP(C19,Projeto!$A$10:$D$13,4,FALSE)</f>
        <v>275248792.4167468</v>
      </c>
      <c r="F19" s="158">
        <f>D19*VLOOKUP(C19,Dados!$A$41:$D$44,4,FALSE)</f>
        <v>169023402.2033138</v>
      </c>
      <c r="G19" s="158">
        <f t="shared" si="0"/>
        <v>67609360.881325528</v>
      </c>
      <c r="H19" s="158">
        <f>VLOOKUP(C19,Dados!$A$27:$D$30,4,FALSE)*D19</f>
        <v>34371692.953041263</v>
      </c>
    </row>
    <row r="20" spans="1:8" x14ac:dyDescent="0.25">
      <c r="A20" s="34" t="s">
        <v>54</v>
      </c>
      <c r="B20" s="34" t="s">
        <v>40</v>
      </c>
      <c r="C20" s="34" t="s">
        <v>23</v>
      </c>
      <c r="D20" s="159">
        <f>VLOOKUP(A20,Projeto!$B$36:$D$47,3,FALSE)*VLOOKUP(B20,Projeto!$A$20:$D$24,4,FALSE)*VLOOKUP(B20,Projeto!$A$20:$I$24,MATCH(C20,Projeto!$A$19:$H$19,0),FALSE)</f>
        <v>46810.99119711767</v>
      </c>
      <c r="E20" s="158">
        <f>D20*VLOOKUP(C20,Projeto!$A$10:$D$13,4,FALSE)</f>
        <v>37448792.957694136</v>
      </c>
      <c r="F20" s="158">
        <f>D20*VLOOKUP(C20,Dados!$A$41:$D$44,4,FALSE)</f>
        <v>22996367.535496026</v>
      </c>
      <c r="G20" s="158">
        <f t="shared" si="0"/>
        <v>9198547.0141984113</v>
      </c>
      <c r="H20" s="158">
        <f>VLOOKUP(C20,Dados!$A$27:$D$30,4,FALSE)*D20</f>
        <v>4676418.0205920553</v>
      </c>
    </row>
    <row r="21" spans="1:8" x14ac:dyDescent="0.25">
      <c r="A21" s="34" t="s">
        <v>54</v>
      </c>
      <c r="B21" s="34" t="s">
        <v>42</v>
      </c>
      <c r="C21" s="34" t="s">
        <v>23</v>
      </c>
      <c r="D21" s="159">
        <f>VLOOKUP(A21,Projeto!$B$36:$D$47,3,FALSE)*VLOOKUP(B21,Projeto!$A$20:$D$24,4,FALSE)*VLOOKUP(B21,Projeto!$A$20:$I$24,MATCH(C21,Projeto!$A$19:$H$19,0),FALSE)</f>
        <v>104494.67678680498</v>
      </c>
      <c r="E21" s="158">
        <f>D21*VLOOKUP(C21,Projeto!$A$10:$D$13,4,FALSE)</f>
        <v>83595741.429443985</v>
      </c>
      <c r="F21" s="158">
        <f>D21*VLOOKUP(C21,Dados!$A$41:$D$44,4,FALSE)</f>
        <v>51334054.918285809</v>
      </c>
      <c r="G21" s="158">
        <f t="shared" si="0"/>
        <v>20533621.967314325</v>
      </c>
      <c r="H21" s="158">
        <f>VLOOKUP(C21,Dados!$A$27:$D$30,4,FALSE)*D21</f>
        <v>10439018.211001817</v>
      </c>
    </row>
    <row r="22" spans="1:8" x14ac:dyDescent="0.25">
      <c r="A22" s="34" t="s">
        <v>55</v>
      </c>
      <c r="B22" s="34" t="s">
        <v>34</v>
      </c>
      <c r="C22" s="34" t="s">
        <v>10</v>
      </c>
      <c r="D22" s="159">
        <f>VLOOKUP(A22,Projeto!$B$36:$D$47,3,FALSE)*VLOOKUP(B22,Projeto!$A$20:$D$24,4,FALSE)*VLOOKUP(B22,Projeto!$A$20:$I$24,MATCH(C22,Projeto!$A$19:$H$19,0),FALSE)</f>
        <v>10534.471669782439</v>
      </c>
      <c r="E22" s="158">
        <f>D22*VLOOKUP(C22,Projeto!$A$10:$D$13,4,FALSE)</f>
        <v>126413660.03738926</v>
      </c>
      <c r="F22" s="158">
        <f>D22*VLOOKUP(C22,Dados!$A$41:$D$44,4,FALSE)</f>
        <v>64891924.106993034</v>
      </c>
      <c r="G22" s="158">
        <f t="shared" si="0"/>
        <v>25956769.642797217</v>
      </c>
      <c r="H22" s="158">
        <f>VLOOKUP(C22,Dados!$A$27:$D$30,4,FALSE)*D22</f>
        <v>2316530.3201851584</v>
      </c>
    </row>
    <row r="23" spans="1:8" x14ac:dyDescent="0.25">
      <c r="A23" s="34" t="s">
        <v>55</v>
      </c>
      <c r="B23" s="34" t="s">
        <v>36</v>
      </c>
      <c r="C23" s="34" t="s">
        <v>10</v>
      </c>
      <c r="D23" s="159">
        <f>VLOOKUP(A23,Projeto!$B$36:$D$47,3,FALSE)*VLOOKUP(B23,Projeto!$A$20:$D$24,4,FALSE)*VLOOKUP(B23,Projeto!$A$20:$I$24,MATCH(C23,Projeto!$A$19:$H$19,0),FALSE)</f>
        <v>39804.687188775286</v>
      </c>
      <c r="E23" s="158">
        <f>D23*VLOOKUP(C23,Projeto!$A$10:$D$13,4,FALSE)</f>
        <v>477656246.26530343</v>
      </c>
      <c r="F23" s="158">
        <f>D23*VLOOKUP(C23,Dados!$A$41:$D$44,4,FALSE)</f>
        <v>245195280.89536822</v>
      </c>
      <c r="G23" s="158">
        <f t="shared" si="0"/>
        <v>98078112.358147293</v>
      </c>
      <c r="H23" s="158">
        <f>VLOOKUP(C23,Dados!$A$27:$D$30,4,FALSE)*D23</f>
        <v>8753050.7128116861</v>
      </c>
    </row>
    <row r="24" spans="1:8" x14ac:dyDescent="0.25">
      <c r="A24" s="34" t="s">
        <v>55</v>
      </c>
      <c r="B24" s="34" t="s">
        <v>38</v>
      </c>
      <c r="C24" s="34" t="s">
        <v>10</v>
      </c>
      <c r="D24" s="159">
        <f>VLOOKUP(A24,Projeto!$B$36:$D$47,3,FALSE)*VLOOKUP(B24,Projeto!$A$20:$D$24,4,FALSE)*VLOOKUP(B24,Projeto!$A$20:$I$24,MATCH(C24,Projeto!$A$19:$H$19,0),FALSE)</f>
        <v>6411.0743575329216</v>
      </c>
      <c r="E24" s="158">
        <f>D24*VLOOKUP(C24,Projeto!$A$10:$D$13,4,FALSE)</f>
        <v>76932892.290395066</v>
      </c>
      <c r="F24" s="158">
        <f>D24*VLOOKUP(C24,Dados!$A$41:$D$44,4,FALSE)</f>
        <v>39491961.599428497</v>
      </c>
      <c r="G24" s="158">
        <f t="shared" si="0"/>
        <v>15796784.6397714</v>
      </c>
      <c r="H24" s="158">
        <f>VLOOKUP(C24,Dados!$A$27:$D$30,4,FALSE)*D24</f>
        <v>1409795.2512214894</v>
      </c>
    </row>
    <row r="25" spans="1:8" x14ac:dyDescent="0.25">
      <c r="A25" s="34" t="s">
        <v>55</v>
      </c>
      <c r="B25" s="34" t="s">
        <v>40</v>
      </c>
      <c r="C25" s="34" t="s">
        <v>10</v>
      </c>
      <c r="D25" s="159">
        <f>VLOOKUP(A25,Projeto!$B$36:$D$47,3,FALSE)*VLOOKUP(B25,Projeto!$A$20:$D$24,4,FALSE)*VLOOKUP(B25,Projeto!$A$20:$I$24,MATCH(C25,Projeto!$A$19:$H$19,0),FALSE)</f>
        <v>9553.2635096158501</v>
      </c>
      <c r="E25" s="158">
        <f>D25*VLOOKUP(C25,Projeto!$A$10:$D$13,4,FALSE)</f>
        <v>114639162.1153902</v>
      </c>
      <c r="F25" s="158">
        <f>D25*VLOOKUP(C25,Dados!$A$41:$D$44,4,FALSE)</f>
        <v>58847721.088693254</v>
      </c>
      <c r="G25" s="158">
        <f t="shared" si="0"/>
        <v>23539088.435477301</v>
      </c>
      <c r="H25" s="158">
        <f>VLOOKUP(C25,Dados!$A$27:$D$30,4,FALSE)*D25</f>
        <v>2100762.6457645255</v>
      </c>
    </row>
    <row r="26" spans="1:8" x14ac:dyDescent="0.25">
      <c r="A26" s="34" t="s">
        <v>55</v>
      </c>
      <c r="B26" s="34" t="s">
        <v>42</v>
      </c>
      <c r="C26" s="34" t="s">
        <v>10</v>
      </c>
      <c r="D26" s="159">
        <f>VLOOKUP(A26,Projeto!$B$36:$D$47,3,FALSE)*VLOOKUP(B26,Projeto!$A$20:$D$24,4,FALSE)*VLOOKUP(B26,Projeto!$A$20:$I$24,MATCH(C26,Projeto!$A$19:$H$19,0),FALSE)</f>
        <v>2035.6105867559409</v>
      </c>
      <c r="E26" s="158">
        <f>D26*VLOOKUP(C26,Projeto!$A$10:$D$13,4,FALSE)</f>
        <v>24427327.041071292</v>
      </c>
      <c r="F26" s="158">
        <f>D26*VLOOKUP(C26,Dados!$A$41:$D$44,4,FALSE)</f>
        <v>12539279.789993126</v>
      </c>
      <c r="G26" s="158">
        <f t="shared" si="0"/>
        <v>5015711.9159972509</v>
      </c>
      <c r="H26" s="158">
        <f>VLOOKUP(C26,Dados!$A$27:$D$30,4,FALSE)*D26</f>
        <v>447630.76802763139</v>
      </c>
    </row>
    <row r="27" spans="1:8" x14ac:dyDescent="0.25">
      <c r="A27" s="34" t="s">
        <v>55</v>
      </c>
      <c r="B27" s="34" t="s">
        <v>34</v>
      </c>
      <c r="C27" s="34" t="s">
        <v>15</v>
      </c>
      <c r="D27" s="159">
        <f>VLOOKUP(A27,Projeto!$B$36:$D$47,3,FALSE)*VLOOKUP(B27,Projeto!$A$20:$D$24,4,FALSE)*VLOOKUP(B27,Projeto!$A$20:$I$24,MATCH(C27,Projeto!$A$19:$H$19,0),FALSE)</f>
        <v>94810.245028041958</v>
      </c>
      <c r="E27" s="158">
        <f>D27*VLOOKUP(C27,Projeto!$A$10:$D$13,4,FALSE)</f>
        <v>711076837.71031463</v>
      </c>
      <c r="F27" s="158">
        <f>D27*VLOOKUP(C27,Dados!$A$41:$D$44,4,FALSE)</f>
        <v>264450424.04691634</v>
      </c>
      <c r="G27" s="158">
        <f t="shared" si="0"/>
        <v>79335127.214074895</v>
      </c>
      <c r="H27" s="158">
        <f>VLOOKUP(C27,Dados!$A$27:$D$30,4,FALSE)*D27</f>
        <v>14212055.72970349</v>
      </c>
    </row>
    <row r="28" spans="1:8" x14ac:dyDescent="0.25">
      <c r="A28" s="34" t="s">
        <v>55</v>
      </c>
      <c r="B28" s="34" t="s">
        <v>36</v>
      </c>
      <c r="C28" s="34" t="s">
        <v>15</v>
      </c>
      <c r="D28" s="159">
        <f>VLOOKUP(A28,Projeto!$B$36:$D$47,3,FALSE)*VLOOKUP(B28,Projeto!$A$20:$D$24,4,FALSE)*VLOOKUP(B28,Projeto!$A$20:$I$24,MATCH(C28,Projeto!$A$19:$H$19,0),FALSE)</f>
        <v>268681.63852423319</v>
      </c>
      <c r="E28" s="158">
        <f>D28*VLOOKUP(C28,Projeto!$A$10:$D$13,4,FALSE)</f>
        <v>2015112288.9317489</v>
      </c>
      <c r="F28" s="158">
        <f>D28*VLOOKUP(C28,Dados!$A$41:$D$44,4,FALSE)</f>
        <v>749422947.07010269</v>
      </c>
      <c r="G28" s="158">
        <f t="shared" si="0"/>
        <v>224826884.12103081</v>
      </c>
      <c r="H28" s="158">
        <f>VLOOKUP(C28,Dados!$A$27:$D$30,4,FALSE)*D28</f>
        <v>40275377.614782557</v>
      </c>
    </row>
    <row r="29" spans="1:8" x14ac:dyDescent="0.25">
      <c r="A29" s="34" t="s">
        <v>55</v>
      </c>
      <c r="B29" s="34" t="s">
        <v>38</v>
      </c>
      <c r="C29" s="34" t="s">
        <v>15</v>
      </c>
      <c r="D29" s="159">
        <f>VLOOKUP(A29,Projeto!$B$36:$D$47,3,FALSE)*VLOOKUP(B29,Projeto!$A$20:$D$24,4,FALSE)*VLOOKUP(B29,Projeto!$A$20:$I$24,MATCH(C29,Projeto!$A$19:$H$19,0),FALSE)</f>
        <v>76932.892290395059</v>
      </c>
      <c r="E29" s="158">
        <f>D29*VLOOKUP(C29,Projeto!$A$10:$D$13,4,FALSE)</f>
        <v>576996692.1779629</v>
      </c>
      <c r="F29" s="158">
        <f>D29*VLOOKUP(C29,Dados!$A$41:$D$44,4,FALSE)</f>
        <v>214585839.14990735</v>
      </c>
      <c r="G29" s="158">
        <f t="shared" si="0"/>
        <v>64375751.744972199</v>
      </c>
      <c r="H29" s="158">
        <f>VLOOKUP(C29,Dados!$A$27:$D$30,4,FALSE)*D29</f>
        <v>11532240.55433022</v>
      </c>
    </row>
    <row r="30" spans="1:8" x14ac:dyDescent="0.25">
      <c r="A30" s="34" t="s">
        <v>55</v>
      </c>
      <c r="B30" s="34" t="s">
        <v>40</v>
      </c>
      <c r="C30" s="34" t="s">
        <v>15</v>
      </c>
      <c r="D30" s="159">
        <f>VLOOKUP(A30,Projeto!$B$36:$D$47,3,FALSE)*VLOOKUP(B30,Projeto!$A$20:$D$24,4,FALSE)*VLOOKUP(B30,Projeto!$A$20:$I$24,MATCH(C30,Projeto!$A$19:$H$19,0),FALSE)</f>
        <v>45855.664846156076</v>
      </c>
      <c r="E30" s="158">
        <f>D30*VLOOKUP(C30,Projeto!$A$10:$D$13,4,FALSE)</f>
        <v>343917486.34617054</v>
      </c>
      <c r="F30" s="158">
        <f>D30*VLOOKUP(C30,Dados!$A$41:$D$44,4,FALSE)</f>
        <v>127903371.72878931</v>
      </c>
      <c r="G30" s="158">
        <f t="shared" si="0"/>
        <v>38371011.518636793</v>
      </c>
      <c r="H30" s="158">
        <f>VLOOKUP(C30,Dados!$A$27:$D$30,4,FALSE)*D30</f>
        <v>6873764.1604387965</v>
      </c>
    </row>
    <row r="31" spans="1:8" x14ac:dyDescent="0.25">
      <c r="A31" s="34" t="s">
        <v>55</v>
      </c>
      <c r="B31" s="34" t="s">
        <v>42</v>
      </c>
      <c r="C31" s="34" t="s">
        <v>15</v>
      </c>
      <c r="D31" s="159">
        <f>VLOOKUP(A31,Projeto!$B$36:$D$47,3,FALSE)*VLOOKUP(B31,Projeto!$A$20:$D$24,4,FALSE)*VLOOKUP(B31,Projeto!$A$20:$I$24,MATCH(C31,Projeto!$A$19:$H$19,0),FALSE)</f>
        <v>24427.327041071287</v>
      </c>
      <c r="E31" s="158">
        <f>D31*VLOOKUP(C31,Projeto!$A$10:$D$13,4,FALSE)</f>
        <v>183204952.80803466</v>
      </c>
      <c r="F31" s="158">
        <f>D31*VLOOKUP(C31,Dados!$A$41:$D$44,4,FALSE)</f>
        <v>68134166.222578496</v>
      </c>
      <c r="G31" s="158">
        <f t="shared" si="0"/>
        <v>20440249.866773549</v>
      </c>
      <c r="H31" s="158">
        <f>VLOOKUP(C31,Dados!$A$27:$D$30,4,FALSE)*D31</f>
        <v>3661656.3234565859</v>
      </c>
    </row>
    <row r="32" spans="1:8" x14ac:dyDescent="0.25">
      <c r="A32" s="34" t="s">
        <v>55</v>
      </c>
      <c r="B32" s="34" t="s">
        <v>34</v>
      </c>
      <c r="C32" s="34" t="s">
        <v>19</v>
      </c>
      <c r="D32" s="159">
        <f>VLOOKUP(A32,Projeto!$B$36:$D$47,3,FALSE)*VLOOKUP(B32,Projeto!$A$20:$D$24,4,FALSE)*VLOOKUP(B32,Projeto!$A$20:$I$24,MATCH(C32,Projeto!$A$19:$H$19,0),FALSE)</f>
        <v>175574.52782970731</v>
      </c>
      <c r="E32" s="158">
        <f>D32*VLOOKUP(C32,Projeto!$A$10:$D$13,4,FALSE)</f>
        <v>280919244.52753168</v>
      </c>
      <c r="F32" s="158">
        <f>D32*VLOOKUP(C32,Dados!$A$41:$D$44,4,FALSE)</f>
        <v>156436904.29626921</v>
      </c>
      <c r="G32" s="158">
        <f t="shared" si="0"/>
        <v>46931071.288880758</v>
      </c>
      <c r="H32" s="158">
        <f>VLOOKUP(C32,Dados!$A$27:$D$30,4,FALSE)*D32</f>
        <v>10516914.216999467</v>
      </c>
    </row>
    <row r="33" spans="1:8" x14ac:dyDescent="0.25">
      <c r="A33" s="34" t="s">
        <v>55</v>
      </c>
      <c r="B33" s="34" t="s">
        <v>36</v>
      </c>
      <c r="C33" s="34" t="s">
        <v>19</v>
      </c>
      <c r="D33" s="159">
        <f>VLOOKUP(A33,Projeto!$B$36:$D$47,3,FALSE)*VLOOKUP(B33,Projeto!$A$20:$D$24,4,FALSE)*VLOOKUP(B33,Projeto!$A$20:$I$24,MATCH(C33,Projeto!$A$19:$H$19,0),FALSE)</f>
        <v>497558.58985969104</v>
      </c>
      <c r="E33" s="158">
        <f>D33*VLOOKUP(C33,Projeto!$A$10:$D$13,4,FALSE)</f>
        <v>796093743.77550566</v>
      </c>
      <c r="F33" s="158">
        <f>D33*VLOOKUP(C33,Dados!$A$41:$D$44,4,FALSE)</f>
        <v>443324703.56498474</v>
      </c>
      <c r="G33" s="158">
        <f t="shared" si="0"/>
        <v>132997411.06949541</v>
      </c>
      <c r="H33" s="158">
        <f>VLOOKUP(C33,Dados!$A$27:$D$30,4,FALSE)*D33</f>
        <v>29803759.532595493</v>
      </c>
    </row>
    <row r="34" spans="1:8" x14ac:dyDescent="0.25">
      <c r="A34" s="34" t="s">
        <v>55</v>
      </c>
      <c r="B34" s="34" t="s">
        <v>38</v>
      </c>
      <c r="C34" s="34" t="s">
        <v>19</v>
      </c>
      <c r="D34" s="159">
        <f>VLOOKUP(A34,Projeto!$B$36:$D$47,3,FALSE)*VLOOKUP(B34,Projeto!$A$20:$D$24,4,FALSE)*VLOOKUP(B34,Projeto!$A$20:$I$24,MATCH(C34,Projeto!$A$19:$H$19,0),FALSE)</f>
        <v>262854.04865884979</v>
      </c>
      <c r="E34" s="158">
        <f>D34*VLOOKUP(C34,Projeto!$A$10:$D$13,4,FALSE)</f>
        <v>420566477.85415965</v>
      </c>
      <c r="F34" s="158">
        <f>D34*VLOOKUP(C34,Dados!$A$41:$D$44,4,FALSE)</f>
        <v>234202957.35503516</v>
      </c>
      <c r="G34" s="158">
        <f t="shared" si="0"/>
        <v>70260887.206510544</v>
      </c>
      <c r="H34" s="158">
        <f>VLOOKUP(C34,Dados!$A$27:$D$30,4,FALSE)*D34</f>
        <v>15744957.514665103</v>
      </c>
    </row>
    <row r="35" spans="1:8" x14ac:dyDescent="0.25">
      <c r="A35" s="34" t="s">
        <v>55</v>
      </c>
      <c r="B35" s="34" t="s">
        <v>40</v>
      </c>
      <c r="C35" s="34" t="s">
        <v>19</v>
      </c>
      <c r="D35" s="159">
        <f>VLOOKUP(A35,Projeto!$B$36:$D$47,3,FALSE)*VLOOKUP(B35,Projeto!$A$20:$D$24,4,FALSE)*VLOOKUP(B35,Projeto!$A$20:$I$24,MATCH(C35,Projeto!$A$19:$H$19,0),FALSE)</f>
        <v>95532.635096158498</v>
      </c>
      <c r="E35" s="158">
        <f>D35*VLOOKUP(C35,Projeto!$A$10:$D$13,4,FALSE)</f>
        <v>152852216.1538536</v>
      </c>
      <c r="F35" s="158">
        <f>D35*VLOOKUP(C35,Dados!$A$41:$D$44,4,FALSE)</f>
        <v>85119577.870677218</v>
      </c>
      <c r="G35" s="158">
        <f t="shared" si="0"/>
        <v>25535873.361203164</v>
      </c>
      <c r="H35" s="158">
        <f>VLOOKUP(C35,Dados!$A$27:$D$30,4,FALSE)*D35</f>
        <v>5722404.8422598941</v>
      </c>
    </row>
    <row r="36" spans="1:8" x14ac:dyDescent="0.25">
      <c r="A36" s="34" t="s">
        <v>55</v>
      </c>
      <c r="B36" s="34" t="s">
        <v>42</v>
      </c>
      <c r="C36" s="34" t="s">
        <v>19</v>
      </c>
      <c r="D36" s="159">
        <f>VLOOKUP(A36,Projeto!$B$36:$D$47,3,FALSE)*VLOOKUP(B36,Projeto!$A$20:$D$24,4,FALSE)*VLOOKUP(B36,Projeto!$A$20:$I$24,MATCH(C36,Projeto!$A$19:$H$19,0),FALSE)</f>
        <v>87531.255230505456</v>
      </c>
      <c r="E36" s="158">
        <f>D36*VLOOKUP(C36,Projeto!$A$10:$D$13,4,FALSE)</f>
        <v>140050008.36880872</v>
      </c>
      <c r="F36" s="158">
        <f>D36*VLOOKUP(C36,Dados!$A$41:$D$44,4,FALSE)</f>
        <v>77990348.410380363</v>
      </c>
      <c r="G36" s="158">
        <f t="shared" si="0"/>
        <v>23397104.523114108</v>
      </c>
      <c r="H36" s="158">
        <f>VLOOKUP(C36,Dados!$A$27:$D$30,4,FALSE)*D36</f>
        <v>5243122.1883072769</v>
      </c>
    </row>
    <row r="37" spans="1:8" x14ac:dyDescent="0.25">
      <c r="A37" s="34" t="s">
        <v>55</v>
      </c>
      <c r="B37" s="34" t="s">
        <v>34</v>
      </c>
      <c r="C37" s="34" t="s">
        <v>23</v>
      </c>
      <c r="D37" s="159">
        <f>VLOOKUP(A37,Projeto!$B$36:$D$47,3,FALSE)*VLOOKUP(B37,Projeto!$A$20:$D$24,4,FALSE)*VLOOKUP(B37,Projeto!$A$20:$I$24,MATCH(C37,Projeto!$A$19:$H$19,0),FALSE)</f>
        <v>70229.811131882932</v>
      </c>
      <c r="E37" s="158">
        <f>D37*VLOOKUP(C37,Projeto!$A$10:$D$13,4,FALSE)</f>
        <v>56183848.905506343</v>
      </c>
      <c r="F37" s="158">
        <f>D37*VLOOKUP(C37,Dados!$A$41:$D$44,4,FALSE)</f>
        <v>34501097.016648807</v>
      </c>
      <c r="G37" s="158">
        <f t="shared" si="0"/>
        <v>13800438.806659523</v>
      </c>
      <c r="H37" s="158">
        <f>VLOOKUP(C37,Dados!$A$27:$D$30,4,FALSE)*D37</f>
        <v>7015958.1320751058</v>
      </c>
    </row>
    <row r="38" spans="1:8" x14ac:dyDescent="0.25">
      <c r="A38" s="34" t="s">
        <v>55</v>
      </c>
      <c r="B38" s="34" t="s">
        <v>36</v>
      </c>
      <c r="C38" s="34" t="s">
        <v>23</v>
      </c>
      <c r="D38" s="159">
        <f>VLOOKUP(A38,Projeto!$B$36:$D$47,3,FALSE)*VLOOKUP(B38,Projeto!$A$20:$D$24,4,FALSE)*VLOOKUP(B38,Projeto!$A$20:$I$24,MATCH(C38,Projeto!$A$19:$H$19,0),FALSE)</f>
        <v>189072.2641466826</v>
      </c>
      <c r="E38" s="158">
        <f>D38*VLOOKUP(C38,Projeto!$A$10:$D$13,4,FALSE)</f>
        <v>151257811.3173461</v>
      </c>
      <c r="F38" s="158">
        <f>D38*VLOOKUP(C38,Dados!$A$41:$D$44,4,FALSE)</f>
        <v>92883640.484699294</v>
      </c>
      <c r="G38" s="158">
        <f t="shared" si="0"/>
        <v>37153456.193879716</v>
      </c>
      <c r="H38" s="158">
        <f>VLOOKUP(C38,Dados!$A$27:$D$30,4,FALSE)*D38</f>
        <v>18888319.188253593</v>
      </c>
    </row>
    <row r="39" spans="1:8" x14ac:dyDescent="0.25">
      <c r="A39" s="34" t="s">
        <v>55</v>
      </c>
      <c r="B39" s="34" t="s">
        <v>38</v>
      </c>
      <c r="C39" s="34" t="s">
        <v>23</v>
      </c>
      <c r="D39" s="159">
        <f>VLOOKUP(A39,Projeto!$B$36:$D$47,3,FALSE)*VLOOKUP(B39,Projeto!$A$20:$D$24,4,FALSE)*VLOOKUP(B39,Projeto!$A$20:$I$24,MATCH(C39,Projeto!$A$19:$H$19,0),FALSE)</f>
        <v>294909.42044651438</v>
      </c>
      <c r="E39" s="158">
        <f>D39*VLOOKUP(C39,Projeto!$A$10:$D$13,4,FALSE)</f>
        <v>235927536.3572115</v>
      </c>
      <c r="F39" s="158">
        <f>D39*VLOOKUP(C39,Dados!$A$41:$D$44,4,FALSE)</f>
        <v>144877201.88855466</v>
      </c>
      <c r="G39" s="158">
        <f t="shared" si="0"/>
        <v>57950880.755421869</v>
      </c>
      <c r="H39" s="158">
        <f>VLOOKUP(C39,Dados!$A$27:$D$30,4,FALSE)*D39</f>
        <v>29461451.102606788</v>
      </c>
    </row>
    <row r="40" spans="1:8" x14ac:dyDescent="0.25">
      <c r="A40" s="34" t="s">
        <v>55</v>
      </c>
      <c r="B40" s="34" t="s">
        <v>40</v>
      </c>
      <c r="C40" s="34" t="s">
        <v>23</v>
      </c>
      <c r="D40" s="159">
        <f>VLOOKUP(A40,Projeto!$B$36:$D$47,3,FALSE)*VLOOKUP(B40,Projeto!$A$20:$D$24,4,FALSE)*VLOOKUP(B40,Projeto!$A$20:$I$24,MATCH(C40,Projeto!$A$19:$H$19,0),FALSE)</f>
        <v>40123.706740386566</v>
      </c>
      <c r="E40" s="158">
        <f>D40*VLOOKUP(C40,Projeto!$A$10:$D$13,4,FALSE)</f>
        <v>32098965.392309252</v>
      </c>
      <c r="F40" s="158">
        <f>D40*VLOOKUP(C40,Dados!$A$41:$D$44,4,FALSE)</f>
        <v>19711172.173282303</v>
      </c>
      <c r="G40" s="158">
        <f t="shared" si="0"/>
        <v>7884468.8693129215</v>
      </c>
      <c r="H40" s="158">
        <f>VLOOKUP(C40,Dados!$A$27:$D$30,4,FALSE)*D40</f>
        <v>4008358.3033646182</v>
      </c>
    </row>
    <row r="41" spans="1:8" x14ac:dyDescent="0.25">
      <c r="A41" s="34" t="s">
        <v>55</v>
      </c>
      <c r="B41" s="34" t="s">
        <v>42</v>
      </c>
      <c r="C41" s="34" t="s">
        <v>23</v>
      </c>
      <c r="D41" s="159">
        <f>VLOOKUP(A41,Projeto!$B$36:$D$47,3,FALSE)*VLOOKUP(B41,Projeto!$A$20:$D$24,4,FALSE)*VLOOKUP(B41,Projeto!$A$20:$I$24,MATCH(C41,Projeto!$A$19:$H$19,0),FALSE)</f>
        <v>89566.865817261394</v>
      </c>
      <c r="E41" s="158">
        <f>D41*VLOOKUP(C41,Projeto!$A$10:$D$13,4,FALSE)</f>
        <v>71653492.653809115</v>
      </c>
      <c r="F41" s="158">
        <f>D41*VLOOKUP(C41,Dados!$A$41:$D$44,4,FALSE)</f>
        <v>44000618.501387835</v>
      </c>
      <c r="G41" s="158">
        <f t="shared" si="0"/>
        <v>17600247.400555134</v>
      </c>
      <c r="H41" s="158">
        <f>VLOOKUP(C41,Dados!$A$27:$D$30,4,FALSE)*D41</f>
        <v>8947729.8951444142</v>
      </c>
    </row>
    <row r="42" spans="1:8" x14ac:dyDescent="0.25">
      <c r="A42" s="34" t="s">
        <v>56</v>
      </c>
      <c r="B42" s="34" t="s">
        <v>34</v>
      </c>
      <c r="C42" s="34" t="s">
        <v>10</v>
      </c>
      <c r="D42" s="159">
        <f>VLOOKUP(A42,Projeto!$B$36:$D$47,3,FALSE)*VLOOKUP(B42,Projeto!$A$20:$D$24,4,FALSE)*VLOOKUP(B42,Projeto!$A$20:$I$24,MATCH(C42,Projeto!$A$19:$H$19,0),FALSE)</f>
        <v>10534.471669782439</v>
      </c>
      <c r="E42" s="158">
        <f>D42*VLOOKUP(C42,Projeto!$A$10:$D$13,4,FALSE)</f>
        <v>126413660.03738926</v>
      </c>
      <c r="F42" s="158">
        <f>D42*VLOOKUP(C42,Dados!$A$41:$D$44,4,FALSE)</f>
        <v>64891924.106993034</v>
      </c>
      <c r="G42" s="158">
        <f t="shared" si="0"/>
        <v>25956769.642797217</v>
      </c>
      <c r="H42" s="158">
        <f>VLOOKUP(C42,Dados!$A$27:$D$30,4,FALSE)*D42</f>
        <v>2316530.3201851584</v>
      </c>
    </row>
    <row r="43" spans="1:8" x14ac:dyDescent="0.25">
      <c r="A43" s="34" t="s">
        <v>56</v>
      </c>
      <c r="B43" s="34" t="s">
        <v>36</v>
      </c>
      <c r="C43" s="34" t="s">
        <v>10</v>
      </c>
      <c r="D43" s="159">
        <f>VLOOKUP(A43,Projeto!$B$36:$D$47,3,FALSE)*VLOOKUP(B43,Projeto!$A$20:$D$24,4,FALSE)*VLOOKUP(B43,Projeto!$A$20:$I$24,MATCH(C43,Projeto!$A$19:$H$19,0),FALSE)</f>
        <v>39804.687188775286</v>
      </c>
      <c r="E43" s="158">
        <f>D43*VLOOKUP(C43,Projeto!$A$10:$D$13,4,FALSE)</f>
        <v>477656246.26530343</v>
      </c>
      <c r="F43" s="158">
        <f>D43*VLOOKUP(C43,Dados!$A$41:$D$44,4,FALSE)</f>
        <v>245195280.89536822</v>
      </c>
      <c r="G43" s="158">
        <f t="shared" si="0"/>
        <v>98078112.358147293</v>
      </c>
      <c r="H43" s="158">
        <f>VLOOKUP(C43,Dados!$A$27:$D$30,4,FALSE)*D43</f>
        <v>8753050.7128116861</v>
      </c>
    </row>
    <row r="44" spans="1:8" x14ac:dyDescent="0.25">
      <c r="A44" s="34" t="s">
        <v>56</v>
      </c>
      <c r="B44" s="34" t="s">
        <v>38</v>
      </c>
      <c r="C44" s="34" t="s">
        <v>10</v>
      </c>
      <c r="D44" s="159">
        <f>VLOOKUP(A44,Projeto!$B$36:$D$47,3,FALSE)*VLOOKUP(B44,Projeto!$A$20:$D$24,4,FALSE)*VLOOKUP(B44,Projeto!$A$20:$I$24,MATCH(C44,Projeto!$A$19:$H$19,0),FALSE)</f>
        <v>6411.0743575329216</v>
      </c>
      <c r="E44" s="158">
        <f>D44*VLOOKUP(C44,Projeto!$A$10:$D$13,4,FALSE)</f>
        <v>76932892.290395066</v>
      </c>
      <c r="F44" s="158">
        <f>D44*VLOOKUP(C44,Dados!$A$41:$D$44,4,FALSE)</f>
        <v>39491961.599428497</v>
      </c>
      <c r="G44" s="158">
        <f t="shared" si="0"/>
        <v>15796784.6397714</v>
      </c>
      <c r="H44" s="158">
        <f>VLOOKUP(C44,Dados!$A$27:$D$30,4,FALSE)*D44</f>
        <v>1409795.2512214894</v>
      </c>
    </row>
    <row r="45" spans="1:8" x14ac:dyDescent="0.25">
      <c r="A45" s="34" t="s">
        <v>56</v>
      </c>
      <c r="B45" s="34" t="s">
        <v>40</v>
      </c>
      <c r="C45" s="34" t="s">
        <v>10</v>
      </c>
      <c r="D45" s="159">
        <f>VLOOKUP(A45,Projeto!$B$36:$D$47,3,FALSE)*VLOOKUP(B45,Projeto!$A$20:$D$24,4,FALSE)*VLOOKUP(B45,Projeto!$A$20:$I$24,MATCH(C45,Projeto!$A$19:$H$19,0),FALSE)</f>
        <v>9553.2635096158501</v>
      </c>
      <c r="E45" s="158">
        <f>D45*VLOOKUP(C45,Projeto!$A$10:$D$13,4,FALSE)</f>
        <v>114639162.1153902</v>
      </c>
      <c r="F45" s="158">
        <f>D45*VLOOKUP(C45,Dados!$A$41:$D$44,4,FALSE)</f>
        <v>58847721.088693254</v>
      </c>
      <c r="G45" s="158">
        <f t="shared" si="0"/>
        <v>23539088.435477301</v>
      </c>
      <c r="H45" s="158">
        <f>VLOOKUP(C45,Dados!$A$27:$D$30,4,FALSE)*D45</f>
        <v>2100762.6457645255</v>
      </c>
    </row>
    <row r="46" spans="1:8" x14ac:dyDescent="0.25">
      <c r="A46" s="34" t="s">
        <v>56</v>
      </c>
      <c r="B46" s="34" t="s">
        <v>42</v>
      </c>
      <c r="C46" s="34" t="s">
        <v>10</v>
      </c>
      <c r="D46" s="159">
        <f>VLOOKUP(A46,Projeto!$B$36:$D$47,3,FALSE)*VLOOKUP(B46,Projeto!$A$20:$D$24,4,FALSE)*VLOOKUP(B46,Projeto!$A$20:$I$24,MATCH(C46,Projeto!$A$19:$H$19,0),FALSE)</f>
        <v>2035.6105867559409</v>
      </c>
      <c r="E46" s="158">
        <f>D46*VLOOKUP(C46,Projeto!$A$10:$D$13,4,FALSE)</f>
        <v>24427327.041071292</v>
      </c>
      <c r="F46" s="158">
        <f>D46*VLOOKUP(C46,Dados!$A$41:$D$44,4,FALSE)</f>
        <v>12539279.789993126</v>
      </c>
      <c r="G46" s="158">
        <f t="shared" si="0"/>
        <v>5015711.9159972509</v>
      </c>
      <c r="H46" s="158">
        <f>VLOOKUP(C46,Dados!$A$27:$D$30,4,FALSE)*D46</f>
        <v>447630.76802763139</v>
      </c>
    </row>
    <row r="47" spans="1:8" x14ac:dyDescent="0.25">
      <c r="A47" s="34" t="s">
        <v>56</v>
      </c>
      <c r="B47" s="34" t="s">
        <v>34</v>
      </c>
      <c r="C47" s="34" t="s">
        <v>15</v>
      </c>
      <c r="D47" s="159">
        <f>VLOOKUP(A47,Projeto!$B$36:$D$47,3,FALSE)*VLOOKUP(B47,Projeto!$A$20:$D$24,4,FALSE)*VLOOKUP(B47,Projeto!$A$20:$I$24,MATCH(C47,Projeto!$A$19:$H$19,0),FALSE)</f>
        <v>94810.245028041958</v>
      </c>
      <c r="E47" s="158">
        <f>D47*VLOOKUP(C47,Projeto!$A$10:$D$13,4,FALSE)</f>
        <v>711076837.71031463</v>
      </c>
      <c r="F47" s="158">
        <f>D47*VLOOKUP(C47,Dados!$A$41:$D$44,4,FALSE)</f>
        <v>264450424.04691634</v>
      </c>
      <c r="G47" s="158">
        <f t="shared" si="0"/>
        <v>79335127.214074895</v>
      </c>
      <c r="H47" s="158">
        <f>VLOOKUP(C47,Dados!$A$27:$D$30,4,FALSE)*D47</f>
        <v>14212055.72970349</v>
      </c>
    </row>
    <row r="48" spans="1:8" x14ac:dyDescent="0.25">
      <c r="A48" s="34" t="s">
        <v>56</v>
      </c>
      <c r="B48" s="34" t="s">
        <v>36</v>
      </c>
      <c r="C48" s="34" t="s">
        <v>15</v>
      </c>
      <c r="D48" s="159">
        <f>VLOOKUP(A48,Projeto!$B$36:$D$47,3,FALSE)*VLOOKUP(B48,Projeto!$A$20:$D$24,4,FALSE)*VLOOKUP(B48,Projeto!$A$20:$I$24,MATCH(C48,Projeto!$A$19:$H$19,0),FALSE)</f>
        <v>268681.63852423319</v>
      </c>
      <c r="E48" s="158">
        <f>D48*VLOOKUP(C48,Projeto!$A$10:$D$13,4,FALSE)</f>
        <v>2015112288.9317489</v>
      </c>
      <c r="F48" s="158">
        <f>D48*VLOOKUP(C48,Dados!$A$41:$D$44,4,FALSE)</f>
        <v>749422947.07010269</v>
      </c>
      <c r="G48" s="158">
        <f t="shared" si="0"/>
        <v>224826884.12103081</v>
      </c>
      <c r="H48" s="158">
        <f>VLOOKUP(C48,Dados!$A$27:$D$30,4,FALSE)*D48</f>
        <v>40275377.614782557</v>
      </c>
    </row>
    <row r="49" spans="1:8" x14ac:dyDescent="0.25">
      <c r="A49" s="34" t="s">
        <v>56</v>
      </c>
      <c r="B49" s="34" t="s">
        <v>38</v>
      </c>
      <c r="C49" s="34" t="s">
        <v>15</v>
      </c>
      <c r="D49" s="159">
        <f>VLOOKUP(A49,Projeto!$B$36:$D$47,3,FALSE)*VLOOKUP(B49,Projeto!$A$20:$D$24,4,FALSE)*VLOOKUP(B49,Projeto!$A$20:$I$24,MATCH(C49,Projeto!$A$19:$H$19,0),FALSE)</f>
        <v>76932.892290395059</v>
      </c>
      <c r="E49" s="158">
        <f>D49*VLOOKUP(C49,Projeto!$A$10:$D$13,4,FALSE)</f>
        <v>576996692.1779629</v>
      </c>
      <c r="F49" s="158">
        <f>D49*VLOOKUP(C49,Dados!$A$41:$D$44,4,FALSE)</f>
        <v>214585839.14990735</v>
      </c>
      <c r="G49" s="158">
        <f t="shared" si="0"/>
        <v>64375751.744972199</v>
      </c>
      <c r="H49" s="158">
        <f>VLOOKUP(C49,Dados!$A$27:$D$30,4,FALSE)*D49</f>
        <v>11532240.55433022</v>
      </c>
    </row>
    <row r="50" spans="1:8" x14ac:dyDescent="0.25">
      <c r="A50" s="34" t="s">
        <v>56</v>
      </c>
      <c r="B50" s="34" t="s">
        <v>40</v>
      </c>
      <c r="C50" s="34" t="s">
        <v>15</v>
      </c>
      <c r="D50" s="159">
        <f>VLOOKUP(A50,Projeto!$B$36:$D$47,3,FALSE)*VLOOKUP(B50,Projeto!$A$20:$D$24,4,FALSE)*VLOOKUP(B50,Projeto!$A$20:$I$24,MATCH(C50,Projeto!$A$19:$H$19,0),FALSE)</f>
        <v>45855.664846156076</v>
      </c>
      <c r="E50" s="158">
        <f>D50*VLOOKUP(C50,Projeto!$A$10:$D$13,4,FALSE)</f>
        <v>343917486.34617054</v>
      </c>
      <c r="F50" s="158">
        <f>D50*VLOOKUP(C50,Dados!$A$41:$D$44,4,FALSE)</f>
        <v>127903371.72878931</v>
      </c>
      <c r="G50" s="158">
        <f t="shared" si="0"/>
        <v>38371011.518636793</v>
      </c>
      <c r="H50" s="158">
        <f>VLOOKUP(C50,Dados!$A$27:$D$30,4,FALSE)*D50</f>
        <v>6873764.1604387965</v>
      </c>
    </row>
    <row r="51" spans="1:8" x14ac:dyDescent="0.25">
      <c r="A51" s="34" t="s">
        <v>56</v>
      </c>
      <c r="B51" s="34" t="s">
        <v>42</v>
      </c>
      <c r="C51" s="34" t="s">
        <v>15</v>
      </c>
      <c r="D51" s="159">
        <f>VLOOKUP(A51,Projeto!$B$36:$D$47,3,FALSE)*VLOOKUP(B51,Projeto!$A$20:$D$24,4,FALSE)*VLOOKUP(B51,Projeto!$A$20:$I$24,MATCH(C51,Projeto!$A$19:$H$19,0),FALSE)</f>
        <v>24427.327041071287</v>
      </c>
      <c r="E51" s="158">
        <f>D51*VLOOKUP(C51,Projeto!$A$10:$D$13,4,FALSE)</f>
        <v>183204952.80803466</v>
      </c>
      <c r="F51" s="158">
        <f>D51*VLOOKUP(C51,Dados!$A$41:$D$44,4,FALSE)</f>
        <v>68134166.222578496</v>
      </c>
      <c r="G51" s="158">
        <f t="shared" si="0"/>
        <v>20440249.866773549</v>
      </c>
      <c r="H51" s="158">
        <f>VLOOKUP(C51,Dados!$A$27:$D$30,4,FALSE)*D51</f>
        <v>3661656.3234565859</v>
      </c>
    </row>
    <row r="52" spans="1:8" x14ac:dyDescent="0.25">
      <c r="A52" s="34" t="s">
        <v>56</v>
      </c>
      <c r="B52" s="34" t="s">
        <v>34</v>
      </c>
      <c r="C52" s="34" t="s">
        <v>19</v>
      </c>
      <c r="D52" s="159">
        <f>VLOOKUP(A52,Projeto!$B$36:$D$47,3,FALSE)*VLOOKUP(B52,Projeto!$A$20:$D$24,4,FALSE)*VLOOKUP(B52,Projeto!$A$20:$I$24,MATCH(C52,Projeto!$A$19:$H$19,0),FALSE)</f>
        <v>175574.52782970731</v>
      </c>
      <c r="E52" s="158">
        <f>D52*VLOOKUP(C52,Projeto!$A$10:$D$13,4,FALSE)</f>
        <v>280919244.52753168</v>
      </c>
      <c r="F52" s="158">
        <f>D52*VLOOKUP(C52,Dados!$A$41:$D$44,4,FALSE)</f>
        <v>156436904.29626921</v>
      </c>
      <c r="G52" s="158">
        <f t="shared" si="0"/>
        <v>46931071.288880758</v>
      </c>
      <c r="H52" s="158">
        <f>VLOOKUP(C52,Dados!$A$27:$D$30,4,FALSE)*D52</f>
        <v>10516914.216999467</v>
      </c>
    </row>
    <row r="53" spans="1:8" x14ac:dyDescent="0.25">
      <c r="A53" s="34" t="s">
        <v>56</v>
      </c>
      <c r="B53" s="34" t="s">
        <v>36</v>
      </c>
      <c r="C53" s="34" t="s">
        <v>19</v>
      </c>
      <c r="D53" s="159">
        <f>VLOOKUP(A53,Projeto!$B$36:$D$47,3,FALSE)*VLOOKUP(B53,Projeto!$A$20:$D$24,4,FALSE)*VLOOKUP(B53,Projeto!$A$20:$I$24,MATCH(C53,Projeto!$A$19:$H$19,0),FALSE)</f>
        <v>497558.58985969104</v>
      </c>
      <c r="E53" s="158">
        <f>D53*VLOOKUP(C53,Projeto!$A$10:$D$13,4,FALSE)</f>
        <v>796093743.77550566</v>
      </c>
      <c r="F53" s="158">
        <f>D53*VLOOKUP(C53,Dados!$A$41:$D$44,4,FALSE)</f>
        <v>443324703.56498474</v>
      </c>
      <c r="G53" s="158">
        <f t="shared" si="0"/>
        <v>132997411.06949541</v>
      </c>
      <c r="H53" s="158">
        <f>VLOOKUP(C53,Dados!$A$27:$D$30,4,FALSE)*D53</f>
        <v>29803759.532595493</v>
      </c>
    </row>
    <row r="54" spans="1:8" x14ac:dyDescent="0.25">
      <c r="A54" s="34" t="s">
        <v>56</v>
      </c>
      <c r="B54" s="34" t="s">
        <v>38</v>
      </c>
      <c r="C54" s="34" t="s">
        <v>19</v>
      </c>
      <c r="D54" s="159">
        <f>VLOOKUP(A54,Projeto!$B$36:$D$47,3,FALSE)*VLOOKUP(B54,Projeto!$A$20:$D$24,4,FALSE)*VLOOKUP(B54,Projeto!$A$20:$I$24,MATCH(C54,Projeto!$A$19:$H$19,0),FALSE)</f>
        <v>262854.04865884979</v>
      </c>
      <c r="E54" s="158">
        <f>D54*VLOOKUP(C54,Projeto!$A$10:$D$13,4,FALSE)</f>
        <v>420566477.85415965</v>
      </c>
      <c r="F54" s="158">
        <f>D54*VLOOKUP(C54,Dados!$A$41:$D$44,4,FALSE)</f>
        <v>234202957.35503516</v>
      </c>
      <c r="G54" s="158">
        <f t="shared" si="0"/>
        <v>70260887.206510544</v>
      </c>
      <c r="H54" s="158">
        <f>VLOOKUP(C54,Dados!$A$27:$D$30,4,FALSE)*D54</f>
        <v>15744957.514665103</v>
      </c>
    </row>
    <row r="55" spans="1:8" x14ac:dyDescent="0.25">
      <c r="A55" s="34" t="s">
        <v>56</v>
      </c>
      <c r="B55" s="34" t="s">
        <v>40</v>
      </c>
      <c r="C55" s="34" t="s">
        <v>19</v>
      </c>
      <c r="D55" s="159">
        <f>VLOOKUP(A55,Projeto!$B$36:$D$47,3,FALSE)*VLOOKUP(B55,Projeto!$A$20:$D$24,4,FALSE)*VLOOKUP(B55,Projeto!$A$20:$I$24,MATCH(C55,Projeto!$A$19:$H$19,0),FALSE)</f>
        <v>95532.635096158498</v>
      </c>
      <c r="E55" s="158">
        <f>D55*VLOOKUP(C55,Projeto!$A$10:$D$13,4,FALSE)</f>
        <v>152852216.1538536</v>
      </c>
      <c r="F55" s="158">
        <f>D55*VLOOKUP(C55,Dados!$A$41:$D$44,4,FALSE)</f>
        <v>85119577.870677218</v>
      </c>
      <c r="G55" s="158">
        <f t="shared" si="0"/>
        <v>25535873.361203164</v>
      </c>
      <c r="H55" s="158">
        <f>VLOOKUP(C55,Dados!$A$27:$D$30,4,FALSE)*D55</f>
        <v>5722404.8422598941</v>
      </c>
    </row>
    <row r="56" spans="1:8" x14ac:dyDescent="0.25">
      <c r="A56" s="34" t="s">
        <v>56</v>
      </c>
      <c r="B56" s="34" t="s">
        <v>42</v>
      </c>
      <c r="C56" s="34" t="s">
        <v>19</v>
      </c>
      <c r="D56" s="159">
        <f>VLOOKUP(A56,Projeto!$B$36:$D$47,3,FALSE)*VLOOKUP(B56,Projeto!$A$20:$D$24,4,FALSE)*VLOOKUP(B56,Projeto!$A$20:$I$24,MATCH(C56,Projeto!$A$19:$H$19,0),FALSE)</f>
        <v>87531.255230505456</v>
      </c>
      <c r="E56" s="158">
        <f>D56*VLOOKUP(C56,Projeto!$A$10:$D$13,4,FALSE)</f>
        <v>140050008.36880872</v>
      </c>
      <c r="F56" s="158">
        <f>D56*VLOOKUP(C56,Dados!$A$41:$D$44,4,FALSE)</f>
        <v>77990348.410380363</v>
      </c>
      <c r="G56" s="158">
        <f t="shared" si="0"/>
        <v>23397104.523114108</v>
      </c>
      <c r="H56" s="158">
        <f>VLOOKUP(C56,Dados!$A$27:$D$30,4,FALSE)*D56</f>
        <v>5243122.1883072769</v>
      </c>
    </row>
    <row r="57" spans="1:8" x14ac:dyDescent="0.25">
      <c r="A57" s="34" t="s">
        <v>56</v>
      </c>
      <c r="B57" s="34" t="s">
        <v>34</v>
      </c>
      <c r="C57" s="34" t="s">
        <v>23</v>
      </c>
      <c r="D57" s="159">
        <f>VLOOKUP(A57,Projeto!$B$36:$D$47,3,FALSE)*VLOOKUP(B57,Projeto!$A$20:$D$24,4,FALSE)*VLOOKUP(B57,Projeto!$A$20:$I$24,MATCH(C57,Projeto!$A$19:$H$19,0),FALSE)</f>
        <v>70229.811131882932</v>
      </c>
      <c r="E57" s="158">
        <f>D57*VLOOKUP(C57,Projeto!$A$10:$D$13,4,FALSE)</f>
        <v>56183848.905506343</v>
      </c>
      <c r="F57" s="158">
        <f>D57*VLOOKUP(C57,Dados!$A$41:$D$44,4,FALSE)</f>
        <v>34501097.016648807</v>
      </c>
      <c r="G57" s="158">
        <f t="shared" si="0"/>
        <v>13800438.806659523</v>
      </c>
      <c r="H57" s="158">
        <f>VLOOKUP(C57,Dados!$A$27:$D$30,4,FALSE)*D57</f>
        <v>7015958.1320751058</v>
      </c>
    </row>
    <row r="58" spans="1:8" x14ac:dyDescent="0.25">
      <c r="A58" s="34" t="s">
        <v>56</v>
      </c>
      <c r="B58" s="34" t="s">
        <v>36</v>
      </c>
      <c r="C58" s="34" t="s">
        <v>23</v>
      </c>
      <c r="D58" s="159">
        <f>VLOOKUP(A58,Projeto!$B$36:$D$47,3,FALSE)*VLOOKUP(B58,Projeto!$A$20:$D$24,4,FALSE)*VLOOKUP(B58,Projeto!$A$20:$I$24,MATCH(C58,Projeto!$A$19:$H$19,0),FALSE)</f>
        <v>189072.2641466826</v>
      </c>
      <c r="E58" s="158">
        <f>D58*VLOOKUP(C58,Projeto!$A$10:$D$13,4,FALSE)</f>
        <v>151257811.3173461</v>
      </c>
      <c r="F58" s="158">
        <f>D58*VLOOKUP(C58,Dados!$A$41:$D$44,4,FALSE)</f>
        <v>92883640.484699294</v>
      </c>
      <c r="G58" s="158">
        <f t="shared" si="0"/>
        <v>37153456.193879716</v>
      </c>
      <c r="H58" s="158">
        <f>VLOOKUP(C58,Dados!$A$27:$D$30,4,FALSE)*D58</f>
        <v>18888319.188253593</v>
      </c>
    </row>
    <row r="59" spans="1:8" x14ac:dyDescent="0.25">
      <c r="A59" s="34" t="s">
        <v>56</v>
      </c>
      <c r="B59" s="34" t="s">
        <v>38</v>
      </c>
      <c r="C59" s="34" t="s">
        <v>23</v>
      </c>
      <c r="D59" s="159">
        <f>VLOOKUP(A59,Projeto!$B$36:$D$47,3,FALSE)*VLOOKUP(B59,Projeto!$A$20:$D$24,4,FALSE)*VLOOKUP(B59,Projeto!$A$20:$I$24,MATCH(C59,Projeto!$A$19:$H$19,0),FALSE)</f>
        <v>294909.42044651438</v>
      </c>
      <c r="E59" s="158">
        <f>D59*VLOOKUP(C59,Projeto!$A$10:$D$13,4,FALSE)</f>
        <v>235927536.3572115</v>
      </c>
      <c r="F59" s="158">
        <f>D59*VLOOKUP(C59,Dados!$A$41:$D$44,4,FALSE)</f>
        <v>144877201.88855466</v>
      </c>
      <c r="G59" s="158">
        <f t="shared" si="0"/>
        <v>57950880.755421869</v>
      </c>
      <c r="H59" s="158">
        <f>VLOOKUP(C59,Dados!$A$27:$D$30,4,FALSE)*D59</f>
        <v>29461451.102606788</v>
      </c>
    </row>
    <row r="60" spans="1:8" x14ac:dyDescent="0.25">
      <c r="A60" s="34" t="s">
        <v>56</v>
      </c>
      <c r="B60" s="34" t="s">
        <v>40</v>
      </c>
      <c r="C60" s="34" t="s">
        <v>23</v>
      </c>
      <c r="D60" s="159">
        <f>VLOOKUP(A60,Projeto!$B$36:$D$47,3,FALSE)*VLOOKUP(B60,Projeto!$A$20:$D$24,4,FALSE)*VLOOKUP(B60,Projeto!$A$20:$I$24,MATCH(C60,Projeto!$A$19:$H$19,0),FALSE)</f>
        <v>40123.706740386566</v>
      </c>
      <c r="E60" s="158">
        <f>D60*VLOOKUP(C60,Projeto!$A$10:$D$13,4,FALSE)</f>
        <v>32098965.392309252</v>
      </c>
      <c r="F60" s="158">
        <f>D60*VLOOKUP(C60,Dados!$A$41:$D$44,4,FALSE)</f>
        <v>19711172.173282303</v>
      </c>
      <c r="G60" s="158">
        <f t="shared" si="0"/>
        <v>7884468.8693129215</v>
      </c>
      <c r="H60" s="158">
        <f>VLOOKUP(C60,Dados!$A$27:$D$30,4,FALSE)*D60</f>
        <v>4008358.3033646182</v>
      </c>
    </row>
    <row r="61" spans="1:8" x14ac:dyDescent="0.25">
      <c r="A61" s="34" t="s">
        <v>56</v>
      </c>
      <c r="B61" s="34" t="s">
        <v>42</v>
      </c>
      <c r="C61" s="34" t="s">
        <v>23</v>
      </c>
      <c r="D61" s="159">
        <f>VLOOKUP(A61,Projeto!$B$36:$D$47,3,FALSE)*VLOOKUP(B61,Projeto!$A$20:$D$24,4,FALSE)*VLOOKUP(B61,Projeto!$A$20:$I$24,MATCH(C61,Projeto!$A$19:$H$19,0),FALSE)</f>
        <v>89566.865817261394</v>
      </c>
      <c r="E61" s="158">
        <f>D61*VLOOKUP(C61,Projeto!$A$10:$D$13,4,FALSE)</f>
        <v>71653492.653809115</v>
      </c>
      <c r="F61" s="158">
        <f>D61*VLOOKUP(C61,Dados!$A$41:$D$44,4,FALSE)</f>
        <v>44000618.501387835</v>
      </c>
      <c r="G61" s="158">
        <f t="shared" si="0"/>
        <v>17600247.400555134</v>
      </c>
      <c r="H61" s="158">
        <f>VLOOKUP(C61,Dados!$A$27:$D$30,4,FALSE)*D61</f>
        <v>8947729.8951444142</v>
      </c>
    </row>
    <row r="62" spans="1:8" x14ac:dyDescent="0.25">
      <c r="A62" s="34" t="s">
        <v>57</v>
      </c>
      <c r="B62" s="34" t="s">
        <v>34</v>
      </c>
      <c r="C62" s="34" t="s">
        <v>10</v>
      </c>
      <c r="D62" s="159">
        <f>VLOOKUP(A62,Projeto!$B$36:$D$47,3,FALSE)*VLOOKUP(B62,Projeto!$A$20:$D$24,4,FALSE)*VLOOKUP(B62,Projeto!$A$20:$I$24,MATCH(C62,Projeto!$A$19:$H$19,0),FALSE)</f>
        <v>10534.471669782439</v>
      </c>
      <c r="E62" s="158">
        <f>D62*VLOOKUP(C62,Projeto!$A$10:$D$13,4,FALSE)</f>
        <v>126413660.03738926</v>
      </c>
      <c r="F62" s="158">
        <f>D62*VLOOKUP(C62,Dados!$A$41:$D$44,4,FALSE)</f>
        <v>64891924.106993034</v>
      </c>
      <c r="G62" s="158">
        <f t="shared" si="0"/>
        <v>25956769.642797217</v>
      </c>
      <c r="H62" s="158">
        <f>VLOOKUP(C62,Dados!$A$27:$D$30,4,FALSE)*D62</f>
        <v>2316530.3201851584</v>
      </c>
    </row>
    <row r="63" spans="1:8" x14ac:dyDescent="0.25">
      <c r="A63" s="34" t="s">
        <v>57</v>
      </c>
      <c r="B63" s="34" t="s">
        <v>36</v>
      </c>
      <c r="C63" s="34" t="s">
        <v>10</v>
      </c>
      <c r="D63" s="159">
        <f>VLOOKUP(A63,Projeto!$B$36:$D$47,3,FALSE)*VLOOKUP(B63,Projeto!$A$20:$D$24,4,FALSE)*VLOOKUP(B63,Projeto!$A$20:$I$24,MATCH(C63,Projeto!$A$19:$H$19,0),FALSE)</f>
        <v>39804.687188775286</v>
      </c>
      <c r="E63" s="158">
        <f>D63*VLOOKUP(C63,Projeto!$A$10:$D$13,4,FALSE)</f>
        <v>477656246.26530343</v>
      </c>
      <c r="F63" s="158">
        <f>D63*VLOOKUP(C63,Dados!$A$41:$D$44,4,FALSE)</f>
        <v>245195280.89536822</v>
      </c>
      <c r="G63" s="158">
        <f t="shared" si="0"/>
        <v>98078112.358147293</v>
      </c>
      <c r="H63" s="158">
        <f>VLOOKUP(C63,Dados!$A$27:$D$30,4,FALSE)*D63</f>
        <v>8753050.7128116861</v>
      </c>
    </row>
    <row r="64" spans="1:8" x14ac:dyDescent="0.25">
      <c r="A64" s="34" t="s">
        <v>57</v>
      </c>
      <c r="B64" s="34" t="s">
        <v>38</v>
      </c>
      <c r="C64" s="34" t="s">
        <v>10</v>
      </c>
      <c r="D64" s="159">
        <f>VLOOKUP(A64,Projeto!$B$36:$D$47,3,FALSE)*VLOOKUP(B64,Projeto!$A$20:$D$24,4,FALSE)*VLOOKUP(B64,Projeto!$A$20:$I$24,MATCH(C64,Projeto!$A$19:$H$19,0),FALSE)</f>
        <v>6411.0743575329216</v>
      </c>
      <c r="E64" s="158">
        <f>D64*VLOOKUP(C64,Projeto!$A$10:$D$13,4,FALSE)</f>
        <v>76932892.290395066</v>
      </c>
      <c r="F64" s="158">
        <f>D64*VLOOKUP(C64,Dados!$A$41:$D$44,4,FALSE)</f>
        <v>39491961.599428497</v>
      </c>
      <c r="G64" s="158">
        <f t="shared" si="0"/>
        <v>15796784.6397714</v>
      </c>
      <c r="H64" s="158">
        <f>VLOOKUP(C64,Dados!$A$27:$D$30,4,FALSE)*D64</f>
        <v>1409795.2512214894</v>
      </c>
    </row>
    <row r="65" spans="1:8" x14ac:dyDescent="0.25">
      <c r="A65" s="34" t="s">
        <v>57</v>
      </c>
      <c r="B65" s="34" t="s">
        <v>40</v>
      </c>
      <c r="C65" s="34" t="s">
        <v>10</v>
      </c>
      <c r="D65" s="159">
        <f>VLOOKUP(A65,Projeto!$B$36:$D$47,3,FALSE)*VLOOKUP(B65,Projeto!$A$20:$D$24,4,FALSE)*VLOOKUP(B65,Projeto!$A$20:$I$24,MATCH(C65,Projeto!$A$19:$H$19,0),FALSE)</f>
        <v>9553.2635096158501</v>
      </c>
      <c r="E65" s="158">
        <f>D65*VLOOKUP(C65,Projeto!$A$10:$D$13,4,FALSE)</f>
        <v>114639162.1153902</v>
      </c>
      <c r="F65" s="158">
        <f>D65*VLOOKUP(C65,Dados!$A$41:$D$44,4,FALSE)</f>
        <v>58847721.088693254</v>
      </c>
      <c r="G65" s="158">
        <f t="shared" si="0"/>
        <v>23539088.435477301</v>
      </c>
      <c r="H65" s="158">
        <f>VLOOKUP(C65,Dados!$A$27:$D$30,4,FALSE)*D65</f>
        <v>2100762.6457645255</v>
      </c>
    </row>
    <row r="66" spans="1:8" x14ac:dyDescent="0.25">
      <c r="A66" s="34" t="s">
        <v>57</v>
      </c>
      <c r="B66" s="34" t="s">
        <v>42</v>
      </c>
      <c r="C66" s="34" t="s">
        <v>10</v>
      </c>
      <c r="D66" s="159">
        <f>VLOOKUP(A66,Projeto!$B$36:$D$47,3,FALSE)*VLOOKUP(B66,Projeto!$A$20:$D$24,4,FALSE)*VLOOKUP(B66,Projeto!$A$20:$I$24,MATCH(C66,Projeto!$A$19:$H$19,0),FALSE)</f>
        <v>2035.6105867559409</v>
      </c>
      <c r="E66" s="158">
        <f>D66*VLOOKUP(C66,Projeto!$A$10:$D$13,4,FALSE)</f>
        <v>24427327.041071292</v>
      </c>
      <c r="F66" s="158">
        <f>D66*VLOOKUP(C66,Dados!$A$41:$D$44,4,FALSE)</f>
        <v>12539279.789993126</v>
      </c>
      <c r="G66" s="158">
        <f t="shared" ref="G66:G129" si="1">IF(OR(C66="A",C66="D/E"),0.4,0.3)*F66</f>
        <v>5015711.9159972509</v>
      </c>
      <c r="H66" s="158">
        <f>VLOOKUP(C66,Dados!$A$27:$D$30,4,FALSE)*D66</f>
        <v>447630.76802763139</v>
      </c>
    </row>
    <row r="67" spans="1:8" x14ac:dyDescent="0.25">
      <c r="A67" s="34" t="s">
        <v>57</v>
      </c>
      <c r="B67" s="34" t="s">
        <v>34</v>
      </c>
      <c r="C67" s="34" t="s">
        <v>15</v>
      </c>
      <c r="D67" s="159">
        <f>VLOOKUP(A67,Projeto!$B$36:$D$47,3,FALSE)*VLOOKUP(B67,Projeto!$A$20:$D$24,4,FALSE)*VLOOKUP(B67,Projeto!$A$20:$I$24,MATCH(C67,Projeto!$A$19:$H$19,0),FALSE)</f>
        <v>94810.245028041958</v>
      </c>
      <c r="E67" s="158">
        <f>D67*VLOOKUP(C67,Projeto!$A$10:$D$13,4,FALSE)</f>
        <v>711076837.71031463</v>
      </c>
      <c r="F67" s="158">
        <f>D67*VLOOKUP(C67,Dados!$A$41:$D$44,4,FALSE)</f>
        <v>264450424.04691634</v>
      </c>
      <c r="G67" s="158">
        <f t="shared" si="1"/>
        <v>79335127.214074895</v>
      </c>
      <c r="H67" s="158">
        <f>VLOOKUP(C67,Dados!$A$27:$D$30,4,FALSE)*D67</f>
        <v>14212055.72970349</v>
      </c>
    </row>
    <row r="68" spans="1:8" x14ac:dyDescent="0.25">
      <c r="A68" s="34" t="s">
        <v>57</v>
      </c>
      <c r="B68" s="34" t="s">
        <v>36</v>
      </c>
      <c r="C68" s="34" t="s">
        <v>15</v>
      </c>
      <c r="D68" s="159">
        <f>VLOOKUP(A68,Projeto!$B$36:$D$47,3,FALSE)*VLOOKUP(B68,Projeto!$A$20:$D$24,4,FALSE)*VLOOKUP(B68,Projeto!$A$20:$I$24,MATCH(C68,Projeto!$A$19:$H$19,0),FALSE)</f>
        <v>268681.63852423319</v>
      </c>
      <c r="E68" s="158">
        <f>D68*VLOOKUP(C68,Projeto!$A$10:$D$13,4,FALSE)</f>
        <v>2015112288.9317489</v>
      </c>
      <c r="F68" s="158">
        <f>D68*VLOOKUP(C68,Dados!$A$41:$D$44,4,FALSE)</f>
        <v>749422947.07010269</v>
      </c>
      <c r="G68" s="158">
        <f t="shared" si="1"/>
        <v>224826884.12103081</v>
      </c>
      <c r="H68" s="158">
        <f>VLOOKUP(C68,Dados!$A$27:$D$30,4,FALSE)*D68</f>
        <v>40275377.614782557</v>
      </c>
    </row>
    <row r="69" spans="1:8" x14ac:dyDescent="0.25">
      <c r="A69" s="34" t="s">
        <v>57</v>
      </c>
      <c r="B69" s="34" t="s">
        <v>38</v>
      </c>
      <c r="C69" s="34" t="s">
        <v>15</v>
      </c>
      <c r="D69" s="159">
        <f>VLOOKUP(A69,Projeto!$B$36:$D$47,3,FALSE)*VLOOKUP(B69,Projeto!$A$20:$D$24,4,FALSE)*VLOOKUP(B69,Projeto!$A$20:$I$24,MATCH(C69,Projeto!$A$19:$H$19,0),FALSE)</f>
        <v>76932.892290395059</v>
      </c>
      <c r="E69" s="158">
        <f>D69*VLOOKUP(C69,Projeto!$A$10:$D$13,4,FALSE)</f>
        <v>576996692.1779629</v>
      </c>
      <c r="F69" s="158">
        <f>D69*VLOOKUP(C69,Dados!$A$41:$D$44,4,FALSE)</f>
        <v>214585839.14990735</v>
      </c>
      <c r="G69" s="158">
        <f t="shared" si="1"/>
        <v>64375751.744972199</v>
      </c>
      <c r="H69" s="158">
        <f>VLOOKUP(C69,Dados!$A$27:$D$30,4,FALSE)*D69</f>
        <v>11532240.55433022</v>
      </c>
    </row>
    <row r="70" spans="1:8" x14ac:dyDescent="0.25">
      <c r="A70" s="34" t="s">
        <v>57</v>
      </c>
      <c r="B70" s="34" t="s">
        <v>40</v>
      </c>
      <c r="C70" s="34" t="s">
        <v>15</v>
      </c>
      <c r="D70" s="159">
        <f>VLOOKUP(A70,Projeto!$B$36:$D$47,3,FALSE)*VLOOKUP(B70,Projeto!$A$20:$D$24,4,FALSE)*VLOOKUP(B70,Projeto!$A$20:$I$24,MATCH(C70,Projeto!$A$19:$H$19,0),FALSE)</f>
        <v>45855.664846156076</v>
      </c>
      <c r="E70" s="158">
        <f>D70*VLOOKUP(C70,Projeto!$A$10:$D$13,4,FALSE)</f>
        <v>343917486.34617054</v>
      </c>
      <c r="F70" s="158">
        <f>D70*VLOOKUP(C70,Dados!$A$41:$D$44,4,FALSE)</f>
        <v>127903371.72878931</v>
      </c>
      <c r="G70" s="158">
        <f t="shared" si="1"/>
        <v>38371011.518636793</v>
      </c>
      <c r="H70" s="158">
        <f>VLOOKUP(C70,Dados!$A$27:$D$30,4,FALSE)*D70</f>
        <v>6873764.1604387965</v>
      </c>
    </row>
    <row r="71" spans="1:8" x14ac:dyDescent="0.25">
      <c r="A71" s="34" t="s">
        <v>57</v>
      </c>
      <c r="B71" s="34" t="s">
        <v>42</v>
      </c>
      <c r="C71" s="34" t="s">
        <v>15</v>
      </c>
      <c r="D71" s="159">
        <f>VLOOKUP(A71,Projeto!$B$36:$D$47,3,FALSE)*VLOOKUP(B71,Projeto!$A$20:$D$24,4,FALSE)*VLOOKUP(B71,Projeto!$A$20:$I$24,MATCH(C71,Projeto!$A$19:$H$19,0),FALSE)</f>
        <v>24427.327041071287</v>
      </c>
      <c r="E71" s="158">
        <f>D71*VLOOKUP(C71,Projeto!$A$10:$D$13,4,FALSE)</f>
        <v>183204952.80803466</v>
      </c>
      <c r="F71" s="158">
        <f>D71*VLOOKUP(C71,Dados!$A$41:$D$44,4,FALSE)</f>
        <v>68134166.222578496</v>
      </c>
      <c r="G71" s="158">
        <f t="shared" si="1"/>
        <v>20440249.866773549</v>
      </c>
      <c r="H71" s="158">
        <f>VLOOKUP(C71,Dados!$A$27:$D$30,4,FALSE)*D71</f>
        <v>3661656.3234565859</v>
      </c>
    </row>
    <row r="72" spans="1:8" x14ac:dyDescent="0.25">
      <c r="A72" s="34" t="s">
        <v>57</v>
      </c>
      <c r="B72" s="34" t="s">
        <v>34</v>
      </c>
      <c r="C72" s="34" t="s">
        <v>19</v>
      </c>
      <c r="D72" s="159">
        <f>VLOOKUP(A72,Projeto!$B$36:$D$47,3,FALSE)*VLOOKUP(B72,Projeto!$A$20:$D$24,4,FALSE)*VLOOKUP(B72,Projeto!$A$20:$I$24,MATCH(C72,Projeto!$A$19:$H$19,0),FALSE)</f>
        <v>175574.52782970731</v>
      </c>
      <c r="E72" s="158">
        <f>D72*VLOOKUP(C72,Projeto!$A$10:$D$13,4,FALSE)</f>
        <v>280919244.52753168</v>
      </c>
      <c r="F72" s="158">
        <f>D72*VLOOKUP(C72,Dados!$A$41:$D$44,4,FALSE)</f>
        <v>156436904.29626921</v>
      </c>
      <c r="G72" s="158">
        <f t="shared" si="1"/>
        <v>46931071.288880758</v>
      </c>
      <c r="H72" s="158">
        <f>VLOOKUP(C72,Dados!$A$27:$D$30,4,FALSE)*D72</f>
        <v>10516914.216999467</v>
      </c>
    </row>
    <row r="73" spans="1:8" x14ac:dyDescent="0.25">
      <c r="A73" s="34" t="s">
        <v>57</v>
      </c>
      <c r="B73" s="34" t="s">
        <v>36</v>
      </c>
      <c r="C73" s="34" t="s">
        <v>19</v>
      </c>
      <c r="D73" s="159">
        <f>VLOOKUP(A73,Projeto!$B$36:$D$47,3,FALSE)*VLOOKUP(B73,Projeto!$A$20:$D$24,4,FALSE)*VLOOKUP(B73,Projeto!$A$20:$I$24,MATCH(C73,Projeto!$A$19:$H$19,0),FALSE)</f>
        <v>497558.58985969104</v>
      </c>
      <c r="E73" s="158">
        <f>D73*VLOOKUP(C73,Projeto!$A$10:$D$13,4,FALSE)</f>
        <v>796093743.77550566</v>
      </c>
      <c r="F73" s="158">
        <f>D73*VLOOKUP(C73,Dados!$A$41:$D$44,4,FALSE)</f>
        <v>443324703.56498474</v>
      </c>
      <c r="G73" s="158">
        <f t="shared" si="1"/>
        <v>132997411.06949541</v>
      </c>
      <c r="H73" s="158">
        <f>VLOOKUP(C73,Dados!$A$27:$D$30,4,FALSE)*D73</f>
        <v>29803759.532595493</v>
      </c>
    </row>
    <row r="74" spans="1:8" x14ac:dyDescent="0.25">
      <c r="A74" s="34" t="s">
        <v>57</v>
      </c>
      <c r="B74" s="34" t="s">
        <v>38</v>
      </c>
      <c r="C74" s="34" t="s">
        <v>19</v>
      </c>
      <c r="D74" s="159">
        <f>VLOOKUP(A74,Projeto!$B$36:$D$47,3,FALSE)*VLOOKUP(B74,Projeto!$A$20:$D$24,4,FALSE)*VLOOKUP(B74,Projeto!$A$20:$I$24,MATCH(C74,Projeto!$A$19:$H$19,0),FALSE)</f>
        <v>262854.04865884979</v>
      </c>
      <c r="E74" s="158">
        <f>D74*VLOOKUP(C74,Projeto!$A$10:$D$13,4,FALSE)</f>
        <v>420566477.85415965</v>
      </c>
      <c r="F74" s="158">
        <f>D74*VLOOKUP(C74,Dados!$A$41:$D$44,4,FALSE)</f>
        <v>234202957.35503516</v>
      </c>
      <c r="G74" s="158">
        <f t="shared" si="1"/>
        <v>70260887.206510544</v>
      </c>
      <c r="H74" s="158">
        <f>VLOOKUP(C74,Dados!$A$27:$D$30,4,FALSE)*D74</f>
        <v>15744957.514665103</v>
      </c>
    </row>
    <row r="75" spans="1:8" x14ac:dyDescent="0.25">
      <c r="A75" s="34" t="s">
        <v>57</v>
      </c>
      <c r="B75" s="34" t="s">
        <v>40</v>
      </c>
      <c r="C75" s="34" t="s">
        <v>19</v>
      </c>
      <c r="D75" s="159">
        <f>VLOOKUP(A75,Projeto!$B$36:$D$47,3,FALSE)*VLOOKUP(B75,Projeto!$A$20:$D$24,4,FALSE)*VLOOKUP(B75,Projeto!$A$20:$I$24,MATCH(C75,Projeto!$A$19:$H$19,0),FALSE)</f>
        <v>95532.635096158498</v>
      </c>
      <c r="E75" s="158">
        <f>D75*VLOOKUP(C75,Projeto!$A$10:$D$13,4,FALSE)</f>
        <v>152852216.1538536</v>
      </c>
      <c r="F75" s="158">
        <f>D75*VLOOKUP(C75,Dados!$A$41:$D$44,4,FALSE)</f>
        <v>85119577.870677218</v>
      </c>
      <c r="G75" s="158">
        <f t="shared" si="1"/>
        <v>25535873.361203164</v>
      </c>
      <c r="H75" s="158">
        <f>VLOOKUP(C75,Dados!$A$27:$D$30,4,FALSE)*D75</f>
        <v>5722404.8422598941</v>
      </c>
    </row>
    <row r="76" spans="1:8" x14ac:dyDescent="0.25">
      <c r="A76" s="34" t="s">
        <v>57</v>
      </c>
      <c r="B76" s="34" t="s">
        <v>42</v>
      </c>
      <c r="C76" s="34" t="s">
        <v>19</v>
      </c>
      <c r="D76" s="159">
        <f>VLOOKUP(A76,Projeto!$B$36:$D$47,3,FALSE)*VLOOKUP(B76,Projeto!$A$20:$D$24,4,FALSE)*VLOOKUP(B76,Projeto!$A$20:$I$24,MATCH(C76,Projeto!$A$19:$H$19,0),FALSE)</f>
        <v>87531.255230505456</v>
      </c>
      <c r="E76" s="158">
        <f>D76*VLOOKUP(C76,Projeto!$A$10:$D$13,4,FALSE)</f>
        <v>140050008.36880872</v>
      </c>
      <c r="F76" s="158">
        <f>D76*VLOOKUP(C76,Dados!$A$41:$D$44,4,FALSE)</f>
        <v>77990348.410380363</v>
      </c>
      <c r="G76" s="158">
        <f t="shared" si="1"/>
        <v>23397104.523114108</v>
      </c>
      <c r="H76" s="158">
        <f>VLOOKUP(C76,Dados!$A$27:$D$30,4,FALSE)*D76</f>
        <v>5243122.1883072769</v>
      </c>
    </row>
    <row r="77" spans="1:8" x14ac:dyDescent="0.25">
      <c r="A77" s="34" t="s">
        <v>57</v>
      </c>
      <c r="B77" s="34" t="s">
        <v>34</v>
      </c>
      <c r="C77" s="34" t="s">
        <v>23</v>
      </c>
      <c r="D77" s="159">
        <f>VLOOKUP(A77,Projeto!$B$36:$D$47,3,FALSE)*VLOOKUP(B77,Projeto!$A$20:$D$24,4,FALSE)*VLOOKUP(B77,Projeto!$A$20:$I$24,MATCH(C77,Projeto!$A$19:$H$19,0),FALSE)</f>
        <v>70229.811131882932</v>
      </c>
      <c r="E77" s="158">
        <f>D77*VLOOKUP(C77,Projeto!$A$10:$D$13,4,FALSE)</f>
        <v>56183848.905506343</v>
      </c>
      <c r="F77" s="158">
        <f>D77*VLOOKUP(C77,Dados!$A$41:$D$44,4,FALSE)</f>
        <v>34501097.016648807</v>
      </c>
      <c r="G77" s="158">
        <f t="shared" si="1"/>
        <v>13800438.806659523</v>
      </c>
      <c r="H77" s="158">
        <f>VLOOKUP(C77,Dados!$A$27:$D$30,4,FALSE)*D77</f>
        <v>7015958.1320751058</v>
      </c>
    </row>
    <row r="78" spans="1:8" x14ac:dyDescent="0.25">
      <c r="A78" s="34" t="s">
        <v>57</v>
      </c>
      <c r="B78" s="34" t="s">
        <v>36</v>
      </c>
      <c r="C78" s="34" t="s">
        <v>23</v>
      </c>
      <c r="D78" s="159">
        <f>VLOOKUP(A78,Projeto!$B$36:$D$47,3,FALSE)*VLOOKUP(B78,Projeto!$A$20:$D$24,4,FALSE)*VLOOKUP(B78,Projeto!$A$20:$I$24,MATCH(C78,Projeto!$A$19:$H$19,0),FALSE)</f>
        <v>189072.2641466826</v>
      </c>
      <c r="E78" s="158">
        <f>D78*VLOOKUP(C78,Projeto!$A$10:$D$13,4,FALSE)</f>
        <v>151257811.3173461</v>
      </c>
      <c r="F78" s="158">
        <f>D78*VLOOKUP(C78,Dados!$A$41:$D$44,4,FALSE)</f>
        <v>92883640.484699294</v>
      </c>
      <c r="G78" s="158">
        <f t="shared" si="1"/>
        <v>37153456.193879716</v>
      </c>
      <c r="H78" s="158">
        <f>VLOOKUP(C78,Dados!$A$27:$D$30,4,FALSE)*D78</f>
        <v>18888319.188253593</v>
      </c>
    </row>
    <row r="79" spans="1:8" x14ac:dyDescent="0.25">
      <c r="A79" s="34" t="s">
        <v>57</v>
      </c>
      <c r="B79" s="34" t="s">
        <v>38</v>
      </c>
      <c r="C79" s="34" t="s">
        <v>23</v>
      </c>
      <c r="D79" s="159">
        <f>VLOOKUP(A79,Projeto!$B$36:$D$47,3,FALSE)*VLOOKUP(B79,Projeto!$A$20:$D$24,4,FALSE)*VLOOKUP(B79,Projeto!$A$20:$I$24,MATCH(C79,Projeto!$A$19:$H$19,0),FALSE)</f>
        <v>294909.42044651438</v>
      </c>
      <c r="E79" s="158">
        <f>D79*VLOOKUP(C79,Projeto!$A$10:$D$13,4,FALSE)</f>
        <v>235927536.3572115</v>
      </c>
      <c r="F79" s="158">
        <f>D79*VLOOKUP(C79,Dados!$A$41:$D$44,4,FALSE)</f>
        <v>144877201.88855466</v>
      </c>
      <c r="G79" s="158">
        <f t="shared" si="1"/>
        <v>57950880.755421869</v>
      </c>
      <c r="H79" s="158">
        <f>VLOOKUP(C79,Dados!$A$27:$D$30,4,FALSE)*D79</f>
        <v>29461451.102606788</v>
      </c>
    </row>
    <row r="80" spans="1:8" x14ac:dyDescent="0.25">
      <c r="A80" s="34" t="s">
        <v>57</v>
      </c>
      <c r="B80" s="34" t="s">
        <v>40</v>
      </c>
      <c r="C80" s="34" t="s">
        <v>23</v>
      </c>
      <c r="D80" s="159">
        <f>VLOOKUP(A80,Projeto!$B$36:$D$47,3,FALSE)*VLOOKUP(B80,Projeto!$A$20:$D$24,4,FALSE)*VLOOKUP(B80,Projeto!$A$20:$I$24,MATCH(C80,Projeto!$A$19:$H$19,0),FALSE)</f>
        <v>40123.706740386566</v>
      </c>
      <c r="E80" s="158">
        <f>D80*VLOOKUP(C80,Projeto!$A$10:$D$13,4,FALSE)</f>
        <v>32098965.392309252</v>
      </c>
      <c r="F80" s="158">
        <f>D80*VLOOKUP(C80,Dados!$A$41:$D$44,4,FALSE)</f>
        <v>19711172.173282303</v>
      </c>
      <c r="G80" s="158">
        <f t="shared" si="1"/>
        <v>7884468.8693129215</v>
      </c>
      <c r="H80" s="158">
        <f>VLOOKUP(C80,Dados!$A$27:$D$30,4,FALSE)*D80</f>
        <v>4008358.3033646182</v>
      </c>
    </row>
    <row r="81" spans="1:8" x14ac:dyDescent="0.25">
      <c r="A81" s="34" t="s">
        <v>57</v>
      </c>
      <c r="B81" s="34" t="s">
        <v>42</v>
      </c>
      <c r="C81" s="34" t="s">
        <v>23</v>
      </c>
      <c r="D81" s="159">
        <f>VLOOKUP(A81,Projeto!$B$36:$D$47,3,FALSE)*VLOOKUP(B81,Projeto!$A$20:$D$24,4,FALSE)*VLOOKUP(B81,Projeto!$A$20:$I$24,MATCH(C81,Projeto!$A$19:$H$19,0),FALSE)</f>
        <v>89566.865817261394</v>
      </c>
      <c r="E81" s="158">
        <f>D81*VLOOKUP(C81,Projeto!$A$10:$D$13,4,FALSE)</f>
        <v>71653492.653809115</v>
      </c>
      <c r="F81" s="158">
        <f>D81*VLOOKUP(C81,Dados!$A$41:$D$44,4,FALSE)</f>
        <v>44000618.501387835</v>
      </c>
      <c r="G81" s="158">
        <f t="shared" si="1"/>
        <v>17600247.400555134</v>
      </c>
      <c r="H81" s="158">
        <f>VLOOKUP(C81,Dados!$A$27:$D$30,4,FALSE)*D81</f>
        <v>8947729.8951444142</v>
      </c>
    </row>
    <row r="82" spans="1:8" x14ac:dyDescent="0.25">
      <c r="A82" s="34" t="s">
        <v>58</v>
      </c>
      <c r="B82" s="34" t="s">
        <v>34</v>
      </c>
      <c r="C82" s="34" t="s">
        <v>10</v>
      </c>
      <c r="D82" s="159">
        <f>VLOOKUP(A82,Projeto!$B$36:$D$47,3,FALSE)*VLOOKUP(B82,Projeto!$A$20:$D$24,4,FALSE)*VLOOKUP(B82,Projeto!$A$20:$I$24,MATCH(C82,Projeto!$A$19:$H$19,0),FALSE)</f>
        <v>15801.707504673659</v>
      </c>
      <c r="E82" s="158">
        <f>D82*VLOOKUP(C82,Projeto!$A$10:$D$13,4,FALSE)</f>
        <v>189620490.05608392</v>
      </c>
      <c r="F82" s="158">
        <f>D82*VLOOKUP(C82,Dados!$A$41:$D$44,4,FALSE)</f>
        <v>97337886.160489559</v>
      </c>
      <c r="G82" s="158">
        <f t="shared" si="1"/>
        <v>38935154.464195825</v>
      </c>
      <c r="H82" s="158">
        <f>VLOOKUP(C82,Dados!$A$27:$D$30,4,FALSE)*D82</f>
        <v>3474795.4802777376</v>
      </c>
    </row>
    <row r="83" spans="1:8" x14ac:dyDescent="0.25">
      <c r="A83" s="34" t="s">
        <v>58</v>
      </c>
      <c r="B83" s="34" t="s">
        <v>36</v>
      </c>
      <c r="C83" s="34" t="s">
        <v>10</v>
      </c>
      <c r="D83" s="159">
        <f>VLOOKUP(A83,Projeto!$B$36:$D$47,3,FALSE)*VLOOKUP(B83,Projeto!$A$20:$D$24,4,FALSE)*VLOOKUP(B83,Projeto!$A$20:$I$24,MATCH(C83,Projeto!$A$19:$H$19,0),FALSE)</f>
        <v>59707.030783162925</v>
      </c>
      <c r="E83" s="158">
        <f>D83*VLOOKUP(C83,Projeto!$A$10:$D$13,4,FALSE)</f>
        <v>716484369.39795506</v>
      </c>
      <c r="F83" s="158">
        <f>D83*VLOOKUP(C83,Dados!$A$41:$D$44,4,FALSE)</f>
        <v>367792921.34305227</v>
      </c>
      <c r="G83" s="158">
        <f t="shared" si="1"/>
        <v>147117168.53722093</v>
      </c>
      <c r="H83" s="158">
        <f>VLOOKUP(C83,Dados!$A$27:$D$30,4,FALSE)*D83</f>
        <v>13129576.069217527</v>
      </c>
    </row>
    <row r="84" spans="1:8" x14ac:dyDescent="0.25">
      <c r="A84" s="34" t="s">
        <v>58</v>
      </c>
      <c r="B84" s="34" t="s">
        <v>38</v>
      </c>
      <c r="C84" s="34" t="s">
        <v>10</v>
      </c>
      <c r="D84" s="159">
        <f>VLOOKUP(A84,Projeto!$B$36:$D$47,3,FALSE)*VLOOKUP(B84,Projeto!$A$20:$D$24,4,FALSE)*VLOOKUP(B84,Projeto!$A$20:$I$24,MATCH(C84,Projeto!$A$19:$H$19,0),FALSE)</f>
        <v>9616.6115362993824</v>
      </c>
      <c r="E84" s="158">
        <f>D84*VLOOKUP(C84,Projeto!$A$10:$D$13,4,FALSE)</f>
        <v>115399338.43559259</v>
      </c>
      <c r="F84" s="158">
        <f>D84*VLOOKUP(C84,Dados!$A$41:$D$44,4,FALSE)</f>
        <v>59237942.399142742</v>
      </c>
      <c r="G84" s="158">
        <f t="shared" si="1"/>
        <v>23695176.959657099</v>
      </c>
      <c r="H84" s="158">
        <f>VLOOKUP(C84,Dados!$A$27:$D$30,4,FALSE)*D84</f>
        <v>2114692.8768322342</v>
      </c>
    </row>
    <row r="85" spans="1:8" x14ac:dyDescent="0.25">
      <c r="A85" s="34" t="s">
        <v>58</v>
      </c>
      <c r="B85" s="34" t="s">
        <v>40</v>
      </c>
      <c r="C85" s="34" t="s">
        <v>10</v>
      </c>
      <c r="D85" s="159">
        <f>VLOOKUP(A85,Projeto!$B$36:$D$47,3,FALSE)*VLOOKUP(B85,Projeto!$A$20:$D$24,4,FALSE)*VLOOKUP(B85,Projeto!$A$20:$I$24,MATCH(C85,Projeto!$A$19:$H$19,0),FALSE)</f>
        <v>14329.895264423776</v>
      </c>
      <c r="E85" s="158">
        <f>D85*VLOOKUP(C85,Projeto!$A$10:$D$13,4,FALSE)</f>
        <v>171958743.1730853</v>
      </c>
      <c r="F85" s="158">
        <f>D85*VLOOKUP(C85,Dados!$A$41:$D$44,4,FALSE)</f>
        <v>88271581.633039892</v>
      </c>
      <c r="G85" s="158">
        <f t="shared" si="1"/>
        <v>35308632.65321596</v>
      </c>
      <c r="H85" s="158">
        <f>VLOOKUP(C85,Dados!$A$27:$D$30,4,FALSE)*D85</f>
        <v>3151143.9686467885</v>
      </c>
    </row>
    <row r="86" spans="1:8" x14ac:dyDescent="0.25">
      <c r="A86" s="34" t="s">
        <v>58</v>
      </c>
      <c r="B86" s="34" t="s">
        <v>42</v>
      </c>
      <c r="C86" s="34" t="s">
        <v>10</v>
      </c>
      <c r="D86" s="159">
        <f>VLOOKUP(A86,Projeto!$B$36:$D$47,3,FALSE)*VLOOKUP(B86,Projeto!$A$20:$D$24,4,FALSE)*VLOOKUP(B86,Projeto!$A$20:$I$24,MATCH(C86,Projeto!$A$19:$H$19,0),FALSE)</f>
        <v>3053.4158801339108</v>
      </c>
      <c r="E86" s="158">
        <f>D86*VLOOKUP(C86,Projeto!$A$10:$D$13,4,FALSE)</f>
        <v>36640990.561606929</v>
      </c>
      <c r="F86" s="158">
        <f>D86*VLOOKUP(C86,Dados!$A$41:$D$44,4,FALSE)</f>
        <v>18808919.684989687</v>
      </c>
      <c r="G86" s="158">
        <f t="shared" si="1"/>
        <v>7523567.873995875</v>
      </c>
      <c r="H86" s="158">
        <f>VLOOKUP(C86,Dados!$A$27:$D$30,4,FALSE)*D86</f>
        <v>671446.152041447</v>
      </c>
    </row>
    <row r="87" spans="1:8" x14ac:dyDescent="0.25">
      <c r="A87" s="34" t="s">
        <v>58</v>
      </c>
      <c r="B87" s="34" t="s">
        <v>34</v>
      </c>
      <c r="C87" s="34" t="s">
        <v>15</v>
      </c>
      <c r="D87" s="159">
        <f>VLOOKUP(A87,Projeto!$B$36:$D$47,3,FALSE)*VLOOKUP(B87,Projeto!$A$20:$D$24,4,FALSE)*VLOOKUP(B87,Projeto!$A$20:$I$24,MATCH(C87,Projeto!$A$19:$H$19,0),FALSE)</f>
        <v>142215.36754206294</v>
      </c>
      <c r="E87" s="158">
        <f>D87*VLOOKUP(C87,Projeto!$A$10:$D$13,4,FALSE)</f>
        <v>1066615256.5654721</v>
      </c>
      <c r="F87" s="158">
        <f>D87*VLOOKUP(C87,Dados!$A$41:$D$44,4,FALSE)</f>
        <v>396675636.07037455</v>
      </c>
      <c r="G87" s="158">
        <f t="shared" si="1"/>
        <v>119002690.82111236</v>
      </c>
      <c r="H87" s="158">
        <f>VLOOKUP(C87,Dados!$A$27:$D$30,4,FALSE)*D87</f>
        <v>21318083.594555236</v>
      </c>
    </row>
    <row r="88" spans="1:8" x14ac:dyDescent="0.25">
      <c r="A88" s="34" t="s">
        <v>58</v>
      </c>
      <c r="B88" s="34" t="s">
        <v>36</v>
      </c>
      <c r="C88" s="34" t="s">
        <v>15</v>
      </c>
      <c r="D88" s="159">
        <f>VLOOKUP(A88,Projeto!$B$36:$D$47,3,FALSE)*VLOOKUP(B88,Projeto!$A$20:$D$24,4,FALSE)*VLOOKUP(B88,Projeto!$A$20:$I$24,MATCH(C88,Projeto!$A$19:$H$19,0),FALSE)</f>
        <v>403022.45778634981</v>
      </c>
      <c r="E88" s="158">
        <f>D88*VLOOKUP(C88,Projeto!$A$10:$D$13,4,FALSE)</f>
        <v>3022668433.3976235</v>
      </c>
      <c r="F88" s="158">
        <f>D88*VLOOKUP(C88,Dados!$A$41:$D$44,4,FALSE)</f>
        <v>1124134420.6051543</v>
      </c>
      <c r="G88" s="158">
        <f t="shared" si="1"/>
        <v>337240326.18154627</v>
      </c>
      <c r="H88" s="158">
        <f>VLOOKUP(C88,Dados!$A$27:$D$30,4,FALSE)*D88</f>
        <v>60413066.422173843</v>
      </c>
    </row>
    <row r="89" spans="1:8" x14ac:dyDescent="0.25">
      <c r="A89" s="34" t="s">
        <v>58</v>
      </c>
      <c r="B89" s="34" t="s">
        <v>38</v>
      </c>
      <c r="C89" s="34" t="s">
        <v>15</v>
      </c>
      <c r="D89" s="159">
        <f>VLOOKUP(A89,Projeto!$B$36:$D$47,3,FALSE)*VLOOKUP(B89,Projeto!$A$20:$D$24,4,FALSE)*VLOOKUP(B89,Projeto!$A$20:$I$24,MATCH(C89,Projeto!$A$19:$H$19,0),FALSE)</f>
        <v>115399.33843559258</v>
      </c>
      <c r="E89" s="158">
        <f>D89*VLOOKUP(C89,Projeto!$A$10:$D$13,4,FALSE)</f>
        <v>865495038.26694441</v>
      </c>
      <c r="F89" s="158">
        <f>D89*VLOOKUP(C89,Dados!$A$41:$D$44,4,FALSE)</f>
        <v>321878758.72486097</v>
      </c>
      <c r="G89" s="158">
        <f t="shared" si="1"/>
        <v>96563627.617458284</v>
      </c>
      <c r="H89" s="158">
        <f>VLOOKUP(C89,Dados!$A$27:$D$30,4,FALSE)*D89</f>
        <v>17298360.83149533</v>
      </c>
    </row>
    <row r="90" spans="1:8" x14ac:dyDescent="0.25">
      <c r="A90" s="34" t="s">
        <v>58</v>
      </c>
      <c r="B90" s="34" t="s">
        <v>40</v>
      </c>
      <c r="C90" s="34" t="s">
        <v>15</v>
      </c>
      <c r="D90" s="159">
        <f>VLOOKUP(A90,Projeto!$B$36:$D$47,3,FALSE)*VLOOKUP(B90,Projeto!$A$20:$D$24,4,FALSE)*VLOOKUP(B90,Projeto!$A$20:$I$24,MATCH(C90,Projeto!$A$19:$H$19,0),FALSE)</f>
        <v>68783.497269234125</v>
      </c>
      <c r="E90" s="158">
        <f>D90*VLOOKUP(C90,Projeto!$A$10:$D$13,4,FALSE)</f>
        <v>515876229.51925594</v>
      </c>
      <c r="F90" s="158">
        <f>D90*VLOOKUP(C90,Dados!$A$41:$D$44,4,FALSE)</f>
        <v>191855057.59318399</v>
      </c>
      <c r="G90" s="158">
        <f t="shared" si="1"/>
        <v>57556517.277955197</v>
      </c>
      <c r="H90" s="158">
        <f>VLOOKUP(C90,Dados!$A$27:$D$30,4,FALSE)*D90</f>
        <v>10310646.240658196</v>
      </c>
    </row>
    <row r="91" spans="1:8" x14ac:dyDescent="0.25">
      <c r="A91" s="34" t="s">
        <v>58</v>
      </c>
      <c r="B91" s="34" t="s">
        <v>42</v>
      </c>
      <c r="C91" s="34" t="s">
        <v>15</v>
      </c>
      <c r="D91" s="159">
        <f>VLOOKUP(A91,Projeto!$B$36:$D$47,3,FALSE)*VLOOKUP(B91,Projeto!$A$20:$D$24,4,FALSE)*VLOOKUP(B91,Projeto!$A$20:$I$24,MATCH(C91,Projeto!$A$19:$H$19,0),FALSE)</f>
        <v>36640.99056160693</v>
      </c>
      <c r="E91" s="158">
        <f>D91*VLOOKUP(C91,Projeto!$A$10:$D$13,4,FALSE)</f>
        <v>274807429.21205199</v>
      </c>
      <c r="F91" s="158">
        <f>D91*VLOOKUP(C91,Dados!$A$41:$D$44,4,FALSE)</f>
        <v>102201249.33386776</v>
      </c>
      <c r="G91" s="158">
        <f t="shared" si="1"/>
        <v>30660374.800160326</v>
      </c>
      <c r="H91" s="158">
        <f>VLOOKUP(C91,Dados!$A$27:$D$30,4,FALSE)*D91</f>
        <v>5492484.485184879</v>
      </c>
    </row>
    <row r="92" spans="1:8" x14ac:dyDescent="0.25">
      <c r="A92" s="34" t="s">
        <v>58</v>
      </c>
      <c r="B92" s="34" t="s">
        <v>34</v>
      </c>
      <c r="C92" s="34" t="s">
        <v>19</v>
      </c>
      <c r="D92" s="159">
        <f>VLOOKUP(A92,Projeto!$B$36:$D$47,3,FALSE)*VLOOKUP(B92,Projeto!$A$20:$D$24,4,FALSE)*VLOOKUP(B92,Projeto!$A$20:$I$24,MATCH(C92,Projeto!$A$19:$H$19,0),FALSE)</f>
        <v>263361.79174456099</v>
      </c>
      <c r="E92" s="158">
        <f>D92*VLOOKUP(C92,Projeto!$A$10:$D$13,4,FALSE)</f>
        <v>421378866.79129761</v>
      </c>
      <c r="F92" s="158">
        <f>D92*VLOOKUP(C92,Dados!$A$41:$D$44,4,FALSE)</f>
        <v>234655356.44440386</v>
      </c>
      <c r="G92" s="158">
        <f t="shared" si="1"/>
        <v>70396606.933321148</v>
      </c>
      <c r="H92" s="158">
        <f>VLOOKUP(C92,Dados!$A$27:$D$30,4,FALSE)*D92</f>
        <v>15775371.325499203</v>
      </c>
    </row>
    <row r="93" spans="1:8" x14ac:dyDescent="0.25">
      <c r="A93" s="34" t="s">
        <v>58</v>
      </c>
      <c r="B93" s="34" t="s">
        <v>36</v>
      </c>
      <c r="C93" s="34" t="s">
        <v>19</v>
      </c>
      <c r="D93" s="159">
        <f>VLOOKUP(A93,Projeto!$B$36:$D$47,3,FALSE)*VLOOKUP(B93,Projeto!$A$20:$D$24,4,FALSE)*VLOOKUP(B93,Projeto!$A$20:$I$24,MATCH(C93,Projeto!$A$19:$H$19,0),FALSE)</f>
        <v>746337.88478953659</v>
      </c>
      <c r="E93" s="158">
        <f>D93*VLOOKUP(C93,Projeto!$A$10:$D$13,4,FALSE)</f>
        <v>1194140615.6632586</v>
      </c>
      <c r="F93" s="158">
        <f>D93*VLOOKUP(C93,Dados!$A$41:$D$44,4,FALSE)</f>
        <v>664987055.34747708</v>
      </c>
      <c r="G93" s="158">
        <f t="shared" si="1"/>
        <v>199496116.60424313</v>
      </c>
      <c r="H93" s="158">
        <f>VLOOKUP(C93,Dados!$A$27:$D$30,4,FALSE)*D93</f>
        <v>44705639.298893243</v>
      </c>
    </row>
    <row r="94" spans="1:8" x14ac:dyDescent="0.25">
      <c r="A94" s="34" t="s">
        <v>58</v>
      </c>
      <c r="B94" s="34" t="s">
        <v>38</v>
      </c>
      <c r="C94" s="34" t="s">
        <v>19</v>
      </c>
      <c r="D94" s="159">
        <f>VLOOKUP(A94,Projeto!$B$36:$D$47,3,FALSE)*VLOOKUP(B94,Projeto!$A$20:$D$24,4,FALSE)*VLOOKUP(B94,Projeto!$A$20:$I$24,MATCH(C94,Projeto!$A$19:$H$19,0),FALSE)</f>
        <v>394281.07298827468</v>
      </c>
      <c r="E94" s="158">
        <f>D94*VLOOKUP(C94,Projeto!$A$10:$D$13,4,FALSE)</f>
        <v>630849716.78123951</v>
      </c>
      <c r="F94" s="158">
        <f>D94*VLOOKUP(C94,Dados!$A$41:$D$44,4,FALSE)</f>
        <v>351304436.03255272</v>
      </c>
      <c r="G94" s="158">
        <f t="shared" si="1"/>
        <v>105391330.80976582</v>
      </c>
      <c r="H94" s="158">
        <f>VLOOKUP(C94,Dados!$A$27:$D$30,4,FALSE)*D94</f>
        <v>23617436.271997653</v>
      </c>
    </row>
    <row r="95" spans="1:8" x14ac:dyDescent="0.25">
      <c r="A95" s="34" t="s">
        <v>58</v>
      </c>
      <c r="B95" s="34" t="s">
        <v>40</v>
      </c>
      <c r="C95" s="34" t="s">
        <v>19</v>
      </c>
      <c r="D95" s="159">
        <f>VLOOKUP(A95,Projeto!$B$36:$D$47,3,FALSE)*VLOOKUP(B95,Projeto!$A$20:$D$24,4,FALSE)*VLOOKUP(B95,Projeto!$A$20:$I$24,MATCH(C95,Projeto!$A$19:$H$19,0),FALSE)</f>
        <v>143298.95264423775</v>
      </c>
      <c r="E95" s="158">
        <f>D95*VLOOKUP(C95,Projeto!$A$10:$D$13,4,FALSE)</f>
        <v>229278324.23078039</v>
      </c>
      <c r="F95" s="158">
        <f>D95*VLOOKUP(C95,Dados!$A$41:$D$44,4,FALSE)</f>
        <v>127679366.80601583</v>
      </c>
      <c r="G95" s="158">
        <f t="shared" si="1"/>
        <v>38303810.041804746</v>
      </c>
      <c r="H95" s="158">
        <f>VLOOKUP(C95,Dados!$A$27:$D$30,4,FALSE)*D95</f>
        <v>8583607.2633898407</v>
      </c>
    </row>
    <row r="96" spans="1:8" x14ac:dyDescent="0.25">
      <c r="A96" s="34" t="s">
        <v>58</v>
      </c>
      <c r="B96" s="34" t="s">
        <v>42</v>
      </c>
      <c r="C96" s="34" t="s">
        <v>19</v>
      </c>
      <c r="D96" s="159">
        <f>VLOOKUP(A96,Projeto!$B$36:$D$47,3,FALSE)*VLOOKUP(B96,Projeto!$A$20:$D$24,4,FALSE)*VLOOKUP(B96,Projeto!$A$20:$I$24,MATCH(C96,Projeto!$A$19:$H$19,0),FALSE)</f>
        <v>131296.88284575817</v>
      </c>
      <c r="E96" s="158">
        <f>D96*VLOOKUP(C96,Projeto!$A$10:$D$13,4,FALSE)</f>
        <v>210075012.55321306</v>
      </c>
      <c r="F96" s="158">
        <f>D96*VLOOKUP(C96,Dados!$A$41:$D$44,4,FALSE)</f>
        <v>116985522.61557053</v>
      </c>
      <c r="G96" s="158">
        <f t="shared" si="1"/>
        <v>35095656.784671158</v>
      </c>
      <c r="H96" s="158">
        <f>VLOOKUP(C96,Dados!$A$27:$D$30,4,FALSE)*D96</f>
        <v>7864683.282460914</v>
      </c>
    </row>
    <row r="97" spans="1:8" x14ac:dyDescent="0.25">
      <c r="A97" s="34" t="s">
        <v>58</v>
      </c>
      <c r="B97" s="34" t="s">
        <v>34</v>
      </c>
      <c r="C97" s="34" t="s">
        <v>23</v>
      </c>
      <c r="D97" s="159">
        <f>VLOOKUP(A97,Projeto!$B$36:$D$47,3,FALSE)*VLOOKUP(B97,Projeto!$A$20:$D$24,4,FALSE)*VLOOKUP(B97,Projeto!$A$20:$I$24,MATCH(C97,Projeto!$A$19:$H$19,0),FALSE)</f>
        <v>105344.71669782441</v>
      </c>
      <c r="E97" s="158">
        <f>D97*VLOOKUP(C97,Projeto!$A$10:$D$13,4,FALSE)</f>
        <v>84275773.358259529</v>
      </c>
      <c r="F97" s="158">
        <f>D97*VLOOKUP(C97,Dados!$A$41:$D$44,4,FALSE)</f>
        <v>51751645.524973214</v>
      </c>
      <c r="G97" s="158">
        <f t="shared" si="1"/>
        <v>20700658.209989287</v>
      </c>
      <c r="H97" s="158">
        <f>VLOOKUP(C97,Dados!$A$27:$D$30,4,FALSE)*D97</f>
        <v>10523937.198112659</v>
      </c>
    </row>
    <row r="98" spans="1:8" x14ac:dyDescent="0.25">
      <c r="A98" s="34" t="s">
        <v>58</v>
      </c>
      <c r="B98" s="34" t="s">
        <v>36</v>
      </c>
      <c r="C98" s="34" t="s">
        <v>23</v>
      </c>
      <c r="D98" s="159">
        <f>VLOOKUP(A98,Projeto!$B$36:$D$47,3,FALSE)*VLOOKUP(B98,Projeto!$A$20:$D$24,4,FALSE)*VLOOKUP(B98,Projeto!$A$20:$I$24,MATCH(C98,Projeto!$A$19:$H$19,0),FALSE)</f>
        <v>283608.39622002392</v>
      </c>
      <c r="E98" s="158">
        <f>D98*VLOOKUP(C98,Projeto!$A$10:$D$13,4,FALSE)</f>
        <v>226886716.97601914</v>
      </c>
      <c r="F98" s="158">
        <f>D98*VLOOKUP(C98,Dados!$A$41:$D$44,4,FALSE)</f>
        <v>139325460.72704893</v>
      </c>
      <c r="G98" s="158">
        <f t="shared" si="1"/>
        <v>55730184.290819578</v>
      </c>
      <c r="H98" s="158">
        <f>VLOOKUP(C98,Dados!$A$27:$D$30,4,FALSE)*D98</f>
        <v>28332478.782380391</v>
      </c>
    </row>
    <row r="99" spans="1:8" x14ac:dyDescent="0.25">
      <c r="A99" s="34" t="s">
        <v>58</v>
      </c>
      <c r="B99" s="34" t="s">
        <v>38</v>
      </c>
      <c r="C99" s="34" t="s">
        <v>23</v>
      </c>
      <c r="D99" s="159">
        <f>VLOOKUP(A99,Projeto!$B$36:$D$47,3,FALSE)*VLOOKUP(B99,Projeto!$A$20:$D$24,4,FALSE)*VLOOKUP(B99,Projeto!$A$20:$I$24,MATCH(C99,Projeto!$A$19:$H$19,0),FALSE)</f>
        <v>442364.13066977164</v>
      </c>
      <c r="E99" s="158">
        <f>D99*VLOOKUP(C99,Projeto!$A$10:$D$13,4,FALSE)</f>
        <v>353891304.53581733</v>
      </c>
      <c r="F99" s="158">
        <f>D99*VLOOKUP(C99,Dados!$A$41:$D$44,4,FALSE)</f>
        <v>217315802.83283201</v>
      </c>
      <c r="G99" s="158">
        <f t="shared" si="1"/>
        <v>86926321.133132815</v>
      </c>
      <c r="H99" s="158">
        <f>VLOOKUP(C99,Dados!$A$27:$D$30,4,FALSE)*D99</f>
        <v>44192176.65391019</v>
      </c>
    </row>
    <row r="100" spans="1:8" x14ac:dyDescent="0.25">
      <c r="A100" s="34" t="s">
        <v>58</v>
      </c>
      <c r="B100" s="34" t="s">
        <v>40</v>
      </c>
      <c r="C100" s="34" t="s">
        <v>23</v>
      </c>
      <c r="D100" s="159">
        <f>VLOOKUP(A100,Projeto!$B$36:$D$47,3,FALSE)*VLOOKUP(B100,Projeto!$A$20:$D$24,4,FALSE)*VLOOKUP(B100,Projeto!$A$20:$I$24,MATCH(C100,Projeto!$A$19:$H$19,0),FALSE)</f>
        <v>60185.560110579856</v>
      </c>
      <c r="E100" s="158">
        <f>D100*VLOOKUP(C100,Projeto!$A$10:$D$13,4,FALSE)</f>
        <v>48148448.088463888</v>
      </c>
      <c r="F100" s="158">
        <f>D100*VLOOKUP(C100,Dados!$A$41:$D$44,4,FALSE)</f>
        <v>29566758.259923458</v>
      </c>
      <c r="G100" s="158">
        <f t="shared" si="1"/>
        <v>11826703.303969383</v>
      </c>
      <c r="H100" s="158">
        <f>VLOOKUP(C100,Dados!$A$27:$D$30,4,FALSE)*D100</f>
        <v>6012537.4550469276</v>
      </c>
    </row>
    <row r="101" spans="1:8" x14ac:dyDescent="0.25">
      <c r="A101" s="34" t="s">
        <v>58</v>
      </c>
      <c r="B101" s="34" t="s">
        <v>42</v>
      </c>
      <c r="C101" s="34" t="s">
        <v>23</v>
      </c>
      <c r="D101" s="159">
        <f>VLOOKUP(A101,Projeto!$B$36:$D$47,3,FALSE)*VLOOKUP(B101,Projeto!$A$20:$D$24,4,FALSE)*VLOOKUP(B101,Projeto!$A$20:$I$24,MATCH(C101,Projeto!$A$19:$H$19,0),FALSE)</f>
        <v>134350.29872589206</v>
      </c>
      <c r="E101" s="158">
        <f>D101*VLOOKUP(C101,Projeto!$A$10:$D$13,4,FALSE)</f>
        <v>107480238.98071365</v>
      </c>
      <c r="F101" s="158">
        <f>D101*VLOOKUP(C101,Dados!$A$41:$D$44,4,FALSE)</f>
        <v>66000927.752081729</v>
      </c>
      <c r="G101" s="158">
        <f t="shared" si="1"/>
        <v>26400371.100832693</v>
      </c>
      <c r="H101" s="158">
        <f>VLOOKUP(C101,Dados!$A$27:$D$30,4,FALSE)*D101</f>
        <v>13421594.842716618</v>
      </c>
    </row>
    <row r="102" spans="1:8" x14ac:dyDescent="0.25">
      <c r="A102" s="34" t="s">
        <v>59</v>
      </c>
      <c r="B102" s="34" t="s">
        <v>34</v>
      </c>
      <c r="C102" s="34" t="s">
        <v>10</v>
      </c>
      <c r="D102" s="159">
        <f>VLOOKUP(A102,Projeto!$B$36:$D$47,3,FALSE)*VLOOKUP(B102,Projeto!$A$20:$D$24,4,FALSE)*VLOOKUP(B102,Projeto!$A$20:$I$24,MATCH(C102,Projeto!$A$19:$H$19,0),FALSE)</f>
        <v>15801.707504673659</v>
      </c>
      <c r="E102" s="158">
        <f>D102*VLOOKUP(C102,Projeto!$A$10:$D$13,4,FALSE)</f>
        <v>189620490.05608392</v>
      </c>
      <c r="F102" s="158">
        <f>D102*VLOOKUP(C102,Dados!$A$41:$D$44,4,FALSE)</f>
        <v>97337886.160489559</v>
      </c>
      <c r="G102" s="158">
        <f t="shared" si="1"/>
        <v>38935154.464195825</v>
      </c>
      <c r="H102" s="158">
        <f>VLOOKUP(C102,Dados!$A$27:$D$30,4,FALSE)*D102</f>
        <v>3474795.4802777376</v>
      </c>
    </row>
    <row r="103" spans="1:8" x14ac:dyDescent="0.25">
      <c r="A103" s="34" t="s">
        <v>59</v>
      </c>
      <c r="B103" s="34" t="s">
        <v>36</v>
      </c>
      <c r="C103" s="34" t="s">
        <v>10</v>
      </c>
      <c r="D103" s="159">
        <f>VLOOKUP(A103,Projeto!$B$36:$D$47,3,FALSE)*VLOOKUP(B103,Projeto!$A$20:$D$24,4,FALSE)*VLOOKUP(B103,Projeto!$A$20:$I$24,MATCH(C103,Projeto!$A$19:$H$19,0),FALSE)</f>
        <v>59707.030783162925</v>
      </c>
      <c r="E103" s="158">
        <f>D103*VLOOKUP(C103,Projeto!$A$10:$D$13,4,FALSE)</f>
        <v>716484369.39795506</v>
      </c>
      <c r="F103" s="158">
        <f>D103*VLOOKUP(C103,Dados!$A$41:$D$44,4,FALSE)</f>
        <v>367792921.34305227</v>
      </c>
      <c r="G103" s="158">
        <f t="shared" si="1"/>
        <v>147117168.53722093</v>
      </c>
      <c r="H103" s="158">
        <f>VLOOKUP(C103,Dados!$A$27:$D$30,4,FALSE)*D103</f>
        <v>13129576.069217527</v>
      </c>
    </row>
    <row r="104" spans="1:8" x14ac:dyDescent="0.25">
      <c r="A104" s="34" t="s">
        <v>59</v>
      </c>
      <c r="B104" s="34" t="s">
        <v>38</v>
      </c>
      <c r="C104" s="34" t="s">
        <v>10</v>
      </c>
      <c r="D104" s="159">
        <f>VLOOKUP(A104,Projeto!$B$36:$D$47,3,FALSE)*VLOOKUP(B104,Projeto!$A$20:$D$24,4,FALSE)*VLOOKUP(B104,Projeto!$A$20:$I$24,MATCH(C104,Projeto!$A$19:$H$19,0),FALSE)</f>
        <v>9616.6115362993824</v>
      </c>
      <c r="E104" s="158">
        <f>D104*VLOOKUP(C104,Projeto!$A$10:$D$13,4,FALSE)</f>
        <v>115399338.43559259</v>
      </c>
      <c r="F104" s="158">
        <f>D104*VLOOKUP(C104,Dados!$A$41:$D$44,4,FALSE)</f>
        <v>59237942.399142742</v>
      </c>
      <c r="G104" s="158">
        <f t="shared" si="1"/>
        <v>23695176.959657099</v>
      </c>
      <c r="H104" s="158">
        <f>VLOOKUP(C104,Dados!$A$27:$D$30,4,FALSE)*D104</f>
        <v>2114692.8768322342</v>
      </c>
    </row>
    <row r="105" spans="1:8" x14ac:dyDescent="0.25">
      <c r="A105" s="34" t="s">
        <v>59</v>
      </c>
      <c r="B105" s="34" t="s">
        <v>40</v>
      </c>
      <c r="C105" s="34" t="s">
        <v>10</v>
      </c>
      <c r="D105" s="159">
        <f>VLOOKUP(A105,Projeto!$B$36:$D$47,3,FALSE)*VLOOKUP(B105,Projeto!$A$20:$D$24,4,FALSE)*VLOOKUP(B105,Projeto!$A$20:$I$24,MATCH(C105,Projeto!$A$19:$H$19,0),FALSE)</f>
        <v>14329.895264423776</v>
      </c>
      <c r="E105" s="158">
        <f>D105*VLOOKUP(C105,Projeto!$A$10:$D$13,4,FALSE)</f>
        <v>171958743.1730853</v>
      </c>
      <c r="F105" s="158">
        <f>D105*VLOOKUP(C105,Dados!$A$41:$D$44,4,FALSE)</f>
        <v>88271581.633039892</v>
      </c>
      <c r="G105" s="158">
        <f t="shared" si="1"/>
        <v>35308632.65321596</v>
      </c>
      <c r="H105" s="158">
        <f>VLOOKUP(C105,Dados!$A$27:$D$30,4,FALSE)*D105</f>
        <v>3151143.9686467885</v>
      </c>
    </row>
    <row r="106" spans="1:8" x14ac:dyDescent="0.25">
      <c r="A106" s="34" t="s">
        <v>59</v>
      </c>
      <c r="B106" s="34" t="s">
        <v>42</v>
      </c>
      <c r="C106" s="34" t="s">
        <v>10</v>
      </c>
      <c r="D106" s="159">
        <f>VLOOKUP(A106,Projeto!$B$36:$D$47,3,FALSE)*VLOOKUP(B106,Projeto!$A$20:$D$24,4,FALSE)*VLOOKUP(B106,Projeto!$A$20:$I$24,MATCH(C106,Projeto!$A$19:$H$19,0),FALSE)</f>
        <v>3053.4158801339108</v>
      </c>
      <c r="E106" s="158">
        <f>D106*VLOOKUP(C106,Projeto!$A$10:$D$13,4,FALSE)</f>
        <v>36640990.561606929</v>
      </c>
      <c r="F106" s="158">
        <f>D106*VLOOKUP(C106,Dados!$A$41:$D$44,4,FALSE)</f>
        <v>18808919.684989687</v>
      </c>
      <c r="G106" s="158">
        <f t="shared" si="1"/>
        <v>7523567.873995875</v>
      </c>
      <c r="H106" s="158">
        <f>VLOOKUP(C106,Dados!$A$27:$D$30,4,FALSE)*D106</f>
        <v>671446.152041447</v>
      </c>
    </row>
    <row r="107" spans="1:8" x14ac:dyDescent="0.25">
      <c r="A107" s="34" t="s">
        <v>59</v>
      </c>
      <c r="B107" s="34" t="s">
        <v>34</v>
      </c>
      <c r="C107" s="34" t="s">
        <v>15</v>
      </c>
      <c r="D107" s="159">
        <f>VLOOKUP(A107,Projeto!$B$36:$D$47,3,FALSE)*VLOOKUP(B107,Projeto!$A$20:$D$24,4,FALSE)*VLOOKUP(B107,Projeto!$A$20:$I$24,MATCH(C107,Projeto!$A$19:$H$19,0),FALSE)</f>
        <v>142215.36754206294</v>
      </c>
      <c r="E107" s="158">
        <f>D107*VLOOKUP(C107,Projeto!$A$10:$D$13,4,FALSE)</f>
        <v>1066615256.5654721</v>
      </c>
      <c r="F107" s="158">
        <f>D107*VLOOKUP(C107,Dados!$A$41:$D$44,4,FALSE)</f>
        <v>396675636.07037455</v>
      </c>
      <c r="G107" s="158">
        <f t="shared" si="1"/>
        <v>119002690.82111236</v>
      </c>
      <c r="H107" s="158">
        <f>VLOOKUP(C107,Dados!$A$27:$D$30,4,FALSE)*D107</f>
        <v>21318083.594555236</v>
      </c>
    </row>
    <row r="108" spans="1:8" x14ac:dyDescent="0.25">
      <c r="A108" s="34" t="s">
        <v>59</v>
      </c>
      <c r="B108" s="34" t="s">
        <v>36</v>
      </c>
      <c r="C108" s="34" t="s">
        <v>15</v>
      </c>
      <c r="D108" s="159">
        <f>VLOOKUP(A108,Projeto!$B$36:$D$47,3,FALSE)*VLOOKUP(B108,Projeto!$A$20:$D$24,4,FALSE)*VLOOKUP(B108,Projeto!$A$20:$I$24,MATCH(C108,Projeto!$A$19:$H$19,0),FALSE)</f>
        <v>403022.45778634981</v>
      </c>
      <c r="E108" s="158">
        <f>D108*VLOOKUP(C108,Projeto!$A$10:$D$13,4,FALSE)</f>
        <v>3022668433.3976235</v>
      </c>
      <c r="F108" s="158">
        <f>D108*VLOOKUP(C108,Dados!$A$41:$D$44,4,FALSE)</f>
        <v>1124134420.6051543</v>
      </c>
      <c r="G108" s="158">
        <f t="shared" si="1"/>
        <v>337240326.18154627</v>
      </c>
      <c r="H108" s="158">
        <f>VLOOKUP(C108,Dados!$A$27:$D$30,4,FALSE)*D108</f>
        <v>60413066.422173843</v>
      </c>
    </row>
    <row r="109" spans="1:8" x14ac:dyDescent="0.25">
      <c r="A109" s="34" t="s">
        <v>59</v>
      </c>
      <c r="B109" s="34" t="s">
        <v>38</v>
      </c>
      <c r="C109" s="34" t="s">
        <v>15</v>
      </c>
      <c r="D109" s="159">
        <f>VLOOKUP(A109,Projeto!$B$36:$D$47,3,FALSE)*VLOOKUP(B109,Projeto!$A$20:$D$24,4,FALSE)*VLOOKUP(B109,Projeto!$A$20:$I$24,MATCH(C109,Projeto!$A$19:$H$19,0),FALSE)</f>
        <v>115399.33843559258</v>
      </c>
      <c r="E109" s="158">
        <f>D109*VLOOKUP(C109,Projeto!$A$10:$D$13,4,FALSE)</f>
        <v>865495038.26694441</v>
      </c>
      <c r="F109" s="158">
        <f>D109*VLOOKUP(C109,Dados!$A$41:$D$44,4,FALSE)</f>
        <v>321878758.72486097</v>
      </c>
      <c r="G109" s="158">
        <f t="shared" si="1"/>
        <v>96563627.617458284</v>
      </c>
      <c r="H109" s="158">
        <f>VLOOKUP(C109,Dados!$A$27:$D$30,4,FALSE)*D109</f>
        <v>17298360.83149533</v>
      </c>
    </row>
    <row r="110" spans="1:8" x14ac:dyDescent="0.25">
      <c r="A110" s="34" t="s">
        <v>59</v>
      </c>
      <c r="B110" s="34" t="s">
        <v>40</v>
      </c>
      <c r="C110" s="34" t="s">
        <v>15</v>
      </c>
      <c r="D110" s="159">
        <f>VLOOKUP(A110,Projeto!$B$36:$D$47,3,FALSE)*VLOOKUP(B110,Projeto!$A$20:$D$24,4,FALSE)*VLOOKUP(B110,Projeto!$A$20:$I$24,MATCH(C110,Projeto!$A$19:$H$19,0),FALSE)</f>
        <v>68783.497269234125</v>
      </c>
      <c r="E110" s="158">
        <f>D110*VLOOKUP(C110,Projeto!$A$10:$D$13,4,FALSE)</f>
        <v>515876229.51925594</v>
      </c>
      <c r="F110" s="158">
        <f>D110*VLOOKUP(C110,Dados!$A$41:$D$44,4,FALSE)</f>
        <v>191855057.59318399</v>
      </c>
      <c r="G110" s="158">
        <f t="shared" si="1"/>
        <v>57556517.277955197</v>
      </c>
      <c r="H110" s="158">
        <f>VLOOKUP(C110,Dados!$A$27:$D$30,4,FALSE)*D110</f>
        <v>10310646.240658196</v>
      </c>
    </row>
    <row r="111" spans="1:8" x14ac:dyDescent="0.25">
      <c r="A111" s="34" t="s">
        <v>59</v>
      </c>
      <c r="B111" s="34" t="s">
        <v>42</v>
      </c>
      <c r="C111" s="34" t="s">
        <v>15</v>
      </c>
      <c r="D111" s="159">
        <f>VLOOKUP(A111,Projeto!$B$36:$D$47,3,FALSE)*VLOOKUP(B111,Projeto!$A$20:$D$24,4,FALSE)*VLOOKUP(B111,Projeto!$A$20:$I$24,MATCH(C111,Projeto!$A$19:$H$19,0),FALSE)</f>
        <v>36640.99056160693</v>
      </c>
      <c r="E111" s="158">
        <f>D111*VLOOKUP(C111,Projeto!$A$10:$D$13,4,FALSE)</f>
        <v>274807429.21205199</v>
      </c>
      <c r="F111" s="158">
        <f>D111*VLOOKUP(C111,Dados!$A$41:$D$44,4,FALSE)</f>
        <v>102201249.33386776</v>
      </c>
      <c r="G111" s="158">
        <f t="shared" si="1"/>
        <v>30660374.800160326</v>
      </c>
      <c r="H111" s="158">
        <f>VLOOKUP(C111,Dados!$A$27:$D$30,4,FALSE)*D111</f>
        <v>5492484.485184879</v>
      </c>
    </row>
    <row r="112" spans="1:8" x14ac:dyDescent="0.25">
      <c r="A112" s="34" t="s">
        <v>59</v>
      </c>
      <c r="B112" s="34" t="s">
        <v>34</v>
      </c>
      <c r="C112" s="34" t="s">
        <v>19</v>
      </c>
      <c r="D112" s="159">
        <f>VLOOKUP(A112,Projeto!$B$36:$D$47,3,FALSE)*VLOOKUP(B112,Projeto!$A$20:$D$24,4,FALSE)*VLOOKUP(B112,Projeto!$A$20:$I$24,MATCH(C112,Projeto!$A$19:$H$19,0),FALSE)</f>
        <v>263361.79174456099</v>
      </c>
      <c r="E112" s="158">
        <f>D112*VLOOKUP(C112,Projeto!$A$10:$D$13,4,FALSE)</f>
        <v>421378866.79129761</v>
      </c>
      <c r="F112" s="158">
        <f>D112*VLOOKUP(C112,Dados!$A$41:$D$44,4,FALSE)</f>
        <v>234655356.44440386</v>
      </c>
      <c r="G112" s="158">
        <f t="shared" si="1"/>
        <v>70396606.933321148</v>
      </c>
      <c r="H112" s="158">
        <f>VLOOKUP(C112,Dados!$A$27:$D$30,4,FALSE)*D112</f>
        <v>15775371.325499203</v>
      </c>
    </row>
    <row r="113" spans="1:8" x14ac:dyDescent="0.25">
      <c r="A113" s="34" t="s">
        <v>59</v>
      </c>
      <c r="B113" s="34" t="s">
        <v>36</v>
      </c>
      <c r="C113" s="34" t="s">
        <v>19</v>
      </c>
      <c r="D113" s="159">
        <f>VLOOKUP(A113,Projeto!$B$36:$D$47,3,FALSE)*VLOOKUP(B113,Projeto!$A$20:$D$24,4,FALSE)*VLOOKUP(B113,Projeto!$A$20:$I$24,MATCH(C113,Projeto!$A$19:$H$19,0),FALSE)</f>
        <v>746337.88478953659</v>
      </c>
      <c r="E113" s="158">
        <f>D113*VLOOKUP(C113,Projeto!$A$10:$D$13,4,FALSE)</f>
        <v>1194140615.6632586</v>
      </c>
      <c r="F113" s="158">
        <f>D113*VLOOKUP(C113,Dados!$A$41:$D$44,4,FALSE)</f>
        <v>664987055.34747708</v>
      </c>
      <c r="G113" s="158">
        <f t="shared" si="1"/>
        <v>199496116.60424313</v>
      </c>
      <c r="H113" s="158">
        <f>VLOOKUP(C113,Dados!$A$27:$D$30,4,FALSE)*D113</f>
        <v>44705639.298893243</v>
      </c>
    </row>
    <row r="114" spans="1:8" x14ac:dyDescent="0.25">
      <c r="A114" s="34" t="s">
        <v>59</v>
      </c>
      <c r="B114" s="34" t="s">
        <v>38</v>
      </c>
      <c r="C114" s="34" t="s">
        <v>19</v>
      </c>
      <c r="D114" s="159">
        <f>VLOOKUP(A114,Projeto!$B$36:$D$47,3,FALSE)*VLOOKUP(B114,Projeto!$A$20:$D$24,4,FALSE)*VLOOKUP(B114,Projeto!$A$20:$I$24,MATCH(C114,Projeto!$A$19:$H$19,0),FALSE)</f>
        <v>394281.07298827468</v>
      </c>
      <c r="E114" s="158">
        <f>D114*VLOOKUP(C114,Projeto!$A$10:$D$13,4,FALSE)</f>
        <v>630849716.78123951</v>
      </c>
      <c r="F114" s="158">
        <f>D114*VLOOKUP(C114,Dados!$A$41:$D$44,4,FALSE)</f>
        <v>351304436.03255272</v>
      </c>
      <c r="G114" s="158">
        <f t="shared" si="1"/>
        <v>105391330.80976582</v>
      </c>
      <c r="H114" s="158">
        <f>VLOOKUP(C114,Dados!$A$27:$D$30,4,FALSE)*D114</f>
        <v>23617436.271997653</v>
      </c>
    </row>
    <row r="115" spans="1:8" x14ac:dyDescent="0.25">
      <c r="A115" s="34" t="s">
        <v>59</v>
      </c>
      <c r="B115" s="34" t="s">
        <v>40</v>
      </c>
      <c r="C115" s="34" t="s">
        <v>19</v>
      </c>
      <c r="D115" s="159">
        <f>VLOOKUP(A115,Projeto!$B$36:$D$47,3,FALSE)*VLOOKUP(B115,Projeto!$A$20:$D$24,4,FALSE)*VLOOKUP(B115,Projeto!$A$20:$I$24,MATCH(C115,Projeto!$A$19:$H$19,0),FALSE)</f>
        <v>143298.95264423775</v>
      </c>
      <c r="E115" s="158">
        <f>D115*VLOOKUP(C115,Projeto!$A$10:$D$13,4,FALSE)</f>
        <v>229278324.23078039</v>
      </c>
      <c r="F115" s="158">
        <f>D115*VLOOKUP(C115,Dados!$A$41:$D$44,4,FALSE)</f>
        <v>127679366.80601583</v>
      </c>
      <c r="G115" s="158">
        <f t="shared" si="1"/>
        <v>38303810.041804746</v>
      </c>
      <c r="H115" s="158">
        <f>VLOOKUP(C115,Dados!$A$27:$D$30,4,FALSE)*D115</f>
        <v>8583607.2633898407</v>
      </c>
    </row>
    <row r="116" spans="1:8" x14ac:dyDescent="0.25">
      <c r="A116" s="34" t="s">
        <v>59</v>
      </c>
      <c r="B116" s="34" t="s">
        <v>42</v>
      </c>
      <c r="C116" s="34" t="s">
        <v>19</v>
      </c>
      <c r="D116" s="159">
        <f>VLOOKUP(A116,Projeto!$B$36:$D$47,3,FALSE)*VLOOKUP(B116,Projeto!$A$20:$D$24,4,FALSE)*VLOOKUP(B116,Projeto!$A$20:$I$24,MATCH(C116,Projeto!$A$19:$H$19,0),FALSE)</f>
        <v>131296.88284575817</v>
      </c>
      <c r="E116" s="158">
        <f>D116*VLOOKUP(C116,Projeto!$A$10:$D$13,4,FALSE)</f>
        <v>210075012.55321306</v>
      </c>
      <c r="F116" s="158">
        <f>D116*VLOOKUP(C116,Dados!$A$41:$D$44,4,FALSE)</f>
        <v>116985522.61557053</v>
      </c>
      <c r="G116" s="158">
        <f t="shared" si="1"/>
        <v>35095656.784671158</v>
      </c>
      <c r="H116" s="158">
        <f>VLOOKUP(C116,Dados!$A$27:$D$30,4,FALSE)*D116</f>
        <v>7864683.282460914</v>
      </c>
    </row>
    <row r="117" spans="1:8" x14ac:dyDescent="0.25">
      <c r="A117" s="34" t="s">
        <v>59</v>
      </c>
      <c r="B117" s="34" t="s">
        <v>34</v>
      </c>
      <c r="C117" s="34" t="s">
        <v>23</v>
      </c>
      <c r="D117" s="159">
        <f>VLOOKUP(A117,Projeto!$B$36:$D$47,3,FALSE)*VLOOKUP(B117,Projeto!$A$20:$D$24,4,FALSE)*VLOOKUP(B117,Projeto!$A$20:$I$24,MATCH(C117,Projeto!$A$19:$H$19,0),FALSE)</f>
        <v>105344.71669782441</v>
      </c>
      <c r="E117" s="158">
        <f>D117*VLOOKUP(C117,Projeto!$A$10:$D$13,4,FALSE)</f>
        <v>84275773.358259529</v>
      </c>
      <c r="F117" s="158">
        <f>D117*VLOOKUP(C117,Dados!$A$41:$D$44,4,FALSE)</f>
        <v>51751645.524973214</v>
      </c>
      <c r="G117" s="158">
        <f t="shared" si="1"/>
        <v>20700658.209989287</v>
      </c>
      <c r="H117" s="158">
        <f>VLOOKUP(C117,Dados!$A$27:$D$30,4,FALSE)*D117</f>
        <v>10523937.198112659</v>
      </c>
    </row>
    <row r="118" spans="1:8" x14ac:dyDescent="0.25">
      <c r="A118" s="34" t="s">
        <v>59</v>
      </c>
      <c r="B118" s="34" t="s">
        <v>36</v>
      </c>
      <c r="C118" s="34" t="s">
        <v>23</v>
      </c>
      <c r="D118" s="159">
        <f>VLOOKUP(A118,Projeto!$B$36:$D$47,3,FALSE)*VLOOKUP(B118,Projeto!$A$20:$D$24,4,FALSE)*VLOOKUP(B118,Projeto!$A$20:$I$24,MATCH(C118,Projeto!$A$19:$H$19,0),FALSE)</f>
        <v>283608.39622002392</v>
      </c>
      <c r="E118" s="158">
        <f>D118*VLOOKUP(C118,Projeto!$A$10:$D$13,4,FALSE)</f>
        <v>226886716.97601914</v>
      </c>
      <c r="F118" s="158">
        <f>D118*VLOOKUP(C118,Dados!$A$41:$D$44,4,FALSE)</f>
        <v>139325460.72704893</v>
      </c>
      <c r="G118" s="158">
        <f t="shared" si="1"/>
        <v>55730184.290819578</v>
      </c>
      <c r="H118" s="158">
        <f>VLOOKUP(C118,Dados!$A$27:$D$30,4,FALSE)*D118</f>
        <v>28332478.782380391</v>
      </c>
    </row>
    <row r="119" spans="1:8" x14ac:dyDescent="0.25">
      <c r="A119" s="34" t="s">
        <v>59</v>
      </c>
      <c r="B119" s="34" t="s">
        <v>38</v>
      </c>
      <c r="C119" s="34" t="s">
        <v>23</v>
      </c>
      <c r="D119" s="159">
        <f>VLOOKUP(A119,Projeto!$B$36:$D$47,3,FALSE)*VLOOKUP(B119,Projeto!$A$20:$D$24,4,FALSE)*VLOOKUP(B119,Projeto!$A$20:$I$24,MATCH(C119,Projeto!$A$19:$H$19,0),FALSE)</f>
        <v>442364.13066977164</v>
      </c>
      <c r="E119" s="158">
        <f>D119*VLOOKUP(C119,Projeto!$A$10:$D$13,4,FALSE)</f>
        <v>353891304.53581733</v>
      </c>
      <c r="F119" s="158">
        <f>D119*VLOOKUP(C119,Dados!$A$41:$D$44,4,FALSE)</f>
        <v>217315802.83283201</v>
      </c>
      <c r="G119" s="158">
        <f t="shared" si="1"/>
        <v>86926321.133132815</v>
      </c>
      <c r="H119" s="158">
        <f>VLOOKUP(C119,Dados!$A$27:$D$30,4,FALSE)*D119</f>
        <v>44192176.65391019</v>
      </c>
    </row>
    <row r="120" spans="1:8" x14ac:dyDescent="0.25">
      <c r="A120" s="34" t="s">
        <v>59</v>
      </c>
      <c r="B120" s="34" t="s">
        <v>40</v>
      </c>
      <c r="C120" s="34" t="s">
        <v>23</v>
      </c>
      <c r="D120" s="159">
        <f>VLOOKUP(A120,Projeto!$B$36:$D$47,3,FALSE)*VLOOKUP(B120,Projeto!$A$20:$D$24,4,FALSE)*VLOOKUP(B120,Projeto!$A$20:$I$24,MATCH(C120,Projeto!$A$19:$H$19,0),FALSE)</f>
        <v>60185.560110579856</v>
      </c>
      <c r="E120" s="158">
        <f>D120*VLOOKUP(C120,Projeto!$A$10:$D$13,4,FALSE)</f>
        <v>48148448.088463888</v>
      </c>
      <c r="F120" s="158">
        <f>D120*VLOOKUP(C120,Dados!$A$41:$D$44,4,FALSE)</f>
        <v>29566758.259923458</v>
      </c>
      <c r="G120" s="158">
        <f t="shared" si="1"/>
        <v>11826703.303969383</v>
      </c>
      <c r="H120" s="158">
        <f>VLOOKUP(C120,Dados!$A$27:$D$30,4,FALSE)*D120</f>
        <v>6012537.4550469276</v>
      </c>
    </row>
    <row r="121" spans="1:8" x14ac:dyDescent="0.25">
      <c r="A121" s="34" t="s">
        <v>59</v>
      </c>
      <c r="B121" s="34" t="s">
        <v>42</v>
      </c>
      <c r="C121" s="34" t="s">
        <v>23</v>
      </c>
      <c r="D121" s="159">
        <f>VLOOKUP(A121,Projeto!$B$36:$D$47,3,FALSE)*VLOOKUP(B121,Projeto!$A$20:$D$24,4,FALSE)*VLOOKUP(B121,Projeto!$A$20:$I$24,MATCH(C121,Projeto!$A$19:$H$19,0),FALSE)</f>
        <v>134350.29872589206</v>
      </c>
      <c r="E121" s="158">
        <f>D121*VLOOKUP(C121,Projeto!$A$10:$D$13,4,FALSE)</f>
        <v>107480238.98071365</v>
      </c>
      <c r="F121" s="158">
        <f>D121*VLOOKUP(C121,Dados!$A$41:$D$44,4,FALSE)</f>
        <v>66000927.752081729</v>
      </c>
      <c r="G121" s="158">
        <f t="shared" si="1"/>
        <v>26400371.100832693</v>
      </c>
      <c r="H121" s="158">
        <f>VLOOKUP(C121,Dados!$A$27:$D$30,4,FALSE)*D121</f>
        <v>13421594.842716618</v>
      </c>
    </row>
    <row r="122" spans="1:8" x14ac:dyDescent="0.25">
      <c r="A122" s="34" t="s">
        <v>60</v>
      </c>
      <c r="B122" s="34" t="s">
        <v>34</v>
      </c>
      <c r="C122" s="34" t="s">
        <v>10</v>
      </c>
      <c r="D122" s="159">
        <f>VLOOKUP(A122,Projeto!$B$36:$D$47,3,FALSE)*VLOOKUP(B122,Projeto!$A$20:$D$24,4,FALSE)*VLOOKUP(B122,Projeto!$A$20:$I$24,MATCH(C122,Projeto!$A$19:$H$19,0),FALSE)</f>
        <v>10534.471669782439</v>
      </c>
      <c r="E122" s="158">
        <f>D122*VLOOKUP(C122,Projeto!$A$10:$D$13,4,FALSE)</f>
        <v>126413660.03738926</v>
      </c>
      <c r="F122" s="158">
        <f>D122*VLOOKUP(C122,Dados!$A$41:$D$44,4,FALSE)</f>
        <v>64891924.106993034</v>
      </c>
      <c r="G122" s="158">
        <f t="shared" si="1"/>
        <v>25956769.642797217</v>
      </c>
      <c r="H122" s="158">
        <f>VLOOKUP(C122,Dados!$A$27:$D$30,4,FALSE)*D122</f>
        <v>2316530.3201851584</v>
      </c>
    </row>
    <row r="123" spans="1:8" x14ac:dyDescent="0.25">
      <c r="A123" s="34" t="s">
        <v>60</v>
      </c>
      <c r="B123" s="34" t="s">
        <v>36</v>
      </c>
      <c r="C123" s="34" t="s">
        <v>10</v>
      </c>
      <c r="D123" s="159">
        <f>VLOOKUP(A123,Projeto!$B$36:$D$47,3,FALSE)*VLOOKUP(B123,Projeto!$A$20:$D$24,4,FALSE)*VLOOKUP(B123,Projeto!$A$20:$I$24,MATCH(C123,Projeto!$A$19:$H$19,0),FALSE)</f>
        <v>39804.687188775286</v>
      </c>
      <c r="E123" s="158">
        <f>D123*VLOOKUP(C123,Projeto!$A$10:$D$13,4,FALSE)</f>
        <v>477656246.26530343</v>
      </c>
      <c r="F123" s="158">
        <f>D123*VLOOKUP(C123,Dados!$A$41:$D$44,4,FALSE)</f>
        <v>245195280.89536822</v>
      </c>
      <c r="G123" s="158">
        <f t="shared" si="1"/>
        <v>98078112.358147293</v>
      </c>
      <c r="H123" s="158">
        <f>VLOOKUP(C123,Dados!$A$27:$D$30,4,FALSE)*D123</f>
        <v>8753050.7128116861</v>
      </c>
    </row>
    <row r="124" spans="1:8" x14ac:dyDescent="0.25">
      <c r="A124" s="34" t="s">
        <v>60</v>
      </c>
      <c r="B124" s="34" t="s">
        <v>38</v>
      </c>
      <c r="C124" s="34" t="s">
        <v>10</v>
      </c>
      <c r="D124" s="159">
        <f>VLOOKUP(A124,Projeto!$B$36:$D$47,3,FALSE)*VLOOKUP(B124,Projeto!$A$20:$D$24,4,FALSE)*VLOOKUP(B124,Projeto!$A$20:$I$24,MATCH(C124,Projeto!$A$19:$H$19,0),FALSE)</f>
        <v>6411.0743575329216</v>
      </c>
      <c r="E124" s="158">
        <f>D124*VLOOKUP(C124,Projeto!$A$10:$D$13,4,FALSE)</f>
        <v>76932892.290395066</v>
      </c>
      <c r="F124" s="158">
        <f>D124*VLOOKUP(C124,Dados!$A$41:$D$44,4,FALSE)</f>
        <v>39491961.599428497</v>
      </c>
      <c r="G124" s="158">
        <f t="shared" si="1"/>
        <v>15796784.6397714</v>
      </c>
      <c r="H124" s="158">
        <f>VLOOKUP(C124,Dados!$A$27:$D$30,4,FALSE)*D124</f>
        <v>1409795.2512214894</v>
      </c>
    </row>
    <row r="125" spans="1:8" x14ac:dyDescent="0.25">
      <c r="A125" s="34" t="s">
        <v>60</v>
      </c>
      <c r="B125" s="34" t="s">
        <v>40</v>
      </c>
      <c r="C125" s="34" t="s">
        <v>10</v>
      </c>
      <c r="D125" s="159">
        <f>VLOOKUP(A125,Projeto!$B$36:$D$47,3,FALSE)*VLOOKUP(B125,Projeto!$A$20:$D$24,4,FALSE)*VLOOKUP(B125,Projeto!$A$20:$I$24,MATCH(C125,Projeto!$A$19:$H$19,0),FALSE)</f>
        <v>9553.2635096158501</v>
      </c>
      <c r="E125" s="158">
        <f>D125*VLOOKUP(C125,Projeto!$A$10:$D$13,4,FALSE)</f>
        <v>114639162.1153902</v>
      </c>
      <c r="F125" s="158">
        <f>D125*VLOOKUP(C125,Dados!$A$41:$D$44,4,FALSE)</f>
        <v>58847721.088693254</v>
      </c>
      <c r="G125" s="158">
        <f t="shared" si="1"/>
        <v>23539088.435477301</v>
      </c>
      <c r="H125" s="158">
        <f>VLOOKUP(C125,Dados!$A$27:$D$30,4,FALSE)*D125</f>
        <v>2100762.6457645255</v>
      </c>
    </row>
    <row r="126" spans="1:8" x14ac:dyDescent="0.25">
      <c r="A126" s="34" t="s">
        <v>60</v>
      </c>
      <c r="B126" s="34" t="s">
        <v>42</v>
      </c>
      <c r="C126" s="34" t="s">
        <v>10</v>
      </c>
      <c r="D126" s="159">
        <f>VLOOKUP(A126,Projeto!$B$36:$D$47,3,FALSE)*VLOOKUP(B126,Projeto!$A$20:$D$24,4,FALSE)*VLOOKUP(B126,Projeto!$A$20:$I$24,MATCH(C126,Projeto!$A$19:$H$19,0),FALSE)</f>
        <v>2035.6105867559409</v>
      </c>
      <c r="E126" s="158">
        <f>D126*VLOOKUP(C126,Projeto!$A$10:$D$13,4,FALSE)</f>
        <v>24427327.041071292</v>
      </c>
      <c r="F126" s="158">
        <f>D126*VLOOKUP(C126,Dados!$A$41:$D$44,4,FALSE)</f>
        <v>12539279.789993126</v>
      </c>
      <c r="G126" s="158">
        <f t="shared" si="1"/>
        <v>5015711.9159972509</v>
      </c>
      <c r="H126" s="158">
        <f>VLOOKUP(C126,Dados!$A$27:$D$30,4,FALSE)*D126</f>
        <v>447630.76802763139</v>
      </c>
    </row>
    <row r="127" spans="1:8" x14ac:dyDescent="0.25">
      <c r="A127" s="34" t="s">
        <v>60</v>
      </c>
      <c r="B127" s="34" t="s">
        <v>34</v>
      </c>
      <c r="C127" s="34" t="s">
        <v>15</v>
      </c>
      <c r="D127" s="159">
        <f>VLOOKUP(A127,Projeto!$B$36:$D$47,3,FALSE)*VLOOKUP(B127,Projeto!$A$20:$D$24,4,FALSE)*VLOOKUP(B127,Projeto!$A$20:$I$24,MATCH(C127,Projeto!$A$19:$H$19,0),FALSE)</f>
        <v>94810.245028041958</v>
      </c>
      <c r="E127" s="158">
        <f>D127*VLOOKUP(C127,Projeto!$A$10:$D$13,4,FALSE)</f>
        <v>711076837.71031463</v>
      </c>
      <c r="F127" s="158">
        <f>D127*VLOOKUP(C127,Dados!$A$41:$D$44,4,FALSE)</f>
        <v>264450424.04691634</v>
      </c>
      <c r="G127" s="158">
        <f t="shared" si="1"/>
        <v>79335127.214074895</v>
      </c>
      <c r="H127" s="158">
        <f>VLOOKUP(C127,Dados!$A$27:$D$30,4,FALSE)*D127</f>
        <v>14212055.72970349</v>
      </c>
    </row>
    <row r="128" spans="1:8" x14ac:dyDescent="0.25">
      <c r="A128" s="34" t="s">
        <v>60</v>
      </c>
      <c r="B128" s="34" t="s">
        <v>36</v>
      </c>
      <c r="C128" s="34" t="s">
        <v>15</v>
      </c>
      <c r="D128" s="159">
        <f>VLOOKUP(A128,Projeto!$B$36:$D$47,3,FALSE)*VLOOKUP(B128,Projeto!$A$20:$D$24,4,FALSE)*VLOOKUP(B128,Projeto!$A$20:$I$24,MATCH(C128,Projeto!$A$19:$H$19,0),FALSE)</f>
        <v>268681.63852423319</v>
      </c>
      <c r="E128" s="158">
        <f>D128*VLOOKUP(C128,Projeto!$A$10:$D$13,4,FALSE)</f>
        <v>2015112288.9317489</v>
      </c>
      <c r="F128" s="158">
        <f>D128*VLOOKUP(C128,Dados!$A$41:$D$44,4,FALSE)</f>
        <v>749422947.07010269</v>
      </c>
      <c r="G128" s="158">
        <f t="shared" si="1"/>
        <v>224826884.12103081</v>
      </c>
      <c r="H128" s="158">
        <f>VLOOKUP(C128,Dados!$A$27:$D$30,4,FALSE)*D128</f>
        <v>40275377.614782557</v>
      </c>
    </row>
    <row r="129" spans="1:8" x14ac:dyDescent="0.25">
      <c r="A129" s="34" t="s">
        <v>60</v>
      </c>
      <c r="B129" s="34" t="s">
        <v>38</v>
      </c>
      <c r="C129" s="34" t="s">
        <v>15</v>
      </c>
      <c r="D129" s="159">
        <f>VLOOKUP(A129,Projeto!$B$36:$D$47,3,FALSE)*VLOOKUP(B129,Projeto!$A$20:$D$24,4,FALSE)*VLOOKUP(B129,Projeto!$A$20:$I$24,MATCH(C129,Projeto!$A$19:$H$19,0),FALSE)</f>
        <v>76932.892290395059</v>
      </c>
      <c r="E129" s="158">
        <f>D129*VLOOKUP(C129,Projeto!$A$10:$D$13,4,FALSE)</f>
        <v>576996692.1779629</v>
      </c>
      <c r="F129" s="158">
        <f>D129*VLOOKUP(C129,Dados!$A$41:$D$44,4,FALSE)</f>
        <v>214585839.14990735</v>
      </c>
      <c r="G129" s="158">
        <f t="shared" si="1"/>
        <v>64375751.744972199</v>
      </c>
      <c r="H129" s="158">
        <f>VLOOKUP(C129,Dados!$A$27:$D$30,4,FALSE)*D129</f>
        <v>11532240.55433022</v>
      </c>
    </row>
    <row r="130" spans="1:8" x14ac:dyDescent="0.25">
      <c r="A130" s="34" t="s">
        <v>60</v>
      </c>
      <c r="B130" s="34" t="s">
        <v>40</v>
      </c>
      <c r="C130" s="34" t="s">
        <v>15</v>
      </c>
      <c r="D130" s="159">
        <f>VLOOKUP(A130,Projeto!$B$36:$D$47,3,FALSE)*VLOOKUP(B130,Projeto!$A$20:$D$24,4,FALSE)*VLOOKUP(B130,Projeto!$A$20:$I$24,MATCH(C130,Projeto!$A$19:$H$19,0),FALSE)</f>
        <v>45855.664846156076</v>
      </c>
      <c r="E130" s="158">
        <f>D130*VLOOKUP(C130,Projeto!$A$10:$D$13,4,FALSE)</f>
        <v>343917486.34617054</v>
      </c>
      <c r="F130" s="158">
        <f>D130*VLOOKUP(C130,Dados!$A$41:$D$44,4,FALSE)</f>
        <v>127903371.72878931</v>
      </c>
      <c r="G130" s="158">
        <f t="shared" ref="G130:G193" si="2">IF(OR(C130="A",C130="D/E"),0.4,0.3)*F130</f>
        <v>38371011.518636793</v>
      </c>
      <c r="H130" s="158">
        <f>VLOOKUP(C130,Dados!$A$27:$D$30,4,FALSE)*D130</f>
        <v>6873764.1604387965</v>
      </c>
    </row>
    <row r="131" spans="1:8" x14ac:dyDescent="0.25">
      <c r="A131" s="34" t="s">
        <v>60</v>
      </c>
      <c r="B131" s="34" t="s">
        <v>42</v>
      </c>
      <c r="C131" s="34" t="s">
        <v>15</v>
      </c>
      <c r="D131" s="159">
        <f>VLOOKUP(A131,Projeto!$B$36:$D$47,3,FALSE)*VLOOKUP(B131,Projeto!$A$20:$D$24,4,FALSE)*VLOOKUP(B131,Projeto!$A$20:$I$24,MATCH(C131,Projeto!$A$19:$H$19,0),FALSE)</f>
        <v>24427.327041071287</v>
      </c>
      <c r="E131" s="158">
        <f>D131*VLOOKUP(C131,Projeto!$A$10:$D$13,4,FALSE)</f>
        <v>183204952.80803466</v>
      </c>
      <c r="F131" s="158">
        <f>D131*VLOOKUP(C131,Dados!$A$41:$D$44,4,FALSE)</f>
        <v>68134166.222578496</v>
      </c>
      <c r="G131" s="158">
        <f t="shared" si="2"/>
        <v>20440249.866773549</v>
      </c>
      <c r="H131" s="158">
        <f>VLOOKUP(C131,Dados!$A$27:$D$30,4,FALSE)*D131</f>
        <v>3661656.3234565859</v>
      </c>
    </row>
    <row r="132" spans="1:8" x14ac:dyDescent="0.25">
      <c r="A132" s="34" t="s">
        <v>60</v>
      </c>
      <c r="B132" s="34" t="s">
        <v>34</v>
      </c>
      <c r="C132" s="34" t="s">
        <v>19</v>
      </c>
      <c r="D132" s="159">
        <f>VLOOKUP(A132,Projeto!$B$36:$D$47,3,FALSE)*VLOOKUP(B132,Projeto!$A$20:$D$24,4,FALSE)*VLOOKUP(B132,Projeto!$A$20:$I$24,MATCH(C132,Projeto!$A$19:$H$19,0),FALSE)</f>
        <v>175574.52782970731</v>
      </c>
      <c r="E132" s="158">
        <f>D132*VLOOKUP(C132,Projeto!$A$10:$D$13,4,FALSE)</f>
        <v>280919244.52753168</v>
      </c>
      <c r="F132" s="158">
        <f>D132*VLOOKUP(C132,Dados!$A$41:$D$44,4,FALSE)</f>
        <v>156436904.29626921</v>
      </c>
      <c r="G132" s="158">
        <f t="shared" si="2"/>
        <v>46931071.288880758</v>
      </c>
      <c r="H132" s="158">
        <f>VLOOKUP(C132,Dados!$A$27:$D$30,4,FALSE)*D132</f>
        <v>10516914.216999467</v>
      </c>
    </row>
    <row r="133" spans="1:8" x14ac:dyDescent="0.25">
      <c r="A133" s="34" t="s">
        <v>60</v>
      </c>
      <c r="B133" s="34" t="s">
        <v>36</v>
      </c>
      <c r="C133" s="34" t="s">
        <v>19</v>
      </c>
      <c r="D133" s="159">
        <f>VLOOKUP(A133,Projeto!$B$36:$D$47,3,FALSE)*VLOOKUP(B133,Projeto!$A$20:$D$24,4,FALSE)*VLOOKUP(B133,Projeto!$A$20:$I$24,MATCH(C133,Projeto!$A$19:$H$19,0),FALSE)</f>
        <v>497558.58985969104</v>
      </c>
      <c r="E133" s="158">
        <f>D133*VLOOKUP(C133,Projeto!$A$10:$D$13,4,FALSE)</f>
        <v>796093743.77550566</v>
      </c>
      <c r="F133" s="158">
        <f>D133*VLOOKUP(C133,Dados!$A$41:$D$44,4,FALSE)</f>
        <v>443324703.56498474</v>
      </c>
      <c r="G133" s="158">
        <f t="shared" si="2"/>
        <v>132997411.06949541</v>
      </c>
      <c r="H133" s="158">
        <f>VLOOKUP(C133,Dados!$A$27:$D$30,4,FALSE)*D133</f>
        <v>29803759.532595493</v>
      </c>
    </row>
    <row r="134" spans="1:8" x14ac:dyDescent="0.25">
      <c r="A134" s="34" t="s">
        <v>60</v>
      </c>
      <c r="B134" s="34" t="s">
        <v>38</v>
      </c>
      <c r="C134" s="34" t="s">
        <v>19</v>
      </c>
      <c r="D134" s="159">
        <f>VLOOKUP(A134,Projeto!$B$36:$D$47,3,FALSE)*VLOOKUP(B134,Projeto!$A$20:$D$24,4,FALSE)*VLOOKUP(B134,Projeto!$A$20:$I$24,MATCH(C134,Projeto!$A$19:$H$19,0),FALSE)</f>
        <v>262854.04865884979</v>
      </c>
      <c r="E134" s="158">
        <f>D134*VLOOKUP(C134,Projeto!$A$10:$D$13,4,FALSE)</f>
        <v>420566477.85415965</v>
      </c>
      <c r="F134" s="158">
        <f>D134*VLOOKUP(C134,Dados!$A$41:$D$44,4,FALSE)</f>
        <v>234202957.35503516</v>
      </c>
      <c r="G134" s="158">
        <f t="shared" si="2"/>
        <v>70260887.206510544</v>
      </c>
      <c r="H134" s="158">
        <f>VLOOKUP(C134,Dados!$A$27:$D$30,4,FALSE)*D134</f>
        <v>15744957.514665103</v>
      </c>
    </row>
    <row r="135" spans="1:8" x14ac:dyDescent="0.25">
      <c r="A135" s="34" t="s">
        <v>60</v>
      </c>
      <c r="B135" s="34" t="s">
        <v>40</v>
      </c>
      <c r="C135" s="34" t="s">
        <v>19</v>
      </c>
      <c r="D135" s="159">
        <f>VLOOKUP(A135,Projeto!$B$36:$D$47,3,FALSE)*VLOOKUP(B135,Projeto!$A$20:$D$24,4,FALSE)*VLOOKUP(B135,Projeto!$A$20:$I$24,MATCH(C135,Projeto!$A$19:$H$19,0),FALSE)</f>
        <v>95532.635096158498</v>
      </c>
      <c r="E135" s="158">
        <f>D135*VLOOKUP(C135,Projeto!$A$10:$D$13,4,FALSE)</f>
        <v>152852216.1538536</v>
      </c>
      <c r="F135" s="158">
        <f>D135*VLOOKUP(C135,Dados!$A$41:$D$44,4,FALSE)</f>
        <v>85119577.870677218</v>
      </c>
      <c r="G135" s="158">
        <f t="shared" si="2"/>
        <v>25535873.361203164</v>
      </c>
      <c r="H135" s="158">
        <f>VLOOKUP(C135,Dados!$A$27:$D$30,4,FALSE)*D135</f>
        <v>5722404.8422598941</v>
      </c>
    </row>
    <row r="136" spans="1:8" x14ac:dyDescent="0.25">
      <c r="A136" s="34" t="s">
        <v>60</v>
      </c>
      <c r="B136" s="34" t="s">
        <v>42</v>
      </c>
      <c r="C136" s="34" t="s">
        <v>19</v>
      </c>
      <c r="D136" s="159">
        <f>VLOOKUP(A136,Projeto!$B$36:$D$47,3,FALSE)*VLOOKUP(B136,Projeto!$A$20:$D$24,4,FALSE)*VLOOKUP(B136,Projeto!$A$20:$I$24,MATCH(C136,Projeto!$A$19:$H$19,0),FALSE)</f>
        <v>87531.255230505456</v>
      </c>
      <c r="E136" s="158">
        <f>D136*VLOOKUP(C136,Projeto!$A$10:$D$13,4,FALSE)</f>
        <v>140050008.36880872</v>
      </c>
      <c r="F136" s="158">
        <f>D136*VLOOKUP(C136,Dados!$A$41:$D$44,4,FALSE)</f>
        <v>77990348.410380363</v>
      </c>
      <c r="G136" s="158">
        <f t="shared" si="2"/>
        <v>23397104.523114108</v>
      </c>
      <c r="H136" s="158">
        <f>VLOOKUP(C136,Dados!$A$27:$D$30,4,FALSE)*D136</f>
        <v>5243122.1883072769</v>
      </c>
    </row>
    <row r="137" spans="1:8" x14ac:dyDescent="0.25">
      <c r="A137" s="34" t="s">
        <v>60</v>
      </c>
      <c r="B137" s="34" t="s">
        <v>34</v>
      </c>
      <c r="C137" s="34" t="s">
        <v>23</v>
      </c>
      <c r="D137" s="159">
        <f>VLOOKUP(A137,Projeto!$B$36:$D$47,3,FALSE)*VLOOKUP(B137,Projeto!$A$20:$D$24,4,FALSE)*VLOOKUP(B137,Projeto!$A$20:$I$24,MATCH(C137,Projeto!$A$19:$H$19,0),FALSE)</f>
        <v>70229.811131882932</v>
      </c>
      <c r="E137" s="158">
        <f>D137*VLOOKUP(C137,Projeto!$A$10:$D$13,4,FALSE)</f>
        <v>56183848.905506343</v>
      </c>
      <c r="F137" s="158">
        <f>D137*VLOOKUP(C137,Dados!$A$41:$D$44,4,FALSE)</f>
        <v>34501097.016648807</v>
      </c>
      <c r="G137" s="158">
        <f t="shared" si="2"/>
        <v>13800438.806659523</v>
      </c>
      <c r="H137" s="158">
        <f>VLOOKUP(C137,Dados!$A$27:$D$30,4,FALSE)*D137</f>
        <v>7015958.1320751058</v>
      </c>
    </row>
    <row r="138" spans="1:8" x14ac:dyDescent="0.25">
      <c r="A138" s="34" t="s">
        <v>60</v>
      </c>
      <c r="B138" s="34" t="s">
        <v>36</v>
      </c>
      <c r="C138" s="34" t="s">
        <v>23</v>
      </c>
      <c r="D138" s="159">
        <f>VLOOKUP(A138,Projeto!$B$36:$D$47,3,FALSE)*VLOOKUP(B138,Projeto!$A$20:$D$24,4,FALSE)*VLOOKUP(B138,Projeto!$A$20:$I$24,MATCH(C138,Projeto!$A$19:$H$19,0),FALSE)</f>
        <v>189072.2641466826</v>
      </c>
      <c r="E138" s="158">
        <f>D138*VLOOKUP(C138,Projeto!$A$10:$D$13,4,FALSE)</f>
        <v>151257811.3173461</v>
      </c>
      <c r="F138" s="158">
        <f>D138*VLOOKUP(C138,Dados!$A$41:$D$44,4,FALSE)</f>
        <v>92883640.484699294</v>
      </c>
      <c r="G138" s="158">
        <f t="shared" si="2"/>
        <v>37153456.193879716</v>
      </c>
      <c r="H138" s="158">
        <f>VLOOKUP(C138,Dados!$A$27:$D$30,4,FALSE)*D138</f>
        <v>18888319.188253593</v>
      </c>
    </row>
    <row r="139" spans="1:8" x14ac:dyDescent="0.25">
      <c r="A139" s="34" t="s">
        <v>60</v>
      </c>
      <c r="B139" s="34" t="s">
        <v>38</v>
      </c>
      <c r="C139" s="34" t="s">
        <v>23</v>
      </c>
      <c r="D139" s="159">
        <f>VLOOKUP(A139,Projeto!$B$36:$D$47,3,FALSE)*VLOOKUP(B139,Projeto!$A$20:$D$24,4,FALSE)*VLOOKUP(B139,Projeto!$A$20:$I$24,MATCH(C139,Projeto!$A$19:$H$19,0),FALSE)</f>
        <v>294909.42044651438</v>
      </c>
      <c r="E139" s="158">
        <f>D139*VLOOKUP(C139,Projeto!$A$10:$D$13,4,FALSE)</f>
        <v>235927536.3572115</v>
      </c>
      <c r="F139" s="158">
        <f>D139*VLOOKUP(C139,Dados!$A$41:$D$44,4,FALSE)</f>
        <v>144877201.88855466</v>
      </c>
      <c r="G139" s="158">
        <f t="shared" si="2"/>
        <v>57950880.755421869</v>
      </c>
      <c r="H139" s="158">
        <f>VLOOKUP(C139,Dados!$A$27:$D$30,4,FALSE)*D139</f>
        <v>29461451.102606788</v>
      </c>
    </row>
    <row r="140" spans="1:8" x14ac:dyDescent="0.25">
      <c r="A140" s="34" t="s">
        <v>60</v>
      </c>
      <c r="B140" s="34" t="s">
        <v>40</v>
      </c>
      <c r="C140" s="34" t="s">
        <v>23</v>
      </c>
      <c r="D140" s="159">
        <f>VLOOKUP(A140,Projeto!$B$36:$D$47,3,FALSE)*VLOOKUP(B140,Projeto!$A$20:$D$24,4,FALSE)*VLOOKUP(B140,Projeto!$A$20:$I$24,MATCH(C140,Projeto!$A$19:$H$19,0),FALSE)</f>
        <v>40123.706740386566</v>
      </c>
      <c r="E140" s="158">
        <f>D140*VLOOKUP(C140,Projeto!$A$10:$D$13,4,FALSE)</f>
        <v>32098965.392309252</v>
      </c>
      <c r="F140" s="158">
        <f>D140*VLOOKUP(C140,Dados!$A$41:$D$44,4,FALSE)</f>
        <v>19711172.173282303</v>
      </c>
      <c r="G140" s="158">
        <f t="shared" si="2"/>
        <v>7884468.8693129215</v>
      </c>
      <c r="H140" s="158">
        <f>VLOOKUP(C140,Dados!$A$27:$D$30,4,FALSE)*D140</f>
        <v>4008358.3033646182</v>
      </c>
    </row>
    <row r="141" spans="1:8" x14ac:dyDescent="0.25">
      <c r="A141" s="34" t="s">
        <v>60</v>
      </c>
      <c r="B141" s="34" t="s">
        <v>42</v>
      </c>
      <c r="C141" s="34" t="s">
        <v>23</v>
      </c>
      <c r="D141" s="159">
        <f>VLOOKUP(A141,Projeto!$B$36:$D$47,3,FALSE)*VLOOKUP(B141,Projeto!$A$20:$D$24,4,FALSE)*VLOOKUP(B141,Projeto!$A$20:$I$24,MATCH(C141,Projeto!$A$19:$H$19,0),FALSE)</f>
        <v>89566.865817261394</v>
      </c>
      <c r="E141" s="158">
        <f>D141*VLOOKUP(C141,Projeto!$A$10:$D$13,4,FALSE)</f>
        <v>71653492.653809115</v>
      </c>
      <c r="F141" s="158">
        <f>D141*VLOOKUP(C141,Dados!$A$41:$D$44,4,FALSE)</f>
        <v>44000618.501387835</v>
      </c>
      <c r="G141" s="158">
        <f t="shared" si="2"/>
        <v>17600247.400555134</v>
      </c>
      <c r="H141" s="158">
        <f>VLOOKUP(C141,Dados!$A$27:$D$30,4,FALSE)*D141</f>
        <v>8947729.8951444142</v>
      </c>
    </row>
    <row r="142" spans="1:8" x14ac:dyDescent="0.25">
      <c r="A142" s="34" t="s">
        <v>61</v>
      </c>
      <c r="B142" s="34" t="s">
        <v>34</v>
      </c>
      <c r="C142" s="34" t="s">
        <v>10</v>
      </c>
      <c r="D142" s="159">
        <f>VLOOKUP(A142,Projeto!$B$36:$D$47,3,FALSE)*VLOOKUP(B142,Projeto!$A$20:$D$24,4,FALSE)*VLOOKUP(B142,Projeto!$A$20:$I$24,MATCH(C142,Projeto!$A$19:$H$19,0),FALSE)</f>
        <v>14045.962226376585</v>
      </c>
      <c r="E142" s="158">
        <f>D142*VLOOKUP(C142,Projeto!$A$10:$D$13,4,FALSE)</f>
        <v>168551546.71651903</v>
      </c>
      <c r="F142" s="158">
        <f>D142*VLOOKUP(C142,Dados!$A$41:$D$44,4,FALSE)</f>
        <v>86522565.475990713</v>
      </c>
      <c r="G142" s="158">
        <f t="shared" si="2"/>
        <v>34609026.190396287</v>
      </c>
      <c r="H142" s="158">
        <f>VLOOKUP(C142,Dados!$A$27:$D$30,4,FALSE)*D142</f>
        <v>3088707.093580211</v>
      </c>
    </row>
    <row r="143" spans="1:8" x14ac:dyDescent="0.25">
      <c r="A143" s="34" t="s">
        <v>61</v>
      </c>
      <c r="B143" s="34" t="s">
        <v>36</v>
      </c>
      <c r="C143" s="34" t="s">
        <v>10</v>
      </c>
      <c r="D143" s="159">
        <f>VLOOKUP(A143,Projeto!$B$36:$D$47,3,FALSE)*VLOOKUP(B143,Projeto!$A$20:$D$24,4,FALSE)*VLOOKUP(B143,Projeto!$A$20:$I$24,MATCH(C143,Projeto!$A$19:$H$19,0),FALSE)</f>
        <v>53072.916251700379</v>
      </c>
      <c r="E143" s="158">
        <f>D143*VLOOKUP(C143,Projeto!$A$10:$D$13,4,FALSE)</f>
        <v>636874995.02040458</v>
      </c>
      <c r="F143" s="158">
        <f>D143*VLOOKUP(C143,Dados!$A$41:$D$44,4,FALSE)</f>
        <v>326927041.19382429</v>
      </c>
      <c r="G143" s="158">
        <f t="shared" si="2"/>
        <v>130770816.47752972</v>
      </c>
      <c r="H143" s="158">
        <f>VLOOKUP(C143,Dados!$A$27:$D$30,4,FALSE)*D143</f>
        <v>11670734.283748914</v>
      </c>
    </row>
    <row r="144" spans="1:8" x14ac:dyDescent="0.25">
      <c r="A144" s="34" t="s">
        <v>61</v>
      </c>
      <c r="B144" s="34" t="s">
        <v>38</v>
      </c>
      <c r="C144" s="34" t="s">
        <v>10</v>
      </c>
      <c r="D144" s="159">
        <f>VLOOKUP(A144,Projeto!$B$36:$D$47,3,FALSE)*VLOOKUP(B144,Projeto!$A$20:$D$24,4,FALSE)*VLOOKUP(B144,Projeto!$A$20:$I$24,MATCH(C144,Projeto!$A$19:$H$19,0),FALSE)</f>
        <v>8548.0991433772288</v>
      </c>
      <c r="E144" s="158">
        <f>D144*VLOOKUP(C144,Projeto!$A$10:$D$13,4,FALSE)</f>
        <v>102577189.72052674</v>
      </c>
      <c r="F144" s="158">
        <f>D144*VLOOKUP(C144,Dados!$A$41:$D$44,4,FALSE)</f>
        <v>52655948.799237996</v>
      </c>
      <c r="G144" s="158">
        <f t="shared" si="2"/>
        <v>21062379.5196952</v>
      </c>
      <c r="H144" s="158">
        <f>VLOOKUP(C144,Dados!$A$27:$D$30,4,FALSE)*D144</f>
        <v>1879727.0016286527</v>
      </c>
    </row>
    <row r="145" spans="1:8" x14ac:dyDescent="0.25">
      <c r="A145" s="34" t="s">
        <v>61</v>
      </c>
      <c r="B145" s="34" t="s">
        <v>40</v>
      </c>
      <c r="C145" s="34" t="s">
        <v>10</v>
      </c>
      <c r="D145" s="159">
        <f>VLOOKUP(A145,Projeto!$B$36:$D$47,3,FALSE)*VLOOKUP(B145,Projeto!$A$20:$D$24,4,FALSE)*VLOOKUP(B145,Projeto!$A$20:$I$24,MATCH(C145,Projeto!$A$19:$H$19,0),FALSE)</f>
        <v>12737.6846794878</v>
      </c>
      <c r="E145" s="158">
        <f>D145*VLOOKUP(C145,Projeto!$A$10:$D$13,4,FALSE)</f>
        <v>152852216.1538536</v>
      </c>
      <c r="F145" s="158">
        <f>D145*VLOOKUP(C145,Dados!$A$41:$D$44,4,FALSE)</f>
        <v>78463628.118257672</v>
      </c>
      <c r="G145" s="158">
        <f t="shared" si="2"/>
        <v>31385451.247303069</v>
      </c>
      <c r="H145" s="158">
        <f>VLOOKUP(C145,Dados!$A$27:$D$30,4,FALSE)*D145</f>
        <v>2801016.8610193674</v>
      </c>
    </row>
    <row r="146" spans="1:8" x14ac:dyDescent="0.25">
      <c r="A146" s="34" t="s">
        <v>61</v>
      </c>
      <c r="B146" s="34" t="s">
        <v>42</v>
      </c>
      <c r="C146" s="34" t="s">
        <v>10</v>
      </c>
      <c r="D146" s="159">
        <f>VLOOKUP(A146,Projeto!$B$36:$D$47,3,FALSE)*VLOOKUP(B146,Projeto!$A$20:$D$24,4,FALSE)*VLOOKUP(B146,Projeto!$A$20:$I$24,MATCH(C146,Projeto!$A$19:$H$19,0),FALSE)</f>
        <v>2714.1474490079208</v>
      </c>
      <c r="E146" s="158">
        <f>D146*VLOOKUP(C146,Projeto!$A$10:$D$13,4,FALSE)</f>
        <v>32569769.388095051</v>
      </c>
      <c r="F146" s="158">
        <f>D146*VLOOKUP(C146,Dados!$A$41:$D$44,4,FALSE)</f>
        <v>16719039.719990833</v>
      </c>
      <c r="G146" s="158">
        <f t="shared" si="2"/>
        <v>6687615.8879963337</v>
      </c>
      <c r="H146" s="158">
        <f>VLOOKUP(C146,Dados!$A$27:$D$30,4,FALSE)*D146</f>
        <v>596841.02403684182</v>
      </c>
    </row>
    <row r="147" spans="1:8" x14ac:dyDescent="0.25">
      <c r="A147" s="34" t="s">
        <v>61</v>
      </c>
      <c r="B147" s="34" t="s">
        <v>34</v>
      </c>
      <c r="C147" s="34" t="s">
        <v>15</v>
      </c>
      <c r="D147" s="159">
        <f>VLOOKUP(A147,Projeto!$B$36:$D$47,3,FALSE)*VLOOKUP(B147,Projeto!$A$20:$D$24,4,FALSE)*VLOOKUP(B147,Projeto!$A$20:$I$24,MATCH(C147,Projeto!$A$19:$H$19,0),FALSE)</f>
        <v>126413.66003738927</v>
      </c>
      <c r="E147" s="158">
        <f>D147*VLOOKUP(C147,Projeto!$A$10:$D$13,4,FALSE)</f>
        <v>948102450.28041959</v>
      </c>
      <c r="F147" s="158">
        <f>D147*VLOOKUP(C147,Dados!$A$41:$D$44,4,FALSE)</f>
        <v>352600565.39588845</v>
      </c>
      <c r="G147" s="158">
        <f t="shared" si="2"/>
        <v>105780169.61876653</v>
      </c>
      <c r="H147" s="158">
        <f>VLOOKUP(C147,Dados!$A$27:$D$30,4,FALSE)*D147</f>
        <v>18949407.639604654</v>
      </c>
    </row>
    <row r="148" spans="1:8" x14ac:dyDescent="0.25">
      <c r="A148" s="34" t="s">
        <v>61</v>
      </c>
      <c r="B148" s="34" t="s">
        <v>36</v>
      </c>
      <c r="C148" s="34" t="s">
        <v>15</v>
      </c>
      <c r="D148" s="159">
        <f>VLOOKUP(A148,Projeto!$B$36:$D$47,3,FALSE)*VLOOKUP(B148,Projeto!$A$20:$D$24,4,FALSE)*VLOOKUP(B148,Projeto!$A$20:$I$24,MATCH(C148,Projeto!$A$19:$H$19,0),FALSE)</f>
        <v>358242.18469897757</v>
      </c>
      <c r="E148" s="158">
        <f>D148*VLOOKUP(C148,Projeto!$A$10:$D$13,4,FALSE)</f>
        <v>2686816385.242332</v>
      </c>
      <c r="F148" s="158">
        <f>D148*VLOOKUP(C148,Dados!$A$41:$D$44,4,FALSE)</f>
        <v>999230596.09347022</v>
      </c>
      <c r="G148" s="158">
        <f t="shared" si="2"/>
        <v>299769178.82804108</v>
      </c>
      <c r="H148" s="158">
        <f>VLOOKUP(C148,Dados!$A$27:$D$30,4,FALSE)*D148</f>
        <v>53700503.48637674</v>
      </c>
    </row>
    <row r="149" spans="1:8" x14ac:dyDescent="0.25">
      <c r="A149" s="34" t="s">
        <v>61</v>
      </c>
      <c r="B149" s="34" t="s">
        <v>38</v>
      </c>
      <c r="C149" s="34" t="s">
        <v>15</v>
      </c>
      <c r="D149" s="159">
        <f>VLOOKUP(A149,Projeto!$B$36:$D$47,3,FALSE)*VLOOKUP(B149,Projeto!$A$20:$D$24,4,FALSE)*VLOOKUP(B149,Projeto!$A$20:$I$24,MATCH(C149,Projeto!$A$19:$H$19,0),FALSE)</f>
        <v>102577.18972052673</v>
      </c>
      <c r="E149" s="158">
        <f>D149*VLOOKUP(C149,Projeto!$A$10:$D$13,4,FALSE)</f>
        <v>769328922.90395045</v>
      </c>
      <c r="F149" s="158">
        <f>D149*VLOOKUP(C149,Dados!$A$41:$D$44,4,FALSE)</f>
        <v>286114452.19987643</v>
      </c>
      <c r="G149" s="158">
        <f t="shared" si="2"/>
        <v>85834335.659962922</v>
      </c>
      <c r="H149" s="158">
        <f>VLOOKUP(C149,Dados!$A$27:$D$30,4,FALSE)*D149</f>
        <v>15376320.739106957</v>
      </c>
    </row>
    <row r="150" spans="1:8" x14ac:dyDescent="0.25">
      <c r="A150" s="34" t="s">
        <v>61</v>
      </c>
      <c r="B150" s="34" t="s">
        <v>40</v>
      </c>
      <c r="C150" s="34" t="s">
        <v>15</v>
      </c>
      <c r="D150" s="159">
        <f>VLOOKUP(A150,Projeto!$B$36:$D$47,3,FALSE)*VLOOKUP(B150,Projeto!$A$20:$D$24,4,FALSE)*VLOOKUP(B150,Projeto!$A$20:$I$24,MATCH(C150,Projeto!$A$19:$H$19,0),FALSE)</f>
        <v>61140.886461541435</v>
      </c>
      <c r="E150" s="158">
        <f>D150*VLOOKUP(C150,Projeto!$A$10:$D$13,4,FALSE)</f>
        <v>458556648.46156079</v>
      </c>
      <c r="F150" s="158">
        <f>D150*VLOOKUP(C150,Dados!$A$41:$D$44,4,FALSE)</f>
        <v>170537828.97171909</v>
      </c>
      <c r="G150" s="158">
        <f t="shared" si="2"/>
        <v>51161348.691515721</v>
      </c>
      <c r="H150" s="158">
        <f>VLOOKUP(C150,Dados!$A$27:$D$30,4,FALSE)*D150</f>
        <v>9165018.8805850614</v>
      </c>
    </row>
    <row r="151" spans="1:8" x14ac:dyDescent="0.25">
      <c r="A151" s="34" t="s">
        <v>61</v>
      </c>
      <c r="B151" s="34" t="s">
        <v>42</v>
      </c>
      <c r="C151" s="34" t="s">
        <v>15</v>
      </c>
      <c r="D151" s="159">
        <f>VLOOKUP(A151,Projeto!$B$36:$D$47,3,FALSE)*VLOOKUP(B151,Projeto!$A$20:$D$24,4,FALSE)*VLOOKUP(B151,Projeto!$A$20:$I$24,MATCH(C151,Projeto!$A$19:$H$19,0),FALSE)</f>
        <v>32569.76938809505</v>
      </c>
      <c r="E151" s="158">
        <f>D151*VLOOKUP(C151,Projeto!$A$10:$D$13,4,FALSE)</f>
        <v>244273270.41071287</v>
      </c>
      <c r="F151" s="158">
        <f>D151*VLOOKUP(C151,Dados!$A$41:$D$44,4,FALSE)</f>
        <v>90845554.963438004</v>
      </c>
      <c r="G151" s="158">
        <f t="shared" si="2"/>
        <v>27253666.489031401</v>
      </c>
      <c r="H151" s="158">
        <f>VLOOKUP(C151,Dados!$A$27:$D$30,4,FALSE)*D151</f>
        <v>4882208.4312754478</v>
      </c>
    </row>
    <row r="152" spans="1:8" x14ac:dyDescent="0.25">
      <c r="A152" s="34" t="s">
        <v>61</v>
      </c>
      <c r="B152" s="34" t="s">
        <v>34</v>
      </c>
      <c r="C152" s="34" t="s">
        <v>19</v>
      </c>
      <c r="D152" s="159">
        <f>VLOOKUP(A152,Projeto!$B$36:$D$47,3,FALSE)*VLOOKUP(B152,Projeto!$A$20:$D$24,4,FALSE)*VLOOKUP(B152,Projeto!$A$20:$I$24,MATCH(C152,Projeto!$A$19:$H$19,0),FALSE)</f>
        <v>234099.37043960975</v>
      </c>
      <c r="E152" s="158">
        <f>D152*VLOOKUP(C152,Projeto!$A$10:$D$13,4,FALSE)</f>
        <v>374558992.70337558</v>
      </c>
      <c r="F152" s="158">
        <f>D152*VLOOKUP(C152,Dados!$A$41:$D$44,4,FALSE)</f>
        <v>208582539.0616923</v>
      </c>
      <c r="G152" s="158">
        <f t="shared" si="2"/>
        <v>62574761.718507685</v>
      </c>
      <c r="H152" s="158">
        <f>VLOOKUP(C152,Dados!$A$27:$D$30,4,FALSE)*D152</f>
        <v>14022552.289332623</v>
      </c>
    </row>
    <row r="153" spans="1:8" x14ac:dyDescent="0.25">
      <c r="A153" s="34" t="s">
        <v>61</v>
      </c>
      <c r="B153" s="34" t="s">
        <v>36</v>
      </c>
      <c r="C153" s="34" t="s">
        <v>19</v>
      </c>
      <c r="D153" s="159">
        <f>VLOOKUP(A153,Projeto!$B$36:$D$47,3,FALSE)*VLOOKUP(B153,Projeto!$A$20:$D$24,4,FALSE)*VLOOKUP(B153,Projeto!$A$20:$I$24,MATCH(C153,Projeto!$A$19:$H$19,0),FALSE)</f>
        <v>663411.45314625476</v>
      </c>
      <c r="E153" s="158">
        <f>D153*VLOOKUP(C153,Projeto!$A$10:$D$13,4,FALSE)</f>
        <v>1061458325.0340077</v>
      </c>
      <c r="F153" s="158">
        <f>D153*VLOOKUP(C153,Dados!$A$41:$D$44,4,FALSE)</f>
        <v>591099604.75331295</v>
      </c>
      <c r="G153" s="158">
        <f t="shared" si="2"/>
        <v>177329881.42599389</v>
      </c>
      <c r="H153" s="158">
        <f>VLOOKUP(C153,Dados!$A$27:$D$30,4,FALSE)*D153</f>
        <v>39738346.04346066</v>
      </c>
    </row>
    <row r="154" spans="1:8" x14ac:dyDescent="0.25">
      <c r="A154" s="34" t="s">
        <v>61</v>
      </c>
      <c r="B154" s="34" t="s">
        <v>38</v>
      </c>
      <c r="C154" s="34" t="s">
        <v>19</v>
      </c>
      <c r="D154" s="159">
        <f>VLOOKUP(A154,Projeto!$B$36:$D$47,3,FALSE)*VLOOKUP(B154,Projeto!$A$20:$D$24,4,FALSE)*VLOOKUP(B154,Projeto!$A$20:$I$24,MATCH(C154,Projeto!$A$19:$H$19,0),FALSE)</f>
        <v>350472.06487846631</v>
      </c>
      <c r="E154" s="158">
        <f>D154*VLOOKUP(C154,Projeto!$A$10:$D$13,4,FALSE)</f>
        <v>560755303.80554605</v>
      </c>
      <c r="F154" s="158">
        <f>D154*VLOOKUP(C154,Dados!$A$41:$D$44,4,FALSE)</f>
        <v>312270609.80671346</v>
      </c>
      <c r="G154" s="158">
        <f t="shared" si="2"/>
        <v>93681182.942014039</v>
      </c>
      <c r="H154" s="158">
        <f>VLOOKUP(C154,Dados!$A$27:$D$30,4,FALSE)*D154</f>
        <v>20993276.686220132</v>
      </c>
    </row>
    <row r="155" spans="1:8" x14ac:dyDescent="0.25">
      <c r="A155" s="34" t="s">
        <v>61</v>
      </c>
      <c r="B155" s="34" t="s">
        <v>40</v>
      </c>
      <c r="C155" s="34" t="s">
        <v>19</v>
      </c>
      <c r="D155" s="159">
        <f>VLOOKUP(A155,Projeto!$B$36:$D$47,3,FALSE)*VLOOKUP(B155,Projeto!$A$20:$D$24,4,FALSE)*VLOOKUP(B155,Projeto!$A$20:$I$24,MATCH(C155,Projeto!$A$19:$H$19,0),FALSE)</f>
        <v>127376.846794878</v>
      </c>
      <c r="E155" s="158">
        <f>D155*VLOOKUP(C155,Projeto!$A$10:$D$13,4,FALSE)</f>
        <v>203802954.8718048</v>
      </c>
      <c r="F155" s="158">
        <f>D155*VLOOKUP(C155,Dados!$A$41:$D$44,4,FALSE)</f>
        <v>113492770.49423631</v>
      </c>
      <c r="G155" s="158">
        <f t="shared" si="2"/>
        <v>34047831.14827089</v>
      </c>
      <c r="H155" s="158">
        <f>VLOOKUP(C155,Dados!$A$27:$D$30,4,FALSE)*D155</f>
        <v>7629873.1230131919</v>
      </c>
    </row>
    <row r="156" spans="1:8" x14ac:dyDescent="0.25">
      <c r="A156" s="34" t="s">
        <v>61</v>
      </c>
      <c r="B156" s="34" t="s">
        <v>42</v>
      </c>
      <c r="C156" s="34" t="s">
        <v>19</v>
      </c>
      <c r="D156" s="159">
        <f>VLOOKUP(A156,Projeto!$B$36:$D$47,3,FALSE)*VLOOKUP(B156,Projeto!$A$20:$D$24,4,FALSE)*VLOOKUP(B156,Projeto!$A$20:$I$24,MATCH(C156,Projeto!$A$19:$H$19,0),FALSE)</f>
        <v>116708.34030734059</v>
      </c>
      <c r="E156" s="158">
        <f>D156*VLOOKUP(C156,Projeto!$A$10:$D$13,4,FALSE)</f>
        <v>186733344.49174494</v>
      </c>
      <c r="F156" s="158">
        <f>D156*VLOOKUP(C156,Dados!$A$41:$D$44,4,FALSE)</f>
        <v>103987131.21384047</v>
      </c>
      <c r="G156" s="158">
        <f t="shared" si="2"/>
        <v>31196139.364152141</v>
      </c>
      <c r="H156" s="158">
        <f>VLOOKUP(C156,Dados!$A$27:$D$30,4,FALSE)*D156</f>
        <v>6990829.5844097016</v>
      </c>
    </row>
    <row r="157" spans="1:8" x14ac:dyDescent="0.25">
      <c r="A157" s="34" t="s">
        <v>61</v>
      </c>
      <c r="B157" s="34" t="s">
        <v>34</v>
      </c>
      <c r="C157" s="34" t="s">
        <v>23</v>
      </c>
      <c r="D157" s="159">
        <f>VLOOKUP(A157,Projeto!$B$36:$D$47,3,FALSE)*VLOOKUP(B157,Projeto!$A$20:$D$24,4,FALSE)*VLOOKUP(B157,Projeto!$A$20:$I$24,MATCH(C157,Projeto!$A$19:$H$19,0),FALSE)</f>
        <v>93639.74817584391</v>
      </c>
      <c r="E157" s="158">
        <f>D157*VLOOKUP(C157,Projeto!$A$10:$D$13,4,FALSE)</f>
        <v>74911798.540675133</v>
      </c>
      <c r="F157" s="158">
        <f>D157*VLOOKUP(C157,Dados!$A$41:$D$44,4,FALSE)</f>
        <v>46001462.68886508</v>
      </c>
      <c r="G157" s="158">
        <f t="shared" si="2"/>
        <v>18400585.075546034</v>
      </c>
      <c r="H157" s="158">
        <f>VLOOKUP(C157,Dados!$A$27:$D$30,4,FALSE)*D157</f>
        <v>9354610.8427668065</v>
      </c>
    </row>
    <row r="158" spans="1:8" x14ac:dyDescent="0.25">
      <c r="A158" s="34" t="s">
        <v>61</v>
      </c>
      <c r="B158" s="34" t="s">
        <v>36</v>
      </c>
      <c r="C158" s="34" t="s">
        <v>23</v>
      </c>
      <c r="D158" s="159">
        <f>VLOOKUP(A158,Projeto!$B$36:$D$47,3,FALSE)*VLOOKUP(B158,Projeto!$A$20:$D$24,4,FALSE)*VLOOKUP(B158,Projeto!$A$20:$I$24,MATCH(C158,Projeto!$A$19:$H$19,0),FALSE)</f>
        <v>252096.35219557682</v>
      </c>
      <c r="E158" s="158">
        <f>D158*VLOOKUP(C158,Projeto!$A$10:$D$13,4,FALSE)</f>
        <v>201677081.75646147</v>
      </c>
      <c r="F158" s="158">
        <f>D158*VLOOKUP(C158,Dados!$A$41:$D$44,4,FALSE)</f>
        <v>123844853.97959907</v>
      </c>
      <c r="G158" s="158">
        <f t="shared" si="2"/>
        <v>49537941.591839634</v>
      </c>
      <c r="H158" s="158">
        <f>VLOOKUP(C158,Dados!$A$27:$D$30,4,FALSE)*D158</f>
        <v>25184425.584338125</v>
      </c>
    </row>
    <row r="159" spans="1:8" x14ac:dyDescent="0.25">
      <c r="A159" s="34" t="s">
        <v>61</v>
      </c>
      <c r="B159" s="34" t="s">
        <v>38</v>
      </c>
      <c r="C159" s="34" t="s">
        <v>23</v>
      </c>
      <c r="D159" s="159">
        <f>VLOOKUP(A159,Projeto!$B$36:$D$47,3,FALSE)*VLOOKUP(B159,Projeto!$A$20:$D$24,4,FALSE)*VLOOKUP(B159,Projeto!$A$20:$I$24,MATCH(C159,Projeto!$A$19:$H$19,0),FALSE)</f>
        <v>393212.56059535249</v>
      </c>
      <c r="E159" s="158">
        <f>D159*VLOOKUP(C159,Projeto!$A$10:$D$13,4,FALSE)</f>
        <v>314570048.476282</v>
      </c>
      <c r="F159" s="158">
        <f>D159*VLOOKUP(C159,Dados!$A$41:$D$44,4,FALSE)</f>
        <v>193169602.51807287</v>
      </c>
      <c r="G159" s="158">
        <f t="shared" si="2"/>
        <v>77267841.007229149</v>
      </c>
      <c r="H159" s="158">
        <f>VLOOKUP(C159,Dados!$A$27:$D$30,4,FALSE)*D159</f>
        <v>39281934.803475715</v>
      </c>
    </row>
    <row r="160" spans="1:8" x14ac:dyDescent="0.25">
      <c r="A160" s="34" t="s">
        <v>61</v>
      </c>
      <c r="B160" s="34" t="s">
        <v>40</v>
      </c>
      <c r="C160" s="34" t="s">
        <v>23</v>
      </c>
      <c r="D160" s="159">
        <f>VLOOKUP(A160,Projeto!$B$36:$D$47,3,FALSE)*VLOOKUP(B160,Projeto!$A$20:$D$24,4,FALSE)*VLOOKUP(B160,Projeto!$A$20:$I$24,MATCH(C160,Projeto!$A$19:$H$19,0),FALSE)</f>
        <v>53498.275653848759</v>
      </c>
      <c r="E160" s="158">
        <f>D160*VLOOKUP(C160,Projeto!$A$10:$D$13,4,FALSE)</f>
        <v>42798620.523079008</v>
      </c>
      <c r="F160" s="158">
        <f>D160*VLOOKUP(C160,Dados!$A$41:$D$44,4,FALSE)</f>
        <v>26281562.897709742</v>
      </c>
      <c r="G160" s="158">
        <f t="shared" si="2"/>
        <v>10512625.159083897</v>
      </c>
      <c r="H160" s="158">
        <f>VLOOKUP(C160,Dados!$A$27:$D$30,4,FALSE)*D160</f>
        <v>5344477.737819491</v>
      </c>
    </row>
    <row r="161" spans="1:8" x14ac:dyDescent="0.25">
      <c r="A161" s="34" t="s">
        <v>61</v>
      </c>
      <c r="B161" s="34" t="s">
        <v>42</v>
      </c>
      <c r="C161" s="34" t="s">
        <v>23</v>
      </c>
      <c r="D161" s="159">
        <f>VLOOKUP(A161,Projeto!$B$36:$D$47,3,FALSE)*VLOOKUP(B161,Projeto!$A$20:$D$24,4,FALSE)*VLOOKUP(B161,Projeto!$A$20:$I$24,MATCH(C161,Projeto!$A$19:$H$19,0),FALSE)</f>
        <v>119422.48775634852</v>
      </c>
      <c r="E161" s="158">
        <f>D161*VLOOKUP(C161,Projeto!$A$10:$D$13,4,FALSE)</f>
        <v>95537990.20507881</v>
      </c>
      <c r="F161" s="158">
        <f>D161*VLOOKUP(C161,Dados!$A$41:$D$44,4,FALSE)</f>
        <v>58667491.335183769</v>
      </c>
      <c r="G161" s="158">
        <f t="shared" si="2"/>
        <v>23466996.534073509</v>
      </c>
      <c r="H161" s="158">
        <f>VLOOKUP(C161,Dados!$A$27:$D$30,4,FALSE)*D161</f>
        <v>11930306.526859218</v>
      </c>
    </row>
    <row r="162" spans="1:8" x14ac:dyDescent="0.25">
      <c r="A162" s="34" t="s">
        <v>62</v>
      </c>
      <c r="B162" s="34" t="s">
        <v>34</v>
      </c>
      <c r="C162" s="34" t="s">
        <v>10</v>
      </c>
      <c r="D162" s="159">
        <f>VLOOKUP(A162,Projeto!$B$36:$D$47,3,FALSE)*VLOOKUP(B162,Projeto!$A$20:$D$24,4,FALSE)*VLOOKUP(B162,Projeto!$A$20:$I$24,MATCH(C162,Projeto!$A$19:$H$19,0),FALSE)</f>
        <v>10534.471669782439</v>
      </c>
      <c r="E162" s="158">
        <f>D162*VLOOKUP(C162,Projeto!$A$10:$D$13,4,FALSE)</f>
        <v>126413660.03738926</v>
      </c>
      <c r="F162" s="158">
        <f>D162*VLOOKUP(C162,Dados!$A$41:$D$44,4,FALSE)</f>
        <v>64891924.106993034</v>
      </c>
      <c r="G162" s="158">
        <f t="shared" si="2"/>
        <v>25956769.642797217</v>
      </c>
      <c r="H162" s="158">
        <f>VLOOKUP(C162,Dados!$A$27:$D$30,4,FALSE)*D162</f>
        <v>2316530.3201851584</v>
      </c>
    </row>
    <row r="163" spans="1:8" x14ac:dyDescent="0.25">
      <c r="A163" s="34" t="s">
        <v>62</v>
      </c>
      <c r="B163" s="34" t="s">
        <v>36</v>
      </c>
      <c r="C163" s="34" t="s">
        <v>10</v>
      </c>
      <c r="D163" s="159">
        <f>VLOOKUP(A163,Projeto!$B$36:$D$47,3,FALSE)*VLOOKUP(B163,Projeto!$A$20:$D$24,4,FALSE)*VLOOKUP(B163,Projeto!$A$20:$I$24,MATCH(C163,Projeto!$A$19:$H$19,0),FALSE)</f>
        <v>39804.687188775286</v>
      </c>
      <c r="E163" s="158">
        <f>D163*VLOOKUP(C163,Projeto!$A$10:$D$13,4,FALSE)</f>
        <v>477656246.26530343</v>
      </c>
      <c r="F163" s="158">
        <f>D163*VLOOKUP(C163,Dados!$A$41:$D$44,4,FALSE)</f>
        <v>245195280.89536822</v>
      </c>
      <c r="G163" s="158">
        <f t="shared" si="2"/>
        <v>98078112.358147293</v>
      </c>
      <c r="H163" s="158">
        <f>VLOOKUP(C163,Dados!$A$27:$D$30,4,FALSE)*D163</f>
        <v>8753050.7128116861</v>
      </c>
    </row>
    <row r="164" spans="1:8" x14ac:dyDescent="0.25">
      <c r="A164" s="34" t="s">
        <v>62</v>
      </c>
      <c r="B164" s="34" t="s">
        <v>38</v>
      </c>
      <c r="C164" s="34" t="s">
        <v>10</v>
      </c>
      <c r="D164" s="159">
        <f>VLOOKUP(A164,Projeto!$B$36:$D$47,3,FALSE)*VLOOKUP(B164,Projeto!$A$20:$D$24,4,FALSE)*VLOOKUP(B164,Projeto!$A$20:$I$24,MATCH(C164,Projeto!$A$19:$H$19,0),FALSE)</f>
        <v>6411.0743575329216</v>
      </c>
      <c r="E164" s="158">
        <f>D164*VLOOKUP(C164,Projeto!$A$10:$D$13,4,FALSE)</f>
        <v>76932892.290395066</v>
      </c>
      <c r="F164" s="158">
        <f>D164*VLOOKUP(C164,Dados!$A$41:$D$44,4,FALSE)</f>
        <v>39491961.599428497</v>
      </c>
      <c r="G164" s="158">
        <f t="shared" si="2"/>
        <v>15796784.6397714</v>
      </c>
      <c r="H164" s="158">
        <f>VLOOKUP(C164,Dados!$A$27:$D$30,4,FALSE)*D164</f>
        <v>1409795.2512214894</v>
      </c>
    </row>
    <row r="165" spans="1:8" x14ac:dyDescent="0.25">
      <c r="A165" s="34" t="s">
        <v>62</v>
      </c>
      <c r="B165" s="34" t="s">
        <v>40</v>
      </c>
      <c r="C165" s="34" t="s">
        <v>10</v>
      </c>
      <c r="D165" s="159">
        <f>VLOOKUP(A165,Projeto!$B$36:$D$47,3,FALSE)*VLOOKUP(B165,Projeto!$A$20:$D$24,4,FALSE)*VLOOKUP(B165,Projeto!$A$20:$I$24,MATCH(C165,Projeto!$A$19:$H$19,0),FALSE)</f>
        <v>9553.2635096158501</v>
      </c>
      <c r="E165" s="158">
        <f>D165*VLOOKUP(C165,Projeto!$A$10:$D$13,4,FALSE)</f>
        <v>114639162.1153902</v>
      </c>
      <c r="F165" s="158">
        <f>D165*VLOOKUP(C165,Dados!$A$41:$D$44,4,FALSE)</f>
        <v>58847721.088693254</v>
      </c>
      <c r="G165" s="158">
        <f t="shared" si="2"/>
        <v>23539088.435477301</v>
      </c>
      <c r="H165" s="158">
        <f>VLOOKUP(C165,Dados!$A$27:$D$30,4,FALSE)*D165</f>
        <v>2100762.6457645255</v>
      </c>
    </row>
    <row r="166" spans="1:8" x14ac:dyDescent="0.25">
      <c r="A166" s="34" t="s">
        <v>62</v>
      </c>
      <c r="B166" s="34" t="s">
        <v>42</v>
      </c>
      <c r="C166" s="34" t="s">
        <v>10</v>
      </c>
      <c r="D166" s="159">
        <f>VLOOKUP(A166,Projeto!$B$36:$D$47,3,FALSE)*VLOOKUP(B166,Projeto!$A$20:$D$24,4,FALSE)*VLOOKUP(B166,Projeto!$A$20:$I$24,MATCH(C166,Projeto!$A$19:$H$19,0),FALSE)</f>
        <v>2035.6105867559409</v>
      </c>
      <c r="E166" s="158">
        <f>D166*VLOOKUP(C166,Projeto!$A$10:$D$13,4,FALSE)</f>
        <v>24427327.041071292</v>
      </c>
      <c r="F166" s="158">
        <f>D166*VLOOKUP(C166,Dados!$A$41:$D$44,4,FALSE)</f>
        <v>12539279.789993126</v>
      </c>
      <c r="G166" s="158">
        <f t="shared" si="2"/>
        <v>5015711.9159972509</v>
      </c>
      <c r="H166" s="158">
        <f>VLOOKUP(C166,Dados!$A$27:$D$30,4,FALSE)*D166</f>
        <v>447630.76802763139</v>
      </c>
    </row>
    <row r="167" spans="1:8" x14ac:dyDescent="0.25">
      <c r="A167" s="34" t="s">
        <v>62</v>
      </c>
      <c r="B167" s="34" t="s">
        <v>34</v>
      </c>
      <c r="C167" s="34" t="s">
        <v>15</v>
      </c>
      <c r="D167" s="159">
        <f>VLOOKUP(A167,Projeto!$B$36:$D$47,3,FALSE)*VLOOKUP(B167,Projeto!$A$20:$D$24,4,FALSE)*VLOOKUP(B167,Projeto!$A$20:$I$24,MATCH(C167,Projeto!$A$19:$H$19,0),FALSE)</f>
        <v>94810.245028041958</v>
      </c>
      <c r="E167" s="158">
        <f>D167*VLOOKUP(C167,Projeto!$A$10:$D$13,4,FALSE)</f>
        <v>711076837.71031463</v>
      </c>
      <c r="F167" s="158">
        <f>D167*VLOOKUP(C167,Dados!$A$41:$D$44,4,FALSE)</f>
        <v>264450424.04691634</v>
      </c>
      <c r="G167" s="158">
        <f t="shared" si="2"/>
        <v>79335127.214074895</v>
      </c>
      <c r="H167" s="158">
        <f>VLOOKUP(C167,Dados!$A$27:$D$30,4,FALSE)*D167</f>
        <v>14212055.72970349</v>
      </c>
    </row>
    <row r="168" spans="1:8" x14ac:dyDescent="0.25">
      <c r="A168" s="34" t="s">
        <v>62</v>
      </c>
      <c r="B168" s="34" t="s">
        <v>36</v>
      </c>
      <c r="C168" s="34" t="s">
        <v>15</v>
      </c>
      <c r="D168" s="159">
        <f>VLOOKUP(A168,Projeto!$B$36:$D$47,3,FALSE)*VLOOKUP(B168,Projeto!$A$20:$D$24,4,FALSE)*VLOOKUP(B168,Projeto!$A$20:$I$24,MATCH(C168,Projeto!$A$19:$H$19,0),FALSE)</f>
        <v>268681.63852423319</v>
      </c>
      <c r="E168" s="158">
        <f>D168*VLOOKUP(C168,Projeto!$A$10:$D$13,4,FALSE)</f>
        <v>2015112288.9317489</v>
      </c>
      <c r="F168" s="158">
        <f>D168*VLOOKUP(C168,Dados!$A$41:$D$44,4,FALSE)</f>
        <v>749422947.07010269</v>
      </c>
      <c r="G168" s="158">
        <f t="shared" si="2"/>
        <v>224826884.12103081</v>
      </c>
      <c r="H168" s="158">
        <f>VLOOKUP(C168,Dados!$A$27:$D$30,4,FALSE)*D168</f>
        <v>40275377.614782557</v>
      </c>
    </row>
    <row r="169" spans="1:8" x14ac:dyDescent="0.25">
      <c r="A169" s="34" t="s">
        <v>62</v>
      </c>
      <c r="B169" s="34" t="s">
        <v>38</v>
      </c>
      <c r="C169" s="34" t="s">
        <v>15</v>
      </c>
      <c r="D169" s="159">
        <f>VLOOKUP(A169,Projeto!$B$36:$D$47,3,FALSE)*VLOOKUP(B169,Projeto!$A$20:$D$24,4,FALSE)*VLOOKUP(B169,Projeto!$A$20:$I$24,MATCH(C169,Projeto!$A$19:$H$19,0),FALSE)</f>
        <v>76932.892290395059</v>
      </c>
      <c r="E169" s="158">
        <f>D169*VLOOKUP(C169,Projeto!$A$10:$D$13,4,FALSE)</f>
        <v>576996692.1779629</v>
      </c>
      <c r="F169" s="158">
        <f>D169*VLOOKUP(C169,Dados!$A$41:$D$44,4,FALSE)</f>
        <v>214585839.14990735</v>
      </c>
      <c r="G169" s="158">
        <f t="shared" si="2"/>
        <v>64375751.744972199</v>
      </c>
      <c r="H169" s="158">
        <f>VLOOKUP(C169,Dados!$A$27:$D$30,4,FALSE)*D169</f>
        <v>11532240.55433022</v>
      </c>
    </row>
    <row r="170" spans="1:8" x14ac:dyDescent="0.25">
      <c r="A170" s="34" t="s">
        <v>62</v>
      </c>
      <c r="B170" s="34" t="s">
        <v>40</v>
      </c>
      <c r="C170" s="34" t="s">
        <v>15</v>
      </c>
      <c r="D170" s="159">
        <f>VLOOKUP(A170,Projeto!$B$36:$D$47,3,FALSE)*VLOOKUP(B170,Projeto!$A$20:$D$24,4,FALSE)*VLOOKUP(B170,Projeto!$A$20:$I$24,MATCH(C170,Projeto!$A$19:$H$19,0),FALSE)</f>
        <v>45855.664846156076</v>
      </c>
      <c r="E170" s="158">
        <f>D170*VLOOKUP(C170,Projeto!$A$10:$D$13,4,FALSE)</f>
        <v>343917486.34617054</v>
      </c>
      <c r="F170" s="158">
        <f>D170*VLOOKUP(C170,Dados!$A$41:$D$44,4,FALSE)</f>
        <v>127903371.72878931</v>
      </c>
      <c r="G170" s="158">
        <f t="shared" si="2"/>
        <v>38371011.518636793</v>
      </c>
      <c r="H170" s="158">
        <f>VLOOKUP(C170,Dados!$A$27:$D$30,4,FALSE)*D170</f>
        <v>6873764.1604387965</v>
      </c>
    </row>
    <row r="171" spans="1:8" x14ac:dyDescent="0.25">
      <c r="A171" s="34" t="s">
        <v>62</v>
      </c>
      <c r="B171" s="34" t="s">
        <v>42</v>
      </c>
      <c r="C171" s="34" t="s">
        <v>15</v>
      </c>
      <c r="D171" s="159">
        <f>VLOOKUP(A171,Projeto!$B$36:$D$47,3,FALSE)*VLOOKUP(B171,Projeto!$A$20:$D$24,4,FALSE)*VLOOKUP(B171,Projeto!$A$20:$I$24,MATCH(C171,Projeto!$A$19:$H$19,0),FALSE)</f>
        <v>24427.327041071287</v>
      </c>
      <c r="E171" s="158">
        <f>D171*VLOOKUP(C171,Projeto!$A$10:$D$13,4,FALSE)</f>
        <v>183204952.80803466</v>
      </c>
      <c r="F171" s="158">
        <f>D171*VLOOKUP(C171,Dados!$A$41:$D$44,4,FALSE)</f>
        <v>68134166.222578496</v>
      </c>
      <c r="G171" s="158">
        <f t="shared" si="2"/>
        <v>20440249.866773549</v>
      </c>
      <c r="H171" s="158">
        <f>VLOOKUP(C171,Dados!$A$27:$D$30,4,FALSE)*D171</f>
        <v>3661656.3234565859</v>
      </c>
    </row>
    <row r="172" spans="1:8" x14ac:dyDescent="0.25">
      <c r="A172" s="34" t="s">
        <v>62</v>
      </c>
      <c r="B172" s="34" t="s">
        <v>34</v>
      </c>
      <c r="C172" s="34" t="s">
        <v>19</v>
      </c>
      <c r="D172" s="159">
        <f>VLOOKUP(A172,Projeto!$B$36:$D$47,3,FALSE)*VLOOKUP(B172,Projeto!$A$20:$D$24,4,FALSE)*VLOOKUP(B172,Projeto!$A$20:$I$24,MATCH(C172,Projeto!$A$19:$H$19,0),FALSE)</f>
        <v>175574.52782970731</v>
      </c>
      <c r="E172" s="158">
        <f>D172*VLOOKUP(C172,Projeto!$A$10:$D$13,4,FALSE)</f>
        <v>280919244.52753168</v>
      </c>
      <c r="F172" s="158">
        <f>D172*VLOOKUP(C172,Dados!$A$41:$D$44,4,FALSE)</f>
        <v>156436904.29626921</v>
      </c>
      <c r="G172" s="158">
        <f t="shared" si="2"/>
        <v>46931071.288880758</v>
      </c>
      <c r="H172" s="158">
        <f>VLOOKUP(C172,Dados!$A$27:$D$30,4,FALSE)*D172</f>
        <v>10516914.216999467</v>
      </c>
    </row>
    <row r="173" spans="1:8" x14ac:dyDescent="0.25">
      <c r="A173" s="34" t="s">
        <v>62</v>
      </c>
      <c r="B173" s="34" t="s">
        <v>36</v>
      </c>
      <c r="C173" s="34" t="s">
        <v>19</v>
      </c>
      <c r="D173" s="159">
        <f>VLOOKUP(A173,Projeto!$B$36:$D$47,3,FALSE)*VLOOKUP(B173,Projeto!$A$20:$D$24,4,FALSE)*VLOOKUP(B173,Projeto!$A$20:$I$24,MATCH(C173,Projeto!$A$19:$H$19,0),FALSE)</f>
        <v>497558.58985969104</v>
      </c>
      <c r="E173" s="158">
        <f>D173*VLOOKUP(C173,Projeto!$A$10:$D$13,4,FALSE)</f>
        <v>796093743.77550566</v>
      </c>
      <c r="F173" s="158">
        <f>D173*VLOOKUP(C173,Dados!$A$41:$D$44,4,FALSE)</f>
        <v>443324703.56498474</v>
      </c>
      <c r="G173" s="158">
        <f t="shared" si="2"/>
        <v>132997411.06949541</v>
      </c>
      <c r="H173" s="158">
        <f>VLOOKUP(C173,Dados!$A$27:$D$30,4,FALSE)*D173</f>
        <v>29803759.532595493</v>
      </c>
    </row>
    <row r="174" spans="1:8" x14ac:dyDescent="0.25">
      <c r="A174" s="34" t="s">
        <v>62</v>
      </c>
      <c r="B174" s="34" t="s">
        <v>38</v>
      </c>
      <c r="C174" s="34" t="s">
        <v>19</v>
      </c>
      <c r="D174" s="159">
        <f>VLOOKUP(A174,Projeto!$B$36:$D$47,3,FALSE)*VLOOKUP(B174,Projeto!$A$20:$D$24,4,FALSE)*VLOOKUP(B174,Projeto!$A$20:$I$24,MATCH(C174,Projeto!$A$19:$H$19,0),FALSE)</f>
        <v>262854.04865884979</v>
      </c>
      <c r="E174" s="158">
        <f>D174*VLOOKUP(C174,Projeto!$A$10:$D$13,4,FALSE)</f>
        <v>420566477.85415965</v>
      </c>
      <c r="F174" s="158">
        <f>D174*VLOOKUP(C174,Dados!$A$41:$D$44,4,FALSE)</f>
        <v>234202957.35503516</v>
      </c>
      <c r="G174" s="158">
        <f t="shared" si="2"/>
        <v>70260887.206510544</v>
      </c>
      <c r="H174" s="158">
        <f>VLOOKUP(C174,Dados!$A$27:$D$30,4,FALSE)*D174</f>
        <v>15744957.514665103</v>
      </c>
    </row>
    <row r="175" spans="1:8" x14ac:dyDescent="0.25">
      <c r="A175" s="34" t="s">
        <v>62</v>
      </c>
      <c r="B175" s="34" t="s">
        <v>40</v>
      </c>
      <c r="C175" s="34" t="s">
        <v>19</v>
      </c>
      <c r="D175" s="159">
        <f>VLOOKUP(A175,Projeto!$B$36:$D$47,3,FALSE)*VLOOKUP(B175,Projeto!$A$20:$D$24,4,FALSE)*VLOOKUP(B175,Projeto!$A$20:$I$24,MATCH(C175,Projeto!$A$19:$H$19,0),FALSE)</f>
        <v>95532.635096158498</v>
      </c>
      <c r="E175" s="158">
        <f>D175*VLOOKUP(C175,Projeto!$A$10:$D$13,4,FALSE)</f>
        <v>152852216.1538536</v>
      </c>
      <c r="F175" s="158">
        <f>D175*VLOOKUP(C175,Dados!$A$41:$D$44,4,FALSE)</f>
        <v>85119577.870677218</v>
      </c>
      <c r="G175" s="158">
        <f t="shared" si="2"/>
        <v>25535873.361203164</v>
      </c>
      <c r="H175" s="158">
        <f>VLOOKUP(C175,Dados!$A$27:$D$30,4,FALSE)*D175</f>
        <v>5722404.8422598941</v>
      </c>
    </row>
    <row r="176" spans="1:8" x14ac:dyDescent="0.25">
      <c r="A176" s="34" t="s">
        <v>62</v>
      </c>
      <c r="B176" s="34" t="s">
        <v>42</v>
      </c>
      <c r="C176" s="34" t="s">
        <v>19</v>
      </c>
      <c r="D176" s="159">
        <f>VLOOKUP(A176,Projeto!$B$36:$D$47,3,FALSE)*VLOOKUP(B176,Projeto!$A$20:$D$24,4,FALSE)*VLOOKUP(B176,Projeto!$A$20:$I$24,MATCH(C176,Projeto!$A$19:$H$19,0),FALSE)</f>
        <v>87531.255230505456</v>
      </c>
      <c r="E176" s="158">
        <f>D176*VLOOKUP(C176,Projeto!$A$10:$D$13,4,FALSE)</f>
        <v>140050008.36880872</v>
      </c>
      <c r="F176" s="158">
        <f>D176*VLOOKUP(C176,Dados!$A$41:$D$44,4,FALSE)</f>
        <v>77990348.410380363</v>
      </c>
      <c r="G176" s="158">
        <f t="shared" si="2"/>
        <v>23397104.523114108</v>
      </c>
      <c r="H176" s="158">
        <f>VLOOKUP(C176,Dados!$A$27:$D$30,4,FALSE)*D176</f>
        <v>5243122.1883072769</v>
      </c>
    </row>
    <row r="177" spans="1:8" x14ac:dyDescent="0.25">
      <c r="A177" s="34" t="s">
        <v>62</v>
      </c>
      <c r="B177" s="34" t="s">
        <v>34</v>
      </c>
      <c r="C177" s="34" t="s">
        <v>23</v>
      </c>
      <c r="D177" s="159">
        <f>VLOOKUP(A177,Projeto!$B$36:$D$47,3,FALSE)*VLOOKUP(B177,Projeto!$A$20:$D$24,4,FALSE)*VLOOKUP(B177,Projeto!$A$20:$I$24,MATCH(C177,Projeto!$A$19:$H$19,0),FALSE)</f>
        <v>70229.811131882932</v>
      </c>
      <c r="E177" s="158">
        <f>D177*VLOOKUP(C177,Projeto!$A$10:$D$13,4,FALSE)</f>
        <v>56183848.905506343</v>
      </c>
      <c r="F177" s="158">
        <f>D177*VLOOKUP(C177,Dados!$A$41:$D$44,4,FALSE)</f>
        <v>34501097.016648807</v>
      </c>
      <c r="G177" s="158">
        <f t="shared" si="2"/>
        <v>13800438.806659523</v>
      </c>
      <c r="H177" s="158">
        <f>VLOOKUP(C177,Dados!$A$27:$D$30,4,FALSE)*D177</f>
        <v>7015958.1320751058</v>
      </c>
    </row>
    <row r="178" spans="1:8" x14ac:dyDescent="0.25">
      <c r="A178" s="34" t="s">
        <v>62</v>
      </c>
      <c r="B178" s="34" t="s">
        <v>36</v>
      </c>
      <c r="C178" s="34" t="s">
        <v>23</v>
      </c>
      <c r="D178" s="159">
        <f>VLOOKUP(A178,Projeto!$B$36:$D$47,3,FALSE)*VLOOKUP(B178,Projeto!$A$20:$D$24,4,FALSE)*VLOOKUP(B178,Projeto!$A$20:$I$24,MATCH(C178,Projeto!$A$19:$H$19,0),FALSE)</f>
        <v>189072.2641466826</v>
      </c>
      <c r="E178" s="158">
        <f>D178*VLOOKUP(C178,Projeto!$A$10:$D$13,4,FALSE)</f>
        <v>151257811.3173461</v>
      </c>
      <c r="F178" s="158">
        <f>D178*VLOOKUP(C178,Dados!$A$41:$D$44,4,FALSE)</f>
        <v>92883640.484699294</v>
      </c>
      <c r="G178" s="158">
        <f t="shared" si="2"/>
        <v>37153456.193879716</v>
      </c>
      <c r="H178" s="158">
        <f>VLOOKUP(C178,Dados!$A$27:$D$30,4,FALSE)*D178</f>
        <v>18888319.188253593</v>
      </c>
    </row>
    <row r="179" spans="1:8" x14ac:dyDescent="0.25">
      <c r="A179" s="34" t="s">
        <v>62</v>
      </c>
      <c r="B179" s="34" t="s">
        <v>38</v>
      </c>
      <c r="C179" s="34" t="s">
        <v>23</v>
      </c>
      <c r="D179" s="159">
        <f>VLOOKUP(A179,Projeto!$B$36:$D$47,3,FALSE)*VLOOKUP(B179,Projeto!$A$20:$D$24,4,FALSE)*VLOOKUP(B179,Projeto!$A$20:$I$24,MATCH(C179,Projeto!$A$19:$H$19,0),FALSE)</f>
        <v>294909.42044651438</v>
      </c>
      <c r="E179" s="158">
        <f>D179*VLOOKUP(C179,Projeto!$A$10:$D$13,4,FALSE)</f>
        <v>235927536.3572115</v>
      </c>
      <c r="F179" s="158">
        <f>D179*VLOOKUP(C179,Dados!$A$41:$D$44,4,FALSE)</f>
        <v>144877201.88855466</v>
      </c>
      <c r="G179" s="158">
        <f t="shared" si="2"/>
        <v>57950880.755421869</v>
      </c>
      <c r="H179" s="158">
        <f>VLOOKUP(C179,Dados!$A$27:$D$30,4,FALSE)*D179</f>
        <v>29461451.102606788</v>
      </c>
    </row>
    <row r="180" spans="1:8" x14ac:dyDescent="0.25">
      <c r="A180" s="34" t="s">
        <v>62</v>
      </c>
      <c r="B180" s="34" t="s">
        <v>40</v>
      </c>
      <c r="C180" s="34" t="s">
        <v>23</v>
      </c>
      <c r="D180" s="159">
        <f>VLOOKUP(A180,Projeto!$B$36:$D$47,3,FALSE)*VLOOKUP(B180,Projeto!$A$20:$D$24,4,FALSE)*VLOOKUP(B180,Projeto!$A$20:$I$24,MATCH(C180,Projeto!$A$19:$H$19,0),FALSE)</f>
        <v>40123.706740386566</v>
      </c>
      <c r="E180" s="158">
        <f>D180*VLOOKUP(C180,Projeto!$A$10:$D$13,4,FALSE)</f>
        <v>32098965.392309252</v>
      </c>
      <c r="F180" s="158">
        <f>D180*VLOOKUP(C180,Dados!$A$41:$D$44,4,FALSE)</f>
        <v>19711172.173282303</v>
      </c>
      <c r="G180" s="158">
        <f t="shared" si="2"/>
        <v>7884468.8693129215</v>
      </c>
      <c r="H180" s="158">
        <f>VLOOKUP(C180,Dados!$A$27:$D$30,4,FALSE)*D180</f>
        <v>4008358.3033646182</v>
      </c>
    </row>
    <row r="181" spans="1:8" x14ac:dyDescent="0.25">
      <c r="A181" s="34" t="s">
        <v>62</v>
      </c>
      <c r="B181" s="34" t="s">
        <v>42</v>
      </c>
      <c r="C181" s="34" t="s">
        <v>23</v>
      </c>
      <c r="D181" s="159">
        <f>VLOOKUP(A181,Projeto!$B$36:$D$47,3,FALSE)*VLOOKUP(B181,Projeto!$A$20:$D$24,4,FALSE)*VLOOKUP(B181,Projeto!$A$20:$I$24,MATCH(C181,Projeto!$A$19:$H$19,0),FALSE)</f>
        <v>89566.865817261394</v>
      </c>
      <c r="E181" s="158">
        <f>D181*VLOOKUP(C181,Projeto!$A$10:$D$13,4,FALSE)</f>
        <v>71653492.653809115</v>
      </c>
      <c r="F181" s="158">
        <f>D181*VLOOKUP(C181,Dados!$A$41:$D$44,4,FALSE)</f>
        <v>44000618.501387835</v>
      </c>
      <c r="G181" s="158">
        <f t="shared" si="2"/>
        <v>17600247.400555134</v>
      </c>
      <c r="H181" s="158">
        <f>VLOOKUP(C181,Dados!$A$27:$D$30,4,FALSE)*D181</f>
        <v>8947729.8951444142</v>
      </c>
    </row>
    <row r="182" spans="1:8" x14ac:dyDescent="0.25">
      <c r="A182" s="34" t="s">
        <v>63</v>
      </c>
      <c r="B182" s="34" t="s">
        <v>34</v>
      </c>
      <c r="C182" s="34" t="s">
        <v>10</v>
      </c>
      <c r="D182" s="159">
        <f>VLOOKUP(A182,Projeto!$B$36:$D$47,3,FALSE)*VLOOKUP(B182,Projeto!$A$20:$D$24,4,FALSE)*VLOOKUP(B182,Projeto!$A$20:$I$24,MATCH(C182,Projeto!$A$19:$H$19,0),FALSE)</f>
        <v>15801.707504673659</v>
      </c>
      <c r="E182" s="158">
        <f>D182*VLOOKUP(C182,Projeto!$A$10:$D$13,4,FALSE)</f>
        <v>189620490.05608392</v>
      </c>
      <c r="F182" s="158">
        <f>D182*VLOOKUP(C182,Dados!$A$41:$D$44,4,FALSE)</f>
        <v>97337886.160489559</v>
      </c>
      <c r="G182" s="158">
        <f t="shared" si="2"/>
        <v>38935154.464195825</v>
      </c>
      <c r="H182" s="158">
        <f>VLOOKUP(C182,Dados!$A$27:$D$30,4,FALSE)*D182</f>
        <v>3474795.4802777376</v>
      </c>
    </row>
    <row r="183" spans="1:8" x14ac:dyDescent="0.25">
      <c r="A183" s="34" t="s">
        <v>63</v>
      </c>
      <c r="B183" s="34" t="s">
        <v>36</v>
      </c>
      <c r="C183" s="34" t="s">
        <v>10</v>
      </c>
      <c r="D183" s="159">
        <f>VLOOKUP(A183,Projeto!$B$36:$D$47,3,FALSE)*VLOOKUP(B183,Projeto!$A$20:$D$24,4,FALSE)*VLOOKUP(B183,Projeto!$A$20:$I$24,MATCH(C183,Projeto!$A$19:$H$19,0),FALSE)</f>
        <v>59707.030783162925</v>
      </c>
      <c r="E183" s="158">
        <f>D183*VLOOKUP(C183,Projeto!$A$10:$D$13,4,FALSE)</f>
        <v>716484369.39795506</v>
      </c>
      <c r="F183" s="158">
        <f>D183*VLOOKUP(C183,Dados!$A$41:$D$44,4,FALSE)</f>
        <v>367792921.34305227</v>
      </c>
      <c r="G183" s="158">
        <f t="shared" si="2"/>
        <v>147117168.53722093</v>
      </c>
      <c r="H183" s="158">
        <f>VLOOKUP(C183,Dados!$A$27:$D$30,4,FALSE)*D183</f>
        <v>13129576.069217527</v>
      </c>
    </row>
    <row r="184" spans="1:8" x14ac:dyDescent="0.25">
      <c r="A184" s="34" t="s">
        <v>63</v>
      </c>
      <c r="B184" s="34" t="s">
        <v>38</v>
      </c>
      <c r="C184" s="34" t="s">
        <v>10</v>
      </c>
      <c r="D184" s="159">
        <f>VLOOKUP(A184,Projeto!$B$36:$D$47,3,FALSE)*VLOOKUP(B184,Projeto!$A$20:$D$24,4,FALSE)*VLOOKUP(B184,Projeto!$A$20:$I$24,MATCH(C184,Projeto!$A$19:$H$19,0),FALSE)</f>
        <v>9616.6115362993824</v>
      </c>
      <c r="E184" s="158">
        <f>D184*VLOOKUP(C184,Projeto!$A$10:$D$13,4,FALSE)</f>
        <v>115399338.43559259</v>
      </c>
      <c r="F184" s="158">
        <f>D184*VLOOKUP(C184,Dados!$A$41:$D$44,4,FALSE)</f>
        <v>59237942.399142742</v>
      </c>
      <c r="G184" s="158">
        <f t="shared" si="2"/>
        <v>23695176.959657099</v>
      </c>
      <c r="H184" s="158">
        <f>VLOOKUP(C184,Dados!$A$27:$D$30,4,FALSE)*D184</f>
        <v>2114692.8768322342</v>
      </c>
    </row>
    <row r="185" spans="1:8" x14ac:dyDescent="0.25">
      <c r="A185" s="34" t="s">
        <v>63</v>
      </c>
      <c r="B185" s="34" t="s">
        <v>40</v>
      </c>
      <c r="C185" s="34" t="s">
        <v>10</v>
      </c>
      <c r="D185" s="159">
        <f>VLOOKUP(A185,Projeto!$B$36:$D$47,3,FALSE)*VLOOKUP(B185,Projeto!$A$20:$D$24,4,FALSE)*VLOOKUP(B185,Projeto!$A$20:$I$24,MATCH(C185,Projeto!$A$19:$H$19,0),FALSE)</f>
        <v>14329.895264423776</v>
      </c>
      <c r="E185" s="158">
        <f>D185*VLOOKUP(C185,Projeto!$A$10:$D$13,4,FALSE)</f>
        <v>171958743.1730853</v>
      </c>
      <c r="F185" s="158">
        <f>D185*VLOOKUP(C185,Dados!$A$41:$D$44,4,FALSE)</f>
        <v>88271581.633039892</v>
      </c>
      <c r="G185" s="158">
        <f t="shared" si="2"/>
        <v>35308632.65321596</v>
      </c>
      <c r="H185" s="158">
        <f>VLOOKUP(C185,Dados!$A$27:$D$30,4,FALSE)*D185</f>
        <v>3151143.9686467885</v>
      </c>
    </row>
    <row r="186" spans="1:8" x14ac:dyDescent="0.25">
      <c r="A186" s="34" t="s">
        <v>63</v>
      </c>
      <c r="B186" s="34" t="s">
        <v>42</v>
      </c>
      <c r="C186" s="34" t="s">
        <v>10</v>
      </c>
      <c r="D186" s="159">
        <f>VLOOKUP(A186,Projeto!$B$36:$D$47,3,FALSE)*VLOOKUP(B186,Projeto!$A$20:$D$24,4,FALSE)*VLOOKUP(B186,Projeto!$A$20:$I$24,MATCH(C186,Projeto!$A$19:$H$19,0),FALSE)</f>
        <v>3053.4158801339108</v>
      </c>
      <c r="E186" s="158">
        <f>D186*VLOOKUP(C186,Projeto!$A$10:$D$13,4,FALSE)</f>
        <v>36640990.561606929</v>
      </c>
      <c r="F186" s="158">
        <f>D186*VLOOKUP(C186,Dados!$A$41:$D$44,4,FALSE)</f>
        <v>18808919.684989687</v>
      </c>
      <c r="G186" s="158">
        <f t="shared" si="2"/>
        <v>7523567.873995875</v>
      </c>
      <c r="H186" s="158">
        <f>VLOOKUP(C186,Dados!$A$27:$D$30,4,FALSE)*D186</f>
        <v>671446.152041447</v>
      </c>
    </row>
    <row r="187" spans="1:8" x14ac:dyDescent="0.25">
      <c r="A187" s="34" t="s">
        <v>63</v>
      </c>
      <c r="B187" s="34" t="s">
        <v>34</v>
      </c>
      <c r="C187" s="34" t="s">
        <v>15</v>
      </c>
      <c r="D187" s="159">
        <f>VLOOKUP(A187,Projeto!$B$36:$D$47,3,FALSE)*VLOOKUP(B187,Projeto!$A$20:$D$24,4,FALSE)*VLOOKUP(B187,Projeto!$A$20:$I$24,MATCH(C187,Projeto!$A$19:$H$19,0),FALSE)</f>
        <v>142215.36754206294</v>
      </c>
      <c r="E187" s="158">
        <f>D187*VLOOKUP(C187,Projeto!$A$10:$D$13,4,FALSE)</f>
        <v>1066615256.5654721</v>
      </c>
      <c r="F187" s="158">
        <f>D187*VLOOKUP(C187,Dados!$A$41:$D$44,4,FALSE)</f>
        <v>396675636.07037455</v>
      </c>
      <c r="G187" s="158">
        <f t="shared" si="2"/>
        <v>119002690.82111236</v>
      </c>
      <c r="H187" s="158">
        <f>VLOOKUP(C187,Dados!$A$27:$D$30,4,FALSE)*D187</f>
        <v>21318083.594555236</v>
      </c>
    </row>
    <row r="188" spans="1:8" x14ac:dyDescent="0.25">
      <c r="A188" s="34" t="s">
        <v>63</v>
      </c>
      <c r="B188" s="34" t="s">
        <v>36</v>
      </c>
      <c r="C188" s="34" t="s">
        <v>15</v>
      </c>
      <c r="D188" s="159">
        <f>VLOOKUP(A188,Projeto!$B$36:$D$47,3,FALSE)*VLOOKUP(B188,Projeto!$A$20:$D$24,4,FALSE)*VLOOKUP(B188,Projeto!$A$20:$I$24,MATCH(C188,Projeto!$A$19:$H$19,0),FALSE)</f>
        <v>403022.45778634981</v>
      </c>
      <c r="E188" s="158">
        <f>D188*VLOOKUP(C188,Projeto!$A$10:$D$13,4,FALSE)</f>
        <v>3022668433.3976235</v>
      </c>
      <c r="F188" s="158">
        <f>D188*VLOOKUP(C188,Dados!$A$41:$D$44,4,FALSE)</f>
        <v>1124134420.6051543</v>
      </c>
      <c r="G188" s="158">
        <f t="shared" si="2"/>
        <v>337240326.18154627</v>
      </c>
      <c r="H188" s="158">
        <f>VLOOKUP(C188,Dados!$A$27:$D$30,4,FALSE)*D188</f>
        <v>60413066.422173843</v>
      </c>
    </row>
    <row r="189" spans="1:8" x14ac:dyDescent="0.25">
      <c r="A189" s="34" t="s">
        <v>63</v>
      </c>
      <c r="B189" s="34" t="s">
        <v>38</v>
      </c>
      <c r="C189" s="34" t="s">
        <v>15</v>
      </c>
      <c r="D189" s="159">
        <f>VLOOKUP(A189,Projeto!$B$36:$D$47,3,FALSE)*VLOOKUP(B189,Projeto!$A$20:$D$24,4,FALSE)*VLOOKUP(B189,Projeto!$A$20:$I$24,MATCH(C189,Projeto!$A$19:$H$19,0),FALSE)</f>
        <v>115399.33843559258</v>
      </c>
      <c r="E189" s="158">
        <f>D189*VLOOKUP(C189,Projeto!$A$10:$D$13,4,FALSE)</f>
        <v>865495038.26694441</v>
      </c>
      <c r="F189" s="158">
        <f>D189*VLOOKUP(C189,Dados!$A$41:$D$44,4,FALSE)</f>
        <v>321878758.72486097</v>
      </c>
      <c r="G189" s="158">
        <f t="shared" si="2"/>
        <v>96563627.617458284</v>
      </c>
      <c r="H189" s="158">
        <f>VLOOKUP(C189,Dados!$A$27:$D$30,4,FALSE)*D189</f>
        <v>17298360.83149533</v>
      </c>
    </row>
    <row r="190" spans="1:8" x14ac:dyDescent="0.25">
      <c r="A190" s="34" t="s">
        <v>63</v>
      </c>
      <c r="B190" s="34" t="s">
        <v>40</v>
      </c>
      <c r="C190" s="34" t="s">
        <v>15</v>
      </c>
      <c r="D190" s="159">
        <f>VLOOKUP(A190,Projeto!$B$36:$D$47,3,FALSE)*VLOOKUP(B190,Projeto!$A$20:$D$24,4,FALSE)*VLOOKUP(B190,Projeto!$A$20:$I$24,MATCH(C190,Projeto!$A$19:$H$19,0),FALSE)</f>
        <v>68783.497269234125</v>
      </c>
      <c r="E190" s="158">
        <f>D190*VLOOKUP(C190,Projeto!$A$10:$D$13,4,FALSE)</f>
        <v>515876229.51925594</v>
      </c>
      <c r="F190" s="158">
        <f>D190*VLOOKUP(C190,Dados!$A$41:$D$44,4,FALSE)</f>
        <v>191855057.59318399</v>
      </c>
      <c r="G190" s="158">
        <f t="shared" si="2"/>
        <v>57556517.277955197</v>
      </c>
      <c r="H190" s="158">
        <f>VLOOKUP(C190,Dados!$A$27:$D$30,4,FALSE)*D190</f>
        <v>10310646.240658196</v>
      </c>
    </row>
    <row r="191" spans="1:8" x14ac:dyDescent="0.25">
      <c r="A191" s="34" t="s">
        <v>63</v>
      </c>
      <c r="B191" s="34" t="s">
        <v>42</v>
      </c>
      <c r="C191" s="34" t="s">
        <v>15</v>
      </c>
      <c r="D191" s="159">
        <f>VLOOKUP(A191,Projeto!$B$36:$D$47,3,FALSE)*VLOOKUP(B191,Projeto!$A$20:$D$24,4,FALSE)*VLOOKUP(B191,Projeto!$A$20:$I$24,MATCH(C191,Projeto!$A$19:$H$19,0),FALSE)</f>
        <v>36640.99056160693</v>
      </c>
      <c r="E191" s="158">
        <f>D191*VLOOKUP(C191,Projeto!$A$10:$D$13,4,FALSE)</f>
        <v>274807429.21205199</v>
      </c>
      <c r="F191" s="158">
        <f>D191*VLOOKUP(C191,Dados!$A$41:$D$44,4,FALSE)</f>
        <v>102201249.33386776</v>
      </c>
      <c r="G191" s="158">
        <f t="shared" si="2"/>
        <v>30660374.800160326</v>
      </c>
      <c r="H191" s="158">
        <f>VLOOKUP(C191,Dados!$A$27:$D$30,4,FALSE)*D191</f>
        <v>5492484.485184879</v>
      </c>
    </row>
    <row r="192" spans="1:8" x14ac:dyDescent="0.25">
      <c r="A192" s="34" t="s">
        <v>63</v>
      </c>
      <c r="B192" s="34" t="s">
        <v>34</v>
      </c>
      <c r="C192" s="34" t="s">
        <v>19</v>
      </c>
      <c r="D192" s="159">
        <f>VLOOKUP(A192,Projeto!$B$36:$D$47,3,FALSE)*VLOOKUP(B192,Projeto!$A$20:$D$24,4,FALSE)*VLOOKUP(B192,Projeto!$A$20:$I$24,MATCH(C192,Projeto!$A$19:$H$19,0),FALSE)</f>
        <v>263361.79174456099</v>
      </c>
      <c r="E192" s="158">
        <f>D192*VLOOKUP(C192,Projeto!$A$10:$D$13,4,FALSE)</f>
        <v>421378866.79129761</v>
      </c>
      <c r="F192" s="158">
        <f>D192*VLOOKUP(C192,Dados!$A$41:$D$44,4,FALSE)</f>
        <v>234655356.44440386</v>
      </c>
      <c r="G192" s="158">
        <f t="shared" si="2"/>
        <v>70396606.933321148</v>
      </c>
      <c r="H192" s="158">
        <f>VLOOKUP(C192,Dados!$A$27:$D$30,4,FALSE)*D192</f>
        <v>15775371.325499203</v>
      </c>
    </row>
    <row r="193" spans="1:8" x14ac:dyDescent="0.25">
      <c r="A193" s="34" t="s">
        <v>63</v>
      </c>
      <c r="B193" s="34" t="s">
        <v>36</v>
      </c>
      <c r="C193" s="34" t="s">
        <v>19</v>
      </c>
      <c r="D193" s="159">
        <f>VLOOKUP(A193,Projeto!$B$36:$D$47,3,FALSE)*VLOOKUP(B193,Projeto!$A$20:$D$24,4,FALSE)*VLOOKUP(B193,Projeto!$A$20:$I$24,MATCH(C193,Projeto!$A$19:$H$19,0),FALSE)</f>
        <v>746337.88478953659</v>
      </c>
      <c r="E193" s="158">
        <f>D193*VLOOKUP(C193,Projeto!$A$10:$D$13,4,FALSE)</f>
        <v>1194140615.6632586</v>
      </c>
      <c r="F193" s="158">
        <f>D193*VLOOKUP(C193,Dados!$A$41:$D$44,4,FALSE)</f>
        <v>664987055.34747708</v>
      </c>
      <c r="G193" s="158">
        <f t="shared" si="2"/>
        <v>199496116.60424313</v>
      </c>
      <c r="H193" s="158">
        <f>VLOOKUP(C193,Dados!$A$27:$D$30,4,FALSE)*D193</f>
        <v>44705639.298893243</v>
      </c>
    </row>
    <row r="194" spans="1:8" x14ac:dyDescent="0.25">
      <c r="A194" s="34" t="s">
        <v>63</v>
      </c>
      <c r="B194" s="34" t="s">
        <v>38</v>
      </c>
      <c r="C194" s="34" t="s">
        <v>19</v>
      </c>
      <c r="D194" s="159">
        <f>VLOOKUP(A194,Projeto!$B$36:$D$47,3,FALSE)*VLOOKUP(B194,Projeto!$A$20:$D$24,4,FALSE)*VLOOKUP(B194,Projeto!$A$20:$I$24,MATCH(C194,Projeto!$A$19:$H$19,0),FALSE)</f>
        <v>394281.07298827468</v>
      </c>
      <c r="E194" s="158">
        <f>D194*VLOOKUP(C194,Projeto!$A$10:$D$13,4,FALSE)</f>
        <v>630849716.78123951</v>
      </c>
      <c r="F194" s="158">
        <f>D194*VLOOKUP(C194,Dados!$A$41:$D$44,4,FALSE)</f>
        <v>351304436.03255272</v>
      </c>
      <c r="G194" s="158">
        <f t="shared" ref="G194:G241" si="3">IF(OR(C194="A",C194="D/E"),0.4,0.3)*F194</f>
        <v>105391330.80976582</v>
      </c>
      <c r="H194" s="158">
        <f>VLOOKUP(C194,Dados!$A$27:$D$30,4,FALSE)*D194</f>
        <v>23617436.271997653</v>
      </c>
    </row>
    <row r="195" spans="1:8" x14ac:dyDescent="0.25">
      <c r="A195" s="34" t="s">
        <v>63</v>
      </c>
      <c r="B195" s="34" t="s">
        <v>40</v>
      </c>
      <c r="C195" s="34" t="s">
        <v>19</v>
      </c>
      <c r="D195" s="159">
        <f>VLOOKUP(A195,Projeto!$B$36:$D$47,3,FALSE)*VLOOKUP(B195,Projeto!$A$20:$D$24,4,FALSE)*VLOOKUP(B195,Projeto!$A$20:$I$24,MATCH(C195,Projeto!$A$19:$H$19,0),FALSE)</f>
        <v>143298.95264423775</v>
      </c>
      <c r="E195" s="158">
        <f>D195*VLOOKUP(C195,Projeto!$A$10:$D$13,4,FALSE)</f>
        <v>229278324.23078039</v>
      </c>
      <c r="F195" s="158">
        <f>D195*VLOOKUP(C195,Dados!$A$41:$D$44,4,FALSE)</f>
        <v>127679366.80601583</v>
      </c>
      <c r="G195" s="158">
        <f t="shared" si="3"/>
        <v>38303810.041804746</v>
      </c>
      <c r="H195" s="158">
        <f>VLOOKUP(C195,Dados!$A$27:$D$30,4,FALSE)*D195</f>
        <v>8583607.2633898407</v>
      </c>
    </row>
    <row r="196" spans="1:8" x14ac:dyDescent="0.25">
      <c r="A196" s="34" t="s">
        <v>63</v>
      </c>
      <c r="B196" s="34" t="s">
        <v>42</v>
      </c>
      <c r="C196" s="34" t="s">
        <v>19</v>
      </c>
      <c r="D196" s="159">
        <f>VLOOKUP(A196,Projeto!$B$36:$D$47,3,FALSE)*VLOOKUP(B196,Projeto!$A$20:$D$24,4,FALSE)*VLOOKUP(B196,Projeto!$A$20:$I$24,MATCH(C196,Projeto!$A$19:$H$19,0),FALSE)</f>
        <v>131296.88284575817</v>
      </c>
      <c r="E196" s="158">
        <f>D196*VLOOKUP(C196,Projeto!$A$10:$D$13,4,FALSE)</f>
        <v>210075012.55321306</v>
      </c>
      <c r="F196" s="158">
        <f>D196*VLOOKUP(C196,Dados!$A$41:$D$44,4,FALSE)</f>
        <v>116985522.61557053</v>
      </c>
      <c r="G196" s="158">
        <f t="shared" si="3"/>
        <v>35095656.784671158</v>
      </c>
      <c r="H196" s="158">
        <f>VLOOKUP(C196,Dados!$A$27:$D$30,4,FALSE)*D196</f>
        <v>7864683.282460914</v>
      </c>
    </row>
    <row r="197" spans="1:8" x14ac:dyDescent="0.25">
      <c r="A197" s="34" t="s">
        <v>63</v>
      </c>
      <c r="B197" s="34" t="s">
        <v>34</v>
      </c>
      <c r="C197" s="34" t="s">
        <v>23</v>
      </c>
      <c r="D197" s="159">
        <f>VLOOKUP(A197,Projeto!$B$36:$D$47,3,FALSE)*VLOOKUP(B197,Projeto!$A$20:$D$24,4,FALSE)*VLOOKUP(B197,Projeto!$A$20:$I$24,MATCH(C197,Projeto!$A$19:$H$19,0),FALSE)</f>
        <v>105344.71669782441</v>
      </c>
      <c r="E197" s="158">
        <f>D197*VLOOKUP(C197,Projeto!$A$10:$D$13,4,FALSE)</f>
        <v>84275773.358259529</v>
      </c>
      <c r="F197" s="158">
        <f>D197*VLOOKUP(C197,Dados!$A$41:$D$44,4,FALSE)</f>
        <v>51751645.524973214</v>
      </c>
      <c r="G197" s="158">
        <f t="shared" si="3"/>
        <v>20700658.209989287</v>
      </c>
      <c r="H197" s="158">
        <f>VLOOKUP(C197,Dados!$A$27:$D$30,4,FALSE)*D197</f>
        <v>10523937.198112659</v>
      </c>
    </row>
    <row r="198" spans="1:8" x14ac:dyDescent="0.25">
      <c r="A198" s="34" t="s">
        <v>63</v>
      </c>
      <c r="B198" s="34" t="s">
        <v>36</v>
      </c>
      <c r="C198" s="34" t="s">
        <v>23</v>
      </c>
      <c r="D198" s="159">
        <f>VLOOKUP(A198,Projeto!$B$36:$D$47,3,FALSE)*VLOOKUP(B198,Projeto!$A$20:$D$24,4,FALSE)*VLOOKUP(B198,Projeto!$A$20:$I$24,MATCH(C198,Projeto!$A$19:$H$19,0),FALSE)</f>
        <v>283608.39622002392</v>
      </c>
      <c r="E198" s="158">
        <f>D198*VLOOKUP(C198,Projeto!$A$10:$D$13,4,FALSE)</f>
        <v>226886716.97601914</v>
      </c>
      <c r="F198" s="158">
        <f>D198*VLOOKUP(C198,Dados!$A$41:$D$44,4,FALSE)</f>
        <v>139325460.72704893</v>
      </c>
      <c r="G198" s="158">
        <f t="shared" si="3"/>
        <v>55730184.290819578</v>
      </c>
      <c r="H198" s="158">
        <f>VLOOKUP(C198,Dados!$A$27:$D$30,4,FALSE)*D198</f>
        <v>28332478.782380391</v>
      </c>
    </row>
    <row r="199" spans="1:8" x14ac:dyDescent="0.25">
      <c r="A199" s="34" t="s">
        <v>63</v>
      </c>
      <c r="B199" s="34" t="s">
        <v>38</v>
      </c>
      <c r="C199" s="34" t="s">
        <v>23</v>
      </c>
      <c r="D199" s="159">
        <f>VLOOKUP(A199,Projeto!$B$36:$D$47,3,FALSE)*VLOOKUP(B199,Projeto!$A$20:$D$24,4,FALSE)*VLOOKUP(B199,Projeto!$A$20:$I$24,MATCH(C199,Projeto!$A$19:$H$19,0),FALSE)</f>
        <v>442364.13066977164</v>
      </c>
      <c r="E199" s="158">
        <f>D199*VLOOKUP(C199,Projeto!$A$10:$D$13,4,FALSE)</f>
        <v>353891304.53581733</v>
      </c>
      <c r="F199" s="158">
        <f>D199*VLOOKUP(C199,Dados!$A$41:$D$44,4,FALSE)</f>
        <v>217315802.83283201</v>
      </c>
      <c r="G199" s="158">
        <f t="shared" si="3"/>
        <v>86926321.133132815</v>
      </c>
      <c r="H199" s="158">
        <f>VLOOKUP(C199,Dados!$A$27:$D$30,4,FALSE)*D199</f>
        <v>44192176.65391019</v>
      </c>
    </row>
    <row r="200" spans="1:8" x14ac:dyDescent="0.25">
      <c r="A200" s="34" t="s">
        <v>63</v>
      </c>
      <c r="B200" s="34" t="s">
        <v>40</v>
      </c>
      <c r="C200" s="34" t="s">
        <v>23</v>
      </c>
      <c r="D200" s="159">
        <f>VLOOKUP(A200,Projeto!$B$36:$D$47,3,FALSE)*VLOOKUP(B200,Projeto!$A$20:$D$24,4,FALSE)*VLOOKUP(B200,Projeto!$A$20:$I$24,MATCH(C200,Projeto!$A$19:$H$19,0),FALSE)</f>
        <v>60185.560110579856</v>
      </c>
      <c r="E200" s="158">
        <f>D200*VLOOKUP(C200,Projeto!$A$10:$D$13,4,FALSE)</f>
        <v>48148448.088463888</v>
      </c>
      <c r="F200" s="158">
        <f>D200*VLOOKUP(C200,Dados!$A$41:$D$44,4,FALSE)</f>
        <v>29566758.259923458</v>
      </c>
      <c r="G200" s="158">
        <f t="shared" si="3"/>
        <v>11826703.303969383</v>
      </c>
      <c r="H200" s="158">
        <f>VLOOKUP(C200,Dados!$A$27:$D$30,4,FALSE)*D200</f>
        <v>6012537.4550469276</v>
      </c>
    </row>
    <row r="201" spans="1:8" x14ac:dyDescent="0.25">
      <c r="A201" s="34" t="s">
        <v>63</v>
      </c>
      <c r="B201" s="34" t="s">
        <v>42</v>
      </c>
      <c r="C201" s="34" t="s">
        <v>23</v>
      </c>
      <c r="D201" s="159">
        <f>VLOOKUP(A201,Projeto!$B$36:$D$47,3,FALSE)*VLOOKUP(B201,Projeto!$A$20:$D$24,4,FALSE)*VLOOKUP(B201,Projeto!$A$20:$I$24,MATCH(C201,Projeto!$A$19:$H$19,0),FALSE)</f>
        <v>134350.29872589206</v>
      </c>
      <c r="E201" s="158">
        <f>D201*VLOOKUP(C201,Projeto!$A$10:$D$13,4,FALSE)</f>
        <v>107480238.98071365</v>
      </c>
      <c r="F201" s="158">
        <f>D201*VLOOKUP(C201,Dados!$A$41:$D$44,4,FALSE)</f>
        <v>66000927.752081729</v>
      </c>
      <c r="G201" s="158">
        <f t="shared" si="3"/>
        <v>26400371.100832693</v>
      </c>
      <c r="H201" s="158">
        <f>VLOOKUP(C201,Dados!$A$27:$D$30,4,FALSE)*D201</f>
        <v>13421594.842716618</v>
      </c>
    </row>
    <row r="202" spans="1:8" x14ac:dyDescent="0.25">
      <c r="A202" s="34" t="s">
        <v>64</v>
      </c>
      <c r="B202" s="34" t="s">
        <v>34</v>
      </c>
      <c r="C202" s="34" t="s">
        <v>10</v>
      </c>
      <c r="D202" s="159">
        <f>VLOOKUP(A202,Projeto!$B$36:$D$47,3,FALSE)*VLOOKUP(B202,Projeto!$A$20:$D$24,4,FALSE)*VLOOKUP(B202,Projeto!$A$20:$I$24,MATCH(C202,Projeto!$A$19:$H$19,0),FALSE)</f>
        <v>21068.943339564878</v>
      </c>
      <c r="E202" s="158">
        <f>D202*VLOOKUP(C202,Projeto!$A$10:$D$13,4,FALSE)</f>
        <v>252827320.07477853</v>
      </c>
      <c r="F202" s="158">
        <f>D202*VLOOKUP(C202,Dados!$A$41:$D$44,4,FALSE)</f>
        <v>129783848.21398607</v>
      </c>
      <c r="G202" s="158">
        <f t="shared" si="3"/>
        <v>51913539.285594434</v>
      </c>
      <c r="H202" s="158">
        <f>VLOOKUP(C202,Dados!$A$27:$D$30,4,FALSE)*D202</f>
        <v>4633060.6403703168</v>
      </c>
    </row>
    <row r="203" spans="1:8" x14ac:dyDescent="0.25">
      <c r="A203" s="34" t="s">
        <v>64</v>
      </c>
      <c r="B203" s="34" t="s">
        <v>36</v>
      </c>
      <c r="C203" s="34" t="s">
        <v>10</v>
      </c>
      <c r="D203" s="159">
        <f>VLOOKUP(A203,Projeto!$B$36:$D$47,3,FALSE)*VLOOKUP(B203,Projeto!$A$20:$D$24,4,FALSE)*VLOOKUP(B203,Projeto!$A$20:$I$24,MATCH(C203,Projeto!$A$19:$H$19,0),FALSE)</f>
        <v>79609.374377550572</v>
      </c>
      <c r="E203" s="158">
        <f>D203*VLOOKUP(C203,Projeto!$A$10:$D$13,4,FALSE)</f>
        <v>955312492.53060687</v>
      </c>
      <c r="F203" s="158">
        <f>D203*VLOOKUP(C203,Dados!$A$41:$D$44,4,FALSE)</f>
        <v>490390561.79073644</v>
      </c>
      <c r="G203" s="158">
        <f t="shared" si="3"/>
        <v>196156224.71629459</v>
      </c>
      <c r="H203" s="158">
        <f>VLOOKUP(C203,Dados!$A$27:$D$30,4,FALSE)*D203</f>
        <v>17506101.425623372</v>
      </c>
    </row>
    <row r="204" spans="1:8" x14ac:dyDescent="0.25">
      <c r="A204" s="34" t="s">
        <v>64</v>
      </c>
      <c r="B204" s="34" t="s">
        <v>38</v>
      </c>
      <c r="C204" s="34" t="s">
        <v>10</v>
      </c>
      <c r="D204" s="159">
        <f>VLOOKUP(A204,Projeto!$B$36:$D$47,3,FALSE)*VLOOKUP(B204,Projeto!$A$20:$D$24,4,FALSE)*VLOOKUP(B204,Projeto!$A$20:$I$24,MATCH(C204,Projeto!$A$19:$H$19,0),FALSE)</f>
        <v>12822.148715065843</v>
      </c>
      <c r="E204" s="158">
        <f>D204*VLOOKUP(C204,Projeto!$A$10:$D$13,4,FALSE)</f>
        <v>153865784.58079013</v>
      </c>
      <c r="F204" s="158">
        <f>D204*VLOOKUP(C204,Dados!$A$41:$D$44,4,FALSE)</f>
        <v>78983923.198856995</v>
      </c>
      <c r="G204" s="158">
        <f t="shared" si="3"/>
        <v>31593569.2795428</v>
      </c>
      <c r="H204" s="158">
        <f>VLOOKUP(C204,Dados!$A$27:$D$30,4,FALSE)*D204</f>
        <v>2819590.5024429788</v>
      </c>
    </row>
    <row r="205" spans="1:8" x14ac:dyDescent="0.25">
      <c r="A205" s="34" t="s">
        <v>64</v>
      </c>
      <c r="B205" s="34" t="s">
        <v>40</v>
      </c>
      <c r="C205" s="34" t="s">
        <v>10</v>
      </c>
      <c r="D205" s="159">
        <f>VLOOKUP(A205,Projeto!$B$36:$D$47,3,FALSE)*VLOOKUP(B205,Projeto!$A$20:$D$24,4,FALSE)*VLOOKUP(B205,Projeto!$A$20:$I$24,MATCH(C205,Projeto!$A$19:$H$19,0),FALSE)</f>
        <v>19106.5270192317</v>
      </c>
      <c r="E205" s="158">
        <f>D205*VLOOKUP(C205,Projeto!$A$10:$D$13,4,FALSE)</f>
        <v>229278324.23078039</v>
      </c>
      <c r="F205" s="158">
        <f>D205*VLOOKUP(C205,Dados!$A$41:$D$44,4,FALSE)</f>
        <v>117695442.17738651</v>
      </c>
      <c r="G205" s="158">
        <f t="shared" si="3"/>
        <v>47078176.870954603</v>
      </c>
      <c r="H205" s="158">
        <f>VLOOKUP(C205,Dados!$A$27:$D$30,4,FALSE)*D205</f>
        <v>4201525.291529051</v>
      </c>
    </row>
    <row r="206" spans="1:8" x14ac:dyDescent="0.25">
      <c r="A206" s="34" t="s">
        <v>64</v>
      </c>
      <c r="B206" s="34" t="s">
        <v>42</v>
      </c>
      <c r="C206" s="34" t="s">
        <v>10</v>
      </c>
      <c r="D206" s="159">
        <f>VLOOKUP(A206,Projeto!$B$36:$D$47,3,FALSE)*VLOOKUP(B206,Projeto!$A$20:$D$24,4,FALSE)*VLOOKUP(B206,Projeto!$A$20:$I$24,MATCH(C206,Projeto!$A$19:$H$19,0),FALSE)</f>
        <v>4071.2211735118817</v>
      </c>
      <c r="E206" s="158">
        <f>D206*VLOOKUP(C206,Projeto!$A$10:$D$13,4,FALSE)</f>
        <v>48854654.082142584</v>
      </c>
      <c r="F206" s="158">
        <f>D206*VLOOKUP(C206,Dados!$A$41:$D$44,4,FALSE)</f>
        <v>25078559.579986252</v>
      </c>
      <c r="G206" s="158">
        <f t="shared" si="3"/>
        <v>10031423.831994502</v>
      </c>
      <c r="H206" s="158">
        <f>VLOOKUP(C206,Dados!$A$27:$D$30,4,FALSE)*D206</f>
        <v>895261.53605526278</v>
      </c>
    </row>
    <row r="207" spans="1:8" x14ac:dyDescent="0.25">
      <c r="A207" s="34" t="s">
        <v>64</v>
      </c>
      <c r="B207" s="34" t="s">
        <v>34</v>
      </c>
      <c r="C207" s="34" t="s">
        <v>15</v>
      </c>
      <c r="D207" s="159">
        <f>VLOOKUP(A207,Projeto!$B$36:$D$47,3,FALSE)*VLOOKUP(B207,Projeto!$A$20:$D$24,4,FALSE)*VLOOKUP(B207,Projeto!$A$20:$I$24,MATCH(C207,Projeto!$A$19:$H$19,0),FALSE)</f>
        <v>189620.49005608392</v>
      </c>
      <c r="E207" s="158">
        <f>D207*VLOOKUP(C207,Projeto!$A$10:$D$13,4,FALSE)</f>
        <v>1422153675.4206293</v>
      </c>
      <c r="F207" s="158">
        <f>D207*VLOOKUP(C207,Dados!$A$41:$D$44,4,FALSE)</f>
        <v>528900848.09383267</v>
      </c>
      <c r="G207" s="158">
        <f t="shared" si="3"/>
        <v>158670254.42814979</v>
      </c>
      <c r="H207" s="158">
        <f>VLOOKUP(C207,Dados!$A$27:$D$30,4,FALSE)*D207</f>
        <v>28424111.459406979</v>
      </c>
    </row>
    <row r="208" spans="1:8" x14ac:dyDescent="0.25">
      <c r="A208" s="34" t="s">
        <v>64</v>
      </c>
      <c r="B208" s="34" t="s">
        <v>36</v>
      </c>
      <c r="C208" s="34" t="s">
        <v>15</v>
      </c>
      <c r="D208" s="159">
        <f>VLOOKUP(A208,Projeto!$B$36:$D$47,3,FALSE)*VLOOKUP(B208,Projeto!$A$20:$D$24,4,FALSE)*VLOOKUP(B208,Projeto!$A$20:$I$24,MATCH(C208,Projeto!$A$19:$H$19,0),FALSE)</f>
        <v>537363.27704846638</v>
      </c>
      <c r="E208" s="158">
        <f>D208*VLOOKUP(C208,Projeto!$A$10:$D$13,4,FALSE)</f>
        <v>4030224577.8634977</v>
      </c>
      <c r="F208" s="158">
        <f>D208*VLOOKUP(C208,Dados!$A$41:$D$44,4,FALSE)</f>
        <v>1498845894.1402054</v>
      </c>
      <c r="G208" s="158">
        <f t="shared" si="3"/>
        <v>449653768.24206161</v>
      </c>
      <c r="H208" s="158">
        <f>VLOOKUP(C208,Dados!$A$27:$D$30,4,FALSE)*D208</f>
        <v>80550755.229565114</v>
      </c>
    </row>
    <row r="209" spans="1:8" x14ac:dyDescent="0.25">
      <c r="A209" s="34" t="s">
        <v>64</v>
      </c>
      <c r="B209" s="34" t="s">
        <v>38</v>
      </c>
      <c r="C209" s="34" t="s">
        <v>15</v>
      </c>
      <c r="D209" s="159">
        <f>VLOOKUP(A209,Projeto!$B$36:$D$47,3,FALSE)*VLOOKUP(B209,Projeto!$A$20:$D$24,4,FALSE)*VLOOKUP(B209,Projeto!$A$20:$I$24,MATCH(C209,Projeto!$A$19:$H$19,0),FALSE)</f>
        <v>153865.78458079012</v>
      </c>
      <c r="E209" s="158">
        <f>D209*VLOOKUP(C209,Projeto!$A$10:$D$13,4,FALSE)</f>
        <v>1153993384.3559258</v>
      </c>
      <c r="F209" s="158">
        <f>D209*VLOOKUP(C209,Dados!$A$41:$D$44,4,FALSE)</f>
        <v>429171678.2998147</v>
      </c>
      <c r="G209" s="158">
        <f t="shared" si="3"/>
        <v>128751503.4899444</v>
      </c>
      <c r="H209" s="158">
        <f>VLOOKUP(C209,Dados!$A$27:$D$30,4,FALSE)*D209</f>
        <v>23064481.108660441</v>
      </c>
    </row>
    <row r="210" spans="1:8" x14ac:dyDescent="0.25">
      <c r="A210" s="34" t="s">
        <v>64</v>
      </c>
      <c r="B210" s="34" t="s">
        <v>40</v>
      </c>
      <c r="C210" s="34" t="s">
        <v>15</v>
      </c>
      <c r="D210" s="159">
        <f>VLOOKUP(A210,Projeto!$B$36:$D$47,3,FALSE)*VLOOKUP(B210,Projeto!$A$20:$D$24,4,FALSE)*VLOOKUP(B210,Projeto!$A$20:$I$24,MATCH(C210,Projeto!$A$19:$H$19,0),FALSE)</f>
        <v>91711.329692312152</v>
      </c>
      <c r="E210" s="158">
        <f>D210*VLOOKUP(C210,Projeto!$A$10:$D$13,4,FALSE)</f>
        <v>687834972.69234109</v>
      </c>
      <c r="F210" s="158">
        <f>D210*VLOOKUP(C210,Dados!$A$41:$D$44,4,FALSE)</f>
        <v>255806743.45757863</v>
      </c>
      <c r="G210" s="158">
        <f t="shared" si="3"/>
        <v>76742023.037273586</v>
      </c>
      <c r="H210" s="158">
        <f>VLOOKUP(C210,Dados!$A$27:$D$30,4,FALSE)*D210</f>
        <v>13747528.320877593</v>
      </c>
    </row>
    <row r="211" spans="1:8" x14ac:dyDescent="0.25">
      <c r="A211" s="34" t="s">
        <v>64</v>
      </c>
      <c r="B211" s="34" t="s">
        <v>42</v>
      </c>
      <c r="C211" s="34" t="s">
        <v>15</v>
      </c>
      <c r="D211" s="159">
        <f>VLOOKUP(A211,Projeto!$B$36:$D$47,3,FALSE)*VLOOKUP(B211,Projeto!$A$20:$D$24,4,FALSE)*VLOOKUP(B211,Projeto!$A$20:$I$24,MATCH(C211,Projeto!$A$19:$H$19,0),FALSE)</f>
        <v>48854.654082142573</v>
      </c>
      <c r="E211" s="158">
        <f>D211*VLOOKUP(C211,Projeto!$A$10:$D$13,4,FALSE)</f>
        <v>366409905.61606932</v>
      </c>
      <c r="F211" s="158">
        <f>D211*VLOOKUP(C211,Dados!$A$41:$D$44,4,FALSE)</f>
        <v>136268332.44515699</v>
      </c>
      <c r="G211" s="158">
        <f t="shared" si="3"/>
        <v>40880499.733547099</v>
      </c>
      <c r="H211" s="158">
        <f>VLOOKUP(C211,Dados!$A$27:$D$30,4,FALSE)*D211</f>
        <v>7323312.6469131717</v>
      </c>
    </row>
    <row r="212" spans="1:8" x14ac:dyDescent="0.25">
      <c r="A212" s="34" t="s">
        <v>64</v>
      </c>
      <c r="B212" s="34" t="s">
        <v>34</v>
      </c>
      <c r="C212" s="34" t="s">
        <v>19</v>
      </c>
      <c r="D212" s="159">
        <f>VLOOKUP(A212,Projeto!$B$36:$D$47,3,FALSE)*VLOOKUP(B212,Projeto!$A$20:$D$24,4,FALSE)*VLOOKUP(B212,Projeto!$A$20:$I$24,MATCH(C212,Projeto!$A$19:$H$19,0),FALSE)</f>
        <v>351149.05565941462</v>
      </c>
      <c r="E212" s="158">
        <f>D212*VLOOKUP(C212,Projeto!$A$10:$D$13,4,FALSE)</f>
        <v>561838489.05506337</v>
      </c>
      <c r="F212" s="158">
        <f>D212*VLOOKUP(C212,Dados!$A$41:$D$44,4,FALSE)</f>
        <v>312873808.59253842</v>
      </c>
      <c r="G212" s="158">
        <f t="shared" si="3"/>
        <v>93862142.577761516</v>
      </c>
      <c r="H212" s="158">
        <f>VLOOKUP(C212,Dados!$A$27:$D$30,4,FALSE)*D212</f>
        <v>21033828.433998935</v>
      </c>
    </row>
    <row r="213" spans="1:8" x14ac:dyDescent="0.25">
      <c r="A213" s="34" t="s">
        <v>64</v>
      </c>
      <c r="B213" s="34" t="s">
        <v>36</v>
      </c>
      <c r="C213" s="34" t="s">
        <v>19</v>
      </c>
      <c r="D213" s="159">
        <f>VLOOKUP(A213,Projeto!$B$36:$D$47,3,FALSE)*VLOOKUP(B213,Projeto!$A$20:$D$24,4,FALSE)*VLOOKUP(B213,Projeto!$A$20:$I$24,MATCH(C213,Projeto!$A$19:$H$19,0),FALSE)</f>
        <v>995117.17971938208</v>
      </c>
      <c r="E213" s="158">
        <f>D213*VLOOKUP(C213,Projeto!$A$10:$D$13,4,FALSE)</f>
        <v>1592187487.5510113</v>
      </c>
      <c r="F213" s="158">
        <f>D213*VLOOKUP(C213,Dados!$A$41:$D$44,4,FALSE)</f>
        <v>886649407.12996948</v>
      </c>
      <c r="G213" s="158">
        <f t="shared" si="3"/>
        <v>265994822.13899082</v>
      </c>
      <c r="H213" s="158">
        <f>VLOOKUP(C213,Dados!$A$27:$D$30,4,FALSE)*D213</f>
        <v>59607519.065190986</v>
      </c>
    </row>
    <row r="214" spans="1:8" x14ac:dyDescent="0.25">
      <c r="A214" s="34" t="s">
        <v>64</v>
      </c>
      <c r="B214" s="34" t="s">
        <v>38</v>
      </c>
      <c r="C214" s="34" t="s">
        <v>19</v>
      </c>
      <c r="D214" s="159">
        <f>VLOOKUP(A214,Projeto!$B$36:$D$47,3,FALSE)*VLOOKUP(B214,Projeto!$A$20:$D$24,4,FALSE)*VLOOKUP(B214,Projeto!$A$20:$I$24,MATCH(C214,Projeto!$A$19:$H$19,0),FALSE)</f>
        <v>525708.09731769958</v>
      </c>
      <c r="E214" s="158">
        <f>D214*VLOOKUP(C214,Projeto!$A$10:$D$13,4,FALSE)</f>
        <v>841132955.70831931</v>
      </c>
      <c r="F214" s="158">
        <f>D214*VLOOKUP(C214,Dados!$A$41:$D$44,4,FALSE)</f>
        <v>468405914.71007031</v>
      </c>
      <c r="G214" s="158">
        <f t="shared" si="3"/>
        <v>140521774.41302109</v>
      </c>
      <c r="H214" s="158">
        <f>VLOOKUP(C214,Dados!$A$27:$D$30,4,FALSE)*D214</f>
        <v>31489915.029330205</v>
      </c>
    </row>
    <row r="215" spans="1:8" x14ac:dyDescent="0.25">
      <c r="A215" s="34" t="s">
        <v>64</v>
      </c>
      <c r="B215" s="34" t="s">
        <v>40</v>
      </c>
      <c r="C215" s="34" t="s">
        <v>19</v>
      </c>
      <c r="D215" s="159">
        <f>VLOOKUP(A215,Projeto!$B$36:$D$47,3,FALSE)*VLOOKUP(B215,Projeto!$A$20:$D$24,4,FALSE)*VLOOKUP(B215,Projeto!$A$20:$I$24,MATCH(C215,Projeto!$A$19:$H$19,0),FALSE)</f>
        <v>191065.270192317</v>
      </c>
      <c r="E215" s="158">
        <f>D215*VLOOKUP(C215,Projeto!$A$10:$D$13,4,FALSE)</f>
        <v>305704432.30770719</v>
      </c>
      <c r="F215" s="158">
        <f>D215*VLOOKUP(C215,Dados!$A$41:$D$44,4,FALSE)</f>
        <v>170239155.74135444</v>
      </c>
      <c r="G215" s="158">
        <f t="shared" si="3"/>
        <v>51071746.722406328</v>
      </c>
      <c r="H215" s="158">
        <f>VLOOKUP(C215,Dados!$A$27:$D$30,4,FALSE)*D215</f>
        <v>11444809.684519788</v>
      </c>
    </row>
    <row r="216" spans="1:8" x14ac:dyDescent="0.25">
      <c r="A216" s="34" t="s">
        <v>64</v>
      </c>
      <c r="B216" s="34" t="s">
        <v>42</v>
      </c>
      <c r="C216" s="34" t="s">
        <v>19</v>
      </c>
      <c r="D216" s="159">
        <f>VLOOKUP(A216,Projeto!$B$36:$D$47,3,FALSE)*VLOOKUP(B216,Projeto!$A$20:$D$24,4,FALSE)*VLOOKUP(B216,Projeto!$A$20:$I$24,MATCH(C216,Projeto!$A$19:$H$19,0),FALSE)</f>
        <v>175062.51046101091</v>
      </c>
      <c r="E216" s="158">
        <f>D216*VLOOKUP(C216,Projeto!$A$10:$D$13,4,FALSE)</f>
        <v>280100016.73761743</v>
      </c>
      <c r="F216" s="158">
        <f>D216*VLOOKUP(C216,Dados!$A$41:$D$44,4,FALSE)</f>
        <v>155980696.82076073</v>
      </c>
      <c r="G216" s="158">
        <f t="shared" si="3"/>
        <v>46794209.046228215</v>
      </c>
      <c r="H216" s="158">
        <f>VLOOKUP(C216,Dados!$A$27:$D$30,4,FALSE)*D216</f>
        <v>10486244.376614554</v>
      </c>
    </row>
    <row r="217" spans="1:8" x14ac:dyDescent="0.25">
      <c r="A217" s="34" t="s">
        <v>64</v>
      </c>
      <c r="B217" s="34" t="s">
        <v>34</v>
      </c>
      <c r="C217" s="34" t="s">
        <v>23</v>
      </c>
      <c r="D217" s="159">
        <f>VLOOKUP(A217,Projeto!$B$36:$D$47,3,FALSE)*VLOOKUP(B217,Projeto!$A$20:$D$24,4,FALSE)*VLOOKUP(B217,Projeto!$A$20:$I$24,MATCH(C217,Projeto!$A$19:$H$19,0),FALSE)</f>
        <v>140459.62226376586</v>
      </c>
      <c r="E217" s="158">
        <f>D217*VLOOKUP(C217,Projeto!$A$10:$D$13,4,FALSE)</f>
        <v>112367697.81101269</v>
      </c>
      <c r="F217" s="158">
        <f>D217*VLOOKUP(C217,Dados!$A$41:$D$44,4,FALSE)</f>
        <v>69002194.033297613</v>
      </c>
      <c r="G217" s="158">
        <f t="shared" si="3"/>
        <v>27600877.613319047</v>
      </c>
      <c r="H217" s="158">
        <f>VLOOKUP(C217,Dados!$A$27:$D$30,4,FALSE)*D217</f>
        <v>14031916.264150212</v>
      </c>
    </row>
    <row r="218" spans="1:8" x14ac:dyDescent="0.25">
      <c r="A218" s="34" t="s">
        <v>64</v>
      </c>
      <c r="B218" s="34" t="s">
        <v>36</v>
      </c>
      <c r="C218" s="34" t="s">
        <v>23</v>
      </c>
      <c r="D218" s="159">
        <f>VLOOKUP(A218,Projeto!$B$36:$D$47,3,FALSE)*VLOOKUP(B218,Projeto!$A$20:$D$24,4,FALSE)*VLOOKUP(B218,Projeto!$A$20:$I$24,MATCH(C218,Projeto!$A$19:$H$19,0),FALSE)</f>
        <v>378144.52829336521</v>
      </c>
      <c r="E218" s="158">
        <f>D218*VLOOKUP(C218,Projeto!$A$10:$D$13,4,FALSE)</f>
        <v>302515622.63469219</v>
      </c>
      <c r="F218" s="158">
        <f>D218*VLOOKUP(C218,Dados!$A$41:$D$44,4,FALSE)</f>
        <v>185767280.96939859</v>
      </c>
      <c r="G218" s="158">
        <f t="shared" si="3"/>
        <v>74306912.387759432</v>
      </c>
      <c r="H218" s="158">
        <f>VLOOKUP(C218,Dados!$A$27:$D$30,4,FALSE)*D218</f>
        <v>37776638.376507185</v>
      </c>
    </row>
    <row r="219" spans="1:8" x14ac:dyDescent="0.25">
      <c r="A219" s="34" t="s">
        <v>64</v>
      </c>
      <c r="B219" s="34" t="s">
        <v>38</v>
      </c>
      <c r="C219" s="34" t="s">
        <v>23</v>
      </c>
      <c r="D219" s="159">
        <f>VLOOKUP(A219,Projeto!$B$36:$D$47,3,FALSE)*VLOOKUP(B219,Projeto!$A$20:$D$24,4,FALSE)*VLOOKUP(B219,Projeto!$A$20:$I$24,MATCH(C219,Projeto!$A$19:$H$19,0),FALSE)</f>
        <v>589818.84089302877</v>
      </c>
      <c r="E219" s="158">
        <f>D219*VLOOKUP(C219,Projeto!$A$10:$D$13,4,FALSE)</f>
        <v>471855072.714423</v>
      </c>
      <c r="F219" s="158">
        <f>D219*VLOOKUP(C219,Dados!$A$41:$D$44,4,FALSE)</f>
        <v>289754403.77710932</v>
      </c>
      <c r="G219" s="158">
        <f t="shared" si="3"/>
        <v>115901761.51084374</v>
      </c>
      <c r="H219" s="158">
        <f>VLOOKUP(C219,Dados!$A$27:$D$30,4,FALSE)*D219</f>
        <v>58922902.205213577</v>
      </c>
    </row>
    <row r="220" spans="1:8" x14ac:dyDescent="0.25">
      <c r="A220" s="34" t="s">
        <v>64</v>
      </c>
      <c r="B220" s="34" t="s">
        <v>40</v>
      </c>
      <c r="C220" s="34" t="s">
        <v>23</v>
      </c>
      <c r="D220" s="159">
        <f>VLOOKUP(A220,Projeto!$B$36:$D$47,3,FALSE)*VLOOKUP(B220,Projeto!$A$20:$D$24,4,FALSE)*VLOOKUP(B220,Projeto!$A$20:$I$24,MATCH(C220,Projeto!$A$19:$H$19,0),FALSE)</f>
        <v>80247.413480773132</v>
      </c>
      <c r="E220" s="158">
        <f>D220*VLOOKUP(C220,Projeto!$A$10:$D$13,4,FALSE)</f>
        <v>64197930.784618504</v>
      </c>
      <c r="F220" s="158">
        <f>D220*VLOOKUP(C220,Dados!$A$41:$D$44,4,FALSE)</f>
        <v>39422344.346564606</v>
      </c>
      <c r="G220" s="158">
        <f t="shared" si="3"/>
        <v>15768937.738625843</v>
      </c>
      <c r="H220" s="158">
        <f>VLOOKUP(C220,Dados!$A$27:$D$30,4,FALSE)*D220</f>
        <v>8016716.6067292364</v>
      </c>
    </row>
    <row r="221" spans="1:8" x14ac:dyDescent="0.25">
      <c r="A221" s="34" t="s">
        <v>64</v>
      </c>
      <c r="B221" s="34" t="s">
        <v>42</v>
      </c>
      <c r="C221" s="34" t="s">
        <v>23</v>
      </c>
      <c r="D221" s="159">
        <f>VLOOKUP(A221,Projeto!$B$36:$D$47,3,FALSE)*VLOOKUP(B221,Projeto!$A$20:$D$24,4,FALSE)*VLOOKUP(B221,Projeto!$A$20:$I$24,MATCH(C221,Projeto!$A$19:$H$19,0),FALSE)</f>
        <v>179133.73163452279</v>
      </c>
      <c r="E221" s="158">
        <f>D221*VLOOKUP(C221,Projeto!$A$10:$D$13,4,FALSE)</f>
        <v>143306985.30761823</v>
      </c>
      <c r="F221" s="158">
        <f>D221*VLOOKUP(C221,Dados!$A$41:$D$44,4,FALSE)</f>
        <v>88001237.002775669</v>
      </c>
      <c r="G221" s="158">
        <f t="shared" si="3"/>
        <v>35200494.801110268</v>
      </c>
      <c r="H221" s="158">
        <f>VLOOKUP(C221,Dados!$A$27:$D$30,4,FALSE)*D221</f>
        <v>17895459.790288828</v>
      </c>
    </row>
    <row r="222" spans="1:8" x14ac:dyDescent="0.25">
      <c r="A222" s="34" t="s">
        <v>65</v>
      </c>
      <c r="B222" s="34" t="s">
        <v>34</v>
      </c>
      <c r="C222" s="34" t="s">
        <v>10</v>
      </c>
      <c r="D222" s="159">
        <f>VLOOKUP(A222,Projeto!$B$36:$D$47,3,FALSE)*VLOOKUP(B222,Projeto!$A$20:$D$24,4,FALSE)*VLOOKUP(B222,Projeto!$A$20:$I$24,MATCH(C222,Projeto!$A$19:$H$19,0),FALSE)</f>
        <v>28091.92445275317</v>
      </c>
      <c r="E222" s="158">
        <f>D222*VLOOKUP(C222,Projeto!$A$10:$D$13,4,FALSE)</f>
        <v>337103093.43303806</v>
      </c>
      <c r="F222" s="158">
        <f>D222*VLOOKUP(C222,Dados!$A$41:$D$44,4,FALSE)</f>
        <v>173045130.95198143</v>
      </c>
      <c r="G222" s="158">
        <f t="shared" si="3"/>
        <v>69218052.380792573</v>
      </c>
      <c r="H222" s="158">
        <f>VLOOKUP(C222,Dados!$A$27:$D$30,4,FALSE)*D222</f>
        <v>6177414.1871604221</v>
      </c>
    </row>
    <row r="223" spans="1:8" x14ac:dyDescent="0.25">
      <c r="A223" s="34" t="s">
        <v>65</v>
      </c>
      <c r="B223" s="34" t="s">
        <v>36</v>
      </c>
      <c r="C223" s="34" t="s">
        <v>10</v>
      </c>
      <c r="D223" s="159">
        <f>VLOOKUP(A223,Projeto!$B$36:$D$47,3,FALSE)*VLOOKUP(B223,Projeto!$A$20:$D$24,4,FALSE)*VLOOKUP(B223,Projeto!$A$20:$I$24,MATCH(C223,Projeto!$A$19:$H$19,0),FALSE)</f>
        <v>106145.83250340076</v>
      </c>
      <c r="E223" s="158">
        <f>D223*VLOOKUP(C223,Projeto!$A$10:$D$13,4,FALSE)</f>
        <v>1273749990.0408092</v>
      </c>
      <c r="F223" s="158">
        <f>D223*VLOOKUP(C223,Dados!$A$41:$D$44,4,FALSE)</f>
        <v>653854082.38764858</v>
      </c>
      <c r="G223" s="158">
        <f t="shared" si="3"/>
        <v>261541632.95505944</v>
      </c>
      <c r="H223" s="158">
        <f>VLOOKUP(C223,Dados!$A$27:$D$30,4,FALSE)*D223</f>
        <v>23341468.567497827</v>
      </c>
    </row>
    <row r="224" spans="1:8" x14ac:dyDescent="0.25">
      <c r="A224" s="34" t="s">
        <v>65</v>
      </c>
      <c r="B224" s="34" t="s">
        <v>38</v>
      </c>
      <c r="C224" s="34" t="s">
        <v>10</v>
      </c>
      <c r="D224" s="159">
        <f>VLOOKUP(A224,Projeto!$B$36:$D$47,3,FALSE)*VLOOKUP(B224,Projeto!$A$20:$D$24,4,FALSE)*VLOOKUP(B224,Projeto!$A$20:$I$24,MATCH(C224,Projeto!$A$19:$H$19,0),FALSE)</f>
        <v>17096.198286754458</v>
      </c>
      <c r="E224" s="158">
        <f>D224*VLOOKUP(C224,Projeto!$A$10:$D$13,4,FALSE)</f>
        <v>205154379.44105348</v>
      </c>
      <c r="F224" s="158">
        <f>D224*VLOOKUP(C224,Dados!$A$41:$D$44,4,FALSE)</f>
        <v>105311897.59847599</v>
      </c>
      <c r="G224" s="158">
        <f t="shared" si="3"/>
        <v>42124759.0393904</v>
      </c>
      <c r="H224" s="158">
        <f>VLOOKUP(C224,Dados!$A$27:$D$30,4,FALSE)*D224</f>
        <v>3759454.0032573054</v>
      </c>
    </row>
    <row r="225" spans="1:8" x14ac:dyDescent="0.25">
      <c r="A225" s="34" t="s">
        <v>65</v>
      </c>
      <c r="B225" s="34" t="s">
        <v>40</v>
      </c>
      <c r="C225" s="34" t="s">
        <v>10</v>
      </c>
      <c r="D225" s="159">
        <f>VLOOKUP(A225,Projeto!$B$36:$D$47,3,FALSE)*VLOOKUP(B225,Projeto!$A$20:$D$24,4,FALSE)*VLOOKUP(B225,Projeto!$A$20:$I$24,MATCH(C225,Projeto!$A$19:$H$19,0),FALSE)</f>
        <v>25475.3693589756</v>
      </c>
      <c r="E225" s="158">
        <f>D225*VLOOKUP(C225,Projeto!$A$10:$D$13,4,FALSE)</f>
        <v>305704432.30770719</v>
      </c>
      <c r="F225" s="158">
        <f>D225*VLOOKUP(C225,Dados!$A$41:$D$44,4,FALSE)</f>
        <v>156927256.23651534</v>
      </c>
      <c r="G225" s="158">
        <f t="shared" si="3"/>
        <v>62770902.494606137</v>
      </c>
      <c r="H225" s="158">
        <f>VLOOKUP(C225,Dados!$A$27:$D$30,4,FALSE)*D225</f>
        <v>5602033.7220387347</v>
      </c>
    </row>
    <row r="226" spans="1:8" x14ac:dyDescent="0.25">
      <c r="A226" s="34" t="s">
        <v>65</v>
      </c>
      <c r="B226" s="34" t="s">
        <v>42</v>
      </c>
      <c r="C226" s="34" t="s">
        <v>10</v>
      </c>
      <c r="D226" s="159">
        <f>VLOOKUP(A226,Projeto!$B$36:$D$47,3,FALSE)*VLOOKUP(B226,Projeto!$A$20:$D$24,4,FALSE)*VLOOKUP(B226,Projeto!$A$20:$I$24,MATCH(C226,Projeto!$A$19:$H$19,0),FALSE)</f>
        <v>5428.2948980158417</v>
      </c>
      <c r="E226" s="158">
        <f>D226*VLOOKUP(C226,Projeto!$A$10:$D$13,4,FALSE)</f>
        <v>65139538.776190102</v>
      </c>
      <c r="F226" s="158">
        <f>D226*VLOOKUP(C226,Dados!$A$41:$D$44,4,FALSE)</f>
        <v>33438079.439981665</v>
      </c>
      <c r="G226" s="158">
        <f t="shared" si="3"/>
        <v>13375231.775992667</v>
      </c>
      <c r="H226" s="158">
        <f>VLOOKUP(C226,Dados!$A$27:$D$30,4,FALSE)*D226</f>
        <v>1193682.0480736836</v>
      </c>
    </row>
    <row r="227" spans="1:8" x14ac:dyDescent="0.25">
      <c r="A227" s="34" t="s">
        <v>65</v>
      </c>
      <c r="B227" s="34" t="s">
        <v>34</v>
      </c>
      <c r="C227" s="34" t="s">
        <v>15</v>
      </c>
      <c r="D227" s="159">
        <f>VLOOKUP(A227,Projeto!$B$36:$D$47,3,FALSE)*VLOOKUP(B227,Projeto!$A$20:$D$24,4,FALSE)*VLOOKUP(B227,Projeto!$A$20:$I$24,MATCH(C227,Projeto!$A$19:$H$19,0),FALSE)</f>
        <v>252827.32007477854</v>
      </c>
      <c r="E227" s="158">
        <f>D227*VLOOKUP(C227,Projeto!$A$10:$D$13,4,FALSE)</f>
        <v>1896204900.5608392</v>
      </c>
      <c r="F227" s="158">
        <f>D227*VLOOKUP(C227,Dados!$A$41:$D$44,4,FALSE)</f>
        <v>705201130.7917769</v>
      </c>
      <c r="G227" s="158">
        <f t="shared" si="3"/>
        <v>211560339.23753306</v>
      </c>
      <c r="H227" s="158">
        <f>VLOOKUP(C227,Dados!$A$27:$D$30,4,FALSE)*D227</f>
        <v>37898815.279209308</v>
      </c>
    </row>
    <row r="228" spans="1:8" x14ac:dyDescent="0.25">
      <c r="A228" s="34" t="s">
        <v>65</v>
      </c>
      <c r="B228" s="34" t="s">
        <v>36</v>
      </c>
      <c r="C228" s="34" t="s">
        <v>15</v>
      </c>
      <c r="D228" s="159">
        <f>VLOOKUP(A228,Projeto!$B$36:$D$47,3,FALSE)*VLOOKUP(B228,Projeto!$A$20:$D$24,4,FALSE)*VLOOKUP(B228,Projeto!$A$20:$I$24,MATCH(C228,Projeto!$A$19:$H$19,0),FALSE)</f>
        <v>716484.36939795513</v>
      </c>
      <c r="E228" s="158">
        <f>D228*VLOOKUP(C228,Projeto!$A$10:$D$13,4,FALSE)</f>
        <v>5373632770.484664</v>
      </c>
      <c r="F228" s="158">
        <f>D228*VLOOKUP(C228,Dados!$A$41:$D$44,4,FALSE)</f>
        <v>1998461192.1869404</v>
      </c>
      <c r="G228" s="158">
        <f t="shared" si="3"/>
        <v>599538357.65608215</v>
      </c>
      <c r="H228" s="158">
        <f>VLOOKUP(C228,Dados!$A$27:$D$30,4,FALSE)*D228</f>
        <v>107401006.97275348</v>
      </c>
    </row>
    <row r="229" spans="1:8" x14ac:dyDescent="0.25">
      <c r="A229" s="34" t="s">
        <v>65</v>
      </c>
      <c r="B229" s="34" t="s">
        <v>38</v>
      </c>
      <c r="C229" s="34" t="s">
        <v>15</v>
      </c>
      <c r="D229" s="159">
        <f>VLOOKUP(A229,Projeto!$B$36:$D$47,3,FALSE)*VLOOKUP(B229,Projeto!$A$20:$D$24,4,FALSE)*VLOOKUP(B229,Projeto!$A$20:$I$24,MATCH(C229,Projeto!$A$19:$H$19,0),FALSE)</f>
        <v>205154.37944105346</v>
      </c>
      <c r="E229" s="158">
        <f>D229*VLOOKUP(C229,Projeto!$A$10:$D$13,4,FALSE)</f>
        <v>1538657845.8079009</v>
      </c>
      <c r="F229" s="158">
        <f>D229*VLOOKUP(C229,Dados!$A$41:$D$44,4,FALSE)</f>
        <v>572228904.39975286</v>
      </c>
      <c r="G229" s="158">
        <f t="shared" si="3"/>
        <v>171668671.31992584</v>
      </c>
      <c r="H229" s="158">
        <f>VLOOKUP(C229,Dados!$A$27:$D$30,4,FALSE)*D229</f>
        <v>30752641.478213914</v>
      </c>
    </row>
    <row r="230" spans="1:8" x14ac:dyDescent="0.25">
      <c r="A230" s="34" t="s">
        <v>65</v>
      </c>
      <c r="B230" s="34" t="s">
        <v>40</v>
      </c>
      <c r="C230" s="34" t="s">
        <v>15</v>
      </c>
      <c r="D230" s="159">
        <f>VLOOKUP(A230,Projeto!$B$36:$D$47,3,FALSE)*VLOOKUP(B230,Projeto!$A$20:$D$24,4,FALSE)*VLOOKUP(B230,Projeto!$A$20:$I$24,MATCH(C230,Projeto!$A$19:$H$19,0),FALSE)</f>
        <v>122281.77292308287</v>
      </c>
      <c r="E230" s="158">
        <f>D230*VLOOKUP(C230,Projeto!$A$10:$D$13,4,FALSE)</f>
        <v>917113296.92312157</v>
      </c>
      <c r="F230" s="158">
        <f>D230*VLOOKUP(C230,Dados!$A$41:$D$44,4,FALSE)</f>
        <v>341075657.94343817</v>
      </c>
      <c r="G230" s="158">
        <f t="shared" si="3"/>
        <v>102322697.38303144</v>
      </c>
      <c r="H230" s="158">
        <f>VLOOKUP(C230,Dados!$A$27:$D$30,4,FALSE)*D230</f>
        <v>18330037.761170123</v>
      </c>
    </row>
    <row r="231" spans="1:8" x14ac:dyDescent="0.25">
      <c r="A231" s="34" t="s">
        <v>65</v>
      </c>
      <c r="B231" s="34" t="s">
        <v>42</v>
      </c>
      <c r="C231" s="34" t="s">
        <v>15</v>
      </c>
      <c r="D231" s="159">
        <f>VLOOKUP(A231,Projeto!$B$36:$D$47,3,FALSE)*VLOOKUP(B231,Projeto!$A$20:$D$24,4,FALSE)*VLOOKUP(B231,Projeto!$A$20:$I$24,MATCH(C231,Projeto!$A$19:$H$19,0),FALSE)</f>
        <v>65139.5387761901</v>
      </c>
      <c r="E231" s="158">
        <f>D231*VLOOKUP(C231,Projeto!$A$10:$D$13,4,FALSE)</f>
        <v>488546540.82142574</v>
      </c>
      <c r="F231" s="158">
        <f>D231*VLOOKUP(C231,Dados!$A$41:$D$44,4,FALSE)</f>
        <v>181691109.92687601</v>
      </c>
      <c r="G231" s="158">
        <f t="shared" si="3"/>
        <v>54507332.978062801</v>
      </c>
      <c r="H231" s="158">
        <f>VLOOKUP(C231,Dados!$A$27:$D$30,4,FALSE)*D231</f>
        <v>9764416.8625508957</v>
      </c>
    </row>
    <row r="232" spans="1:8" x14ac:dyDescent="0.25">
      <c r="A232" s="34" t="s">
        <v>65</v>
      </c>
      <c r="B232" s="34" t="s">
        <v>34</v>
      </c>
      <c r="C232" s="34" t="s">
        <v>19</v>
      </c>
      <c r="D232" s="159">
        <f>VLOOKUP(A232,Projeto!$B$36:$D$47,3,FALSE)*VLOOKUP(B232,Projeto!$A$20:$D$24,4,FALSE)*VLOOKUP(B232,Projeto!$A$20:$I$24,MATCH(C232,Projeto!$A$19:$H$19,0),FALSE)</f>
        <v>468198.74087921949</v>
      </c>
      <c r="E232" s="158">
        <f>D232*VLOOKUP(C232,Projeto!$A$10:$D$13,4,FALSE)</f>
        <v>749117985.40675116</v>
      </c>
      <c r="F232" s="158">
        <f>D232*VLOOKUP(C232,Dados!$A$41:$D$44,4,FALSE)</f>
        <v>417165078.12338459</v>
      </c>
      <c r="G232" s="158">
        <f t="shared" si="3"/>
        <v>125149523.43701537</v>
      </c>
      <c r="H232" s="158">
        <f>VLOOKUP(C232,Dados!$A$27:$D$30,4,FALSE)*D232</f>
        <v>28045104.578665245</v>
      </c>
    </row>
    <row r="233" spans="1:8" x14ac:dyDescent="0.25">
      <c r="A233" s="34" t="s">
        <v>65</v>
      </c>
      <c r="B233" s="34" t="s">
        <v>36</v>
      </c>
      <c r="C233" s="34" t="s">
        <v>19</v>
      </c>
      <c r="D233" s="159">
        <f>VLOOKUP(A233,Projeto!$B$36:$D$47,3,FALSE)*VLOOKUP(B233,Projeto!$A$20:$D$24,4,FALSE)*VLOOKUP(B233,Projeto!$A$20:$I$24,MATCH(C233,Projeto!$A$19:$H$19,0),FALSE)</f>
        <v>1326822.9062925095</v>
      </c>
      <c r="E233" s="158">
        <f>D233*VLOOKUP(C233,Projeto!$A$10:$D$13,4,FALSE)</f>
        <v>2122916650.0680153</v>
      </c>
      <c r="F233" s="158">
        <f>D233*VLOOKUP(C233,Dados!$A$41:$D$44,4,FALSE)</f>
        <v>1182199209.5066259</v>
      </c>
      <c r="G233" s="158">
        <f t="shared" si="3"/>
        <v>354659762.85198778</v>
      </c>
      <c r="H233" s="158">
        <f>VLOOKUP(C233,Dados!$A$27:$D$30,4,FALSE)*D233</f>
        <v>79476692.086921319</v>
      </c>
    </row>
    <row r="234" spans="1:8" x14ac:dyDescent="0.25">
      <c r="A234" s="34" t="s">
        <v>65</v>
      </c>
      <c r="B234" s="34" t="s">
        <v>38</v>
      </c>
      <c r="C234" s="34" t="s">
        <v>19</v>
      </c>
      <c r="D234" s="159">
        <f>VLOOKUP(A234,Projeto!$B$36:$D$47,3,FALSE)*VLOOKUP(B234,Projeto!$A$20:$D$24,4,FALSE)*VLOOKUP(B234,Projeto!$A$20:$I$24,MATCH(C234,Projeto!$A$19:$H$19,0),FALSE)</f>
        <v>700944.12975693261</v>
      </c>
      <c r="E234" s="158">
        <f>D234*VLOOKUP(C234,Projeto!$A$10:$D$13,4,FALSE)</f>
        <v>1121510607.6110921</v>
      </c>
      <c r="F234" s="158">
        <f>D234*VLOOKUP(C234,Dados!$A$41:$D$44,4,FALSE)</f>
        <v>624541219.61342692</v>
      </c>
      <c r="G234" s="158">
        <f t="shared" si="3"/>
        <v>187362365.88402808</v>
      </c>
      <c r="H234" s="158">
        <f>VLOOKUP(C234,Dados!$A$27:$D$30,4,FALSE)*D234</f>
        <v>41986553.372440264</v>
      </c>
    </row>
    <row r="235" spans="1:8" x14ac:dyDescent="0.25">
      <c r="A235" s="34" t="s">
        <v>65</v>
      </c>
      <c r="B235" s="34" t="s">
        <v>40</v>
      </c>
      <c r="C235" s="34" t="s">
        <v>19</v>
      </c>
      <c r="D235" s="159">
        <f>VLOOKUP(A235,Projeto!$B$36:$D$47,3,FALSE)*VLOOKUP(B235,Projeto!$A$20:$D$24,4,FALSE)*VLOOKUP(B235,Projeto!$A$20:$I$24,MATCH(C235,Projeto!$A$19:$H$19,0),FALSE)</f>
        <v>254753.693589756</v>
      </c>
      <c r="E235" s="158">
        <f>D235*VLOOKUP(C235,Projeto!$A$10:$D$13,4,FALSE)</f>
        <v>407605909.74360961</v>
      </c>
      <c r="F235" s="158">
        <f>D235*VLOOKUP(C235,Dados!$A$41:$D$44,4,FALSE)</f>
        <v>226985540.98847261</v>
      </c>
      <c r="G235" s="158">
        <f t="shared" si="3"/>
        <v>68095662.29654178</v>
      </c>
      <c r="H235" s="158">
        <f>VLOOKUP(C235,Dados!$A$27:$D$30,4,FALSE)*D235</f>
        <v>15259746.246026384</v>
      </c>
    </row>
    <row r="236" spans="1:8" x14ac:dyDescent="0.25">
      <c r="A236" s="34" t="s">
        <v>65</v>
      </c>
      <c r="B236" s="34" t="s">
        <v>42</v>
      </c>
      <c r="C236" s="34" t="s">
        <v>19</v>
      </c>
      <c r="D236" s="159">
        <f>VLOOKUP(A236,Projeto!$B$36:$D$47,3,FALSE)*VLOOKUP(B236,Projeto!$A$20:$D$24,4,FALSE)*VLOOKUP(B236,Projeto!$A$20:$I$24,MATCH(C236,Projeto!$A$19:$H$19,0),FALSE)</f>
        <v>233416.68061468119</v>
      </c>
      <c r="E236" s="158">
        <f>D236*VLOOKUP(C236,Projeto!$A$10:$D$13,4,FALSE)</f>
        <v>373466688.98348987</v>
      </c>
      <c r="F236" s="158">
        <f>D236*VLOOKUP(C236,Dados!$A$41:$D$44,4,FALSE)</f>
        <v>207974262.42768094</v>
      </c>
      <c r="G236" s="158">
        <f t="shared" si="3"/>
        <v>62392278.728304282</v>
      </c>
      <c r="H236" s="158">
        <f>VLOOKUP(C236,Dados!$A$27:$D$30,4,FALSE)*D236</f>
        <v>13981659.168819403</v>
      </c>
    </row>
    <row r="237" spans="1:8" x14ac:dyDescent="0.25">
      <c r="A237" s="34" t="s">
        <v>65</v>
      </c>
      <c r="B237" s="34" t="s">
        <v>34</v>
      </c>
      <c r="C237" s="34" t="s">
        <v>23</v>
      </c>
      <c r="D237" s="159">
        <f>VLOOKUP(A237,Projeto!$B$36:$D$47,3,FALSE)*VLOOKUP(B237,Projeto!$A$20:$D$24,4,FALSE)*VLOOKUP(B237,Projeto!$A$20:$I$24,MATCH(C237,Projeto!$A$19:$H$19,0),FALSE)</f>
        <v>187279.49635168782</v>
      </c>
      <c r="E237" s="158">
        <f>D237*VLOOKUP(C237,Projeto!$A$10:$D$13,4,FALSE)</f>
        <v>149823597.08135027</v>
      </c>
      <c r="F237" s="158">
        <f>D237*VLOOKUP(C237,Dados!$A$41:$D$44,4,FALSE)</f>
        <v>92002925.377730161</v>
      </c>
      <c r="G237" s="158">
        <f t="shared" si="3"/>
        <v>36801170.151092067</v>
      </c>
      <c r="H237" s="158">
        <f>VLOOKUP(C237,Dados!$A$27:$D$30,4,FALSE)*D237</f>
        <v>18709221.685533613</v>
      </c>
    </row>
    <row r="238" spans="1:8" x14ac:dyDescent="0.25">
      <c r="A238" s="34" t="s">
        <v>65</v>
      </c>
      <c r="B238" s="34" t="s">
        <v>36</v>
      </c>
      <c r="C238" s="34" t="s">
        <v>23</v>
      </c>
      <c r="D238" s="159">
        <f>VLOOKUP(A238,Projeto!$B$36:$D$47,3,FALSE)*VLOOKUP(B238,Projeto!$A$20:$D$24,4,FALSE)*VLOOKUP(B238,Projeto!$A$20:$I$24,MATCH(C238,Projeto!$A$19:$H$19,0),FALSE)</f>
        <v>504192.70439115365</v>
      </c>
      <c r="E238" s="158">
        <f>D238*VLOOKUP(C238,Projeto!$A$10:$D$13,4,FALSE)</f>
        <v>403354163.51292294</v>
      </c>
      <c r="F238" s="158">
        <f>D238*VLOOKUP(C238,Dados!$A$41:$D$44,4,FALSE)</f>
        <v>247689707.95919815</v>
      </c>
      <c r="G238" s="158">
        <f t="shared" si="3"/>
        <v>99075883.183679268</v>
      </c>
      <c r="H238" s="158">
        <f>VLOOKUP(C238,Dados!$A$27:$D$30,4,FALSE)*D238</f>
        <v>50368851.16867625</v>
      </c>
    </row>
    <row r="239" spans="1:8" x14ac:dyDescent="0.25">
      <c r="A239" s="34" t="s">
        <v>65</v>
      </c>
      <c r="B239" s="34" t="s">
        <v>38</v>
      </c>
      <c r="C239" s="34" t="s">
        <v>23</v>
      </c>
      <c r="D239" s="159">
        <f>VLOOKUP(A239,Projeto!$B$36:$D$47,3,FALSE)*VLOOKUP(B239,Projeto!$A$20:$D$24,4,FALSE)*VLOOKUP(B239,Projeto!$A$20:$I$24,MATCH(C239,Projeto!$A$19:$H$19,0),FALSE)</f>
        <v>786425.12119070499</v>
      </c>
      <c r="E239" s="158">
        <f>D239*VLOOKUP(C239,Projeto!$A$10:$D$13,4,FALSE)</f>
        <v>629140096.952564</v>
      </c>
      <c r="F239" s="158">
        <f>D239*VLOOKUP(C239,Dados!$A$41:$D$44,4,FALSE)</f>
        <v>386339205.03614575</v>
      </c>
      <c r="G239" s="158">
        <f t="shared" si="3"/>
        <v>154535682.0144583</v>
      </c>
      <c r="H239" s="158">
        <f>VLOOKUP(C239,Dados!$A$27:$D$30,4,FALSE)*D239</f>
        <v>78563869.60695143</v>
      </c>
    </row>
    <row r="240" spans="1:8" x14ac:dyDescent="0.25">
      <c r="A240" s="34" t="s">
        <v>65</v>
      </c>
      <c r="B240" s="34" t="s">
        <v>40</v>
      </c>
      <c r="C240" s="34" t="s">
        <v>23</v>
      </c>
      <c r="D240" s="159">
        <f>VLOOKUP(A240,Projeto!$B$36:$D$47,3,FALSE)*VLOOKUP(B240,Projeto!$A$20:$D$24,4,FALSE)*VLOOKUP(B240,Projeto!$A$20:$I$24,MATCH(C240,Projeto!$A$19:$H$19,0),FALSE)</f>
        <v>106996.55130769752</v>
      </c>
      <c r="E240" s="158">
        <f>D240*VLOOKUP(C240,Projeto!$A$10:$D$13,4,FALSE)</f>
        <v>85597241.046158016</v>
      </c>
      <c r="F240" s="158">
        <f>D240*VLOOKUP(C240,Dados!$A$41:$D$44,4,FALSE)</f>
        <v>52563125.795419484</v>
      </c>
      <c r="G240" s="158">
        <f t="shared" si="3"/>
        <v>21025250.318167794</v>
      </c>
      <c r="H240" s="158">
        <f>VLOOKUP(C240,Dados!$A$27:$D$30,4,FALSE)*D240</f>
        <v>10688955.475638982</v>
      </c>
    </row>
    <row r="241" spans="1:8" x14ac:dyDescent="0.25">
      <c r="A241" s="34" t="s">
        <v>65</v>
      </c>
      <c r="B241" s="34" t="s">
        <v>42</v>
      </c>
      <c r="C241" s="34" t="s">
        <v>23</v>
      </c>
      <c r="D241" s="159">
        <f>VLOOKUP(A241,Projeto!$B$36:$D$47,3,FALSE)*VLOOKUP(B241,Projeto!$A$20:$D$24,4,FALSE)*VLOOKUP(B241,Projeto!$A$20:$I$24,MATCH(C241,Projeto!$A$19:$H$19,0),FALSE)</f>
        <v>238844.97551269704</v>
      </c>
      <c r="E241" s="158">
        <f>D241*VLOOKUP(C241,Projeto!$A$10:$D$13,4,FALSE)</f>
        <v>191075980.41015762</v>
      </c>
      <c r="F241" s="158">
        <f>D241*VLOOKUP(C241,Dados!$A$41:$D$44,4,FALSE)</f>
        <v>117334982.67036754</v>
      </c>
      <c r="G241" s="158">
        <f t="shared" si="3"/>
        <v>46933993.068147019</v>
      </c>
      <c r="H241" s="158">
        <f>VLOOKUP(C241,Dados!$A$27:$D$30,4,FALSE)*D241</f>
        <v>23860613.053718437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FBB60-3155-442B-B480-FEF2BFACB53A}">
  <dimension ref="A1:M61"/>
  <sheetViews>
    <sheetView workbookViewId="0">
      <selection activeCell="H56" sqref="H56"/>
    </sheetView>
  </sheetViews>
  <sheetFormatPr defaultRowHeight="15" x14ac:dyDescent="0.25"/>
  <cols>
    <col min="1" max="1" width="10.42578125" bestFit="1" customWidth="1"/>
    <col min="2" max="2" width="12.85546875" bestFit="1" customWidth="1"/>
    <col min="3" max="3" width="20.5703125" bestFit="1" customWidth="1"/>
    <col min="4" max="4" width="21.85546875" bestFit="1" customWidth="1"/>
    <col min="5" max="5" width="17.5703125" bestFit="1" customWidth="1"/>
    <col min="6" max="6" width="17.85546875" bestFit="1" customWidth="1"/>
    <col min="7" max="7" width="15.85546875" customWidth="1"/>
    <col min="8" max="8" width="32" bestFit="1" customWidth="1"/>
    <col min="9" max="9" width="16.42578125" bestFit="1" customWidth="1"/>
    <col min="10" max="10" width="23" bestFit="1" customWidth="1"/>
    <col min="11" max="11" width="13.7109375" bestFit="1" customWidth="1"/>
    <col min="13" max="13" width="40.7109375" customWidth="1"/>
  </cols>
  <sheetData>
    <row r="1" spans="1:13" x14ac:dyDescent="0.25">
      <c r="A1" t="s">
        <v>51</v>
      </c>
      <c r="B1" t="s">
        <v>163</v>
      </c>
      <c r="C1" t="s">
        <v>170</v>
      </c>
      <c r="D1" t="s">
        <v>171</v>
      </c>
      <c r="E1" t="s">
        <v>172</v>
      </c>
      <c r="F1" t="s">
        <v>173</v>
      </c>
      <c r="G1" t="s">
        <v>208</v>
      </c>
    </row>
    <row r="2" spans="1:13" x14ac:dyDescent="0.25">
      <c r="A2" t="s">
        <v>54</v>
      </c>
      <c r="B2" t="s">
        <v>34</v>
      </c>
      <c r="C2" s="130">
        <f>SUMIFS('Qtd Vendas x Faturamento'!D:D,'Qtd Vendas x Faturamento'!A:A,Lotes!A2,'Qtd Vendas x Faturamento'!B:B,Lotes!B2)</f>
        <v>409673.89826931711</v>
      </c>
      <c r="D2" s="130">
        <f>C2/Dados!$C$13</f>
        <v>81.934779653863416</v>
      </c>
      <c r="E2" s="116">
        <f>IF(
D2&lt;Dados!$B$15,
Dados!C$15,
IF(D2&lt;Dados!$B$16,
Dados!C$16,
IF(D2&lt;Dados!$B$17,
Dados!C$17,
IF(D2&lt;Dados!$B$18,
Dados!C$18,
IF(D2&lt;Dados!$B$19,
Dados!C$19,
IF(D2&lt;Dados!$B$20,
Dados!C$20,
IF(D2&lt;Dados!$B$21,
Dados!C$21,
IF(D2&lt;Dados!$B$22,
Dados!C$22,
IF(D2&lt;=Dados!$B$23,Dados!C$23,Dados!C$23+Dados!C$18)))))))))</f>
        <v>2100000</v>
      </c>
      <c r="F2" s="116">
        <f>IF(
D2&lt;Dados!$B$15,
Dados!D$15,
IF(D2&lt;Dados!$B$16,
Dados!D$16,
IF(D2&lt;Dados!$B$17,
Dados!D$17,
IF(D2&lt;Dados!$B$18,
Dados!D$18,
IF(D2&lt;Dados!$B$19,
Dados!D$19,
IF(D2&lt;Dados!$B$20,
Dados!D$20,
IF(D2&lt;Dados!$B$21,
Dados!D$21,
IF(D2&lt;Dados!$B$22,
Dados!D$22,
IF(D2&lt;=Dados!$B$23,Dados!D$23,Dados!D$23+Dados!D$18)))))))))</f>
        <v>95550</v>
      </c>
      <c r="G2">
        <f>IF(
D2&lt;Dados!$B$15,
Dados!B$15,
IF(D2&lt;Dados!$B$16,
Dados!B$16,
IF(D2&lt;Dados!$B$17,
Dados!B$17,
IF(D2&lt;Dados!$B$18,
Dados!B$18,
IF(D2&lt;Dados!$B$19,
Dados!B$19,
IF(D2&lt;Dados!$B$20,
Dados!B$20,
IF(D2&lt;Dados!$B$21,
Dados!B$21,
IF(D2&lt;Dados!$B$22,
Dados!B$22,
IF(D2&lt;=Dados!$B$23,Dados!B$23,Dados!B$23+Dados!B$18)))))))))</f>
        <v>100</v>
      </c>
    </row>
    <row r="3" spans="1:13" x14ac:dyDescent="0.25">
      <c r="A3" t="s">
        <v>54</v>
      </c>
      <c r="B3" t="s">
        <v>36</v>
      </c>
      <c r="C3" s="130">
        <f>SUMIFS('Qtd Vendas x Faturamento'!D:D,'Qtd Vendas x Faturamento'!A:A,Lotes!A3,'Qtd Vendas x Faturamento'!B:B,Lotes!B3)</f>
        <v>1160970.0430059461</v>
      </c>
      <c r="D3" s="130">
        <f>C3/Dados!$C$13</f>
        <v>232.19400860118921</v>
      </c>
      <c r="E3" s="116">
        <f>IF(
D3&lt;Dados!$B$15,
Dados!$C$15,
IF(D3&lt;Dados!$B$16,
Dados!$C$16,
IF(D3&lt;Dados!$B$17,
Dados!$C$17,
IF(D3&lt;Dados!$B$18,
Dados!$C$18,
IF(D3&lt;Dados!$B$19,
Dados!$C$19,
IF(D3&lt;Dados!$B$20,
Dados!$C$20,
IF(D3&lt;Dados!$B$21,
Dados!$C$21,
IF(D3&lt;Dados!$B$22,
Dados!$C$22,
IF(D3&lt;=Dados!$B$23,Dados!$C$23,Dados!$C$23+Dados!$C$18)))))))))</f>
        <v>5250000</v>
      </c>
      <c r="F3" s="116">
        <f>IF(
D3&lt;Dados!$B$15,
Dados!D$15,
IF(D3&lt;Dados!$B$16,
Dados!D$16,
IF(D3&lt;Dados!$B$17,
Dados!D$17,
IF(D3&lt;Dados!$B$18,
Dados!D$18,
IF(D3&lt;Dados!$B$19,
Dados!D$19,
IF(D3&lt;Dados!$B$20,
Dados!D$20,
IF(D3&lt;Dados!$B$21,
Dados!D$21,
IF(D3&lt;Dados!$B$22,
Dados!D$22,
IF(D3&lt;=Dados!$B$23,Dados!D$23,Dados!D$23+Dados!D$18)))))))))</f>
        <v>406455</v>
      </c>
      <c r="G3">
        <f>IF(
D3&lt;Dados!$B$15,
Dados!B$15,
IF(D3&lt;Dados!$B$16,
Dados!B$16,
IF(D3&lt;Dados!$B$17,
Dados!B$17,
IF(D3&lt;Dados!$B$18,
Dados!B$18,
IF(D3&lt;Dados!$B$19,
Dados!B$19,
IF(D3&lt;Dados!$B$20,
Dados!B$20,
IF(D3&lt;Dados!$B$21,
Dados!B$21,
IF(D3&lt;Dados!$B$22,
Dados!B$22,
IF(D3&lt;=Dados!$B$23,Dados!B$23,Dados!B$23+Dados!B$18)))))))))</f>
        <v>250</v>
      </c>
    </row>
    <row r="4" spans="1:13" x14ac:dyDescent="0.25">
      <c r="A4" t="s">
        <v>54</v>
      </c>
      <c r="B4" t="s">
        <v>40</v>
      </c>
      <c r="C4" s="130">
        <f>SUMIFS('Qtd Vendas x Faturamento'!D:D,'Qtd Vendas x Faturamento'!A:A,Lotes!A4,'Qtd Vendas x Faturamento'!B:B,Lotes!B4)</f>
        <v>222909.48189103653</v>
      </c>
      <c r="D4" s="130">
        <f>C4/Dados!$C$13</f>
        <v>44.581896378207304</v>
      </c>
      <c r="E4" s="116">
        <f>IF(
D4&lt;Dados!$B$15,
Dados!$C$15,
IF(D4&lt;Dados!$B$16,
Dados!$C$16,
IF(D4&lt;Dados!$B$17,
Dados!$C$17,
IF(D4&lt;Dados!$B$18,
Dados!$C$18,
IF(D4&lt;Dados!$B$19,
Dados!$C$19,
IF(D4&lt;Dados!$B$20,
Dados!$C$20,
IF(D4&lt;Dados!$B$21,
Dados!$C$21,
IF(D4&lt;Dados!$B$22,
Dados!$C$22,
IF(D4&lt;=Dados!$B$23,Dados!$C$23,Dados!$C$23+Dados!$C$18)))))))))</f>
        <v>1050000</v>
      </c>
      <c r="F4" s="116">
        <f>IF(
D4&lt;Dados!$B$15,
Dados!D$15,
IF(D4&lt;Dados!$B$16,
Dados!D$16,
IF(D4&lt;Dados!$B$17,
Dados!D$17,
IF(D4&lt;Dados!$B$18,
Dados!D$18,
IF(D4&lt;Dados!$B$19,
Dados!D$19,
IF(D4&lt;Dados!$B$20,
Dados!D$20,
IF(D4&lt;Dados!$B$21,
Dados!D$21,
IF(D4&lt;Dados!$B$22,
Dados!D$22,
IF(D4&lt;=Dados!$B$23,Dados!D$23,Dados!D$23+Dados!D$18)))))))))</f>
        <v>36540</v>
      </c>
      <c r="G4">
        <f>IF(
D4&lt;Dados!$B$15,
Dados!B$15,
IF(D4&lt;Dados!$B$16,
Dados!B$16,
IF(D4&lt;Dados!$B$17,
Dados!B$17,
IF(D4&lt;Dados!$B$18,
Dados!B$18,
IF(D4&lt;Dados!$B$19,
Dados!B$19,
IF(D4&lt;Dados!$B$20,
Dados!B$20,
IF(D4&lt;Dados!$B$21,
Dados!B$21,
IF(D4&lt;Dados!$B$22,
Dados!B$22,
IF(D4&lt;=Dados!$B$23,Dados!B$23,Dados!B$23+Dados!B$18)))))))))</f>
        <v>50</v>
      </c>
      <c r="K4" s="110"/>
    </row>
    <row r="5" spans="1:13" x14ac:dyDescent="0.25">
      <c r="A5" t="s">
        <v>54</v>
      </c>
      <c r="B5" t="s">
        <v>42</v>
      </c>
      <c r="C5" s="130">
        <f>SUMIFS('Qtd Vendas x Faturamento'!D:D,'Qtd Vendas x Faturamento'!A:A,Lotes!A5,'Qtd Vendas x Faturamento'!B:B,Lotes!B5)</f>
        <v>237487.90178819312</v>
      </c>
      <c r="D5" s="130">
        <f>C5/Dados!$C$13</f>
        <v>47.497580357638626</v>
      </c>
      <c r="E5" s="116">
        <f>IF(
D5&lt;Dados!$B$15,
Dados!$C$15,
IF(D5&lt;Dados!$B$16,
Dados!$C$16,
IF(D5&lt;Dados!$B$17,
Dados!$C$17,
IF(D5&lt;Dados!$B$18,
Dados!$C$18,
IF(D5&lt;Dados!$B$19,
Dados!$C$19,
IF(D5&lt;Dados!$B$20,
Dados!$C$20,
IF(D5&lt;Dados!$B$21,
Dados!$C$21,
IF(D5&lt;Dados!$B$22,
Dados!$C$22,
IF(D5&lt;=Dados!$B$23,Dados!$C$23,Dados!$C$23+Dados!$C$18)))))))))</f>
        <v>1050000</v>
      </c>
      <c r="F5" s="116">
        <f>IF(
D5&lt;Dados!$B$15,
Dados!D$15,
IF(D5&lt;Dados!$B$16,
Dados!D$16,
IF(D5&lt;Dados!$B$17,
Dados!D$17,
IF(D5&lt;Dados!$B$18,
Dados!D$18,
IF(D5&lt;Dados!$B$19,
Dados!D$19,
IF(D5&lt;Dados!$B$20,
Dados!D$20,
IF(D5&lt;Dados!$B$21,
Dados!D$21,
IF(D5&lt;Dados!$B$22,
Dados!D$22,
IF(D5&lt;=Dados!$B$23,Dados!D$23,Dados!D$23+Dados!D$18)))))))))</f>
        <v>36540</v>
      </c>
      <c r="G5">
        <f>IF(
D5&lt;Dados!$B$15,
Dados!B$15,
IF(D5&lt;Dados!$B$16,
Dados!B$16,
IF(D5&lt;Dados!$B$17,
Dados!B$17,
IF(D5&lt;Dados!$B$18,
Dados!B$18,
IF(D5&lt;Dados!$B$19,
Dados!B$19,
IF(D5&lt;Dados!$B$20,
Dados!B$20,
IF(D5&lt;Dados!$B$21,
Dados!B$21,
IF(D5&lt;Dados!$B$22,
Dados!B$22,
IF(D5&lt;=Dados!$B$23,Dados!B$23,Dados!B$23+Dados!B$18)))))))))</f>
        <v>50</v>
      </c>
      <c r="K5" s="110"/>
      <c r="L5" s="110"/>
    </row>
    <row r="6" spans="1:13" x14ac:dyDescent="0.25">
      <c r="A6" t="s">
        <v>54</v>
      </c>
      <c r="B6" t="s">
        <v>38</v>
      </c>
      <c r="C6" s="130">
        <f>SUMIFS('Qtd Vendas x Faturamento'!D:D,'Qtd Vendas x Faturamento'!A:A,Lotes!A6,'Qtd Vendas x Faturamento'!B:B,Lotes!B6)</f>
        <v>747958.67504550761</v>
      </c>
      <c r="D6" s="130">
        <f>C6/Dados!$C$13</f>
        <v>149.59173500910151</v>
      </c>
      <c r="E6" s="116">
        <f>IF(
D6&lt;Dados!$B$15,
Dados!$C$15,
IF(D6&lt;Dados!$B$16,
Dados!$C$16,
IF(D6&lt;Dados!$B$17,
Dados!$C$17,
IF(D6&lt;Dados!$B$18,
Dados!$C$18,
IF(D6&lt;Dados!$B$19,
Dados!$C$19,
IF(D6&lt;Dados!$B$20,
Dados!$C$20,
IF(D6&lt;Dados!$B$21,
Dados!$C$21,
IF(D6&lt;Dados!$B$22,
Dados!$C$22,
IF(D6&lt;=Dados!$B$23,Dados!$C$23,Dados!$C$23+Dados!$C$18)))))))))</f>
        <v>3150000</v>
      </c>
      <c r="F6" s="116">
        <f>IF(
D6&lt;Dados!$B$15,
Dados!D$15,
IF(D6&lt;Dados!$B$16,
Dados!D$16,
IF(D6&lt;Dados!$B$17,
Dados!D$17,
IF(D6&lt;Dados!$B$18,
Dados!D$18,
IF(D6&lt;Dados!$B$19,
Dados!D$19,
IF(D6&lt;Dados!$B$20,
Dados!D$20,
IF(D6&lt;Dados!$B$21,
Dados!D$21,
IF(D6&lt;Dados!$B$22,
Dados!D$22,
IF(D6&lt;=Dados!$B$23,Dados!D$23,Dados!D$23+Dados!D$18)))))))))</f>
        <v>200812</v>
      </c>
      <c r="G6">
        <f>IF(
D6&lt;Dados!$B$15,
Dados!B$15,
IF(D6&lt;Dados!$B$16,
Dados!B$16,
IF(D6&lt;Dados!$B$17,
Dados!B$17,
IF(D6&lt;Dados!$B$18,
Dados!B$18,
IF(D6&lt;Dados!$B$19,
Dados!B$19,
IF(D6&lt;Dados!$B$20,
Dados!B$20,
IF(D6&lt;Dados!$B$21,
Dados!B$21,
IF(D6&lt;Dados!$B$22,
Dados!B$22,
IF(D6&lt;=Dados!$B$23,Dados!B$23,Dados!B$23+Dados!B$18)))))))))</f>
        <v>150</v>
      </c>
      <c r="K6" s="110"/>
      <c r="L6" s="110"/>
    </row>
    <row r="7" spans="1:13" x14ac:dyDescent="0.25">
      <c r="A7" t="s">
        <v>55</v>
      </c>
      <c r="B7" t="s">
        <v>34</v>
      </c>
      <c r="C7" s="130">
        <f>SUMIFS('Qtd Vendas x Faturamento'!D:D,'Qtd Vendas x Faturamento'!A:A,Lotes!A7,'Qtd Vendas x Faturamento'!B:B,Lotes!B7)</f>
        <v>351149.05565941462</v>
      </c>
      <c r="D7" s="130">
        <f>C7/Dados!$C$13</f>
        <v>70.229811131882926</v>
      </c>
      <c r="E7" s="116">
        <f>IF(
D7&lt;Dados!$B$15,
Dados!$C$15,
IF(D7&lt;Dados!$B$16,
Dados!$C$16,
IF(D7&lt;Dados!$B$17,
Dados!$C$17,
IF(D7&lt;Dados!$B$18,
Dados!$C$18,
IF(D7&lt;Dados!$B$19,
Dados!$C$19,
IF(D7&lt;Dados!$B$20,
Dados!$C$20,
IF(D7&lt;Dados!$B$21,
Dados!$C$21,
IF(D7&lt;Dados!$B$22,
Dados!$C$22,
IF(D7&lt;=Dados!$B$23,Dados!$C$23,Dados!$C$23+Dados!$C$18)))))))))</f>
        <v>2100000</v>
      </c>
      <c r="F7" s="116">
        <f>IF(
D7&lt;Dados!$B$15,
Dados!D$15,
IF(D7&lt;Dados!$B$16,
Dados!D$16,
IF(D7&lt;Dados!$B$17,
Dados!D$17,
IF(D7&lt;Dados!$B$18,
Dados!D$18,
IF(D7&lt;Dados!$B$19,
Dados!D$19,
IF(D7&lt;Dados!$B$20,
Dados!D$20,
IF(D7&lt;Dados!$B$21,
Dados!D$21,
IF(D7&lt;Dados!$B$22,
Dados!D$22,
IF(D7&lt;=Dados!$B$23,Dados!D$23,Dados!D$23+Dados!D$18)))))))))</f>
        <v>95550</v>
      </c>
      <c r="G7">
        <f>IF(
D7&lt;Dados!$B$15,
Dados!B$15,
IF(D7&lt;Dados!$B$16,
Dados!B$16,
IF(D7&lt;Dados!$B$17,
Dados!B$17,
IF(D7&lt;Dados!$B$18,
Dados!B$18,
IF(D7&lt;Dados!$B$19,
Dados!B$19,
IF(D7&lt;Dados!$B$20,
Dados!B$20,
IF(D7&lt;Dados!$B$21,
Dados!B$21,
IF(D7&lt;Dados!$B$22,
Dados!B$22,
IF(D7&lt;=Dados!$B$23,Dados!B$23,Dados!B$23+Dados!B$18)))))))))</f>
        <v>100</v>
      </c>
      <c r="K7" s="110"/>
      <c r="L7" s="110"/>
    </row>
    <row r="8" spans="1:13" x14ac:dyDescent="0.25">
      <c r="A8" t="s">
        <v>55</v>
      </c>
      <c r="B8" t="s">
        <v>36</v>
      </c>
      <c r="C8" s="130">
        <f>SUMIFS('Qtd Vendas x Faturamento'!D:D,'Qtd Vendas x Faturamento'!A:A,Lotes!A8,'Qtd Vendas x Faturamento'!B:B,Lotes!B8)</f>
        <v>995117.17971938208</v>
      </c>
      <c r="D8" s="130">
        <f>C8/Dados!$C$13</f>
        <v>199.02343594387642</v>
      </c>
      <c r="E8" s="116">
        <f>IF(
D8&lt;Dados!$B$15,
Dados!$C$15,
IF(D8&lt;Dados!$B$16,
Dados!$C$16,
IF(D8&lt;Dados!$B$17,
Dados!$C$17,
IF(D8&lt;Dados!$B$18,
Dados!$C$18,
IF(D8&lt;Dados!$B$19,
Dados!$C$19,
IF(D8&lt;Dados!$B$20,
Dados!$C$20,
IF(D8&lt;Dados!$B$21,
Dados!$C$21,
IF(D8&lt;Dados!$B$22,
Dados!$C$22,
IF(D8&lt;=Dados!$B$23,Dados!$C$23,Dados!$C$23+Dados!$C$18)))))))))</f>
        <v>4200000</v>
      </c>
      <c r="F8" s="116">
        <f>IF(
D8&lt;Dados!$B$15,
Dados!D$15,
IF(D8&lt;Dados!$B$16,
Dados!D$16,
IF(D8&lt;Dados!$B$17,
Dados!D$17,
IF(D8&lt;Dados!$B$18,
Dados!D$18,
IF(D8&lt;Dados!$B$19,
Dados!D$19,
IF(D8&lt;Dados!$B$20,
Dados!D$20,
IF(D8&lt;Dados!$B$21,
Dados!D$21,
IF(D8&lt;Dados!$B$22,
Dados!D$22,
IF(D8&lt;=Dados!$B$23,Dados!D$23,Dados!D$23+Dados!D$18)))))))))</f>
        <v>311220</v>
      </c>
      <c r="G8">
        <f>IF(
D8&lt;Dados!$B$15,
Dados!B$15,
IF(D8&lt;Dados!$B$16,
Dados!B$16,
IF(D8&lt;Dados!$B$17,
Dados!B$17,
IF(D8&lt;Dados!$B$18,
Dados!B$18,
IF(D8&lt;Dados!$B$19,
Dados!B$19,
IF(D8&lt;Dados!$B$20,
Dados!B$20,
IF(D8&lt;Dados!$B$21,
Dados!B$21,
IF(D8&lt;Dados!$B$22,
Dados!B$22,
IF(D8&lt;=Dados!$B$23,Dados!B$23,Dados!B$23+Dados!B$18)))))))))</f>
        <v>200</v>
      </c>
      <c r="K8" s="110"/>
      <c r="L8" s="110"/>
    </row>
    <row r="9" spans="1:13" x14ac:dyDescent="0.25">
      <c r="A9" t="s">
        <v>55</v>
      </c>
      <c r="B9" t="s">
        <v>40</v>
      </c>
      <c r="C9" s="130">
        <f>SUMIFS('Qtd Vendas x Faturamento'!D:D,'Qtd Vendas x Faturamento'!A:A,Lotes!A9,'Qtd Vendas x Faturamento'!B:B,Lotes!B9)</f>
        <v>191065.27019231697</v>
      </c>
      <c r="D9" s="130">
        <f>C9/Dados!$C$13</f>
        <v>38.21305403846339</v>
      </c>
      <c r="E9" s="116">
        <f>IF(
D9&lt;Dados!$B$15,
Dados!$C$15,
IF(D9&lt;Dados!$B$16,
Dados!$C$16,
IF(D9&lt;Dados!$B$17,
Dados!$C$17,
IF(D9&lt;Dados!$B$18,
Dados!$C$18,
IF(D9&lt;Dados!$B$19,
Dados!$C$19,
IF(D9&lt;Dados!$B$20,
Dados!$C$20,
IF(D9&lt;Dados!$B$21,
Dados!$C$21,
IF(D9&lt;Dados!$B$22,
Dados!$C$22,
IF(D9&lt;=Dados!$B$23,Dados!$C$23,Dados!$C$23+Dados!$C$18)))))))))</f>
        <v>1050000</v>
      </c>
      <c r="F9" s="116">
        <f>IF(
D9&lt;Dados!$B$15,
Dados!D$15,
IF(D9&lt;Dados!$B$16,
Dados!D$16,
IF(D9&lt;Dados!$B$17,
Dados!D$17,
IF(D9&lt;Dados!$B$18,
Dados!D$18,
IF(D9&lt;Dados!$B$19,
Dados!D$19,
IF(D9&lt;Dados!$B$20,
Dados!D$20,
IF(D9&lt;Dados!$B$21,
Dados!D$21,
IF(D9&lt;Dados!$B$22,
Dados!D$22,
IF(D9&lt;=Dados!$B$23,Dados!D$23,Dados!D$23+Dados!D$18)))))))))</f>
        <v>36540</v>
      </c>
      <c r="G9">
        <f>IF(
D9&lt;Dados!$B$15,
Dados!B$15,
IF(D9&lt;Dados!$B$16,
Dados!B$16,
IF(D9&lt;Dados!$B$17,
Dados!B$17,
IF(D9&lt;Dados!$B$18,
Dados!B$18,
IF(D9&lt;Dados!$B$19,
Dados!B$19,
IF(D9&lt;Dados!$B$20,
Dados!B$20,
IF(D9&lt;Dados!$B$21,
Dados!B$21,
IF(D9&lt;Dados!$B$22,
Dados!B$22,
IF(D9&lt;=Dados!$B$23,Dados!B$23,Dados!B$23+Dados!B$18)))))))))</f>
        <v>50</v>
      </c>
      <c r="K9" s="110"/>
      <c r="L9" s="110"/>
    </row>
    <row r="10" spans="1:13" x14ac:dyDescent="0.25">
      <c r="A10" t="s">
        <v>55</v>
      </c>
      <c r="B10" t="s">
        <v>42</v>
      </c>
      <c r="C10" s="130">
        <f>SUMIFS('Qtd Vendas x Faturamento'!D:D,'Qtd Vendas x Faturamento'!A:A,Lotes!A10,'Qtd Vendas x Faturamento'!B:B,Lotes!B10)</f>
        <v>203561.05867559407</v>
      </c>
      <c r="D10" s="130">
        <f>C10/Dados!$C$13</f>
        <v>40.712211735118814</v>
      </c>
      <c r="E10" s="116">
        <f>IF(
D10&lt;Dados!$B$15,
Dados!$C$15,
IF(D10&lt;Dados!$B$16,
Dados!$C$16,
IF(D10&lt;Dados!$B$17,
Dados!$C$17,
IF(D10&lt;Dados!$B$18,
Dados!$C$18,
IF(D10&lt;Dados!$B$19,
Dados!$C$19,
IF(D10&lt;Dados!$B$20,
Dados!$C$20,
IF(D10&lt;Dados!$B$21,
Dados!$C$21,
IF(D10&lt;Dados!$B$22,
Dados!$C$22,
IF(D10&lt;=Dados!$B$23,Dados!$C$23,Dados!$C$23+Dados!$C$18)))))))))</f>
        <v>1050000</v>
      </c>
      <c r="F10" s="116">
        <f>IF(
D10&lt;Dados!$B$15,
Dados!D$15,
IF(D10&lt;Dados!$B$16,
Dados!D$16,
IF(D10&lt;Dados!$B$17,
Dados!D$17,
IF(D10&lt;Dados!$B$18,
Dados!D$18,
IF(D10&lt;Dados!$B$19,
Dados!D$19,
IF(D10&lt;Dados!$B$20,
Dados!D$20,
IF(D10&lt;Dados!$B$21,
Dados!D$21,
IF(D10&lt;Dados!$B$22,
Dados!D$22,
IF(D10&lt;=Dados!$B$23,Dados!D$23,Dados!D$23+Dados!D$18)))))))))</f>
        <v>36540</v>
      </c>
      <c r="G10">
        <f>IF(
D10&lt;Dados!$B$15,
Dados!B$15,
IF(D10&lt;Dados!$B$16,
Dados!B$16,
IF(D10&lt;Dados!$B$17,
Dados!B$17,
IF(D10&lt;Dados!$B$18,
Dados!B$18,
IF(D10&lt;Dados!$B$19,
Dados!B$19,
IF(D10&lt;Dados!$B$20,
Dados!B$20,
IF(D10&lt;Dados!$B$21,
Dados!B$21,
IF(D10&lt;Dados!$B$22,
Dados!B$22,
IF(D10&lt;=Dados!$B$23,Dados!B$23,Dados!B$23+Dados!B$18)))))))))</f>
        <v>50</v>
      </c>
      <c r="K10" s="110"/>
      <c r="L10" s="110"/>
    </row>
    <row r="11" spans="1:13" x14ac:dyDescent="0.25">
      <c r="A11" t="s">
        <v>55</v>
      </c>
      <c r="B11" t="s">
        <v>38</v>
      </c>
      <c r="C11" s="130">
        <f>SUMIFS('Qtd Vendas x Faturamento'!D:D,'Qtd Vendas x Faturamento'!A:A,Lotes!A11,'Qtd Vendas x Faturamento'!B:B,Lotes!B11)</f>
        <v>641107.43575329217</v>
      </c>
      <c r="D11" s="130">
        <f>C11/Dados!$C$13</f>
        <v>128.22148715065845</v>
      </c>
      <c r="E11" s="116">
        <f>IF(
D11&lt;Dados!$B$15,
Dados!$C$15,
IF(D11&lt;Dados!$B$16,
Dados!$C$16,
IF(D11&lt;Dados!$B$17,
Dados!$C$17,
IF(D11&lt;Dados!$B$18,
Dados!$C$18,
IF(D11&lt;Dados!$B$19,
Dados!$C$19,
IF(D11&lt;Dados!$B$20,
Dados!$C$20,
IF(D11&lt;Dados!$B$21,
Dados!$C$21,
IF(D11&lt;Dados!$B$22,
Dados!$C$22,
IF(D11&lt;=Dados!$B$23,Dados!$C$23,Dados!$C$23+Dados!$C$18)))))))))</f>
        <v>3150000</v>
      </c>
      <c r="F11" s="116">
        <f>IF(
D11&lt;Dados!$B$15,
Dados!D$15,
IF(D11&lt;Dados!$B$16,
Dados!D$16,
IF(D11&lt;Dados!$B$17,
Dados!D$17,
IF(D11&lt;Dados!$B$18,
Dados!D$18,
IF(D11&lt;Dados!$B$19,
Dados!D$19,
IF(D11&lt;Dados!$B$20,
Dados!D$20,
IF(D11&lt;Dados!$B$21,
Dados!D$21,
IF(D11&lt;Dados!$B$22,
Dados!D$22,
IF(D11&lt;=Dados!$B$23,Dados!D$23,Dados!D$23+Dados!D$18)))))))))</f>
        <v>200812</v>
      </c>
      <c r="G11">
        <f>IF(
D11&lt;Dados!$B$15,
Dados!B$15,
IF(D11&lt;Dados!$B$16,
Dados!B$16,
IF(D11&lt;Dados!$B$17,
Dados!B$17,
IF(D11&lt;Dados!$B$18,
Dados!B$18,
IF(D11&lt;Dados!$B$19,
Dados!B$19,
IF(D11&lt;Dados!$B$20,
Dados!B$20,
IF(D11&lt;Dados!$B$21,
Dados!B$21,
IF(D11&lt;Dados!$B$22,
Dados!B$22,
IF(D11&lt;=Dados!$B$23,Dados!B$23,Dados!B$23+Dados!B$18)))))))))</f>
        <v>150</v>
      </c>
      <c r="K11" s="110"/>
      <c r="L11" s="110"/>
      <c r="M11" s="150"/>
    </row>
    <row r="12" spans="1:13" x14ac:dyDescent="0.25">
      <c r="A12" t="s">
        <v>56</v>
      </c>
      <c r="B12" t="s">
        <v>34</v>
      </c>
      <c r="C12" s="130">
        <f>SUMIFS('Qtd Vendas x Faturamento'!D:D,'Qtd Vendas x Faturamento'!A:A,Lotes!A12,'Qtd Vendas x Faturamento'!B:B,Lotes!B12)</f>
        <v>351149.05565941462</v>
      </c>
      <c r="D12" s="130">
        <f>C12/Dados!$C$13</f>
        <v>70.229811131882926</v>
      </c>
      <c r="E12" s="116">
        <f>IF(
D12&lt;Dados!$B$15,
Dados!$C$15,
IF(D12&lt;Dados!$B$16,
Dados!$C$16,
IF(D12&lt;Dados!$B$17,
Dados!$C$17,
IF(D12&lt;Dados!$B$18,
Dados!$C$18,
IF(D12&lt;Dados!$B$19,
Dados!$C$19,
IF(D12&lt;Dados!$B$20,
Dados!$C$20,
IF(D12&lt;Dados!$B$21,
Dados!$C$21,
IF(D12&lt;Dados!$B$22,
Dados!$C$22,
IF(D12&lt;=Dados!$B$23,Dados!$C$23,Dados!$C$23+Dados!$C$18)))))))))</f>
        <v>2100000</v>
      </c>
      <c r="F12" s="116">
        <f>IF(
D12&lt;Dados!$B$15,
Dados!D$15,
IF(D12&lt;Dados!$B$16,
Dados!D$16,
IF(D12&lt;Dados!$B$17,
Dados!D$17,
IF(D12&lt;Dados!$B$18,
Dados!D$18,
IF(D12&lt;Dados!$B$19,
Dados!D$19,
IF(D12&lt;Dados!$B$20,
Dados!D$20,
IF(D12&lt;Dados!$B$21,
Dados!D$21,
IF(D12&lt;Dados!$B$22,
Dados!D$22,
IF(D12&lt;=Dados!$B$23,Dados!D$23,Dados!D$23+Dados!D$18)))))))))</f>
        <v>95550</v>
      </c>
      <c r="G12">
        <f>IF(
D12&lt;Dados!$B$15,
Dados!B$15,
IF(D12&lt;Dados!$B$16,
Dados!B$16,
IF(D12&lt;Dados!$B$17,
Dados!B$17,
IF(D12&lt;Dados!$B$18,
Dados!B$18,
IF(D12&lt;Dados!$B$19,
Dados!B$19,
IF(D12&lt;Dados!$B$20,
Dados!B$20,
IF(D12&lt;Dados!$B$21,
Dados!B$21,
IF(D12&lt;Dados!$B$22,
Dados!B$22,
IF(D12&lt;=Dados!$B$23,Dados!B$23,Dados!B$23+Dados!B$18)))))))))</f>
        <v>100</v>
      </c>
      <c r="K12" s="110"/>
      <c r="L12" s="110"/>
    </row>
    <row r="13" spans="1:13" x14ac:dyDescent="0.25">
      <c r="A13" t="s">
        <v>56</v>
      </c>
      <c r="B13" t="s">
        <v>36</v>
      </c>
      <c r="C13" s="130">
        <f>SUMIFS('Qtd Vendas x Faturamento'!D:D,'Qtd Vendas x Faturamento'!A:A,Lotes!A13,'Qtd Vendas x Faturamento'!B:B,Lotes!B13)</f>
        <v>995117.17971938208</v>
      </c>
      <c r="D13" s="130">
        <f>C13/Dados!$C$13</f>
        <v>199.02343594387642</v>
      </c>
      <c r="E13" s="116">
        <f>IF(
D13&lt;Dados!$B$15,
Dados!$C$15,
IF(D13&lt;Dados!$B$16,
Dados!$C$16,
IF(D13&lt;Dados!$B$17,
Dados!$C$17,
IF(D13&lt;Dados!$B$18,
Dados!$C$18,
IF(D13&lt;Dados!$B$19,
Dados!$C$19,
IF(D13&lt;Dados!$B$20,
Dados!$C$20,
IF(D13&lt;Dados!$B$21,
Dados!$C$21,
IF(D13&lt;Dados!$B$22,
Dados!$C$22,
IF(D13&lt;=Dados!$B$23,Dados!$C$23,Dados!$C$23+Dados!$C$18)))))))))</f>
        <v>4200000</v>
      </c>
      <c r="F13" s="116">
        <f>IF(
D13&lt;Dados!$B$15,
Dados!D$15,
IF(D13&lt;Dados!$B$16,
Dados!D$16,
IF(D13&lt;Dados!$B$17,
Dados!D$17,
IF(D13&lt;Dados!$B$18,
Dados!D$18,
IF(D13&lt;Dados!$B$19,
Dados!D$19,
IF(D13&lt;Dados!$B$20,
Dados!D$20,
IF(D13&lt;Dados!$B$21,
Dados!D$21,
IF(D13&lt;Dados!$B$22,
Dados!D$22,
IF(D13&lt;=Dados!$B$23,Dados!D$23,Dados!D$23+Dados!D$18)))))))))</f>
        <v>311220</v>
      </c>
      <c r="G13">
        <f>IF(
D13&lt;Dados!$B$15,
Dados!B$15,
IF(D13&lt;Dados!$B$16,
Dados!B$16,
IF(D13&lt;Dados!$B$17,
Dados!B$17,
IF(D13&lt;Dados!$B$18,
Dados!B$18,
IF(D13&lt;Dados!$B$19,
Dados!B$19,
IF(D13&lt;Dados!$B$20,
Dados!B$20,
IF(D13&lt;Dados!$B$21,
Dados!B$21,
IF(D13&lt;Dados!$B$22,
Dados!B$22,
IF(D13&lt;=Dados!$B$23,Dados!B$23,Dados!B$23+Dados!B$18)))))))))</f>
        <v>200</v>
      </c>
      <c r="L13" s="110"/>
    </row>
    <row r="14" spans="1:13" x14ac:dyDescent="0.25">
      <c r="A14" t="s">
        <v>56</v>
      </c>
      <c r="B14" t="s">
        <v>40</v>
      </c>
      <c r="C14" s="130">
        <f>SUMIFS('Qtd Vendas x Faturamento'!D:D,'Qtd Vendas x Faturamento'!A:A,Lotes!A14,'Qtd Vendas x Faturamento'!B:B,Lotes!B14)</f>
        <v>191065.27019231697</v>
      </c>
      <c r="D14" s="130">
        <f>C14/Dados!$C$13</f>
        <v>38.21305403846339</v>
      </c>
      <c r="E14" s="116">
        <f>IF(
D14&lt;Dados!$B$15,
Dados!$C$15,
IF(D14&lt;Dados!$B$16,
Dados!$C$16,
IF(D14&lt;Dados!$B$17,
Dados!$C$17,
IF(D14&lt;Dados!$B$18,
Dados!$C$18,
IF(D14&lt;Dados!$B$19,
Dados!$C$19,
IF(D14&lt;Dados!$B$20,
Dados!$C$20,
IF(D14&lt;Dados!$B$21,
Dados!$C$21,
IF(D14&lt;Dados!$B$22,
Dados!$C$22,
IF(D14&lt;=Dados!$B$23,Dados!$C$23,Dados!$C$23+Dados!$C$18)))))))))</f>
        <v>1050000</v>
      </c>
      <c r="F14" s="116">
        <f>IF(
D14&lt;Dados!$B$15,
Dados!D$15,
IF(D14&lt;Dados!$B$16,
Dados!D$16,
IF(D14&lt;Dados!$B$17,
Dados!D$17,
IF(D14&lt;Dados!$B$18,
Dados!D$18,
IF(D14&lt;Dados!$B$19,
Dados!D$19,
IF(D14&lt;Dados!$B$20,
Dados!D$20,
IF(D14&lt;Dados!$B$21,
Dados!D$21,
IF(D14&lt;Dados!$B$22,
Dados!D$22,
IF(D14&lt;=Dados!$B$23,Dados!D$23,Dados!D$23+Dados!D$18)))))))))</f>
        <v>36540</v>
      </c>
      <c r="G14">
        <f>IF(
D14&lt;Dados!$B$15,
Dados!B$15,
IF(D14&lt;Dados!$B$16,
Dados!B$16,
IF(D14&lt;Dados!$B$17,
Dados!B$17,
IF(D14&lt;Dados!$B$18,
Dados!B$18,
IF(D14&lt;Dados!$B$19,
Dados!B$19,
IF(D14&lt;Dados!$B$20,
Dados!B$20,
IF(D14&lt;Dados!$B$21,
Dados!B$21,
IF(D14&lt;Dados!$B$22,
Dados!B$22,
IF(D14&lt;=Dados!$B$23,Dados!B$23,Dados!B$23+Dados!B$18)))))))))</f>
        <v>50</v>
      </c>
    </row>
    <row r="15" spans="1:13" x14ac:dyDescent="0.25">
      <c r="A15" t="s">
        <v>56</v>
      </c>
      <c r="B15" t="s">
        <v>42</v>
      </c>
      <c r="C15" s="130">
        <f>SUMIFS('Qtd Vendas x Faturamento'!D:D,'Qtd Vendas x Faturamento'!A:A,Lotes!A15,'Qtd Vendas x Faturamento'!B:B,Lotes!B15)</f>
        <v>203561.05867559407</v>
      </c>
      <c r="D15" s="130">
        <f>C15/Dados!$C$13</f>
        <v>40.712211735118814</v>
      </c>
      <c r="E15" s="116">
        <f>IF(
D15&lt;Dados!$B$15,
Dados!$C$15,
IF(D15&lt;Dados!$B$16,
Dados!$C$16,
IF(D15&lt;Dados!$B$17,
Dados!$C$17,
IF(D15&lt;Dados!$B$18,
Dados!$C$18,
IF(D15&lt;Dados!$B$19,
Dados!$C$19,
IF(D15&lt;Dados!$B$20,
Dados!$C$20,
IF(D15&lt;Dados!$B$21,
Dados!$C$21,
IF(D15&lt;Dados!$B$22,
Dados!$C$22,
IF(D15&lt;=Dados!$B$23,Dados!$C$23,Dados!$C$23+Dados!$C$18)))))))))</f>
        <v>1050000</v>
      </c>
      <c r="F15" s="116">
        <f>IF(
D15&lt;Dados!$B$15,
Dados!D$15,
IF(D15&lt;Dados!$B$16,
Dados!D$16,
IF(D15&lt;Dados!$B$17,
Dados!D$17,
IF(D15&lt;Dados!$B$18,
Dados!D$18,
IF(D15&lt;Dados!$B$19,
Dados!D$19,
IF(D15&lt;Dados!$B$20,
Dados!D$20,
IF(D15&lt;Dados!$B$21,
Dados!D$21,
IF(D15&lt;Dados!$B$22,
Dados!D$22,
IF(D15&lt;=Dados!$B$23,Dados!D$23,Dados!D$23+Dados!D$18)))))))))</f>
        <v>36540</v>
      </c>
      <c r="G15">
        <f>IF(
D15&lt;Dados!$B$15,
Dados!B$15,
IF(D15&lt;Dados!$B$16,
Dados!B$16,
IF(D15&lt;Dados!$B$17,
Dados!B$17,
IF(D15&lt;Dados!$B$18,
Dados!B$18,
IF(D15&lt;Dados!$B$19,
Dados!B$19,
IF(D15&lt;Dados!$B$20,
Dados!B$20,
IF(D15&lt;Dados!$B$21,
Dados!B$21,
IF(D15&lt;Dados!$B$22,
Dados!B$22,
IF(D15&lt;=Dados!$B$23,Dados!B$23,Dados!B$23+Dados!B$18)))))))))</f>
        <v>50</v>
      </c>
      <c r="H15" s="152"/>
      <c r="I15" s="152"/>
      <c r="J15" s="153"/>
    </row>
    <row r="16" spans="1:13" x14ac:dyDescent="0.25">
      <c r="A16" t="s">
        <v>56</v>
      </c>
      <c r="B16" t="s">
        <v>38</v>
      </c>
      <c r="C16" s="130">
        <f>SUMIFS('Qtd Vendas x Faturamento'!D:D,'Qtd Vendas x Faturamento'!A:A,Lotes!A16,'Qtd Vendas x Faturamento'!B:B,Lotes!B16)</f>
        <v>641107.43575329217</v>
      </c>
      <c r="D16" s="130">
        <f>C16/Dados!$C$13</f>
        <v>128.22148715065845</v>
      </c>
      <c r="E16" s="116">
        <f>IF(
D16&lt;Dados!$B$15,
Dados!$C$15,
IF(D16&lt;Dados!$B$16,
Dados!$C$16,
IF(D16&lt;Dados!$B$17,
Dados!$C$17,
IF(D16&lt;Dados!$B$18,
Dados!$C$18,
IF(D16&lt;Dados!$B$19,
Dados!$C$19,
IF(D16&lt;Dados!$B$20,
Dados!$C$20,
IF(D16&lt;Dados!$B$21,
Dados!$C$21,
IF(D16&lt;Dados!$B$22,
Dados!$C$22,
IF(D16&lt;=Dados!$B$23,Dados!$C$23,Dados!$C$23+Dados!$C$18)))))))))</f>
        <v>3150000</v>
      </c>
      <c r="F16" s="116">
        <f>IF(
D16&lt;Dados!$B$15,
Dados!D$15,
IF(D16&lt;Dados!$B$16,
Dados!D$16,
IF(D16&lt;Dados!$B$17,
Dados!D$17,
IF(D16&lt;Dados!$B$18,
Dados!D$18,
IF(D16&lt;Dados!$B$19,
Dados!D$19,
IF(D16&lt;Dados!$B$20,
Dados!D$20,
IF(D16&lt;Dados!$B$21,
Dados!D$21,
IF(D16&lt;Dados!$B$22,
Dados!D$22,
IF(D16&lt;=Dados!$B$23,Dados!D$23,Dados!D$23+Dados!D$18)))))))))</f>
        <v>200812</v>
      </c>
      <c r="G16">
        <f>IF(
D16&lt;Dados!$B$15,
Dados!B$15,
IF(D16&lt;Dados!$B$16,
Dados!B$16,
IF(D16&lt;Dados!$B$17,
Dados!B$17,
IF(D16&lt;Dados!$B$18,
Dados!B$18,
IF(D16&lt;Dados!$B$19,
Dados!B$19,
IF(D16&lt;Dados!$B$20,
Dados!B$20,
IF(D16&lt;Dados!$B$21,
Dados!B$21,
IF(D16&lt;Dados!$B$22,
Dados!B$22,
IF(D16&lt;=Dados!$B$23,Dados!B$23,Dados!B$23+Dados!B$18)))))))))</f>
        <v>150</v>
      </c>
      <c r="J16" s="153"/>
    </row>
    <row r="17" spans="1:10" x14ac:dyDescent="0.25">
      <c r="A17" t="s">
        <v>57</v>
      </c>
      <c r="B17" t="s">
        <v>34</v>
      </c>
      <c r="C17" s="130">
        <f>SUMIFS('Qtd Vendas x Faturamento'!D:D,'Qtd Vendas x Faturamento'!A:A,Lotes!A17,'Qtd Vendas x Faturamento'!B:B,Lotes!B17)</f>
        <v>351149.05565941462</v>
      </c>
      <c r="D17" s="130">
        <f>C17/Dados!$C$13</f>
        <v>70.229811131882926</v>
      </c>
      <c r="E17" s="116">
        <f>IF(
D17&lt;Dados!$B$15,
Dados!$C$15,
IF(D17&lt;Dados!$B$16,
Dados!$C$16,
IF(D17&lt;Dados!$B$17,
Dados!$C$17,
IF(D17&lt;Dados!$B$18,
Dados!$C$18,
IF(D17&lt;Dados!$B$19,
Dados!$C$19,
IF(D17&lt;Dados!$B$20,
Dados!$C$20,
IF(D17&lt;Dados!$B$21,
Dados!$C$21,
IF(D17&lt;Dados!$B$22,
Dados!$C$22,
IF(D17&lt;=Dados!$B$23,Dados!$C$23,Dados!$C$23+Dados!$C$18)))))))))</f>
        <v>2100000</v>
      </c>
      <c r="F17" s="116">
        <f>IF(
D17&lt;Dados!$B$15,
Dados!D$15,
IF(D17&lt;Dados!$B$16,
Dados!D$16,
IF(D17&lt;Dados!$B$17,
Dados!D$17,
IF(D17&lt;Dados!$B$18,
Dados!D$18,
IF(D17&lt;Dados!$B$19,
Dados!D$19,
IF(D17&lt;Dados!$B$20,
Dados!D$20,
IF(D17&lt;Dados!$B$21,
Dados!D$21,
IF(D17&lt;Dados!$B$22,
Dados!D$22,
IF(D17&lt;=Dados!$B$23,Dados!D$23,Dados!D$23+Dados!D$18)))))))))</f>
        <v>95550</v>
      </c>
      <c r="G17">
        <f>IF(
D17&lt;Dados!$B$15,
Dados!B$15,
IF(D17&lt;Dados!$B$16,
Dados!B$16,
IF(D17&lt;Dados!$B$17,
Dados!B$17,
IF(D17&lt;Dados!$B$18,
Dados!B$18,
IF(D17&lt;Dados!$B$19,
Dados!B$19,
IF(D17&lt;Dados!$B$20,
Dados!B$20,
IF(D17&lt;Dados!$B$21,
Dados!B$21,
IF(D17&lt;Dados!$B$22,
Dados!B$22,
IF(D17&lt;=Dados!$B$23,Dados!B$23,Dados!B$23+Dados!B$18)))))))))</f>
        <v>100</v>
      </c>
      <c r="J17" s="152"/>
    </row>
    <row r="18" spans="1:10" x14ac:dyDescent="0.25">
      <c r="A18" t="s">
        <v>57</v>
      </c>
      <c r="B18" t="s">
        <v>36</v>
      </c>
      <c r="C18" s="130">
        <f>SUMIFS('Qtd Vendas x Faturamento'!D:D,'Qtd Vendas x Faturamento'!A:A,Lotes!A18,'Qtd Vendas x Faturamento'!B:B,Lotes!B18)</f>
        <v>995117.17971938208</v>
      </c>
      <c r="D18" s="130">
        <f>C18/Dados!$C$13</f>
        <v>199.02343594387642</v>
      </c>
      <c r="E18" s="116">
        <f>IF(
D18&lt;Dados!$B$15,
Dados!$C$15,
IF(D18&lt;Dados!$B$16,
Dados!$C$16,
IF(D18&lt;Dados!$B$17,
Dados!$C$17,
IF(D18&lt;Dados!$B$18,
Dados!$C$18,
IF(D18&lt;Dados!$B$19,
Dados!$C$19,
IF(D18&lt;Dados!$B$20,
Dados!$C$20,
IF(D18&lt;Dados!$B$21,
Dados!$C$21,
IF(D18&lt;Dados!$B$22,
Dados!$C$22,
IF(D18&lt;=Dados!$B$23,Dados!$C$23,Dados!$C$23+Dados!$C$18)))))))))</f>
        <v>4200000</v>
      </c>
      <c r="F18" s="116">
        <f>IF(
D18&lt;Dados!$B$15,
Dados!D$15,
IF(D18&lt;Dados!$B$16,
Dados!D$16,
IF(D18&lt;Dados!$B$17,
Dados!D$17,
IF(D18&lt;Dados!$B$18,
Dados!D$18,
IF(D18&lt;Dados!$B$19,
Dados!D$19,
IF(D18&lt;Dados!$B$20,
Dados!D$20,
IF(D18&lt;Dados!$B$21,
Dados!D$21,
IF(D18&lt;Dados!$B$22,
Dados!D$22,
IF(D18&lt;=Dados!$B$23,Dados!D$23,Dados!D$23+Dados!D$18)))))))))</f>
        <v>311220</v>
      </c>
      <c r="G18">
        <f>IF(
D18&lt;Dados!$B$15,
Dados!B$15,
IF(D18&lt;Dados!$B$16,
Dados!B$16,
IF(D18&lt;Dados!$B$17,
Dados!B$17,
IF(D18&lt;Dados!$B$18,
Dados!B$18,
IF(D18&lt;Dados!$B$19,
Dados!B$19,
IF(D18&lt;Dados!$B$20,
Dados!B$20,
IF(D18&lt;Dados!$B$21,
Dados!B$21,
IF(D18&lt;Dados!$B$22,
Dados!B$22,
IF(D18&lt;=Dados!$B$23,Dados!B$23,Dados!B$23+Dados!B$18)))))))))</f>
        <v>200</v>
      </c>
    </row>
    <row r="19" spans="1:10" x14ac:dyDescent="0.25">
      <c r="A19" t="s">
        <v>57</v>
      </c>
      <c r="B19" t="s">
        <v>40</v>
      </c>
      <c r="C19" s="130">
        <f>SUMIFS('Qtd Vendas x Faturamento'!D:D,'Qtd Vendas x Faturamento'!A:A,Lotes!A19,'Qtd Vendas x Faturamento'!B:B,Lotes!B19)</f>
        <v>191065.27019231697</v>
      </c>
      <c r="D19" s="130">
        <f>C19/Dados!$C$13</f>
        <v>38.21305403846339</v>
      </c>
      <c r="E19" s="116">
        <f>IF(
D19&lt;Dados!$B$15,
Dados!$C$15,
IF(D19&lt;Dados!$B$16,
Dados!$C$16,
IF(D19&lt;Dados!$B$17,
Dados!$C$17,
IF(D19&lt;Dados!$B$18,
Dados!$C$18,
IF(D19&lt;Dados!$B$19,
Dados!$C$19,
IF(D19&lt;Dados!$B$20,
Dados!$C$20,
IF(D19&lt;Dados!$B$21,
Dados!$C$21,
IF(D19&lt;Dados!$B$22,
Dados!$C$22,
IF(D19&lt;=Dados!$B$23,Dados!$C$23,Dados!$C$23+Dados!$C$18)))))))))</f>
        <v>1050000</v>
      </c>
      <c r="F19" s="116">
        <f>IF(
D19&lt;Dados!$B$15,
Dados!D$15,
IF(D19&lt;Dados!$B$16,
Dados!D$16,
IF(D19&lt;Dados!$B$17,
Dados!D$17,
IF(D19&lt;Dados!$B$18,
Dados!D$18,
IF(D19&lt;Dados!$B$19,
Dados!D$19,
IF(D19&lt;Dados!$B$20,
Dados!D$20,
IF(D19&lt;Dados!$B$21,
Dados!D$21,
IF(D19&lt;Dados!$B$22,
Dados!D$22,
IF(D19&lt;=Dados!$B$23,Dados!D$23,Dados!D$23+Dados!D$18)))))))))</f>
        <v>36540</v>
      </c>
      <c r="G19">
        <f>IF(
D19&lt;Dados!$B$15,
Dados!B$15,
IF(D19&lt;Dados!$B$16,
Dados!B$16,
IF(D19&lt;Dados!$B$17,
Dados!B$17,
IF(D19&lt;Dados!$B$18,
Dados!B$18,
IF(D19&lt;Dados!$B$19,
Dados!B$19,
IF(D19&lt;Dados!$B$20,
Dados!B$20,
IF(D19&lt;Dados!$B$21,
Dados!B$21,
IF(D19&lt;Dados!$B$22,
Dados!B$22,
IF(D19&lt;=Dados!$B$23,Dados!B$23,Dados!B$23+Dados!B$18)))))))))</f>
        <v>50</v>
      </c>
    </row>
    <row r="20" spans="1:10" x14ac:dyDescent="0.25">
      <c r="A20" t="s">
        <v>57</v>
      </c>
      <c r="B20" t="s">
        <v>42</v>
      </c>
      <c r="C20" s="130">
        <f>SUMIFS('Qtd Vendas x Faturamento'!D:D,'Qtd Vendas x Faturamento'!A:A,Lotes!A20,'Qtd Vendas x Faturamento'!B:B,Lotes!B20)</f>
        <v>203561.05867559407</v>
      </c>
      <c r="D20" s="130">
        <f>C20/Dados!$C$13</f>
        <v>40.712211735118814</v>
      </c>
      <c r="E20" s="116">
        <f>IF(
D20&lt;Dados!$B$15,
Dados!$C$15,
IF(D20&lt;Dados!$B$16,
Dados!$C$16,
IF(D20&lt;Dados!$B$17,
Dados!$C$17,
IF(D20&lt;Dados!$B$18,
Dados!$C$18,
IF(D20&lt;Dados!$B$19,
Dados!$C$19,
IF(D20&lt;Dados!$B$20,
Dados!$C$20,
IF(D20&lt;Dados!$B$21,
Dados!$C$21,
IF(D20&lt;Dados!$B$22,
Dados!$C$22,
IF(D20&lt;=Dados!$B$23,Dados!$C$23,Dados!$C$23+Dados!$C$18)))))))))</f>
        <v>1050000</v>
      </c>
      <c r="F20" s="116">
        <f>IF(
D20&lt;Dados!$B$15,
Dados!D$15,
IF(D20&lt;Dados!$B$16,
Dados!D$16,
IF(D20&lt;Dados!$B$17,
Dados!D$17,
IF(D20&lt;Dados!$B$18,
Dados!D$18,
IF(D20&lt;Dados!$B$19,
Dados!D$19,
IF(D20&lt;Dados!$B$20,
Dados!D$20,
IF(D20&lt;Dados!$B$21,
Dados!D$21,
IF(D20&lt;Dados!$B$22,
Dados!D$22,
IF(D20&lt;=Dados!$B$23,Dados!D$23,Dados!D$23+Dados!D$18)))))))))</f>
        <v>36540</v>
      </c>
      <c r="G20">
        <f>IF(
D20&lt;Dados!$B$15,
Dados!B$15,
IF(D20&lt;Dados!$B$16,
Dados!B$16,
IF(D20&lt;Dados!$B$17,
Dados!B$17,
IF(D20&lt;Dados!$B$18,
Dados!B$18,
IF(D20&lt;Dados!$B$19,
Dados!B$19,
IF(D20&lt;Dados!$B$20,
Dados!B$20,
IF(D20&lt;Dados!$B$21,
Dados!B$21,
IF(D20&lt;Dados!$B$22,
Dados!B$22,
IF(D20&lt;=Dados!$B$23,Dados!B$23,Dados!B$23+Dados!B$18)))))))))</f>
        <v>50</v>
      </c>
    </row>
    <row r="21" spans="1:10" x14ac:dyDescent="0.25">
      <c r="A21" t="s">
        <v>57</v>
      </c>
      <c r="B21" t="s">
        <v>38</v>
      </c>
      <c r="C21" s="130">
        <f>SUMIFS('Qtd Vendas x Faturamento'!D:D,'Qtd Vendas x Faturamento'!A:A,Lotes!A21,'Qtd Vendas x Faturamento'!B:B,Lotes!B21)</f>
        <v>641107.43575329217</v>
      </c>
      <c r="D21" s="130">
        <f>C21/Dados!$C$13</f>
        <v>128.22148715065845</v>
      </c>
      <c r="E21" s="116">
        <f>IF(
D21&lt;Dados!$B$15,
Dados!$C$15,
IF(D21&lt;Dados!$B$16,
Dados!$C$16,
IF(D21&lt;Dados!$B$17,
Dados!$C$17,
IF(D21&lt;Dados!$B$18,
Dados!$C$18,
IF(D21&lt;Dados!$B$19,
Dados!$C$19,
IF(D21&lt;Dados!$B$20,
Dados!$C$20,
IF(D21&lt;Dados!$B$21,
Dados!$C$21,
IF(D21&lt;Dados!$B$22,
Dados!$C$22,
IF(D21&lt;=Dados!$B$23,Dados!$C$23,Dados!$C$23+Dados!$C$18)))))))))</f>
        <v>3150000</v>
      </c>
      <c r="F21" s="116">
        <f>IF(
D21&lt;Dados!$B$15,
Dados!D$15,
IF(D21&lt;Dados!$B$16,
Dados!D$16,
IF(D21&lt;Dados!$B$17,
Dados!D$17,
IF(D21&lt;Dados!$B$18,
Dados!D$18,
IF(D21&lt;Dados!$B$19,
Dados!D$19,
IF(D21&lt;Dados!$B$20,
Dados!D$20,
IF(D21&lt;Dados!$B$21,
Dados!D$21,
IF(D21&lt;Dados!$B$22,
Dados!D$22,
IF(D21&lt;=Dados!$B$23,Dados!D$23,Dados!D$23+Dados!D$18)))))))))</f>
        <v>200812</v>
      </c>
      <c r="G21">
        <f>IF(
D21&lt;Dados!$B$15,
Dados!B$15,
IF(D21&lt;Dados!$B$16,
Dados!B$16,
IF(D21&lt;Dados!$B$17,
Dados!B$17,
IF(D21&lt;Dados!$B$18,
Dados!B$18,
IF(D21&lt;Dados!$B$19,
Dados!B$19,
IF(D21&lt;Dados!$B$20,
Dados!B$20,
IF(D21&lt;Dados!$B$21,
Dados!B$21,
IF(D21&lt;Dados!$B$22,
Dados!B$22,
IF(D21&lt;=Dados!$B$23,Dados!B$23,Dados!B$23+Dados!B$18)))))))))</f>
        <v>150</v>
      </c>
    </row>
    <row r="22" spans="1:10" x14ac:dyDescent="0.25">
      <c r="A22" t="s">
        <v>58</v>
      </c>
      <c r="B22" t="s">
        <v>34</v>
      </c>
      <c r="C22" s="130">
        <f>SUMIFS('Qtd Vendas x Faturamento'!D:D,'Qtd Vendas x Faturamento'!A:A,Lotes!A22,'Qtd Vendas x Faturamento'!B:B,Lotes!B22)</f>
        <v>526723.58348912199</v>
      </c>
      <c r="D22" s="130">
        <f>C22/Dados!$C$13</f>
        <v>105.3447166978244</v>
      </c>
      <c r="E22" s="116">
        <f>IF(
D22&lt;Dados!$B$15,
Dados!$C$15,
IF(D22&lt;Dados!$B$16,
Dados!$C$16,
IF(D22&lt;Dados!$B$17,
Dados!$C$17,
IF(D22&lt;Dados!$B$18,
Dados!$C$18,
IF(D22&lt;Dados!$B$19,
Dados!$C$19,
IF(D22&lt;Dados!$B$20,
Dados!$C$20,
IF(D22&lt;Dados!$B$21,
Dados!$C$21,
IF(D22&lt;Dados!$B$22,
Dados!$C$22,
IF(D22&lt;=Dados!$B$23,Dados!$C$23,Dados!$C$23+Dados!$C$18)))))))))</f>
        <v>3150000</v>
      </c>
      <c r="F22" s="116">
        <f>IF(
D22&lt;Dados!$B$15,
Dados!D$15,
IF(D22&lt;Dados!$B$16,
Dados!D$16,
IF(D22&lt;Dados!$B$17,
Dados!D$17,
IF(D22&lt;Dados!$B$18,
Dados!D$18,
IF(D22&lt;Dados!$B$19,
Dados!D$19,
IF(D22&lt;Dados!$B$20,
Dados!D$20,
IF(D22&lt;Dados!$B$21,
Dados!D$21,
IF(D22&lt;Dados!$B$22,
Dados!D$22,
IF(D22&lt;=Dados!$B$23,Dados!D$23,Dados!D$23+Dados!D$18)))))))))</f>
        <v>200812</v>
      </c>
      <c r="G22">
        <f>IF(
D22&lt;Dados!$B$15,
Dados!B$15,
IF(D22&lt;Dados!$B$16,
Dados!B$16,
IF(D22&lt;Dados!$B$17,
Dados!B$17,
IF(D22&lt;Dados!$B$18,
Dados!B$18,
IF(D22&lt;Dados!$B$19,
Dados!B$19,
IF(D22&lt;Dados!$B$20,
Dados!B$20,
IF(D22&lt;Dados!$B$21,
Dados!B$21,
IF(D22&lt;Dados!$B$22,
Dados!B$22,
IF(D22&lt;=Dados!$B$23,Dados!B$23,Dados!B$23+Dados!B$18)))))))))</f>
        <v>150</v>
      </c>
    </row>
    <row r="23" spans="1:10" x14ac:dyDescent="0.25">
      <c r="A23" t="s">
        <v>58</v>
      </c>
      <c r="B23" t="s">
        <v>36</v>
      </c>
      <c r="C23" s="130">
        <f>SUMIFS('Qtd Vendas x Faturamento'!D:D,'Qtd Vendas x Faturamento'!A:A,Lotes!A23,'Qtd Vendas x Faturamento'!B:B,Lotes!B23)</f>
        <v>1492675.7695790732</v>
      </c>
      <c r="D23" s="130">
        <f>C23/Dados!$C$13</f>
        <v>298.53515391581465</v>
      </c>
      <c r="E23" s="116">
        <f>IF(
D23&lt;Dados!$B$15,
Dados!$C$15,
IF(D23&lt;Dados!$B$16,
Dados!$C$16,
IF(D23&lt;Dados!$B$17,
Dados!$C$17,
IF(D23&lt;Dados!$B$18,
Dados!$C$18,
IF(D23&lt;Dados!$B$19,
Dados!$C$19,
IF(D23&lt;Dados!$B$20,
Dados!$C$20,
IF(D23&lt;Dados!$B$21,
Dados!$C$21,
IF(D23&lt;Dados!$B$22,
Dados!$C$22,
IF(D23&lt;=Dados!$B$23,Dados!$C$23,Dados!$C$23+Dados!$C$18)))))))))</f>
        <v>6300000</v>
      </c>
      <c r="F23" s="116">
        <f>IF(
D23&lt;Dados!$B$15,
Dados!D$15,
IF(D23&lt;Dados!$B$16,
Dados!D$16,
IF(D23&lt;Dados!$B$17,
Dados!D$17,
IF(D23&lt;Dados!$B$18,
Dados!D$18,
IF(D23&lt;Dados!$B$19,
Dados!D$19,
IF(D23&lt;Dados!$B$20,
Dados!D$20,
IF(D23&lt;Dados!$B$21,
Dados!D$21,
IF(D23&lt;Dados!$B$22,
Dados!D$22,
IF(D23&lt;=Dados!$B$23,Dados!D$23,Dados!D$23+Dados!D$18)))))))))</f>
        <v>517954</v>
      </c>
      <c r="G23">
        <f>IF(
D23&lt;Dados!$B$15,
Dados!B$15,
IF(D23&lt;Dados!$B$16,
Dados!B$16,
IF(D23&lt;Dados!$B$17,
Dados!B$17,
IF(D23&lt;Dados!$B$18,
Dados!B$18,
IF(D23&lt;Dados!$B$19,
Dados!B$19,
IF(D23&lt;Dados!$B$20,
Dados!B$20,
IF(D23&lt;Dados!$B$21,
Dados!B$21,
IF(D23&lt;Dados!$B$22,
Dados!B$22,
IF(D23&lt;=Dados!$B$23,Dados!B$23,Dados!B$23+Dados!B$18)))))))))</f>
        <v>300</v>
      </c>
    </row>
    <row r="24" spans="1:10" x14ac:dyDescent="0.25">
      <c r="A24" t="s">
        <v>58</v>
      </c>
      <c r="B24" t="s">
        <v>40</v>
      </c>
      <c r="C24" s="130">
        <f>SUMIFS('Qtd Vendas x Faturamento'!D:D,'Qtd Vendas x Faturamento'!A:A,Lotes!A24,'Qtd Vendas x Faturamento'!B:B,Lotes!B24)</f>
        <v>286597.90528847551</v>
      </c>
      <c r="D24" s="130">
        <f>C24/Dados!$C$13</f>
        <v>57.319581057695103</v>
      </c>
      <c r="E24" s="116">
        <f>IF(
D24&lt;Dados!$B$15,
Dados!$C$15,
IF(D24&lt;Dados!$B$16,
Dados!$C$16,
IF(D24&lt;Dados!$B$17,
Dados!$C$17,
IF(D24&lt;Dados!$B$18,
Dados!$C$18,
IF(D24&lt;Dados!$B$19,
Dados!$C$19,
IF(D24&lt;Dados!$B$20,
Dados!$C$20,
IF(D24&lt;Dados!$B$21,
Dados!$C$21,
IF(D24&lt;Dados!$B$22,
Dados!$C$22,
IF(D24&lt;=Dados!$B$23,Dados!$C$23,Dados!$C$23+Dados!$C$18)))))))))</f>
        <v>2100000</v>
      </c>
      <c r="F24" s="116">
        <f>IF(
D24&lt;Dados!$B$15,
Dados!D$15,
IF(D24&lt;Dados!$B$16,
Dados!D$16,
IF(D24&lt;Dados!$B$17,
Dados!D$17,
IF(D24&lt;Dados!$B$18,
Dados!D$18,
IF(D24&lt;Dados!$B$19,
Dados!D$19,
IF(D24&lt;Dados!$B$20,
Dados!D$20,
IF(D24&lt;Dados!$B$21,
Dados!D$21,
IF(D24&lt;Dados!$B$22,
Dados!D$22,
IF(D24&lt;=Dados!$B$23,Dados!D$23,Dados!D$23+Dados!D$18)))))))))</f>
        <v>95550</v>
      </c>
      <c r="G24">
        <f>IF(
D24&lt;Dados!$B$15,
Dados!B$15,
IF(D24&lt;Dados!$B$16,
Dados!B$16,
IF(D24&lt;Dados!$B$17,
Dados!B$17,
IF(D24&lt;Dados!$B$18,
Dados!B$18,
IF(D24&lt;Dados!$B$19,
Dados!B$19,
IF(D24&lt;Dados!$B$20,
Dados!B$20,
IF(D24&lt;Dados!$B$21,
Dados!B$21,
IF(D24&lt;Dados!$B$22,
Dados!B$22,
IF(D24&lt;=Dados!$B$23,Dados!B$23,Dados!B$23+Dados!B$18)))))))))</f>
        <v>100</v>
      </c>
    </row>
    <row r="25" spans="1:10" x14ac:dyDescent="0.25">
      <c r="A25" t="s">
        <v>58</v>
      </c>
      <c r="B25" t="s">
        <v>42</v>
      </c>
      <c r="C25" s="130">
        <f>SUMIFS('Qtd Vendas x Faturamento'!D:D,'Qtd Vendas x Faturamento'!A:A,Lotes!A25,'Qtd Vendas x Faturamento'!B:B,Lotes!B25)</f>
        <v>305341.58801339107</v>
      </c>
      <c r="D25" s="130">
        <f>C25/Dados!$C$13</f>
        <v>61.068317602678214</v>
      </c>
      <c r="E25" s="116">
        <f>IF(
D25&lt;Dados!$B$15,
Dados!$C$15,
IF(D25&lt;Dados!$B$16,
Dados!$C$16,
IF(D25&lt;Dados!$B$17,
Dados!$C$17,
IF(D25&lt;Dados!$B$18,
Dados!$C$18,
IF(D25&lt;Dados!$B$19,
Dados!$C$19,
IF(D25&lt;Dados!$B$20,
Dados!$C$20,
IF(D25&lt;Dados!$B$21,
Dados!$C$21,
IF(D25&lt;Dados!$B$22,
Dados!$C$22,
IF(D25&lt;=Dados!$B$23,Dados!$C$23,Dados!$C$23+Dados!$C$18)))))))))</f>
        <v>2100000</v>
      </c>
      <c r="F25" s="116">
        <f>IF(
D25&lt;Dados!$B$15,
Dados!D$15,
IF(D25&lt;Dados!$B$16,
Dados!D$16,
IF(D25&lt;Dados!$B$17,
Dados!D$17,
IF(D25&lt;Dados!$B$18,
Dados!D$18,
IF(D25&lt;Dados!$B$19,
Dados!D$19,
IF(D25&lt;Dados!$B$20,
Dados!D$20,
IF(D25&lt;Dados!$B$21,
Dados!D$21,
IF(D25&lt;Dados!$B$22,
Dados!D$22,
IF(D25&lt;=Dados!$B$23,Dados!D$23,Dados!D$23+Dados!D$18)))))))))</f>
        <v>95550</v>
      </c>
      <c r="G25">
        <f>IF(
D25&lt;Dados!$B$15,
Dados!B$15,
IF(D25&lt;Dados!$B$16,
Dados!B$16,
IF(D25&lt;Dados!$B$17,
Dados!B$17,
IF(D25&lt;Dados!$B$18,
Dados!B$18,
IF(D25&lt;Dados!$B$19,
Dados!B$19,
IF(D25&lt;Dados!$B$20,
Dados!B$20,
IF(D25&lt;Dados!$B$21,
Dados!B$21,
IF(D25&lt;Dados!$B$22,
Dados!B$22,
IF(D25&lt;=Dados!$B$23,Dados!B$23,Dados!B$23+Dados!B$18)))))))))</f>
        <v>100</v>
      </c>
    </row>
    <row r="26" spans="1:10" x14ac:dyDescent="0.25">
      <c r="A26" t="s">
        <v>58</v>
      </c>
      <c r="B26" t="s">
        <v>38</v>
      </c>
      <c r="C26" s="130">
        <f>SUMIFS('Qtd Vendas x Faturamento'!D:D,'Qtd Vendas x Faturamento'!A:A,Lotes!A26,'Qtd Vendas x Faturamento'!B:B,Lotes!B26)</f>
        <v>961661.15362993837</v>
      </c>
      <c r="D26" s="130">
        <f>C26/Dados!$C$13</f>
        <v>192.33223072598767</v>
      </c>
      <c r="E26" s="116">
        <f>IF(
D26&lt;Dados!$B$15,
Dados!$C$15,
IF(D26&lt;Dados!$B$16,
Dados!$C$16,
IF(D26&lt;Dados!$B$17,
Dados!$C$17,
IF(D26&lt;Dados!$B$18,
Dados!$C$18,
IF(D26&lt;Dados!$B$19,
Dados!$C$19,
IF(D26&lt;Dados!$B$20,
Dados!$C$20,
IF(D26&lt;Dados!$B$21,
Dados!$C$21,
IF(D26&lt;Dados!$B$22,
Dados!$C$22,
IF(D26&lt;=Dados!$B$23,Dados!$C$23,Dados!$C$23+Dados!$C$18)))))))))</f>
        <v>4200000</v>
      </c>
      <c r="F26" s="116">
        <f>IF(
D26&lt;Dados!$B$15,
Dados!D$15,
IF(D26&lt;Dados!$B$16,
Dados!D$16,
IF(D26&lt;Dados!$B$17,
Dados!D$17,
IF(D26&lt;Dados!$B$18,
Dados!D$18,
IF(D26&lt;Dados!$B$19,
Dados!D$19,
IF(D26&lt;Dados!$B$20,
Dados!D$20,
IF(D26&lt;Dados!$B$21,
Dados!D$21,
IF(D26&lt;Dados!$B$22,
Dados!D$22,
IF(D26&lt;=Dados!$B$23,Dados!D$23,Dados!D$23+Dados!D$18)))))))))</f>
        <v>311220</v>
      </c>
      <c r="G26">
        <f>IF(
D26&lt;Dados!$B$15,
Dados!B$15,
IF(D26&lt;Dados!$B$16,
Dados!B$16,
IF(D26&lt;Dados!$B$17,
Dados!B$17,
IF(D26&lt;Dados!$B$18,
Dados!B$18,
IF(D26&lt;Dados!$B$19,
Dados!B$19,
IF(D26&lt;Dados!$B$20,
Dados!B$20,
IF(D26&lt;Dados!$B$21,
Dados!B$21,
IF(D26&lt;Dados!$B$22,
Dados!B$22,
IF(D26&lt;=Dados!$B$23,Dados!B$23,Dados!B$23+Dados!B$18)))))))))</f>
        <v>200</v>
      </c>
    </row>
    <row r="27" spans="1:10" x14ac:dyDescent="0.25">
      <c r="A27" t="s">
        <v>59</v>
      </c>
      <c r="B27" t="s">
        <v>34</v>
      </c>
      <c r="C27" s="130">
        <f>SUMIFS('Qtd Vendas x Faturamento'!D:D,'Qtd Vendas x Faturamento'!A:A,Lotes!A27,'Qtd Vendas x Faturamento'!B:B,Lotes!B27)</f>
        <v>526723.58348912199</v>
      </c>
      <c r="D27" s="130">
        <f>C27/Dados!$C$13</f>
        <v>105.3447166978244</v>
      </c>
      <c r="E27" s="116">
        <f>IF(
D27&lt;Dados!$B$15,
Dados!$C$15,
IF(D27&lt;Dados!$B$16,
Dados!$C$16,
IF(D27&lt;Dados!$B$17,
Dados!$C$17,
IF(D27&lt;Dados!$B$18,
Dados!$C$18,
IF(D27&lt;Dados!$B$19,
Dados!$C$19,
IF(D27&lt;Dados!$B$20,
Dados!$C$20,
IF(D27&lt;Dados!$B$21,
Dados!$C$21,
IF(D27&lt;Dados!$B$22,
Dados!$C$22,
IF(D27&lt;=Dados!$B$23,Dados!$C$23,Dados!$C$23+Dados!$C$18)))))))))</f>
        <v>3150000</v>
      </c>
      <c r="F27" s="116">
        <f>IF(
D27&lt;Dados!$B$15,
Dados!D$15,
IF(D27&lt;Dados!$B$16,
Dados!D$16,
IF(D27&lt;Dados!$B$17,
Dados!D$17,
IF(D27&lt;Dados!$B$18,
Dados!D$18,
IF(D27&lt;Dados!$B$19,
Dados!D$19,
IF(D27&lt;Dados!$B$20,
Dados!D$20,
IF(D27&lt;Dados!$B$21,
Dados!D$21,
IF(D27&lt;Dados!$B$22,
Dados!D$22,
IF(D27&lt;=Dados!$B$23,Dados!D$23,Dados!D$23+Dados!D$18)))))))))</f>
        <v>200812</v>
      </c>
      <c r="G27">
        <f>IF(
D27&lt;Dados!$B$15,
Dados!B$15,
IF(D27&lt;Dados!$B$16,
Dados!B$16,
IF(D27&lt;Dados!$B$17,
Dados!B$17,
IF(D27&lt;Dados!$B$18,
Dados!B$18,
IF(D27&lt;Dados!$B$19,
Dados!B$19,
IF(D27&lt;Dados!$B$20,
Dados!B$20,
IF(D27&lt;Dados!$B$21,
Dados!B$21,
IF(D27&lt;Dados!$B$22,
Dados!B$22,
IF(D27&lt;=Dados!$B$23,Dados!B$23,Dados!B$23+Dados!B$18)))))))))</f>
        <v>150</v>
      </c>
    </row>
    <row r="28" spans="1:10" x14ac:dyDescent="0.25">
      <c r="A28" t="s">
        <v>59</v>
      </c>
      <c r="B28" t="s">
        <v>36</v>
      </c>
      <c r="C28" s="130">
        <f>SUMIFS('Qtd Vendas x Faturamento'!D:D,'Qtd Vendas x Faturamento'!A:A,Lotes!A28,'Qtd Vendas x Faturamento'!B:B,Lotes!B28)</f>
        <v>1492675.7695790732</v>
      </c>
      <c r="D28" s="130">
        <f>C28/Dados!$C$13</f>
        <v>298.53515391581465</v>
      </c>
      <c r="E28" s="116">
        <f>IF(
D28&lt;Dados!$B$15,
Dados!$C$15,
IF(D28&lt;Dados!$B$16,
Dados!$C$16,
IF(D28&lt;Dados!$B$17,
Dados!$C$17,
IF(D28&lt;Dados!$B$18,
Dados!$C$18,
IF(D28&lt;Dados!$B$19,
Dados!$C$19,
IF(D28&lt;Dados!$B$20,
Dados!$C$20,
IF(D28&lt;Dados!$B$21,
Dados!$C$21,
IF(D28&lt;Dados!$B$22,
Dados!$C$22,
IF(D28&lt;=Dados!$B$23,Dados!$C$23,Dados!$C$23+Dados!$C$18)))))))))</f>
        <v>6300000</v>
      </c>
      <c r="F28" s="116">
        <f>IF(
D28&lt;Dados!$B$15,
Dados!D$15,
IF(D28&lt;Dados!$B$16,
Dados!D$16,
IF(D28&lt;Dados!$B$17,
Dados!D$17,
IF(D28&lt;Dados!$B$18,
Dados!D$18,
IF(D28&lt;Dados!$B$19,
Dados!D$19,
IF(D28&lt;Dados!$B$20,
Dados!D$20,
IF(D28&lt;Dados!$B$21,
Dados!D$21,
IF(D28&lt;Dados!$B$22,
Dados!D$22,
IF(D28&lt;=Dados!$B$23,Dados!D$23,Dados!D$23+Dados!D$18)))))))))</f>
        <v>517954</v>
      </c>
      <c r="G28">
        <f>IF(
D28&lt;Dados!$B$15,
Dados!B$15,
IF(D28&lt;Dados!$B$16,
Dados!B$16,
IF(D28&lt;Dados!$B$17,
Dados!B$17,
IF(D28&lt;Dados!$B$18,
Dados!B$18,
IF(D28&lt;Dados!$B$19,
Dados!B$19,
IF(D28&lt;Dados!$B$20,
Dados!B$20,
IF(D28&lt;Dados!$B$21,
Dados!B$21,
IF(D28&lt;Dados!$B$22,
Dados!B$22,
IF(D28&lt;=Dados!$B$23,Dados!B$23,Dados!B$23+Dados!B$18)))))))))</f>
        <v>300</v>
      </c>
    </row>
    <row r="29" spans="1:10" x14ac:dyDescent="0.25">
      <c r="A29" t="s">
        <v>59</v>
      </c>
      <c r="B29" t="s">
        <v>40</v>
      </c>
      <c r="C29" s="130">
        <f>SUMIFS('Qtd Vendas x Faturamento'!D:D,'Qtd Vendas x Faturamento'!A:A,Lotes!A29,'Qtd Vendas x Faturamento'!B:B,Lotes!B29)</f>
        <v>286597.90528847551</v>
      </c>
      <c r="D29" s="130">
        <f>C29/Dados!$C$13</f>
        <v>57.319581057695103</v>
      </c>
      <c r="E29" s="116">
        <f>IF(
D29&lt;Dados!$B$15,
Dados!$C$15,
IF(D29&lt;Dados!$B$16,
Dados!$C$16,
IF(D29&lt;Dados!$B$17,
Dados!$C$17,
IF(D29&lt;Dados!$B$18,
Dados!$C$18,
IF(D29&lt;Dados!$B$19,
Dados!$C$19,
IF(D29&lt;Dados!$B$20,
Dados!$C$20,
IF(D29&lt;Dados!$B$21,
Dados!$C$21,
IF(D29&lt;Dados!$B$22,
Dados!$C$22,
IF(D29&lt;=Dados!$B$23,Dados!$C$23,Dados!$C$23+Dados!$C$18)))))))))</f>
        <v>2100000</v>
      </c>
      <c r="F29" s="116">
        <f>IF(
D29&lt;Dados!$B$15,
Dados!D$15,
IF(D29&lt;Dados!$B$16,
Dados!D$16,
IF(D29&lt;Dados!$B$17,
Dados!D$17,
IF(D29&lt;Dados!$B$18,
Dados!D$18,
IF(D29&lt;Dados!$B$19,
Dados!D$19,
IF(D29&lt;Dados!$B$20,
Dados!D$20,
IF(D29&lt;Dados!$B$21,
Dados!D$21,
IF(D29&lt;Dados!$B$22,
Dados!D$22,
IF(D29&lt;=Dados!$B$23,Dados!D$23,Dados!D$23+Dados!D$18)))))))))</f>
        <v>95550</v>
      </c>
      <c r="G29">
        <f>IF(
D29&lt;Dados!$B$15,
Dados!B$15,
IF(D29&lt;Dados!$B$16,
Dados!B$16,
IF(D29&lt;Dados!$B$17,
Dados!B$17,
IF(D29&lt;Dados!$B$18,
Dados!B$18,
IF(D29&lt;Dados!$B$19,
Dados!B$19,
IF(D29&lt;Dados!$B$20,
Dados!B$20,
IF(D29&lt;Dados!$B$21,
Dados!B$21,
IF(D29&lt;Dados!$B$22,
Dados!B$22,
IF(D29&lt;=Dados!$B$23,Dados!B$23,Dados!B$23+Dados!B$18)))))))))</f>
        <v>100</v>
      </c>
    </row>
    <row r="30" spans="1:10" x14ac:dyDescent="0.25">
      <c r="A30" t="s">
        <v>59</v>
      </c>
      <c r="B30" t="s">
        <v>42</v>
      </c>
      <c r="C30" s="130">
        <f>SUMIFS('Qtd Vendas x Faturamento'!D:D,'Qtd Vendas x Faturamento'!A:A,Lotes!A30,'Qtd Vendas x Faturamento'!B:B,Lotes!B30)</f>
        <v>305341.58801339107</v>
      </c>
      <c r="D30" s="130">
        <f>C30/Dados!$C$13</f>
        <v>61.068317602678214</v>
      </c>
      <c r="E30" s="116">
        <f>IF(
D30&lt;Dados!$B$15,
Dados!$C$15,
IF(D30&lt;Dados!$B$16,
Dados!$C$16,
IF(D30&lt;Dados!$B$17,
Dados!$C$17,
IF(D30&lt;Dados!$B$18,
Dados!$C$18,
IF(D30&lt;Dados!$B$19,
Dados!$C$19,
IF(D30&lt;Dados!$B$20,
Dados!$C$20,
IF(D30&lt;Dados!$B$21,
Dados!$C$21,
IF(D30&lt;Dados!$B$22,
Dados!$C$22,
IF(D30&lt;=Dados!$B$23,Dados!$C$23,Dados!$C$23+Dados!$C$18)))))))))</f>
        <v>2100000</v>
      </c>
      <c r="F30" s="116">
        <f>IF(
D30&lt;Dados!$B$15,
Dados!D$15,
IF(D30&lt;Dados!$B$16,
Dados!D$16,
IF(D30&lt;Dados!$B$17,
Dados!D$17,
IF(D30&lt;Dados!$B$18,
Dados!D$18,
IF(D30&lt;Dados!$B$19,
Dados!D$19,
IF(D30&lt;Dados!$B$20,
Dados!D$20,
IF(D30&lt;Dados!$B$21,
Dados!D$21,
IF(D30&lt;Dados!$B$22,
Dados!D$22,
IF(D30&lt;=Dados!$B$23,Dados!D$23,Dados!D$23+Dados!D$18)))))))))</f>
        <v>95550</v>
      </c>
      <c r="G30">
        <f>IF(
D30&lt;Dados!$B$15,
Dados!B$15,
IF(D30&lt;Dados!$B$16,
Dados!B$16,
IF(D30&lt;Dados!$B$17,
Dados!B$17,
IF(D30&lt;Dados!$B$18,
Dados!B$18,
IF(D30&lt;Dados!$B$19,
Dados!B$19,
IF(D30&lt;Dados!$B$20,
Dados!B$20,
IF(D30&lt;Dados!$B$21,
Dados!B$21,
IF(D30&lt;Dados!$B$22,
Dados!B$22,
IF(D30&lt;=Dados!$B$23,Dados!B$23,Dados!B$23+Dados!B$18)))))))))</f>
        <v>100</v>
      </c>
    </row>
    <row r="31" spans="1:10" x14ac:dyDescent="0.25">
      <c r="A31" t="s">
        <v>59</v>
      </c>
      <c r="B31" t="s">
        <v>38</v>
      </c>
      <c r="C31" s="130">
        <f>SUMIFS('Qtd Vendas x Faturamento'!D:D,'Qtd Vendas x Faturamento'!A:A,Lotes!A31,'Qtd Vendas x Faturamento'!B:B,Lotes!B31)</f>
        <v>961661.15362993837</v>
      </c>
      <c r="D31" s="130">
        <f>C31/Dados!$C$13</f>
        <v>192.33223072598767</v>
      </c>
      <c r="E31" s="116">
        <f>IF(
D31&lt;Dados!$B$15,
Dados!$C$15,
IF(D31&lt;Dados!$B$16,
Dados!$C$16,
IF(D31&lt;Dados!$B$17,
Dados!$C$17,
IF(D31&lt;Dados!$B$18,
Dados!$C$18,
IF(D31&lt;Dados!$B$19,
Dados!$C$19,
IF(D31&lt;Dados!$B$20,
Dados!$C$20,
IF(D31&lt;Dados!$B$21,
Dados!$C$21,
IF(D31&lt;Dados!$B$22,
Dados!$C$22,
IF(D31&lt;=Dados!$B$23,Dados!$C$23,Dados!$C$23+Dados!$C$18)))))))))</f>
        <v>4200000</v>
      </c>
      <c r="F31" s="116">
        <f>IF(
D31&lt;Dados!$B$15,
Dados!D$15,
IF(D31&lt;Dados!$B$16,
Dados!D$16,
IF(D31&lt;Dados!$B$17,
Dados!D$17,
IF(D31&lt;Dados!$B$18,
Dados!D$18,
IF(D31&lt;Dados!$B$19,
Dados!D$19,
IF(D31&lt;Dados!$B$20,
Dados!D$20,
IF(D31&lt;Dados!$B$21,
Dados!D$21,
IF(D31&lt;Dados!$B$22,
Dados!D$22,
IF(D31&lt;=Dados!$B$23,Dados!D$23,Dados!D$23+Dados!D$18)))))))))</f>
        <v>311220</v>
      </c>
      <c r="G31">
        <f>IF(
D31&lt;Dados!$B$15,
Dados!B$15,
IF(D31&lt;Dados!$B$16,
Dados!B$16,
IF(D31&lt;Dados!$B$17,
Dados!B$17,
IF(D31&lt;Dados!$B$18,
Dados!B$18,
IF(D31&lt;Dados!$B$19,
Dados!B$19,
IF(D31&lt;Dados!$B$20,
Dados!B$20,
IF(D31&lt;Dados!$B$21,
Dados!B$21,
IF(D31&lt;Dados!$B$22,
Dados!B$22,
IF(D31&lt;=Dados!$B$23,Dados!B$23,Dados!B$23+Dados!B$18)))))))))</f>
        <v>200</v>
      </c>
    </row>
    <row r="32" spans="1:10" x14ac:dyDescent="0.25">
      <c r="A32" t="s">
        <v>60</v>
      </c>
      <c r="B32" t="s">
        <v>34</v>
      </c>
      <c r="C32" s="130">
        <f>SUMIFS('Qtd Vendas x Faturamento'!D:D,'Qtd Vendas x Faturamento'!A:A,Lotes!A32,'Qtd Vendas x Faturamento'!B:B,Lotes!B32)</f>
        <v>351149.05565941462</v>
      </c>
      <c r="D32" s="130">
        <f>C32/Dados!$C$13</f>
        <v>70.229811131882926</v>
      </c>
      <c r="E32" s="116">
        <f>IF(
D32&lt;Dados!$B$15,
Dados!$C$15,
IF(D32&lt;Dados!$B$16,
Dados!$C$16,
IF(D32&lt;Dados!$B$17,
Dados!$C$17,
IF(D32&lt;Dados!$B$18,
Dados!$C$18,
IF(D32&lt;Dados!$B$19,
Dados!$C$19,
IF(D32&lt;Dados!$B$20,
Dados!$C$20,
IF(D32&lt;Dados!$B$21,
Dados!$C$21,
IF(D32&lt;Dados!$B$22,
Dados!$C$22,
IF(D32&lt;=Dados!$B$23,Dados!$C$23,Dados!$C$23+Dados!$C$18)))))))))</f>
        <v>2100000</v>
      </c>
      <c r="F32" s="116">
        <f>IF(
D32&lt;Dados!$B$15,
Dados!D$15,
IF(D32&lt;Dados!$B$16,
Dados!D$16,
IF(D32&lt;Dados!$B$17,
Dados!D$17,
IF(D32&lt;Dados!$B$18,
Dados!D$18,
IF(D32&lt;Dados!$B$19,
Dados!D$19,
IF(D32&lt;Dados!$B$20,
Dados!D$20,
IF(D32&lt;Dados!$B$21,
Dados!D$21,
IF(D32&lt;Dados!$B$22,
Dados!D$22,
IF(D32&lt;=Dados!$B$23,Dados!D$23,Dados!D$23+Dados!D$18)))))))))</f>
        <v>95550</v>
      </c>
      <c r="G32">
        <f>IF(
D32&lt;Dados!$B$15,
Dados!B$15,
IF(D32&lt;Dados!$B$16,
Dados!B$16,
IF(D32&lt;Dados!$B$17,
Dados!B$17,
IF(D32&lt;Dados!$B$18,
Dados!B$18,
IF(D32&lt;Dados!$B$19,
Dados!B$19,
IF(D32&lt;Dados!$B$20,
Dados!B$20,
IF(D32&lt;Dados!$B$21,
Dados!B$21,
IF(D32&lt;Dados!$B$22,
Dados!B$22,
IF(D32&lt;=Dados!$B$23,Dados!B$23,Dados!B$23+Dados!B$18)))))))))</f>
        <v>100</v>
      </c>
    </row>
    <row r="33" spans="1:7" x14ac:dyDescent="0.25">
      <c r="A33" t="s">
        <v>60</v>
      </c>
      <c r="B33" t="s">
        <v>36</v>
      </c>
      <c r="C33" s="130">
        <f>SUMIFS('Qtd Vendas x Faturamento'!D:D,'Qtd Vendas x Faturamento'!A:A,Lotes!A33,'Qtd Vendas x Faturamento'!B:B,Lotes!B33)</f>
        <v>995117.17971938208</v>
      </c>
      <c r="D33" s="130">
        <f>C33/Dados!$C$13</f>
        <v>199.02343594387642</v>
      </c>
      <c r="E33" s="116">
        <f>IF(
D33&lt;Dados!$B$15,
Dados!$C$15,
IF(D33&lt;Dados!$B$16,
Dados!$C$16,
IF(D33&lt;Dados!$B$17,
Dados!$C$17,
IF(D33&lt;Dados!$B$18,
Dados!$C$18,
IF(D33&lt;Dados!$B$19,
Dados!$C$19,
IF(D33&lt;Dados!$B$20,
Dados!$C$20,
IF(D33&lt;Dados!$B$21,
Dados!$C$21,
IF(D33&lt;Dados!$B$22,
Dados!$C$22,
IF(D33&lt;=Dados!$B$23,Dados!$C$23,Dados!$C$23+Dados!$C$18)))))))))</f>
        <v>4200000</v>
      </c>
      <c r="F33" s="116">
        <f>IF(
D33&lt;Dados!$B$15,
Dados!D$15,
IF(D33&lt;Dados!$B$16,
Dados!D$16,
IF(D33&lt;Dados!$B$17,
Dados!D$17,
IF(D33&lt;Dados!$B$18,
Dados!D$18,
IF(D33&lt;Dados!$B$19,
Dados!D$19,
IF(D33&lt;Dados!$B$20,
Dados!D$20,
IF(D33&lt;Dados!$B$21,
Dados!D$21,
IF(D33&lt;Dados!$B$22,
Dados!D$22,
IF(D33&lt;=Dados!$B$23,Dados!D$23,Dados!D$23+Dados!D$18)))))))))</f>
        <v>311220</v>
      </c>
      <c r="G33">
        <f>IF(
D33&lt;Dados!$B$15,
Dados!B$15,
IF(D33&lt;Dados!$B$16,
Dados!B$16,
IF(D33&lt;Dados!$B$17,
Dados!B$17,
IF(D33&lt;Dados!$B$18,
Dados!B$18,
IF(D33&lt;Dados!$B$19,
Dados!B$19,
IF(D33&lt;Dados!$B$20,
Dados!B$20,
IF(D33&lt;Dados!$B$21,
Dados!B$21,
IF(D33&lt;Dados!$B$22,
Dados!B$22,
IF(D33&lt;=Dados!$B$23,Dados!B$23,Dados!B$23+Dados!B$18)))))))))</f>
        <v>200</v>
      </c>
    </row>
    <row r="34" spans="1:7" x14ac:dyDescent="0.25">
      <c r="A34" t="s">
        <v>60</v>
      </c>
      <c r="B34" t="s">
        <v>40</v>
      </c>
      <c r="C34" s="130">
        <f>SUMIFS('Qtd Vendas x Faturamento'!D:D,'Qtd Vendas x Faturamento'!A:A,Lotes!A34,'Qtd Vendas x Faturamento'!B:B,Lotes!B34)</f>
        <v>191065.27019231697</v>
      </c>
      <c r="D34" s="130">
        <f>C34/Dados!$C$13</f>
        <v>38.21305403846339</v>
      </c>
      <c r="E34" s="116">
        <f>IF(
D34&lt;Dados!$B$15,
Dados!$C$15,
IF(D34&lt;Dados!$B$16,
Dados!$C$16,
IF(D34&lt;Dados!$B$17,
Dados!$C$17,
IF(D34&lt;Dados!$B$18,
Dados!$C$18,
IF(D34&lt;Dados!$B$19,
Dados!$C$19,
IF(D34&lt;Dados!$B$20,
Dados!$C$20,
IF(D34&lt;Dados!$B$21,
Dados!$C$21,
IF(D34&lt;Dados!$B$22,
Dados!$C$22,
IF(D34&lt;=Dados!$B$23,Dados!$C$23,Dados!$C$23+Dados!$C$18)))))))))</f>
        <v>1050000</v>
      </c>
      <c r="F34" s="116">
        <f>IF(
D34&lt;Dados!$B$15,
Dados!D$15,
IF(D34&lt;Dados!$B$16,
Dados!D$16,
IF(D34&lt;Dados!$B$17,
Dados!D$17,
IF(D34&lt;Dados!$B$18,
Dados!D$18,
IF(D34&lt;Dados!$B$19,
Dados!D$19,
IF(D34&lt;Dados!$B$20,
Dados!D$20,
IF(D34&lt;Dados!$B$21,
Dados!D$21,
IF(D34&lt;Dados!$B$22,
Dados!D$22,
IF(D34&lt;=Dados!$B$23,Dados!D$23,Dados!D$23+Dados!D$18)))))))))</f>
        <v>36540</v>
      </c>
      <c r="G34">
        <f>IF(
D34&lt;Dados!$B$15,
Dados!B$15,
IF(D34&lt;Dados!$B$16,
Dados!B$16,
IF(D34&lt;Dados!$B$17,
Dados!B$17,
IF(D34&lt;Dados!$B$18,
Dados!B$18,
IF(D34&lt;Dados!$B$19,
Dados!B$19,
IF(D34&lt;Dados!$B$20,
Dados!B$20,
IF(D34&lt;Dados!$B$21,
Dados!B$21,
IF(D34&lt;Dados!$B$22,
Dados!B$22,
IF(D34&lt;=Dados!$B$23,Dados!B$23,Dados!B$23+Dados!B$18)))))))))</f>
        <v>50</v>
      </c>
    </row>
    <row r="35" spans="1:7" x14ac:dyDescent="0.25">
      <c r="A35" t="s">
        <v>60</v>
      </c>
      <c r="B35" t="s">
        <v>42</v>
      </c>
      <c r="C35" s="130">
        <f>SUMIFS('Qtd Vendas x Faturamento'!D:D,'Qtd Vendas x Faturamento'!A:A,Lotes!A35,'Qtd Vendas x Faturamento'!B:B,Lotes!B35)</f>
        <v>203561.05867559407</v>
      </c>
      <c r="D35" s="130">
        <f>C35/Dados!$C$13</f>
        <v>40.712211735118814</v>
      </c>
      <c r="E35" s="116">
        <f>IF(
D35&lt;Dados!$B$15,
Dados!$C$15,
IF(D35&lt;Dados!$B$16,
Dados!$C$16,
IF(D35&lt;Dados!$B$17,
Dados!$C$17,
IF(D35&lt;Dados!$B$18,
Dados!$C$18,
IF(D35&lt;Dados!$B$19,
Dados!$C$19,
IF(D35&lt;Dados!$B$20,
Dados!$C$20,
IF(D35&lt;Dados!$B$21,
Dados!$C$21,
IF(D35&lt;Dados!$B$22,
Dados!$C$22,
IF(D35&lt;=Dados!$B$23,Dados!$C$23,Dados!$C$23+Dados!$C$18)))))))))</f>
        <v>1050000</v>
      </c>
      <c r="F35" s="116">
        <f>IF(
D35&lt;Dados!$B$15,
Dados!D$15,
IF(D35&lt;Dados!$B$16,
Dados!D$16,
IF(D35&lt;Dados!$B$17,
Dados!D$17,
IF(D35&lt;Dados!$B$18,
Dados!D$18,
IF(D35&lt;Dados!$B$19,
Dados!D$19,
IF(D35&lt;Dados!$B$20,
Dados!D$20,
IF(D35&lt;Dados!$B$21,
Dados!D$21,
IF(D35&lt;Dados!$B$22,
Dados!D$22,
IF(D35&lt;=Dados!$B$23,Dados!D$23,Dados!D$23+Dados!D$18)))))))))</f>
        <v>36540</v>
      </c>
      <c r="G35">
        <f>IF(
D35&lt;Dados!$B$15,
Dados!B$15,
IF(D35&lt;Dados!$B$16,
Dados!B$16,
IF(D35&lt;Dados!$B$17,
Dados!B$17,
IF(D35&lt;Dados!$B$18,
Dados!B$18,
IF(D35&lt;Dados!$B$19,
Dados!B$19,
IF(D35&lt;Dados!$B$20,
Dados!B$20,
IF(D35&lt;Dados!$B$21,
Dados!B$21,
IF(D35&lt;Dados!$B$22,
Dados!B$22,
IF(D35&lt;=Dados!$B$23,Dados!B$23,Dados!B$23+Dados!B$18)))))))))</f>
        <v>50</v>
      </c>
    </row>
    <row r="36" spans="1:7" x14ac:dyDescent="0.25">
      <c r="A36" t="s">
        <v>60</v>
      </c>
      <c r="B36" t="s">
        <v>38</v>
      </c>
      <c r="C36" s="130">
        <f>SUMIFS('Qtd Vendas x Faturamento'!D:D,'Qtd Vendas x Faturamento'!A:A,Lotes!A36,'Qtd Vendas x Faturamento'!B:B,Lotes!B36)</f>
        <v>641107.43575329217</v>
      </c>
      <c r="D36" s="130">
        <f>C36/Dados!$C$13</f>
        <v>128.22148715065845</v>
      </c>
      <c r="E36" s="116">
        <f>IF(
D36&lt;Dados!$B$15,
Dados!$C$15,
IF(D36&lt;Dados!$B$16,
Dados!$C$16,
IF(D36&lt;Dados!$B$17,
Dados!$C$17,
IF(D36&lt;Dados!$B$18,
Dados!$C$18,
IF(D36&lt;Dados!$B$19,
Dados!$C$19,
IF(D36&lt;Dados!$B$20,
Dados!$C$20,
IF(D36&lt;Dados!$B$21,
Dados!$C$21,
IF(D36&lt;Dados!$B$22,
Dados!$C$22,
IF(D36&lt;=Dados!$B$23,Dados!$C$23,Dados!$C$23+Dados!$C$18)))))))))</f>
        <v>3150000</v>
      </c>
      <c r="F36" s="116">
        <f>IF(
D36&lt;Dados!$B$15,
Dados!D$15,
IF(D36&lt;Dados!$B$16,
Dados!D$16,
IF(D36&lt;Dados!$B$17,
Dados!D$17,
IF(D36&lt;Dados!$B$18,
Dados!D$18,
IF(D36&lt;Dados!$B$19,
Dados!D$19,
IF(D36&lt;Dados!$B$20,
Dados!D$20,
IF(D36&lt;Dados!$B$21,
Dados!D$21,
IF(D36&lt;Dados!$B$22,
Dados!D$22,
IF(D36&lt;=Dados!$B$23,Dados!D$23,Dados!D$23+Dados!D$18)))))))))</f>
        <v>200812</v>
      </c>
      <c r="G36">
        <f>IF(
D36&lt;Dados!$B$15,
Dados!B$15,
IF(D36&lt;Dados!$B$16,
Dados!B$16,
IF(D36&lt;Dados!$B$17,
Dados!B$17,
IF(D36&lt;Dados!$B$18,
Dados!B$18,
IF(D36&lt;Dados!$B$19,
Dados!B$19,
IF(D36&lt;Dados!$B$20,
Dados!B$20,
IF(D36&lt;Dados!$B$21,
Dados!B$21,
IF(D36&lt;Dados!$B$22,
Dados!B$22,
IF(D36&lt;=Dados!$B$23,Dados!B$23,Dados!B$23+Dados!B$18)))))))))</f>
        <v>150</v>
      </c>
    </row>
    <row r="37" spans="1:7" x14ac:dyDescent="0.25">
      <c r="A37" t="s">
        <v>61</v>
      </c>
      <c r="B37" t="s">
        <v>34</v>
      </c>
      <c r="C37" s="130">
        <f>SUMIFS('Qtd Vendas x Faturamento'!D:D,'Qtd Vendas x Faturamento'!A:A,Lotes!A37,'Qtd Vendas x Faturamento'!B:B,Lotes!B37)</f>
        <v>468198.74087921955</v>
      </c>
      <c r="D37" s="130">
        <f>C37/Dados!$C$13</f>
        <v>93.639748175843906</v>
      </c>
      <c r="E37" s="116">
        <f>IF(
D37&lt;Dados!$B$15,
Dados!$C$15,
IF(D37&lt;Dados!$B$16,
Dados!$C$16,
IF(D37&lt;Dados!$B$17,
Dados!$C$17,
IF(D37&lt;Dados!$B$18,
Dados!$C$18,
IF(D37&lt;Dados!$B$19,
Dados!$C$19,
IF(D37&lt;Dados!$B$20,
Dados!$C$20,
IF(D37&lt;Dados!$B$21,
Dados!$C$21,
IF(D37&lt;Dados!$B$22,
Dados!$C$22,
IF(D37&lt;=Dados!$B$23,Dados!$C$23,Dados!$C$23+Dados!$C$18)))))))))</f>
        <v>2100000</v>
      </c>
      <c r="F37" s="116">
        <f>IF(
D37&lt;Dados!$B$15,
Dados!D$15,
IF(D37&lt;Dados!$B$16,
Dados!D$16,
IF(D37&lt;Dados!$B$17,
Dados!D$17,
IF(D37&lt;Dados!$B$18,
Dados!D$18,
IF(D37&lt;Dados!$B$19,
Dados!D$19,
IF(D37&lt;Dados!$B$20,
Dados!D$20,
IF(D37&lt;Dados!$B$21,
Dados!D$21,
IF(D37&lt;Dados!$B$22,
Dados!D$22,
IF(D37&lt;=Dados!$B$23,Dados!D$23,Dados!D$23+Dados!D$18)))))))))</f>
        <v>95550</v>
      </c>
      <c r="G37">
        <f>IF(
D37&lt;Dados!$B$15,
Dados!B$15,
IF(D37&lt;Dados!$B$16,
Dados!B$16,
IF(D37&lt;Dados!$B$17,
Dados!B$17,
IF(D37&lt;Dados!$B$18,
Dados!B$18,
IF(D37&lt;Dados!$B$19,
Dados!B$19,
IF(D37&lt;Dados!$B$20,
Dados!B$20,
IF(D37&lt;Dados!$B$21,
Dados!B$21,
IF(D37&lt;Dados!$B$22,
Dados!B$22,
IF(D37&lt;=Dados!$B$23,Dados!B$23,Dados!B$23+Dados!B$18)))))))))</f>
        <v>100</v>
      </c>
    </row>
    <row r="38" spans="1:7" x14ac:dyDescent="0.25">
      <c r="A38" t="s">
        <v>61</v>
      </c>
      <c r="B38" t="s">
        <v>36</v>
      </c>
      <c r="C38" s="130">
        <f>SUMIFS('Qtd Vendas x Faturamento'!D:D,'Qtd Vendas x Faturamento'!A:A,Lotes!A38,'Qtd Vendas x Faturamento'!B:B,Lotes!B38)</f>
        <v>1326822.9062925095</v>
      </c>
      <c r="D38" s="130">
        <f>C38/Dados!$C$13</f>
        <v>265.36458125850191</v>
      </c>
      <c r="E38" s="116">
        <f>IF(
D38&lt;Dados!$B$15,
Dados!$C$15,
IF(D38&lt;Dados!$B$16,
Dados!$C$16,
IF(D38&lt;Dados!$B$17,
Dados!$C$17,
IF(D38&lt;Dados!$B$18,
Dados!$C$18,
IF(D38&lt;Dados!$B$19,
Dados!$C$19,
IF(D38&lt;Dados!$B$20,
Dados!$C$20,
IF(D38&lt;Dados!$B$21,
Dados!$C$21,
IF(D38&lt;Dados!$B$22,
Dados!$C$22,
IF(D38&lt;=Dados!$B$23,Dados!$C$23,Dados!$C$23+Dados!$C$18)))))))))</f>
        <v>6300000</v>
      </c>
      <c r="F38" s="116">
        <f>IF(
D38&lt;Dados!$B$15,
Dados!D$15,
IF(D38&lt;Dados!$B$16,
Dados!D$16,
IF(D38&lt;Dados!$B$17,
Dados!D$17,
IF(D38&lt;Dados!$B$18,
Dados!D$18,
IF(D38&lt;Dados!$B$19,
Dados!D$19,
IF(D38&lt;Dados!$B$20,
Dados!D$20,
IF(D38&lt;Dados!$B$21,
Dados!D$21,
IF(D38&lt;Dados!$B$22,
Dados!D$22,
IF(D38&lt;=Dados!$B$23,Dados!D$23,Dados!D$23+Dados!D$18)))))))))</f>
        <v>517954</v>
      </c>
      <c r="G38">
        <f>IF(
D38&lt;Dados!$B$15,
Dados!B$15,
IF(D38&lt;Dados!$B$16,
Dados!B$16,
IF(D38&lt;Dados!$B$17,
Dados!B$17,
IF(D38&lt;Dados!$B$18,
Dados!B$18,
IF(D38&lt;Dados!$B$19,
Dados!B$19,
IF(D38&lt;Dados!$B$20,
Dados!B$20,
IF(D38&lt;Dados!$B$21,
Dados!B$21,
IF(D38&lt;Dados!$B$22,
Dados!B$22,
IF(D38&lt;=Dados!$B$23,Dados!B$23,Dados!B$23+Dados!B$18)))))))))</f>
        <v>300</v>
      </c>
    </row>
    <row r="39" spans="1:7" x14ac:dyDescent="0.25">
      <c r="A39" t="s">
        <v>61</v>
      </c>
      <c r="B39" t="s">
        <v>40</v>
      </c>
      <c r="C39" s="130">
        <f>SUMIFS('Qtd Vendas x Faturamento'!D:D,'Qtd Vendas x Faturamento'!A:A,Lotes!A39,'Qtd Vendas x Faturamento'!B:B,Lotes!B39)</f>
        <v>254753.69358975603</v>
      </c>
      <c r="D39" s="130">
        <f>C39/Dados!$C$13</f>
        <v>50.950738717951204</v>
      </c>
      <c r="E39" s="116">
        <f>IF(
D39&lt;Dados!$B$15,
Dados!$C$15,
IF(D39&lt;Dados!$B$16,
Dados!$C$16,
IF(D39&lt;Dados!$B$17,
Dados!$C$17,
IF(D39&lt;Dados!$B$18,
Dados!$C$18,
IF(D39&lt;Dados!$B$19,
Dados!$C$19,
IF(D39&lt;Dados!$B$20,
Dados!$C$20,
IF(D39&lt;Dados!$B$21,
Dados!$C$21,
IF(D39&lt;Dados!$B$22,
Dados!$C$22,
IF(D39&lt;=Dados!$B$23,Dados!$C$23,Dados!$C$23+Dados!$C$18)))))))))</f>
        <v>2100000</v>
      </c>
      <c r="F39" s="116">
        <f>IF(
D39&lt;Dados!$B$15,
Dados!D$15,
IF(D39&lt;Dados!$B$16,
Dados!D$16,
IF(D39&lt;Dados!$B$17,
Dados!D$17,
IF(D39&lt;Dados!$B$18,
Dados!D$18,
IF(D39&lt;Dados!$B$19,
Dados!D$19,
IF(D39&lt;Dados!$B$20,
Dados!D$20,
IF(D39&lt;Dados!$B$21,
Dados!D$21,
IF(D39&lt;Dados!$B$22,
Dados!D$22,
IF(D39&lt;=Dados!$B$23,Dados!D$23,Dados!D$23+Dados!D$18)))))))))</f>
        <v>95550</v>
      </c>
      <c r="G39">
        <f>IF(
D39&lt;Dados!$B$15,
Dados!B$15,
IF(D39&lt;Dados!$B$16,
Dados!B$16,
IF(D39&lt;Dados!$B$17,
Dados!B$17,
IF(D39&lt;Dados!$B$18,
Dados!B$18,
IF(D39&lt;Dados!$B$19,
Dados!B$19,
IF(D39&lt;Dados!$B$20,
Dados!B$20,
IF(D39&lt;Dados!$B$21,
Dados!B$21,
IF(D39&lt;Dados!$B$22,
Dados!B$22,
IF(D39&lt;=Dados!$B$23,Dados!B$23,Dados!B$23+Dados!B$18)))))))))</f>
        <v>100</v>
      </c>
    </row>
    <row r="40" spans="1:7" x14ac:dyDescent="0.25">
      <c r="A40" t="s">
        <v>61</v>
      </c>
      <c r="B40" t="s">
        <v>42</v>
      </c>
      <c r="C40" s="130">
        <f>SUMIFS('Qtd Vendas x Faturamento'!D:D,'Qtd Vendas x Faturamento'!A:A,Lotes!A40,'Qtd Vendas x Faturamento'!B:B,Lotes!B40)</f>
        <v>271414.74490079208</v>
      </c>
      <c r="D40" s="130">
        <f>C40/Dados!$C$13</f>
        <v>54.282948980158416</v>
      </c>
      <c r="E40" s="116">
        <f>IF(
D40&lt;Dados!$B$15,
Dados!$C$15,
IF(D40&lt;Dados!$B$16,
Dados!$C$16,
IF(D40&lt;Dados!$B$17,
Dados!$C$17,
IF(D40&lt;Dados!$B$18,
Dados!$C$18,
IF(D40&lt;Dados!$B$19,
Dados!$C$19,
IF(D40&lt;Dados!$B$20,
Dados!$C$20,
IF(D40&lt;Dados!$B$21,
Dados!$C$21,
IF(D40&lt;Dados!$B$22,
Dados!$C$22,
IF(D40&lt;=Dados!$B$23,Dados!$C$23,Dados!$C$23+Dados!$C$18)))))))))</f>
        <v>2100000</v>
      </c>
      <c r="F40" s="116">
        <f>IF(
D40&lt;Dados!$B$15,
Dados!D$15,
IF(D40&lt;Dados!$B$16,
Dados!D$16,
IF(D40&lt;Dados!$B$17,
Dados!D$17,
IF(D40&lt;Dados!$B$18,
Dados!D$18,
IF(D40&lt;Dados!$B$19,
Dados!D$19,
IF(D40&lt;Dados!$B$20,
Dados!D$20,
IF(D40&lt;Dados!$B$21,
Dados!D$21,
IF(D40&lt;Dados!$B$22,
Dados!D$22,
IF(D40&lt;=Dados!$B$23,Dados!D$23,Dados!D$23+Dados!D$18)))))))))</f>
        <v>95550</v>
      </c>
      <c r="G40">
        <f>IF(
D40&lt;Dados!$B$15,
Dados!B$15,
IF(D40&lt;Dados!$B$16,
Dados!B$16,
IF(D40&lt;Dados!$B$17,
Dados!B$17,
IF(D40&lt;Dados!$B$18,
Dados!B$18,
IF(D40&lt;Dados!$B$19,
Dados!B$19,
IF(D40&lt;Dados!$B$20,
Dados!B$20,
IF(D40&lt;Dados!$B$21,
Dados!B$21,
IF(D40&lt;Dados!$B$22,
Dados!B$22,
IF(D40&lt;=Dados!$B$23,Dados!B$23,Dados!B$23+Dados!B$18)))))))))</f>
        <v>100</v>
      </c>
    </row>
    <row r="41" spans="1:7" x14ac:dyDescent="0.25">
      <c r="A41" t="s">
        <v>61</v>
      </c>
      <c r="B41" t="s">
        <v>38</v>
      </c>
      <c r="C41" s="130">
        <f>SUMIFS('Qtd Vendas x Faturamento'!D:D,'Qtd Vendas x Faturamento'!A:A,Lotes!A41,'Qtd Vendas x Faturamento'!B:B,Lotes!B41)</f>
        <v>854809.91433772282</v>
      </c>
      <c r="D41" s="130">
        <f>C41/Dados!$C$13</f>
        <v>170.96198286754458</v>
      </c>
      <c r="E41" s="116">
        <f>IF(
D41&lt;Dados!$B$15,
Dados!$C$15,
IF(D41&lt;Dados!$B$16,
Dados!$C$16,
IF(D41&lt;Dados!$B$17,
Dados!$C$17,
IF(D41&lt;Dados!$B$18,
Dados!$C$18,
IF(D41&lt;Dados!$B$19,
Dados!$C$19,
IF(D41&lt;Dados!$B$20,
Dados!$C$20,
IF(D41&lt;Dados!$B$21,
Dados!$C$21,
IF(D41&lt;Dados!$B$22,
Dados!$C$22,
IF(D41&lt;=Dados!$B$23,Dados!$C$23,Dados!$C$23+Dados!$C$18)))))))))</f>
        <v>4200000</v>
      </c>
      <c r="F41" s="116">
        <f>IF(
D41&lt;Dados!$B$15,
Dados!D$15,
IF(D41&lt;Dados!$B$16,
Dados!D$16,
IF(D41&lt;Dados!$B$17,
Dados!D$17,
IF(D41&lt;Dados!$B$18,
Dados!D$18,
IF(D41&lt;Dados!$B$19,
Dados!D$19,
IF(D41&lt;Dados!$B$20,
Dados!D$20,
IF(D41&lt;Dados!$B$21,
Dados!D$21,
IF(D41&lt;Dados!$B$22,
Dados!D$22,
IF(D41&lt;=Dados!$B$23,Dados!D$23,Dados!D$23+Dados!D$18)))))))))</f>
        <v>311220</v>
      </c>
      <c r="G41">
        <f>IF(
D41&lt;Dados!$B$15,
Dados!B$15,
IF(D41&lt;Dados!$B$16,
Dados!B$16,
IF(D41&lt;Dados!$B$17,
Dados!B$17,
IF(D41&lt;Dados!$B$18,
Dados!B$18,
IF(D41&lt;Dados!$B$19,
Dados!B$19,
IF(D41&lt;Dados!$B$20,
Dados!B$20,
IF(D41&lt;Dados!$B$21,
Dados!B$21,
IF(D41&lt;Dados!$B$22,
Dados!B$22,
IF(D41&lt;=Dados!$B$23,Dados!B$23,Dados!B$23+Dados!B$18)))))))))</f>
        <v>200</v>
      </c>
    </row>
    <row r="42" spans="1:7" x14ac:dyDescent="0.25">
      <c r="A42" t="s">
        <v>62</v>
      </c>
      <c r="B42" t="s">
        <v>34</v>
      </c>
      <c r="C42" s="130">
        <f>SUMIFS('Qtd Vendas x Faturamento'!D:D,'Qtd Vendas x Faturamento'!A:A,Lotes!A42,'Qtd Vendas x Faturamento'!B:B,Lotes!B42)</f>
        <v>351149.05565941462</v>
      </c>
      <c r="D42" s="130">
        <f>C42/Dados!$C$13</f>
        <v>70.229811131882926</v>
      </c>
      <c r="E42" s="116">
        <f>IF(
D42&lt;Dados!$B$15,
Dados!$C$15,
IF(D42&lt;Dados!$B$16,
Dados!$C$16,
IF(D42&lt;Dados!$B$17,
Dados!$C$17,
IF(D42&lt;Dados!$B$18,
Dados!$C$18,
IF(D42&lt;Dados!$B$19,
Dados!$C$19,
IF(D42&lt;Dados!$B$20,
Dados!$C$20,
IF(D42&lt;Dados!$B$21,
Dados!$C$21,
IF(D42&lt;Dados!$B$22,
Dados!$C$22,
IF(D42&lt;=Dados!$B$23,Dados!$C$23,Dados!$C$23+Dados!$C$18)))))))))</f>
        <v>2100000</v>
      </c>
      <c r="F42" s="116">
        <f>IF(
D42&lt;Dados!$B$15,
Dados!D$15,
IF(D42&lt;Dados!$B$16,
Dados!D$16,
IF(D42&lt;Dados!$B$17,
Dados!D$17,
IF(D42&lt;Dados!$B$18,
Dados!D$18,
IF(D42&lt;Dados!$B$19,
Dados!D$19,
IF(D42&lt;Dados!$B$20,
Dados!D$20,
IF(D42&lt;Dados!$B$21,
Dados!D$21,
IF(D42&lt;Dados!$B$22,
Dados!D$22,
IF(D42&lt;=Dados!$B$23,Dados!D$23,Dados!D$23+Dados!D$18)))))))))</f>
        <v>95550</v>
      </c>
      <c r="G42">
        <f>IF(
D42&lt;Dados!$B$15,
Dados!B$15,
IF(D42&lt;Dados!$B$16,
Dados!B$16,
IF(D42&lt;Dados!$B$17,
Dados!B$17,
IF(D42&lt;Dados!$B$18,
Dados!B$18,
IF(D42&lt;Dados!$B$19,
Dados!B$19,
IF(D42&lt;Dados!$B$20,
Dados!B$20,
IF(D42&lt;Dados!$B$21,
Dados!B$21,
IF(D42&lt;Dados!$B$22,
Dados!B$22,
IF(D42&lt;=Dados!$B$23,Dados!B$23,Dados!B$23+Dados!B$18)))))))))</f>
        <v>100</v>
      </c>
    </row>
    <row r="43" spans="1:7" x14ac:dyDescent="0.25">
      <c r="A43" t="s">
        <v>62</v>
      </c>
      <c r="B43" t="s">
        <v>36</v>
      </c>
      <c r="C43" s="130">
        <f>SUMIFS('Qtd Vendas x Faturamento'!D:D,'Qtd Vendas x Faturamento'!A:A,Lotes!A43,'Qtd Vendas x Faturamento'!B:B,Lotes!B43)</f>
        <v>995117.17971938208</v>
      </c>
      <c r="D43" s="130">
        <f>C43/Dados!$C$13</f>
        <v>199.02343594387642</v>
      </c>
      <c r="E43" s="116">
        <f>IF(
D43&lt;Dados!$B$15,
Dados!$C$15,
IF(D43&lt;Dados!$B$16,
Dados!$C$16,
IF(D43&lt;Dados!$B$17,
Dados!$C$17,
IF(D43&lt;Dados!$B$18,
Dados!$C$18,
IF(D43&lt;Dados!$B$19,
Dados!$C$19,
IF(D43&lt;Dados!$B$20,
Dados!$C$20,
IF(D43&lt;Dados!$B$21,
Dados!$C$21,
IF(D43&lt;Dados!$B$22,
Dados!$C$22,
IF(D43&lt;=Dados!$B$23,Dados!$C$23,Dados!$C$23+Dados!$C$18)))))))))</f>
        <v>4200000</v>
      </c>
      <c r="F43" s="116">
        <f>IF(
D43&lt;Dados!$B$15,
Dados!D$15,
IF(D43&lt;Dados!$B$16,
Dados!D$16,
IF(D43&lt;Dados!$B$17,
Dados!D$17,
IF(D43&lt;Dados!$B$18,
Dados!D$18,
IF(D43&lt;Dados!$B$19,
Dados!D$19,
IF(D43&lt;Dados!$B$20,
Dados!D$20,
IF(D43&lt;Dados!$B$21,
Dados!D$21,
IF(D43&lt;Dados!$B$22,
Dados!D$22,
IF(D43&lt;=Dados!$B$23,Dados!D$23,Dados!D$23+Dados!D$18)))))))))</f>
        <v>311220</v>
      </c>
      <c r="G43">
        <f>IF(
D43&lt;Dados!$B$15,
Dados!B$15,
IF(D43&lt;Dados!$B$16,
Dados!B$16,
IF(D43&lt;Dados!$B$17,
Dados!B$17,
IF(D43&lt;Dados!$B$18,
Dados!B$18,
IF(D43&lt;Dados!$B$19,
Dados!B$19,
IF(D43&lt;Dados!$B$20,
Dados!B$20,
IF(D43&lt;Dados!$B$21,
Dados!B$21,
IF(D43&lt;Dados!$B$22,
Dados!B$22,
IF(D43&lt;=Dados!$B$23,Dados!B$23,Dados!B$23+Dados!B$18)))))))))</f>
        <v>200</v>
      </c>
    </row>
    <row r="44" spans="1:7" x14ac:dyDescent="0.25">
      <c r="A44" t="s">
        <v>62</v>
      </c>
      <c r="B44" t="s">
        <v>40</v>
      </c>
      <c r="C44" s="130">
        <f>SUMIFS('Qtd Vendas x Faturamento'!D:D,'Qtd Vendas x Faturamento'!A:A,Lotes!A44,'Qtd Vendas x Faturamento'!B:B,Lotes!B44)</f>
        <v>191065.27019231697</v>
      </c>
      <c r="D44" s="130">
        <f>C44/Dados!$C$13</f>
        <v>38.21305403846339</v>
      </c>
      <c r="E44" s="116">
        <f>IF(
D44&lt;Dados!$B$15,
Dados!$C$15,
IF(D44&lt;Dados!$B$16,
Dados!$C$16,
IF(D44&lt;Dados!$B$17,
Dados!$C$17,
IF(D44&lt;Dados!$B$18,
Dados!$C$18,
IF(D44&lt;Dados!$B$19,
Dados!$C$19,
IF(D44&lt;Dados!$B$20,
Dados!$C$20,
IF(D44&lt;Dados!$B$21,
Dados!$C$21,
IF(D44&lt;Dados!$B$22,
Dados!$C$22,
IF(D44&lt;=Dados!$B$23,Dados!$C$23,Dados!$C$23+Dados!$C$18)))))))))</f>
        <v>1050000</v>
      </c>
      <c r="F44" s="116">
        <f>IF(
D44&lt;Dados!$B$15,
Dados!D$15,
IF(D44&lt;Dados!$B$16,
Dados!D$16,
IF(D44&lt;Dados!$B$17,
Dados!D$17,
IF(D44&lt;Dados!$B$18,
Dados!D$18,
IF(D44&lt;Dados!$B$19,
Dados!D$19,
IF(D44&lt;Dados!$B$20,
Dados!D$20,
IF(D44&lt;Dados!$B$21,
Dados!D$21,
IF(D44&lt;Dados!$B$22,
Dados!D$22,
IF(D44&lt;=Dados!$B$23,Dados!D$23,Dados!D$23+Dados!D$18)))))))))</f>
        <v>36540</v>
      </c>
      <c r="G44">
        <f>IF(
D44&lt;Dados!$B$15,
Dados!B$15,
IF(D44&lt;Dados!$B$16,
Dados!B$16,
IF(D44&lt;Dados!$B$17,
Dados!B$17,
IF(D44&lt;Dados!$B$18,
Dados!B$18,
IF(D44&lt;Dados!$B$19,
Dados!B$19,
IF(D44&lt;Dados!$B$20,
Dados!B$20,
IF(D44&lt;Dados!$B$21,
Dados!B$21,
IF(D44&lt;Dados!$B$22,
Dados!B$22,
IF(D44&lt;=Dados!$B$23,Dados!B$23,Dados!B$23+Dados!B$18)))))))))</f>
        <v>50</v>
      </c>
    </row>
    <row r="45" spans="1:7" x14ac:dyDescent="0.25">
      <c r="A45" t="s">
        <v>62</v>
      </c>
      <c r="B45" t="s">
        <v>42</v>
      </c>
      <c r="C45" s="130">
        <f>SUMIFS('Qtd Vendas x Faturamento'!D:D,'Qtd Vendas x Faturamento'!A:A,Lotes!A45,'Qtd Vendas x Faturamento'!B:B,Lotes!B45)</f>
        <v>203561.05867559407</v>
      </c>
      <c r="D45" s="130">
        <f>C45/Dados!$C$13</f>
        <v>40.712211735118814</v>
      </c>
      <c r="E45" s="116">
        <f>IF(
D45&lt;Dados!$B$15,
Dados!$C$15,
IF(D45&lt;Dados!$B$16,
Dados!$C$16,
IF(D45&lt;Dados!$B$17,
Dados!$C$17,
IF(D45&lt;Dados!$B$18,
Dados!$C$18,
IF(D45&lt;Dados!$B$19,
Dados!$C$19,
IF(D45&lt;Dados!$B$20,
Dados!$C$20,
IF(D45&lt;Dados!$B$21,
Dados!$C$21,
IF(D45&lt;Dados!$B$22,
Dados!$C$22,
IF(D45&lt;=Dados!$B$23,Dados!$C$23,Dados!$C$23+Dados!$C$18)))))))))</f>
        <v>1050000</v>
      </c>
      <c r="F45" s="116">
        <f>IF(
D45&lt;Dados!$B$15,
Dados!D$15,
IF(D45&lt;Dados!$B$16,
Dados!D$16,
IF(D45&lt;Dados!$B$17,
Dados!D$17,
IF(D45&lt;Dados!$B$18,
Dados!D$18,
IF(D45&lt;Dados!$B$19,
Dados!D$19,
IF(D45&lt;Dados!$B$20,
Dados!D$20,
IF(D45&lt;Dados!$B$21,
Dados!D$21,
IF(D45&lt;Dados!$B$22,
Dados!D$22,
IF(D45&lt;=Dados!$B$23,Dados!D$23,Dados!D$23+Dados!D$18)))))))))</f>
        <v>36540</v>
      </c>
      <c r="G45">
        <f>IF(
D45&lt;Dados!$B$15,
Dados!B$15,
IF(D45&lt;Dados!$B$16,
Dados!B$16,
IF(D45&lt;Dados!$B$17,
Dados!B$17,
IF(D45&lt;Dados!$B$18,
Dados!B$18,
IF(D45&lt;Dados!$B$19,
Dados!B$19,
IF(D45&lt;Dados!$B$20,
Dados!B$20,
IF(D45&lt;Dados!$B$21,
Dados!B$21,
IF(D45&lt;Dados!$B$22,
Dados!B$22,
IF(D45&lt;=Dados!$B$23,Dados!B$23,Dados!B$23+Dados!B$18)))))))))</f>
        <v>50</v>
      </c>
    </row>
    <row r="46" spans="1:7" x14ac:dyDescent="0.25">
      <c r="A46" t="s">
        <v>62</v>
      </c>
      <c r="B46" t="s">
        <v>38</v>
      </c>
      <c r="C46" s="130">
        <f>SUMIFS('Qtd Vendas x Faturamento'!D:D,'Qtd Vendas x Faturamento'!A:A,Lotes!A46,'Qtd Vendas x Faturamento'!B:B,Lotes!B46)</f>
        <v>641107.43575329217</v>
      </c>
      <c r="D46" s="130">
        <f>C46/Dados!$C$13</f>
        <v>128.22148715065845</v>
      </c>
      <c r="E46" s="116">
        <f>IF(
D46&lt;Dados!$B$15,
Dados!$C$15,
IF(D46&lt;Dados!$B$16,
Dados!$C$16,
IF(D46&lt;Dados!$B$17,
Dados!$C$17,
IF(D46&lt;Dados!$B$18,
Dados!$C$18,
IF(D46&lt;Dados!$B$19,
Dados!$C$19,
IF(D46&lt;Dados!$B$20,
Dados!$C$20,
IF(D46&lt;Dados!$B$21,
Dados!$C$21,
IF(D46&lt;Dados!$B$22,
Dados!$C$22,
IF(D46&lt;=Dados!$B$23,Dados!$C$23,Dados!$C$23+Dados!$C$18)))))))))</f>
        <v>3150000</v>
      </c>
      <c r="F46" s="116">
        <f>IF(
D46&lt;Dados!$B$15,
Dados!D$15,
IF(D46&lt;Dados!$B$16,
Dados!D$16,
IF(D46&lt;Dados!$B$17,
Dados!D$17,
IF(D46&lt;Dados!$B$18,
Dados!D$18,
IF(D46&lt;Dados!$B$19,
Dados!D$19,
IF(D46&lt;Dados!$B$20,
Dados!D$20,
IF(D46&lt;Dados!$B$21,
Dados!D$21,
IF(D46&lt;Dados!$B$22,
Dados!D$22,
IF(D46&lt;=Dados!$B$23,Dados!D$23,Dados!D$23+Dados!D$18)))))))))</f>
        <v>200812</v>
      </c>
      <c r="G46">
        <f>IF(
D46&lt;Dados!$B$15,
Dados!B$15,
IF(D46&lt;Dados!$B$16,
Dados!B$16,
IF(D46&lt;Dados!$B$17,
Dados!B$17,
IF(D46&lt;Dados!$B$18,
Dados!B$18,
IF(D46&lt;Dados!$B$19,
Dados!B$19,
IF(D46&lt;Dados!$B$20,
Dados!B$20,
IF(D46&lt;Dados!$B$21,
Dados!B$21,
IF(D46&lt;Dados!$B$22,
Dados!B$22,
IF(D46&lt;=Dados!$B$23,Dados!B$23,Dados!B$23+Dados!B$18)))))))))</f>
        <v>150</v>
      </c>
    </row>
    <row r="47" spans="1:7" x14ac:dyDescent="0.25">
      <c r="A47" t="s">
        <v>63</v>
      </c>
      <c r="B47" t="s">
        <v>34</v>
      </c>
      <c r="C47" s="130">
        <f>SUMIFS('Qtd Vendas x Faturamento'!D:D,'Qtd Vendas x Faturamento'!A:A,Lotes!A47,'Qtd Vendas x Faturamento'!B:B,Lotes!B47)</f>
        <v>526723.58348912199</v>
      </c>
      <c r="D47" s="130">
        <f>C47/Dados!$C$13</f>
        <v>105.3447166978244</v>
      </c>
      <c r="E47" s="116">
        <f>IF(
D47&lt;Dados!$B$15,
Dados!$C$15,
IF(D47&lt;Dados!$B$16,
Dados!$C$16,
IF(D47&lt;Dados!$B$17,
Dados!$C$17,
IF(D47&lt;Dados!$B$18,
Dados!$C$18,
IF(D47&lt;Dados!$B$19,
Dados!$C$19,
IF(D47&lt;Dados!$B$20,
Dados!$C$20,
IF(D47&lt;Dados!$B$21,
Dados!$C$21,
IF(D47&lt;Dados!$B$22,
Dados!$C$22,
IF(D47&lt;=Dados!$B$23,Dados!$C$23,Dados!$C$23+Dados!$C$18)))))))))</f>
        <v>3150000</v>
      </c>
      <c r="F47" s="116">
        <f>IF(
D47&lt;Dados!$B$15,
Dados!D$15,
IF(D47&lt;Dados!$B$16,
Dados!D$16,
IF(D47&lt;Dados!$B$17,
Dados!D$17,
IF(D47&lt;Dados!$B$18,
Dados!D$18,
IF(D47&lt;Dados!$B$19,
Dados!D$19,
IF(D47&lt;Dados!$B$20,
Dados!D$20,
IF(D47&lt;Dados!$B$21,
Dados!D$21,
IF(D47&lt;Dados!$B$22,
Dados!D$22,
IF(D47&lt;=Dados!$B$23,Dados!D$23,Dados!D$23+Dados!D$18)))))))))</f>
        <v>200812</v>
      </c>
      <c r="G47">
        <f>IF(
D47&lt;Dados!$B$15,
Dados!B$15,
IF(D47&lt;Dados!$B$16,
Dados!B$16,
IF(D47&lt;Dados!$B$17,
Dados!B$17,
IF(D47&lt;Dados!$B$18,
Dados!B$18,
IF(D47&lt;Dados!$B$19,
Dados!B$19,
IF(D47&lt;Dados!$B$20,
Dados!B$20,
IF(D47&lt;Dados!$B$21,
Dados!B$21,
IF(D47&lt;Dados!$B$22,
Dados!B$22,
IF(D47&lt;=Dados!$B$23,Dados!B$23,Dados!B$23+Dados!B$18)))))))))</f>
        <v>150</v>
      </c>
    </row>
    <row r="48" spans="1:7" x14ac:dyDescent="0.25">
      <c r="A48" t="s">
        <v>63</v>
      </c>
      <c r="B48" t="s">
        <v>36</v>
      </c>
      <c r="C48" s="130">
        <f>SUMIFS('Qtd Vendas x Faturamento'!D:D,'Qtd Vendas x Faturamento'!A:A,Lotes!A48,'Qtd Vendas x Faturamento'!B:B,Lotes!B48)</f>
        <v>1492675.7695790732</v>
      </c>
      <c r="D48" s="130">
        <f>C48/Dados!$C$13</f>
        <v>298.53515391581465</v>
      </c>
      <c r="E48" s="116">
        <f>IF(
D48&lt;Dados!$B$15,
Dados!$C$15,
IF(D48&lt;Dados!$B$16,
Dados!$C$16,
IF(D48&lt;Dados!$B$17,
Dados!$C$17,
IF(D48&lt;Dados!$B$18,
Dados!$C$18,
IF(D48&lt;Dados!$B$19,
Dados!$C$19,
IF(D48&lt;Dados!$B$20,
Dados!$C$20,
IF(D48&lt;Dados!$B$21,
Dados!$C$21,
IF(D48&lt;Dados!$B$22,
Dados!$C$22,
IF(D48&lt;=Dados!$B$23,Dados!$C$23,Dados!$C$23+Dados!$C$18)))))))))</f>
        <v>6300000</v>
      </c>
      <c r="F48" s="116">
        <f>IF(
D48&lt;Dados!$B$15,
Dados!D$15,
IF(D48&lt;Dados!$B$16,
Dados!D$16,
IF(D48&lt;Dados!$B$17,
Dados!D$17,
IF(D48&lt;Dados!$B$18,
Dados!D$18,
IF(D48&lt;Dados!$B$19,
Dados!D$19,
IF(D48&lt;Dados!$B$20,
Dados!D$20,
IF(D48&lt;Dados!$B$21,
Dados!D$21,
IF(D48&lt;Dados!$B$22,
Dados!D$22,
IF(D48&lt;=Dados!$B$23,Dados!D$23,Dados!D$23+Dados!D$18)))))))))</f>
        <v>517954</v>
      </c>
      <c r="G48">
        <f>IF(
D48&lt;Dados!$B$15,
Dados!B$15,
IF(D48&lt;Dados!$B$16,
Dados!B$16,
IF(D48&lt;Dados!$B$17,
Dados!B$17,
IF(D48&lt;Dados!$B$18,
Dados!B$18,
IF(D48&lt;Dados!$B$19,
Dados!B$19,
IF(D48&lt;Dados!$B$20,
Dados!B$20,
IF(D48&lt;Dados!$B$21,
Dados!B$21,
IF(D48&lt;Dados!$B$22,
Dados!B$22,
IF(D48&lt;=Dados!$B$23,Dados!B$23,Dados!B$23+Dados!B$18)))))))))</f>
        <v>300</v>
      </c>
    </row>
    <row r="49" spans="1:7" x14ac:dyDescent="0.25">
      <c r="A49" t="s">
        <v>63</v>
      </c>
      <c r="B49" t="s">
        <v>40</v>
      </c>
      <c r="C49" s="130">
        <f>SUMIFS('Qtd Vendas x Faturamento'!D:D,'Qtd Vendas x Faturamento'!A:A,Lotes!A49,'Qtd Vendas x Faturamento'!B:B,Lotes!B49)</f>
        <v>286597.90528847551</v>
      </c>
      <c r="D49" s="130">
        <f>C49/Dados!$C$13</f>
        <v>57.319581057695103</v>
      </c>
      <c r="E49" s="116">
        <f>IF(
D49&lt;Dados!$B$15,
Dados!$C$15,
IF(D49&lt;Dados!$B$16,
Dados!$C$16,
IF(D49&lt;Dados!$B$17,
Dados!$C$17,
IF(D49&lt;Dados!$B$18,
Dados!$C$18,
IF(D49&lt;Dados!$B$19,
Dados!$C$19,
IF(D49&lt;Dados!$B$20,
Dados!$C$20,
IF(D49&lt;Dados!$B$21,
Dados!$C$21,
IF(D49&lt;Dados!$B$22,
Dados!$C$22,
IF(D49&lt;=Dados!$B$23,Dados!$C$23,Dados!$C$23+Dados!$C$18)))))))))</f>
        <v>2100000</v>
      </c>
      <c r="F49" s="116">
        <f>IF(
D49&lt;Dados!$B$15,
Dados!D$15,
IF(D49&lt;Dados!$B$16,
Dados!D$16,
IF(D49&lt;Dados!$B$17,
Dados!D$17,
IF(D49&lt;Dados!$B$18,
Dados!D$18,
IF(D49&lt;Dados!$B$19,
Dados!D$19,
IF(D49&lt;Dados!$B$20,
Dados!D$20,
IF(D49&lt;Dados!$B$21,
Dados!D$21,
IF(D49&lt;Dados!$B$22,
Dados!D$22,
IF(D49&lt;=Dados!$B$23,Dados!D$23,Dados!D$23+Dados!D$18)))))))))</f>
        <v>95550</v>
      </c>
      <c r="G49">
        <f>IF(
D49&lt;Dados!$B$15,
Dados!B$15,
IF(D49&lt;Dados!$B$16,
Dados!B$16,
IF(D49&lt;Dados!$B$17,
Dados!B$17,
IF(D49&lt;Dados!$B$18,
Dados!B$18,
IF(D49&lt;Dados!$B$19,
Dados!B$19,
IF(D49&lt;Dados!$B$20,
Dados!B$20,
IF(D49&lt;Dados!$B$21,
Dados!B$21,
IF(D49&lt;Dados!$B$22,
Dados!B$22,
IF(D49&lt;=Dados!$B$23,Dados!B$23,Dados!B$23+Dados!B$18)))))))))</f>
        <v>100</v>
      </c>
    </row>
    <row r="50" spans="1:7" x14ac:dyDescent="0.25">
      <c r="A50" t="s">
        <v>63</v>
      </c>
      <c r="B50" t="s">
        <v>42</v>
      </c>
      <c r="C50" s="130">
        <f>SUMIFS('Qtd Vendas x Faturamento'!D:D,'Qtd Vendas x Faturamento'!A:A,Lotes!A50,'Qtd Vendas x Faturamento'!B:B,Lotes!B50)</f>
        <v>305341.58801339107</v>
      </c>
      <c r="D50" s="130">
        <f>C50/Dados!$C$13</f>
        <v>61.068317602678214</v>
      </c>
      <c r="E50" s="116">
        <f>IF(
D50&lt;Dados!$B$15,
Dados!$C$15,
IF(D50&lt;Dados!$B$16,
Dados!$C$16,
IF(D50&lt;Dados!$B$17,
Dados!$C$17,
IF(D50&lt;Dados!$B$18,
Dados!$C$18,
IF(D50&lt;Dados!$B$19,
Dados!$C$19,
IF(D50&lt;Dados!$B$20,
Dados!$C$20,
IF(D50&lt;Dados!$B$21,
Dados!$C$21,
IF(D50&lt;Dados!$B$22,
Dados!$C$22,
IF(D50&lt;=Dados!$B$23,Dados!$C$23,Dados!$C$23+Dados!$C$18)))))))))</f>
        <v>2100000</v>
      </c>
      <c r="F50" s="116">
        <f>IF(
D50&lt;Dados!$B$15,
Dados!D$15,
IF(D50&lt;Dados!$B$16,
Dados!D$16,
IF(D50&lt;Dados!$B$17,
Dados!D$17,
IF(D50&lt;Dados!$B$18,
Dados!D$18,
IF(D50&lt;Dados!$B$19,
Dados!D$19,
IF(D50&lt;Dados!$B$20,
Dados!D$20,
IF(D50&lt;Dados!$B$21,
Dados!D$21,
IF(D50&lt;Dados!$B$22,
Dados!D$22,
IF(D50&lt;=Dados!$B$23,Dados!D$23,Dados!D$23+Dados!D$18)))))))))</f>
        <v>95550</v>
      </c>
      <c r="G50">
        <f>IF(
D50&lt;Dados!$B$15,
Dados!B$15,
IF(D50&lt;Dados!$B$16,
Dados!B$16,
IF(D50&lt;Dados!$B$17,
Dados!B$17,
IF(D50&lt;Dados!$B$18,
Dados!B$18,
IF(D50&lt;Dados!$B$19,
Dados!B$19,
IF(D50&lt;Dados!$B$20,
Dados!B$20,
IF(D50&lt;Dados!$B$21,
Dados!B$21,
IF(D50&lt;Dados!$B$22,
Dados!B$22,
IF(D50&lt;=Dados!$B$23,Dados!B$23,Dados!B$23+Dados!B$18)))))))))</f>
        <v>100</v>
      </c>
    </row>
    <row r="51" spans="1:7" x14ac:dyDescent="0.25">
      <c r="A51" t="s">
        <v>63</v>
      </c>
      <c r="B51" t="s">
        <v>38</v>
      </c>
      <c r="C51" s="130">
        <f>SUMIFS('Qtd Vendas x Faturamento'!D:D,'Qtd Vendas x Faturamento'!A:A,Lotes!A51,'Qtd Vendas x Faturamento'!B:B,Lotes!B51)</f>
        <v>961661.15362993837</v>
      </c>
      <c r="D51" s="130">
        <f>C51/Dados!$C$13</f>
        <v>192.33223072598767</v>
      </c>
      <c r="E51" s="116">
        <f>IF(
D51&lt;Dados!$B$15,
Dados!$C$15,
IF(D51&lt;Dados!$B$16,
Dados!$C$16,
IF(D51&lt;Dados!$B$17,
Dados!$C$17,
IF(D51&lt;Dados!$B$18,
Dados!$C$18,
IF(D51&lt;Dados!$B$19,
Dados!$C$19,
IF(D51&lt;Dados!$B$20,
Dados!$C$20,
IF(D51&lt;Dados!$B$21,
Dados!$C$21,
IF(D51&lt;Dados!$B$22,
Dados!$C$22,
IF(D51&lt;=Dados!$B$23,Dados!$C$23,Dados!$C$23+Dados!$C$18)))))))))</f>
        <v>4200000</v>
      </c>
      <c r="F51" s="116">
        <f>IF(
D51&lt;Dados!$B$15,
Dados!D$15,
IF(D51&lt;Dados!$B$16,
Dados!D$16,
IF(D51&lt;Dados!$B$17,
Dados!D$17,
IF(D51&lt;Dados!$B$18,
Dados!D$18,
IF(D51&lt;Dados!$B$19,
Dados!D$19,
IF(D51&lt;Dados!$B$20,
Dados!D$20,
IF(D51&lt;Dados!$B$21,
Dados!D$21,
IF(D51&lt;Dados!$B$22,
Dados!D$22,
IF(D51&lt;=Dados!$B$23,Dados!D$23,Dados!D$23+Dados!D$18)))))))))</f>
        <v>311220</v>
      </c>
      <c r="G51">
        <f>IF(
D51&lt;Dados!$B$15,
Dados!B$15,
IF(D51&lt;Dados!$B$16,
Dados!B$16,
IF(D51&lt;Dados!$B$17,
Dados!B$17,
IF(D51&lt;Dados!$B$18,
Dados!B$18,
IF(D51&lt;Dados!$B$19,
Dados!B$19,
IF(D51&lt;Dados!$B$20,
Dados!B$20,
IF(D51&lt;Dados!$B$21,
Dados!B$21,
IF(D51&lt;Dados!$B$22,
Dados!B$22,
IF(D51&lt;=Dados!$B$23,Dados!B$23,Dados!B$23+Dados!B$18)))))))))</f>
        <v>200</v>
      </c>
    </row>
    <row r="52" spans="1:7" x14ac:dyDescent="0.25">
      <c r="A52" t="s">
        <v>64</v>
      </c>
      <c r="B52" t="s">
        <v>34</v>
      </c>
      <c r="C52" s="130">
        <f>SUMIFS('Qtd Vendas x Faturamento'!D:D,'Qtd Vendas x Faturamento'!A:A,Lotes!A52,'Qtd Vendas x Faturamento'!B:B,Lotes!B52)</f>
        <v>702298.11131882924</v>
      </c>
      <c r="D52" s="130">
        <f>C52/Dados!$C$13</f>
        <v>140.45962226376585</v>
      </c>
      <c r="E52" s="116">
        <f>IF(
D52&lt;Dados!$B$15,
Dados!$C$15,
IF(D52&lt;Dados!$B$16,
Dados!$C$16,
IF(D52&lt;Dados!$B$17,
Dados!$C$17,
IF(D52&lt;Dados!$B$18,
Dados!$C$18,
IF(D52&lt;Dados!$B$19,
Dados!$C$19,
IF(D52&lt;Dados!$B$20,
Dados!$C$20,
IF(D52&lt;Dados!$B$21,
Dados!$C$21,
IF(D52&lt;Dados!$B$22,
Dados!$C$22,
IF(D52&lt;=Dados!$B$23,Dados!$C$23,Dados!$C$23+Dados!$C$18)))))))))</f>
        <v>3150000</v>
      </c>
      <c r="F52" s="116">
        <f>IF(
D52&lt;Dados!$B$15,
Dados!D$15,
IF(D52&lt;Dados!$B$16,
Dados!D$16,
IF(D52&lt;Dados!$B$17,
Dados!D$17,
IF(D52&lt;Dados!$B$18,
Dados!D$18,
IF(D52&lt;Dados!$B$19,
Dados!D$19,
IF(D52&lt;Dados!$B$20,
Dados!D$20,
IF(D52&lt;Dados!$B$21,
Dados!D$21,
IF(D52&lt;Dados!$B$22,
Dados!D$22,
IF(D52&lt;=Dados!$B$23,Dados!D$23,Dados!D$23+Dados!D$18)))))))))</f>
        <v>200812</v>
      </c>
      <c r="G52">
        <f>IF(
D52&lt;Dados!$B$15,
Dados!B$15,
IF(D52&lt;Dados!$B$16,
Dados!B$16,
IF(D52&lt;Dados!$B$17,
Dados!B$17,
IF(D52&lt;Dados!$B$18,
Dados!B$18,
IF(D52&lt;Dados!$B$19,
Dados!B$19,
IF(D52&lt;Dados!$B$20,
Dados!B$20,
IF(D52&lt;Dados!$B$21,
Dados!B$21,
IF(D52&lt;Dados!$B$22,
Dados!B$22,
IF(D52&lt;=Dados!$B$23,Dados!B$23,Dados!B$23+Dados!B$18)))))))))</f>
        <v>150</v>
      </c>
    </row>
    <row r="53" spans="1:7" x14ac:dyDescent="0.25">
      <c r="A53" t="s">
        <v>64</v>
      </c>
      <c r="B53" t="s">
        <v>36</v>
      </c>
      <c r="C53" s="130">
        <f>SUMIFS('Qtd Vendas x Faturamento'!D:D,'Qtd Vendas x Faturamento'!A:A,Lotes!A53,'Qtd Vendas x Faturamento'!B:B,Lotes!B53)</f>
        <v>1990234.3594387642</v>
      </c>
      <c r="D53" s="130">
        <f>C53/Dados!$C$13</f>
        <v>398.04687188775284</v>
      </c>
      <c r="E53" s="116">
        <f>IF(
D53&lt;Dados!$B$15,
Dados!$C$15,
IF(D53&lt;Dados!$B$16,
Dados!$C$16,
IF(D53&lt;Dados!$B$17,
Dados!$C$17,
IF(D53&lt;Dados!$B$18,
Dados!$C$18,
IF(D53&lt;Dados!$B$19,
Dados!$C$19,
IF(D53&lt;Dados!$B$20,
Dados!$C$20,
IF(D53&lt;Dados!$B$21,
Dados!$C$21,
IF(D53&lt;Dados!$B$22,
Dados!$C$22,
IF(D53&lt;=Dados!$B$23,Dados!$C$23,Dados!$C$23+Dados!$C$18)))))))))</f>
        <v>8400000</v>
      </c>
      <c r="F53" s="116">
        <f>IF(
D53&lt;Dados!$B$15,
Dados!D$15,
IF(D53&lt;Dados!$B$16,
Dados!D$16,
IF(D53&lt;Dados!$B$17,
Dados!D$17,
IF(D53&lt;Dados!$B$18,
Dados!D$18,
IF(D53&lt;Dados!$B$19,
Dados!D$19,
IF(D53&lt;Dados!$B$20,
Dados!D$20,
IF(D53&lt;Dados!$B$21,
Dados!D$21,
IF(D53&lt;Dados!$B$22,
Dados!D$22,
IF(D53&lt;=Dados!$B$23,Dados!D$23,Dados!D$23+Dados!D$18)))))))))</f>
        <v>778680</v>
      </c>
      <c r="G53">
        <f>IF(
D53&lt;Dados!$B$15,
Dados!B$15,
IF(D53&lt;Dados!$B$16,
Dados!B$16,
IF(D53&lt;Dados!$B$17,
Dados!B$17,
IF(D53&lt;Dados!$B$18,
Dados!B$18,
IF(D53&lt;Dados!$B$19,
Dados!B$19,
IF(D53&lt;Dados!$B$20,
Dados!B$20,
IF(D53&lt;Dados!$B$21,
Dados!B$21,
IF(D53&lt;Dados!$B$22,
Dados!B$22,
IF(D53&lt;=Dados!$B$23,Dados!B$23,Dados!B$23+Dados!B$18)))))))))</f>
        <v>400</v>
      </c>
    </row>
    <row r="54" spans="1:7" x14ac:dyDescent="0.25">
      <c r="A54" t="s">
        <v>64</v>
      </c>
      <c r="B54" t="s">
        <v>40</v>
      </c>
      <c r="C54" s="130">
        <f>SUMIFS('Qtd Vendas x Faturamento'!D:D,'Qtd Vendas x Faturamento'!A:A,Lotes!A54,'Qtd Vendas x Faturamento'!B:B,Lotes!B54)</f>
        <v>382130.54038463393</v>
      </c>
      <c r="D54" s="130">
        <f>C54/Dados!$C$13</f>
        <v>76.426108076926781</v>
      </c>
      <c r="E54" s="116">
        <f>IF(
D54&lt;Dados!$B$15,
Dados!$C$15,
IF(D54&lt;Dados!$B$16,
Dados!$C$16,
IF(D54&lt;Dados!$B$17,
Dados!$C$17,
IF(D54&lt;Dados!$B$18,
Dados!$C$18,
IF(D54&lt;Dados!$B$19,
Dados!$C$19,
IF(D54&lt;Dados!$B$20,
Dados!$C$20,
IF(D54&lt;Dados!$B$21,
Dados!$C$21,
IF(D54&lt;Dados!$B$22,
Dados!$C$22,
IF(D54&lt;=Dados!$B$23,Dados!$C$23,Dados!$C$23+Dados!$C$18)))))))))</f>
        <v>2100000</v>
      </c>
      <c r="F54" s="116">
        <f>IF(
D54&lt;Dados!$B$15,
Dados!D$15,
IF(D54&lt;Dados!$B$16,
Dados!D$16,
IF(D54&lt;Dados!$B$17,
Dados!D$17,
IF(D54&lt;Dados!$B$18,
Dados!D$18,
IF(D54&lt;Dados!$B$19,
Dados!D$19,
IF(D54&lt;Dados!$B$20,
Dados!D$20,
IF(D54&lt;Dados!$B$21,
Dados!D$21,
IF(D54&lt;Dados!$B$22,
Dados!D$22,
IF(D54&lt;=Dados!$B$23,Dados!D$23,Dados!D$23+Dados!D$18)))))))))</f>
        <v>95550</v>
      </c>
      <c r="G54">
        <f>IF(
D54&lt;Dados!$B$15,
Dados!B$15,
IF(D54&lt;Dados!$B$16,
Dados!B$16,
IF(D54&lt;Dados!$B$17,
Dados!B$17,
IF(D54&lt;Dados!$B$18,
Dados!B$18,
IF(D54&lt;Dados!$B$19,
Dados!B$19,
IF(D54&lt;Dados!$B$20,
Dados!B$20,
IF(D54&lt;Dados!$B$21,
Dados!B$21,
IF(D54&lt;Dados!$B$22,
Dados!B$22,
IF(D54&lt;=Dados!$B$23,Dados!B$23,Dados!B$23+Dados!B$18)))))))))</f>
        <v>100</v>
      </c>
    </row>
    <row r="55" spans="1:7" x14ac:dyDescent="0.25">
      <c r="A55" t="s">
        <v>64</v>
      </c>
      <c r="B55" t="s">
        <v>42</v>
      </c>
      <c r="C55" s="130">
        <f>SUMIFS('Qtd Vendas x Faturamento'!D:D,'Qtd Vendas x Faturamento'!A:A,Lotes!A55,'Qtd Vendas x Faturamento'!B:B,Lotes!B55)</f>
        <v>407122.11735118815</v>
      </c>
      <c r="D55" s="130">
        <f>C55/Dados!$C$13</f>
        <v>81.424423470237627</v>
      </c>
      <c r="E55" s="116">
        <f>IF(
D55&lt;Dados!$B$15,
Dados!$C$15,
IF(D55&lt;Dados!$B$16,
Dados!$C$16,
IF(D55&lt;Dados!$B$17,
Dados!$C$17,
IF(D55&lt;Dados!$B$18,
Dados!$C$18,
IF(D55&lt;Dados!$B$19,
Dados!$C$19,
IF(D55&lt;Dados!$B$20,
Dados!$C$20,
IF(D55&lt;Dados!$B$21,
Dados!$C$21,
IF(D55&lt;Dados!$B$22,
Dados!$C$22,
IF(D55&lt;=Dados!$B$23,Dados!$C$23,Dados!$C$23+Dados!$C$18)))))))))</f>
        <v>2100000</v>
      </c>
      <c r="F55" s="116">
        <f>IF(
D55&lt;Dados!$B$15,
Dados!D$15,
IF(D55&lt;Dados!$B$16,
Dados!D$16,
IF(D55&lt;Dados!$B$17,
Dados!D$17,
IF(D55&lt;Dados!$B$18,
Dados!D$18,
IF(D55&lt;Dados!$B$19,
Dados!D$19,
IF(D55&lt;Dados!$B$20,
Dados!D$20,
IF(D55&lt;Dados!$B$21,
Dados!D$21,
IF(D55&lt;Dados!$B$22,
Dados!D$22,
IF(D55&lt;=Dados!$B$23,Dados!D$23,Dados!D$23+Dados!D$18)))))))))</f>
        <v>95550</v>
      </c>
      <c r="G55">
        <f>IF(
D55&lt;Dados!$B$15,
Dados!B$15,
IF(D55&lt;Dados!$B$16,
Dados!B$16,
IF(D55&lt;Dados!$B$17,
Dados!B$17,
IF(D55&lt;Dados!$B$18,
Dados!B$18,
IF(D55&lt;Dados!$B$19,
Dados!B$19,
IF(D55&lt;Dados!$B$20,
Dados!B$20,
IF(D55&lt;Dados!$B$21,
Dados!B$21,
IF(D55&lt;Dados!$B$22,
Dados!B$22,
IF(D55&lt;=Dados!$B$23,Dados!B$23,Dados!B$23+Dados!B$18)))))))))</f>
        <v>100</v>
      </c>
    </row>
    <row r="56" spans="1:7" x14ac:dyDescent="0.25">
      <c r="A56" t="s">
        <v>64</v>
      </c>
      <c r="B56" t="s">
        <v>38</v>
      </c>
      <c r="C56" s="130">
        <f>SUMIFS('Qtd Vendas x Faturamento'!D:D,'Qtd Vendas x Faturamento'!A:A,Lotes!A56,'Qtd Vendas x Faturamento'!B:B,Lotes!B56)</f>
        <v>1282214.8715065843</v>
      </c>
      <c r="D56" s="130">
        <f>C56/Dados!$C$13</f>
        <v>256.44297430131689</v>
      </c>
      <c r="E56" s="116">
        <f>IF(
D56&lt;Dados!$B$15,
Dados!$C$15,
IF(D56&lt;Dados!$B$16,
Dados!$C$16,
IF(D56&lt;Dados!$B$17,
Dados!$C$17,
IF(D56&lt;Dados!$B$18,
Dados!$C$18,
IF(D56&lt;Dados!$B$19,
Dados!$C$19,
IF(D56&lt;Dados!$B$20,
Dados!$C$20,
IF(D56&lt;Dados!$B$21,
Dados!$C$21,
IF(D56&lt;Dados!$B$22,
Dados!$C$22,
IF(D56&lt;=Dados!$B$23,Dados!$C$23,Dados!$C$23+Dados!$C$18)))))))))</f>
        <v>6300000</v>
      </c>
      <c r="F56" s="116">
        <f>IF(
D56&lt;Dados!$B$15,
Dados!D$15,
IF(D56&lt;Dados!$B$16,
Dados!D$16,
IF(D56&lt;Dados!$B$17,
Dados!D$17,
IF(D56&lt;Dados!$B$18,
Dados!D$18,
IF(D56&lt;Dados!$B$19,
Dados!D$19,
IF(D56&lt;Dados!$B$20,
Dados!D$20,
IF(D56&lt;Dados!$B$21,
Dados!D$21,
IF(D56&lt;Dados!$B$22,
Dados!D$22,
IF(D56&lt;=Dados!$B$23,Dados!D$23,Dados!D$23+Dados!D$18)))))))))</f>
        <v>517954</v>
      </c>
      <c r="G56">
        <f>IF(
D56&lt;Dados!$B$15,
Dados!B$15,
IF(D56&lt;Dados!$B$16,
Dados!B$16,
IF(D56&lt;Dados!$B$17,
Dados!B$17,
IF(D56&lt;Dados!$B$18,
Dados!B$18,
IF(D56&lt;Dados!$B$19,
Dados!B$19,
IF(D56&lt;Dados!$B$20,
Dados!B$20,
IF(D56&lt;Dados!$B$21,
Dados!B$21,
IF(D56&lt;Dados!$B$22,
Dados!B$22,
IF(D56&lt;=Dados!$B$23,Dados!B$23,Dados!B$23+Dados!B$18)))))))))</f>
        <v>300</v>
      </c>
    </row>
    <row r="57" spans="1:7" x14ac:dyDescent="0.25">
      <c r="A57" t="s">
        <v>65</v>
      </c>
      <c r="B57" t="s">
        <v>34</v>
      </c>
      <c r="C57" s="130">
        <f>SUMIFS('Qtd Vendas x Faturamento'!D:D,'Qtd Vendas x Faturamento'!A:A,Lotes!A57,'Qtd Vendas x Faturamento'!B:B,Lotes!B57)</f>
        <v>936397.4817584391</v>
      </c>
      <c r="D57" s="130">
        <f>C57/Dados!$C$13</f>
        <v>187.27949635168781</v>
      </c>
      <c r="E57" s="116">
        <f>IF(
D57&lt;Dados!$B$15,
Dados!$C$15,
IF(D57&lt;Dados!$B$16,
Dados!$C$16,
IF(D57&lt;Dados!$B$17,
Dados!$C$17,
IF(D57&lt;Dados!$B$18,
Dados!$C$18,
IF(D57&lt;Dados!$B$19,
Dados!$C$19,
IF(D57&lt;Dados!$B$20,
Dados!$C$20,
IF(D57&lt;Dados!$B$21,
Dados!$C$21,
IF(D57&lt;Dados!$B$22,
Dados!$C$22,
IF(D57&lt;=Dados!$B$23,Dados!$C$23,Dados!$C$23+Dados!$C$18)))))))))</f>
        <v>4200000</v>
      </c>
      <c r="F57" s="116">
        <f>IF(
D57&lt;Dados!$B$15,
Dados!D$15,
IF(D57&lt;Dados!$B$16,
Dados!D$16,
IF(D57&lt;Dados!$B$17,
Dados!D$17,
IF(D57&lt;Dados!$B$18,
Dados!D$18,
IF(D57&lt;Dados!$B$19,
Dados!D$19,
IF(D57&lt;Dados!$B$20,
Dados!D$20,
IF(D57&lt;Dados!$B$21,
Dados!D$21,
IF(D57&lt;Dados!$B$22,
Dados!D$22,
IF(D57&lt;=Dados!$B$23,Dados!D$23,Dados!D$23+Dados!D$18)))))))))</f>
        <v>311220</v>
      </c>
      <c r="G57">
        <f>IF(
D57&lt;Dados!$B$15,
Dados!B$15,
IF(D57&lt;Dados!$B$16,
Dados!B$16,
IF(D57&lt;Dados!$B$17,
Dados!B$17,
IF(D57&lt;Dados!$B$18,
Dados!B$18,
IF(D57&lt;Dados!$B$19,
Dados!B$19,
IF(D57&lt;Dados!$B$20,
Dados!B$20,
IF(D57&lt;Dados!$B$21,
Dados!B$21,
IF(D57&lt;Dados!$B$22,
Dados!B$22,
IF(D57&lt;=Dados!$B$23,Dados!B$23,Dados!B$23+Dados!B$18)))))))))</f>
        <v>200</v>
      </c>
    </row>
    <row r="58" spans="1:7" x14ac:dyDescent="0.25">
      <c r="A58" t="s">
        <v>65</v>
      </c>
      <c r="B58" t="s">
        <v>36</v>
      </c>
      <c r="C58" s="130">
        <f>SUMIFS('Qtd Vendas x Faturamento'!D:D,'Qtd Vendas x Faturamento'!A:A,Lotes!A58,'Qtd Vendas x Faturamento'!B:B,Lotes!B58)</f>
        <v>2653645.812585019</v>
      </c>
      <c r="D58" s="130">
        <f>C58/Dados!$C$13</f>
        <v>530.72916251700383</v>
      </c>
      <c r="E58" s="116">
        <f>IF(
D58&lt;Dados!$B$15,
Dados!$C$15,
IF(D58&lt;Dados!$B$16,
Dados!$C$16,
IF(D58&lt;Dados!$B$17,
Dados!$C$17,
IF(D58&lt;Dados!$B$18,
Dados!$C$18,
IF(D58&lt;Dados!$B$19,
Dados!$C$19,
IF(D58&lt;Dados!$B$20,
Dados!$C$20,
IF(D58&lt;Dados!$B$21,
Dados!$C$21,
IF(D58&lt;Dados!$B$22,
Dados!$C$22,
IF(D58&lt;=Dados!$B$23,Dados!$C$23,Dados!$C$23+Dados!$C$18)))))))))</f>
        <v>11550000</v>
      </c>
      <c r="F58" s="116">
        <f>IF(
D58&lt;Dados!$B$15,
Dados!D$15,
IF(D58&lt;Dados!$B$16,
Dados!D$16,
IF(D58&lt;Dados!$B$17,
Dados!D$17,
IF(D58&lt;Dados!$B$18,
Dados!D$18,
IF(D58&lt;Dados!$B$19,
Dados!D$19,
IF(D58&lt;Dados!$B$20,
Dados!D$20,
IF(D58&lt;Dados!$B$21,
Dados!D$21,
IF(D58&lt;Dados!$B$22,
Dados!D$22,
IF(D58&lt;=Dados!$B$23,Dados!D$23,Dados!D$23+Dados!D$18)))))))))</f>
        <v>979492</v>
      </c>
      <c r="G58">
        <f>IF(
D58&lt;Dados!$B$15,
Dados!B$15,
IF(D58&lt;Dados!$B$16,
Dados!B$16,
IF(D58&lt;Dados!$B$17,
Dados!B$17,
IF(D58&lt;Dados!$B$18,
Dados!B$18,
IF(D58&lt;Dados!$B$19,
Dados!B$19,
IF(D58&lt;Dados!$B$20,
Dados!B$20,
IF(D58&lt;Dados!$B$21,
Dados!B$21,
IF(D58&lt;Dados!$B$22,
Dados!B$22,
IF(D58&lt;=Dados!$B$23,Dados!B$23,Dados!B$23+Dados!B$18)))))))))</f>
        <v>550</v>
      </c>
    </row>
    <row r="59" spans="1:7" x14ac:dyDescent="0.25">
      <c r="A59" t="s">
        <v>65</v>
      </c>
      <c r="B59" t="s">
        <v>40</v>
      </c>
      <c r="C59" s="130">
        <f>SUMIFS('Qtd Vendas x Faturamento'!D:D,'Qtd Vendas x Faturamento'!A:A,Lotes!A59,'Qtd Vendas x Faturamento'!B:B,Lotes!B59)</f>
        <v>509507.38717951206</v>
      </c>
      <c r="D59" s="130">
        <f>C59/Dados!$C$13</f>
        <v>101.90147743590241</v>
      </c>
      <c r="E59" s="116">
        <f>IF(
D59&lt;Dados!$B$15,
Dados!$C$15,
IF(D59&lt;Dados!$B$16,
Dados!$C$16,
IF(D59&lt;Dados!$B$17,
Dados!$C$17,
IF(D59&lt;Dados!$B$18,
Dados!$C$18,
IF(D59&lt;Dados!$B$19,
Dados!$C$19,
IF(D59&lt;Dados!$B$20,
Dados!$C$20,
IF(D59&lt;Dados!$B$21,
Dados!$C$21,
IF(D59&lt;Dados!$B$22,
Dados!$C$22,
IF(D59&lt;=Dados!$B$23,Dados!$C$23,Dados!$C$23+Dados!$C$18)))))))))</f>
        <v>3150000</v>
      </c>
      <c r="F59" s="116">
        <f>IF(
D59&lt;Dados!$B$15,
Dados!D$15,
IF(D59&lt;Dados!$B$16,
Dados!D$16,
IF(D59&lt;Dados!$B$17,
Dados!D$17,
IF(D59&lt;Dados!$B$18,
Dados!D$18,
IF(D59&lt;Dados!$B$19,
Dados!D$19,
IF(D59&lt;Dados!$B$20,
Dados!D$20,
IF(D59&lt;Dados!$B$21,
Dados!D$21,
IF(D59&lt;Dados!$B$22,
Dados!D$22,
IF(D59&lt;=Dados!$B$23,Dados!D$23,Dados!D$23+Dados!D$18)))))))))</f>
        <v>200812</v>
      </c>
      <c r="G59">
        <f>IF(
D59&lt;Dados!$B$15,
Dados!B$15,
IF(D59&lt;Dados!$B$16,
Dados!B$16,
IF(D59&lt;Dados!$B$17,
Dados!B$17,
IF(D59&lt;Dados!$B$18,
Dados!B$18,
IF(D59&lt;Dados!$B$19,
Dados!B$19,
IF(D59&lt;Dados!$B$20,
Dados!B$20,
IF(D59&lt;Dados!$B$21,
Dados!B$21,
IF(D59&lt;Dados!$B$22,
Dados!B$22,
IF(D59&lt;=Dados!$B$23,Dados!B$23,Dados!B$23+Dados!B$18)))))))))</f>
        <v>150</v>
      </c>
    </row>
    <row r="60" spans="1:7" x14ac:dyDescent="0.25">
      <c r="A60" t="s">
        <v>65</v>
      </c>
      <c r="B60" t="s">
        <v>42</v>
      </c>
      <c r="C60" s="130">
        <f>SUMIFS('Qtd Vendas x Faturamento'!D:D,'Qtd Vendas x Faturamento'!A:A,Lotes!A60,'Qtd Vendas x Faturamento'!B:B,Lotes!B60)</f>
        <v>542829.48980158416</v>
      </c>
      <c r="D60" s="130">
        <f>C60/Dados!$C$13</f>
        <v>108.56589796031683</v>
      </c>
      <c r="E60" s="116">
        <f>IF(
D60&lt;Dados!$B$15,
Dados!$C$15,
IF(D60&lt;Dados!$B$16,
Dados!$C$16,
IF(D60&lt;Dados!$B$17,
Dados!$C$17,
IF(D60&lt;Dados!$B$18,
Dados!$C$18,
IF(D60&lt;Dados!$B$19,
Dados!$C$19,
IF(D60&lt;Dados!$B$20,
Dados!$C$20,
IF(D60&lt;Dados!$B$21,
Dados!$C$21,
IF(D60&lt;Dados!$B$22,
Dados!$C$22,
IF(D60&lt;=Dados!$B$23,Dados!$C$23,Dados!$C$23+Dados!$C$18)))))))))</f>
        <v>3150000</v>
      </c>
      <c r="F60" s="116">
        <f>IF(
D60&lt;Dados!$B$15,
Dados!D$15,
IF(D60&lt;Dados!$B$16,
Dados!D$16,
IF(D60&lt;Dados!$B$17,
Dados!D$17,
IF(D60&lt;Dados!$B$18,
Dados!D$18,
IF(D60&lt;Dados!$B$19,
Dados!D$19,
IF(D60&lt;Dados!$B$20,
Dados!D$20,
IF(D60&lt;Dados!$B$21,
Dados!D$21,
IF(D60&lt;Dados!$B$22,
Dados!D$22,
IF(D60&lt;=Dados!$B$23,Dados!D$23,Dados!D$23+Dados!D$18)))))))))</f>
        <v>200812</v>
      </c>
      <c r="G60">
        <f>IF(
D60&lt;Dados!$B$15,
Dados!B$15,
IF(D60&lt;Dados!$B$16,
Dados!B$16,
IF(D60&lt;Dados!$B$17,
Dados!B$17,
IF(D60&lt;Dados!$B$18,
Dados!B$18,
IF(D60&lt;Dados!$B$19,
Dados!B$19,
IF(D60&lt;Dados!$B$20,
Dados!B$20,
IF(D60&lt;Dados!$B$21,
Dados!B$21,
IF(D60&lt;Dados!$B$22,
Dados!B$22,
IF(D60&lt;=Dados!$B$23,Dados!B$23,Dados!B$23+Dados!B$18)))))))))</f>
        <v>150</v>
      </c>
    </row>
    <row r="61" spans="1:7" x14ac:dyDescent="0.25">
      <c r="A61" t="s">
        <v>65</v>
      </c>
      <c r="B61" t="s">
        <v>38</v>
      </c>
      <c r="C61" s="130">
        <f>SUMIFS('Qtd Vendas x Faturamento'!D:D,'Qtd Vendas x Faturamento'!A:A,Lotes!A61,'Qtd Vendas x Faturamento'!B:B,Lotes!B61)</f>
        <v>1709619.8286754456</v>
      </c>
      <c r="D61" s="130">
        <f>C61/Dados!$C$13</f>
        <v>341.92396573508915</v>
      </c>
      <c r="E61" s="116">
        <f>IF(
D61&lt;Dados!$B$15,
Dados!$C$15,
IF(D61&lt;Dados!$B$16,
Dados!$C$16,
IF(D61&lt;Dados!$B$17,
Dados!$C$17,
IF(D61&lt;Dados!$B$18,
Dados!$C$18,
IF(D61&lt;Dados!$B$19,
Dados!$C$19,
IF(D61&lt;Dados!$B$20,
Dados!$C$20,
IF(D61&lt;Dados!$B$21,
Dados!$C$21,
IF(D61&lt;Dados!$B$22,
Dados!$C$22,
IF(D61&lt;=Dados!$B$23,Dados!$C$23,Dados!$C$23+Dados!$C$18)))))))))</f>
        <v>7350000</v>
      </c>
      <c r="F61" s="116">
        <f>IF(
D61&lt;Dados!$B$15,
Dados!D$15,
IF(D61&lt;Dados!$B$16,
Dados!D$16,
IF(D61&lt;Dados!$B$17,
Dados!D$17,
IF(D61&lt;Dados!$B$18,
Dados!D$18,
IF(D61&lt;Dados!$B$19,
Dados!D$19,
IF(D61&lt;Dados!$B$20,
Dados!D$20,
IF(D61&lt;Dados!$B$21,
Dados!D$21,
IF(D61&lt;Dados!$B$22,
Dados!D$22,
IF(D61&lt;=Dados!$B$23,Dados!D$23,Dados!D$23+Dados!D$18)))))))))</f>
        <v>637245</v>
      </c>
      <c r="G61">
        <f>IF(
D61&lt;Dados!$B$15,
Dados!B$15,
IF(D61&lt;Dados!$B$16,
Dados!B$16,
IF(D61&lt;Dados!$B$17,
Dados!B$17,
IF(D61&lt;Dados!$B$18,
Dados!B$18,
IF(D61&lt;Dados!$B$19,
Dados!B$19,
IF(D61&lt;Dados!$B$20,
Dados!B$20,
IF(D61&lt;Dados!$B$21,
Dados!B$21,
IF(D61&lt;Dados!$B$22,
Dados!B$22,
IF(D61&lt;=Dados!$B$23,Dados!B$23,Dados!B$23+Dados!B$18)))))))))</f>
        <v>350</v>
      </c>
    </row>
  </sheetData>
  <autoFilter ref="A1:F61" xr:uid="{6A8FBB60-3155-442B-B480-FEF2BFACB53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8FBD4-1F24-4BCA-A0BE-22469DB44670}">
  <dimension ref="A1:T61"/>
  <sheetViews>
    <sheetView topLeftCell="G1" workbookViewId="0">
      <selection activeCell="V15" sqref="V15"/>
    </sheetView>
  </sheetViews>
  <sheetFormatPr defaultRowHeight="15" x14ac:dyDescent="0.25"/>
  <cols>
    <col min="1" max="1" width="10.42578125" bestFit="1" customWidth="1"/>
    <col min="2" max="2" width="11.28515625" bestFit="1" customWidth="1"/>
    <col min="3" max="3" width="20.7109375" bestFit="1" customWidth="1"/>
    <col min="4" max="4" width="22" bestFit="1" customWidth="1"/>
    <col min="5" max="5" width="19.28515625" customWidth="1"/>
    <col min="6" max="6" width="19.85546875" customWidth="1"/>
    <col min="7" max="7" width="19.5703125" customWidth="1"/>
    <col min="8" max="8" width="16.5703125" bestFit="1" customWidth="1"/>
    <col min="9" max="9" width="9.28515625" bestFit="1" customWidth="1"/>
    <col min="10" max="10" width="21.85546875" bestFit="1" customWidth="1"/>
    <col min="11" max="11" width="22.5703125" bestFit="1" customWidth="1"/>
    <col min="12" max="12" width="17.140625" bestFit="1" customWidth="1"/>
    <col min="13" max="13" width="21.85546875" bestFit="1" customWidth="1"/>
    <col min="14" max="14" width="22.5703125" bestFit="1" customWidth="1"/>
    <col min="15" max="15" width="17.140625" bestFit="1" customWidth="1"/>
    <col min="16" max="16" width="20.85546875" bestFit="1" customWidth="1"/>
    <col min="17" max="17" width="22.7109375" bestFit="1" customWidth="1"/>
    <col min="18" max="18" width="17.28515625" bestFit="1" customWidth="1"/>
    <col min="19" max="19" width="16.5703125" bestFit="1" customWidth="1"/>
    <col min="20" max="20" width="12.7109375" bestFit="1" customWidth="1"/>
  </cols>
  <sheetData>
    <row r="1" spans="1:20" x14ac:dyDescent="0.25">
      <c r="A1" s="163" t="s">
        <v>51</v>
      </c>
      <c r="B1" s="163" t="s">
        <v>163</v>
      </c>
      <c r="C1" s="163" t="s">
        <v>170</v>
      </c>
      <c r="D1" s="163" t="s">
        <v>171</v>
      </c>
      <c r="E1" s="163" t="s">
        <v>174</v>
      </c>
      <c r="F1" s="163" t="s">
        <v>175</v>
      </c>
      <c r="G1" s="163" t="s">
        <v>176</v>
      </c>
      <c r="H1" s="163" t="s">
        <v>177</v>
      </c>
      <c r="I1" s="163" t="s">
        <v>178</v>
      </c>
      <c r="J1" s="163" t="s">
        <v>179</v>
      </c>
      <c r="K1" s="163" t="s">
        <v>180</v>
      </c>
      <c r="L1" s="163" t="s">
        <v>181</v>
      </c>
      <c r="M1" s="163" t="s">
        <v>182</v>
      </c>
      <c r="N1" s="163" t="s">
        <v>183</v>
      </c>
      <c r="O1" s="163" t="s">
        <v>184</v>
      </c>
      <c r="P1" s="163" t="s">
        <v>185</v>
      </c>
      <c r="Q1" s="163" t="s">
        <v>186</v>
      </c>
      <c r="R1" s="163" t="s">
        <v>187</v>
      </c>
      <c r="S1" s="163" t="s">
        <v>188</v>
      </c>
      <c r="T1" s="163" t="s">
        <v>207</v>
      </c>
    </row>
    <row r="2" spans="1:20" x14ac:dyDescent="0.25">
      <c r="A2" s="163" t="s">
        <v>54</v>
      </c>
      <c r="B2" s="163" t="s">
        <v>34</v>
      </c>
      <c r="C2" s="163">
        <f>SUMIFS('Qtd Vendas x Faturamento'!D:D,'Qtd Vendas x Faturamento'!A:A,Lotes!A2,'Qtd Vendas x Faturamento'!B:B,Lotes!B2)</f>
        <v>409673.89826931711</v>
      </c>
      <c r="D2" s="163">
        <f>C2/Dados!$C$13</f>
        <v>81.934779653863416</v>
      </c>
      <c r="E2" s="163">
        <f t="shared" ref="E2:E33" si="0">ROUNDUP(D2/5,0)</f>
        <v>17</v>
      </c>
      <c r="F2" s="163">
        <f>ROUNDUP(D2/10,0)</f>
        <v>9</v>
      </c>
      <c r="G2" s="163">
        <f>ROUNDUP(H2/5,0)</f>
        <v>63</v>
      </c>
      <c r="H2" s="163">
        <f>ROUNDUP(C2/VLOOKUP(B2,Dados!$B$70:$C$74,2,FALSE),0)</f>
        <v>314</v>
      </c>
      <c r="I2" s="163">
        <f t="shared" ref="I2:I33" si="1">ROUNDUP(C2/27000,0)</f>
        <v>16</v>
      </c>
      <c r="J2" s="163">
        <f>E2*Dados!$C$50</f>
        <v>272000</v>
      </c>
      <c r="K2" s="163">
        <f>E2*Dados!$D$50</f>
        <v>1530000</v>
      </c>
      <c r="L2" s="163">
        <f>E2*Dados!$E$50</f>
        <v>1334500</v>
      </c>
      <c r="M2" s="163">
        <f>F2*Dados!$C$49</f>
        <v>135000</v>
      </c>
      <c r="N2" s="163">
        <f>F2*Dados!$D$49</f>
        <v>720000</v>
      </c>
      <c r="O2" s="163">
        <f>F2*Dados!$E$49</f>
        <v>616500</v>
      </c>
      <c r="P2" s="163">
        <f>G2*Dados!$C$51</f>
        <v>1197000</v>
      </c>
      <c r="Q2" s="163">
        <f>G2*Dados!$D$51</f>
        <v>6300000</v>
      </c>
      <c r="R2" s="163">
        <f>G2*Dados!$E$51</f>
        <v>5197500</v>
      </c>
      <c r="S2" s="163">
        <f>H2*Dados!$C$66</f>
        <v>394384000</v>
      </c>
      <c r="T2" s="163">
        <f>I:I*Dados!$C$61</f>
        <v>2400000</v>
      </c>
    </row>
    <row r="3" spans="1:20" x14ac:dyDescent="0.25">
      <c r="A3" s="163" t="s">
        <v>54</v>
      </c>
      <c r="B3" s="163" t="s">
        <v>36</v>
      </c>
      <c r="C3" s="163">
        <f>SUMIFS('Qtd Vendas x Faturamento'!D:D,'Qtd Vendas x Faturamento'!A:A,Lotes!A3,'Qtd Vendas x Faturamento'!B:B,Lotes!B3)</f>
        <v>1160970.0430059461</v>
      </c>
      <c r="D3" s="163">
        <f>C3/Dados!$C$13</f>
        <v>232.19400860118921</v>
      </c>
      <c r="E3" s="163">
        <f t="shared" si="0"/>
        <v>47</v>
      </c>
      <c r="F3" s="163">
        <f t="shared" ref="F3:F61" si="2">ROUNDUP(D3/10,0)</f>
        <v>24</v>
      </c>
      <c r="G3" s="163">
        <f t="shared" ref="G3:G61" si="3">ROUNDUP(H3/5,0)</f>
        <v>178</v>
      </c>
      <c r="H3" s="163">
        <f>ROUNDUP(C3/VLOOKUP(B3,Dados!$B$70:$C$74,2,FALSE),0)</f>
        <v>889</v>
      </c>
      <c r="I3" s="163">
        <f t="shared" si="1"/>
        <v>43</v>
      </c>
      <c r="J3" s="163">
        <f>E3*Dados!$C$50</f>
        <v>752000</v>
      </c>
      <c r="K3" s="163">
        <f>E3*Dados!$D$50</f>
        <v>4230000</v>
      </c>
      <c r="L3" s="163">
        <f>E3*Dados!$E$50</f>
        <v>3689500</v>
      </c>
      <c r="M3" s="163">
        <f>F3*Dados!$C$49</f>
        <v>360000</v>
      </c>
      <c r="N3" s="163">
        <f>F3*Dados!$D$49</f>
        <v>1920000</v>
      </c>
      <c r="O3" s="163">
        <f>F3*Dados!$E$49</f>
        <v>1644000</v>
      </c>
      <c r="P3" s="163">
        <f>G3*Dados!$C$51</f>
        <v>3382000</v>
      </c>
      <c r="Q3" s="163">
        <f>G3*Dados!$D$51</f>
        <v>17800000</v>
      </c>
      <c r="R3" s="163">
        <f>G3*Dados!$E$51</f>
        <v>14685000</v>
      </c>
      <c r="S3" s="163">
        <f>H3*Dados!$C$66</f>
        <v>1116584000</v>
      </c>
      <c r="T3" s="163">
        <f>I:I*Dados!$C$61</f>
        <v>6450000</v>
      </c>
    </row>
    <row r="4" spans="1:20" x14ac:dyDescent="0.25">
      <c r="A4" s="163" t="s">
        <v>54</v>
      </c>
      <c r="B4" s="163" t="s">
        <v>40</v>
      </c>
      <c r="C4" s="163">
        <f>SUMIFS('Qtd Vendas x Faturamento'!D:D,'Qtd Vendas x Faturamento'!A:A,Lotes!A4,'Qtd Vendas x Faturamento'!B:B,Lotes!B4)</f>
        <v>222909.48189103653</v>
      </c>
      <c r="D4" s="163">
        <f>C4/Dados!$C$13</f>
        <v>44.581896378207304</v>
      </c>
      <c r="E4" s="163">
        <f t="shared" si="0"/>
        <v>9</v>
      </c>
      <c r="F4" s="163">
        <f t="shared" si="2"/>
        <v>5</v>
      </c>
      <c r="G4" s="163">
        <f t="shared" si="3"/>
        <v>20</v>
      </c>
      <c r="H4" s="163">
        <f>ROUNDUP(C4/VLOOKUP(B4,Dados!$B$70:$C$74,2,FALSE),0)</f>
        <v>96</v>
      </c>
      <c r="I4" s="163">
        <f t="shared" si="1"/>
        <v>9</v>
      </c>
      <c r="J4" s="163">
        <f>E4*Dados!$C$50</f>
        <v>144000</v>
      </c>
      <c r="K4" s="163">
        <f>E4*Dados!$D$50</f>
        <v>810000</v>
      </c>
      <c r="L4" s="163">
        <f>E4*Dados!$E$50</f>
        <v>706500</v>
      </c>
      <c r="M4" s="163">
        <f>F4*Dados!$C$49</f>
        <v>75000</v>
      </c>
      <c r="N4" s="163">
        <f>F4*Dados!$D$49</f>
        <v>400000</v>
      </c>
      <c r="O4" s="163">
        <f>F4*Dados!$E$49</f>
        <v>342500</v>
      </c>
      <c r="P4" s="163">
        <f>G4*Dados!$C$51</f>
        <v>380000</v>
      </c>
      <c r="Q4" s="163">
        <f>G4*Dados!$D$51</f>
        <v>2000000</v>
      </c>
      <c r="R4" s="163">
        <f>G4*Dados!$E$51</f>
        <v>1650000</v>
      </c>
      <c r="S4" s="163">
        <f>H4*Dados!$C$66</f>
        <v>120576000</v>
      </c>
      <c r="T4" s="163">
        <f>I:I*Dados!$C$61</f>
        <v>1350000</v>
      </c>
    </row>
    <row r="5" spans="1:20" x14ac:dyDescent="0.25">
      <c r="A5" s="163" t="s">
        <v>54</v>
      </c>
      <c r="B5" s="163" t="s">
        <v>42</v>
      </c>
      <c r="C5" s="163">
        <f>SUMIFS('Qtd Vendas x Faturamento'!D:D,'Qtd Vendas x Faturamento'!A:A,Lotes!A5,'Qtd Vendas x Faturamento'!B:B,Lotes!B5)</f>
        <v>237487.90178819312</v>
      </c>
      <c r="D5" s="163">
        <f>C5/Dados!$C$13</f>
        <v>47.497580357638626</v>
      </c>
      <c r="E5" s="163">
        <f t="shared" si="0"/>
        <v>10</v>
      </c>
      <c r="F5" s="163">
        <f t="shared" si="2"/>
        <v>5</v>
      </c>
      <c r="G5" s="163">
        <f t="shared" si="3"/>
        <v>21</v>
      </c>
      <c r="H5" s="163">
        <f>ROUNDUP(C5/VLOOKUP(B5,Dados!$B$70:$C$74,2,FALSE),0)</f>
        <v>102</v>
      </c>
      <c r="I5" s="163">
        <f t="shared" si="1"/>
        <v>9</v>
      </c>
      <c r="J5" s="163">
        <f>E5*Dados!$C$50</f>
        <v>160000</v>
      </c>
      <c r="K5" s="163">
        <f>E5*Dados!$D$50</f>
        <v>900000</v>
      </c>
      <c r="L5" s="163">
        <f>E5*Dados!$E$50</f>
        <v>785000</v>
      </c>
      <c r="M5" s="163">
        <f>F5*Dados!$C$49</f>
        <v>75000</v>
      </c>
      <c r="N5" s="163">
        <f>F5*Dados!$D$49</f>
        <v>400000</v>
      </c>
      <c r="O5" s="163">
        <f>F5*Dados!$E$49</f>
        <v>342500</v>
      </c>
      <c r="P5" s="163">
        <f>G5*Dados!$C$51</f>
        <v>399000</v>
      </c>
      <c r="Q5" s="163">
        <f>G5*Dados!$D$51</f>
        <v>2100000</v>
      </c>
      <c r="R5" s="163">
        <f>G5*Dados!$E$51</f>
        <v>1732500</v>
      </c>
      <c r="S5" s="163">
        <f>H5*Dados!$C$66</f>
        <v>128112000</v>
      </c>
      <c r="T5" s="163">
        <f>I:I*Dados!$C$61</f>
        <v>1350000</v>
      </c>
    </row>
    <row r="6" spans="1:20" x14ac:dyDescent="0.25">
      <c r="A6" s="163" t="s">
        <v>54</v>
      </c>
      <c r="B6" s="163" t="s">
        <v>38</v>
      </c>
      <c r="C6" s="163">
        <f>SUMIFS('Qtd Vendas x Faturamento'!D:D,'Qtd Vendas x Faturamento'!A:A,Lotes!A6,'Qtd Vendas x Faturamento'!B:B,Lotes!B6)</f>
        <v>747958.67504550761</v>
      </c>
      <c r="D6" s="163">
        <f>C6/Dados!$C$13</f>
        <v>149.59173500910151</v>
      </c>
      <c r="E6" s="163">
        <f t="shared" si="0"/>
        <v>30</v>
      </c>
      <c r="F6" s="163">
        <f t="shared" si="2"/>
        <v>15</v>
      </c>
      <c r="G6" s="163">
        <f t="shared" si="3"/>
        <v>87</v>
      </c>
      <c r="H6" s="163">
        <f>ROUNDUP(C6/VLOOKUP(B6,Dados!$B$70:$C$74,2,FALSE),0)</f>
        <v>434</v>
      </c>
      <c r="I6" s="163">
        <f t="shared" si="1"/>
        <v>28</v>
      </c>
      <c r="J6" s="163">
        <f>E6*Dados!$C$50</f>
        <v>480000</v>
      </c>
      <c r="K6" s="163">
        <f>E6*Dados!$D$50</f>
        <v>2700000</v>
      </c>
      <c r="L6" s="163">
        <f>E6*Dados!$E$50</f>
        <v>2355000</v>
      </c>
      <c r="M6" s="163">
        <f>F6*Dados!$C$49</f>
        <v>225000</v>
      </c>
      <c r="N6" s="163">
        <f>F6*Dados!$D$49</f>
        <v>1200000</v>
      </c>
      <c r="O6" s="163">
        <f>F6*Dados!$E$49</f>
        <v>1027500</v>
      </c>
      <c r="P6" s="163">
        <f>G6*Dados!$C$51</f>
        <v>1653000</v>
      </c>
      <c r="Q6" s="163">
        <f>G6*Dados!$D$51</f>
        <v>8700000</v>
      </c>
      <c r="R6" s="163">
        <f>G6*Dados!$E$51</f>
        <v>7177500</v>
      </c>
      <c r="S6" s="163">
        <f>H6*Dados!$C$66</f>
        <v>545104000</v>
      </c>
      <c r="T6" s="163">
        <f>I:I*Dados!$C$61</f>
        <v>4200000</v>
      </c>
    </row>
    <row r="7" spans="1:20" x14ac:dyDescent="0.25">
      <c r="A7" s="163" t="s">
        <v>55</v>
      </c>
      <c r="B7" s="163" t="s">
        <v>34</v>
      </c>
      <c r="C7" s="163">
        <f>SUMIFS('Qtd Vendas x Faturamento'!D:D,'Qtd Vendas x Faturamento'!A:A,Lotes!A7,'Qtd Vendas x Faturamento'!B:B,Lotes!B7)</f>
        <v>351149.05565941462</v>
      </c>
      <c r="D7" s="163">
        <f>C7/Dados!$C$13</f>
        <v>70.229811131882926</v>
      </c>
      <c r="E7" s="163">
        <f t="shared" si="0"/>
        <v>15</v>
      </c>
      <c r="F7" s="163">
        <f t="shared" si="2"/>
        <v>8</v>
      </c>
      <c r="G7" s="163">
        <f t="shared" si="3"/>
        <v>54</v>
      </c>
      <c r="H7" s="163">
        <f>ROUNDUP(C7/VLOOKUP(B7,Dados!$B$70:$C$74,2,FALSE),0)</f>
        <v>269</v>
      </c>
      <c r="I7" s="163">
        <f t="shared" si="1"/>
        <v>14</v>
      </c>
      <c r="J7" s="163">
        <f>E7*Dados!$C$50</f>
        <v>240000</v>
      </c>
      <c r="K7" s="163">
        <f>E7*Dados!$D$50</f>
        <v>1350000</v>
      </c>
      <c r="L7" s="163">
        <f>E7*Dados!$E$50</f>
        <v>1177500</v>
      </c>
      <c r="M7" s="163">
        <f>F7*Dados!$C$49</f>
        <v>120000</v>
      </c>
      <c r="N7" s="163">
        <f>F7*Dados!$D$49</f>
        <v>640000</v>
      </c>
      <c r="O7" s="163">
        <f>F7*Dados!$E$49</f>
        <v>548000</v>
      </c>
      <c r="P7" s="163">
        <f>G7*Dados!$C$51</f>
        <v>1026000</v>
      </c>
      <c r="Q7" s="163">
        <f>G7*Dados!$D$51</f>
        <v>5400000</v>
      </c>
      <c r="R7" s="163">
        <f>G7*Dados!$E$51</f>
        <v>4455000</v>
      </c>
      <c r="S7" s="163">
        <f>H7*Dados!$C$66</f>
        <v>337864000</v>
      </c>
      <c r="T7" s="163">
        <f>I:I*Dados!$C$61</f>
        <v>2100000</v>
      </c>
    </row>
    <row r="8" spans="1:20" x14ac:dyDescent="0.25">
      <c r="A8" s="163" t="s">
        <v>55</v>
      </c>
      <c r="B8" s="163" t="s">
        <v>36</v>
      </c>
      <c r="C8" s="163">
        <f>SUMIFS('Qtd Vendas x Faturamento'!D:D,'Qtd Vendas x Faturamento'!A:A,Lotes!A8,'Qtd Vendas x Faturamento'!B:B,Lotes!B8)</f>
        <v>995117.17971938208</v>
      </c>
      <c r="D8" s="163">
        <f>C8/Dados!$C$13</f>
        <v>199.02343594387642</v>
      </c>
      <c r="E8" s="163">
        <f t="shared" si="0"/>
        <v>40</v>
      </c>
      <c r="F8" s="163">
        <f t="shared" si="2"/>
        <v>20</v>
      </c>
      <c r="G8" s="163">
        <f t="shared" si="3"/>
        <v>153</v>
      </c>
      <c r="H8" s="163">
        <f>ROUNDUP(C8/VLOOKUP(B8,Dados!$B$70:$C$74,2,FALSE),0)</f>
        <v>762</v>
      </c>
      <c r="I8" s="163">
        <f t="shared" si="1"/>
        <v>37</v>
      </c>
      <c r="J8" s="163">
        <f>E8*Dados!$C$50</f>
        <v>640000</v>
      </c>
      <c r="K8" s="163">
        <f>E8*Dados!$D$50</f>
        <v>3600000</v>
      </c>
      <c r="L8" s="163">
        <f>E8*Dados!$E$50</f>
        <v>3140000</v>
      </c>
      <c r="M8" s="163">
        <f>F8*Dados!$C$49</f>
        <v>300000</v>
      </c>
      <c r="N8" s="163">
        <f>F8*Dados!$D$49</f>
        <v>1600000</v>
      </c>
      <c r="O8" s="163">
        <f>F8*Dados!$E$49</f>
        <v>1370000</v>
      </c>
      <c r="P8" s="163">
        <f>G8*Dados!$C$51</f>
        <v>2907000</v>
      </c>
      <c r="Q8" s="163">
        <f>G8*Dados!$D$51</f>
        <v>15300000</v>
      </c>
      <c r="R8" s="163">
        <f>G8*Dados!$E$51</f>
        <v>12622500</v>
      </c>
      <c r="S8" s="163">
        <f>H8*Dados!$C$66</f>
        <v>957072000</v>
      </c>
      <c r="T8" s="163">
        <f>I:I*Dados!$C$61</f>
        <v>5550000</v>
      </c>
    </row>
    <row r="9" spans="1:20" x14ac:dyDescent="0.25">
      <c r="A9" s="163" t="s">
        <v>55</v>
      </c>
      <c r="B9" s="163" t="s">
        <v>40</v>
      </c>
      <c r="C9" s="163">
        <f>SUMIFS('Qtd Vendas x Faturamento'!D:D,'Qtd Vendas x Faturamento'!A:A,Lotes!A9,'Qtd Vendas x Faturamento'!B:B,Lotes!B9)</f>
        <v>191065.27019231697</v>
      </c>
      <c r="D9" s="163">
        <f>C9/Dados!$C$13</f>
        <v>38.21305403846339</v>
      </c>
      <c r="E9" s="163">
        <f t="shared" si="0"/>
        <v>8</v>
      </c>
      <c r="F9" s="163">
        <f t="shared" si="2"/>
        <v>4</v>
      </c>
      <c r="G9" s="163">
        <f t="shared" si="3"/>
        <v>17</v>
      </c>
      <c r="H9" s="163">
        <f>ROUNDUP(C9/VLOOKUP(B9,Dados!$B$70:$C$74,2,FALSE),0)</f>
        <v>82</v>
      </c>
      <c r="I9" s="163">
        <f t="shared" si="1"/>
        <v>8</v>
      </c>
      <c r="J9" s="163">
        <f>E9*Dados!$C$50</f>
        <v>128000</v>
      </c>
      <c r="K9" s="163">
        <f>E9*Dados!$D$50</f>
        <v>720000</v>
      </c>
      <c r="L9" s="163">
        <f>E9*Dados!$E$50</f>
        <v>628000</v>
      </c>
      <c r="M9" s="163">
        <f>F9*Dados!$C$49</f>
        <v>60000</v>
      </c>
      <c r="N9" s="163">
        <f>F9*Dados!$D$49</f>
        <v>320000</v>
      </c>
      <c r="O9" s="163">
        <f>F9*Dados!$E$49</f>
        <v>274000</v>
      </c>
      <c r="P9" s="163">
        <f>G9*Dados!$C$51</f>
        <v>323000</v>
      </c>
      <c r="Q9" s="163">
        <f>G9*Dados!$D$51</f>
        <v>1700000</v>
      </c>
      <c r="R9" s="163">
        <f>G9*Dados!$E$51</f>
        <v>1402500</v>
      </c>
      <c r="S9" s="163">
        <f>H9*Dados!$C$66</f>
        <v>102992000</v>
      </c>
      <c r="T9" s="163">
        <f>I:I*Dados!$C$61</f>
        <v>1200000</v>
      </c>
    </row>
    <row r="10" spans="1:20" x14ac:dyDescent="0.25">
      <c r="A10" s="163" t="s">
        <v>55</v>
      </c>
      <c r="B10" s="163" t="s">
        <v>42</v>
      </c>
      <c r="C10" s="163">
        <f>SUMIFS('Qtd Vendas x Faturamento'!D:D,'Qtd Vendas x Faturamento'!A:A,Lotes!A10,'Qtd Vendas x Faturamento'!B:B,Lotes!B10)</f>
        <v>203561.05867559407</v>
      </c>
      <c r="D10" s="163">
        <f>C10/Dados!$C$13</f>
        <v>40.712211735118814</v>
      </c>
      <c r="E10" s="163">
        <f t="shared" si="0"/>
        <v>9</v>
      </c>
      <c r="F10" s="163">
        <f t="shared" si="2"/>
        <v>5</v>
      </c>
      <c r="G10" s="163">
        <f t="shared" si="3"/>
        <v>18</v>
      </c>
      <c r="H10" s="163">
        <f>ROUNDUP(C10/VLOOKUP(B10,Dados!$B$70:$C$74,2,FALSE),0)</f>
        <v>87</v>
      </c>
      <c r="I10" s="163">
        <f t="shared" si="1"/>
        <v>8</v>
      </c>
      <c r="J10" s="163">
        <f>E10*Dados!$C$50</f>
        <v>144000</v>
      </c>
      <c r="K10" s="163">
        <f>E10*Dados!$D$50</f>
        <v>810000</v>
      </c>
      <c r="L10" s="163">
        <f>E10*Dados!$E$50</f>
        <v>706500</v>
      </c>
      <c r="M10" s="163">
        <f>F10*Dados!$C$49</f>
        <v>75000</v>
      </c>
      <c r="N10" s="163">
        <f>F10*Dados!$D$49</f>
        <v>400000</v>
      </c>
      <c r="O10" s="163">
        <f>F10*Dados!$E$49</f>
        <v>342500</v>
      </c>
      <c r="P10" s="163">
        <f>G10*Dados!$C$51</f>
        <v>342000</v>
      </c>
      <c r="Q10" s="163">
        <f>G10*Dados!$D$51</f>
        <v>1800000</v>
      </c>
      <c r="R10" s="163">
        <f>G10*Dados!$E$51</f>
        <v>1485000</v>
      </c>
      <c r="S10" s="163">
        <f>H10*Dados!$C$66</f>
        <v>109272000</v>
      </c>
      <c r="T10" s="163">
        <f>I:I*Dados!$C$61</f>
        <v>1200000</v>
      </c>
    </row>
    <row r="11" spans="1:20" x14ac:dyDescent="0.25">
      <c r="A11" s="163" t="s">
        <v>55</v>
      </c>
      <c r="B11" s="163" t="s">
        <v>38</v>
      </c>
      <c r="C11" s="163">
        <f>SUMIFS('Qtd Vendas x Faturamento'!D:D,'Qtd Vendas x Faturamento'!A:A,Lotes!A11,'Qtd Vendas x Faturamento'!B:B,Lotes!B11)</f>
        <v>641107.43575329217</v>
      </c>
      <c r="D11" s="163">
        <f>C11/Dados!$C$13</f>
        <v>128.22148715065845</v>
      </c>
      <c r="E11" s="163">
        <f t="shared" si="0"/>
        <v>26</v>
      </c>
      <c r="F11" s="163">
        <f t="shared" si="2"/>
        <v>13</v>
      </c>
      <c r="G11" s="163">
        <f t="shared" si="3"/>
        <v>75</v>
      </c>
      <c r="H11" s="163">
        <f>ROUNDUP(C11/VLOOKUP(B11,Dados!$B$70:$C$74,2,FALSE),0)</f>
        <v>372</v>
      </c>
      <c r="I11" s="163">
        <f t="shared" si="1"/>
        <v>24</v>
      </c>
      <c r="J11" s="163">
        <f>E11*Dados!$C$50</f>
        <v>416000</v>
      </c>
      <c r="K11" s="163">
        <f>E11*Dados!$D$50</f>
        <v>2340000</v>
      </c>
      <c r="L11" s="163">
        <f>E11*Dados!$E$50</f>
        <v>2041000</v>
      </c>
      <c r="M11" s="163">
        <f>F11*Dados!$C$49</f>
        <v>195000</v>
      </c>
      <c r="N11" s="163">
        <f>F11*Dados!$D$49</f>
        <v>1040000</v>
      </c>
      <c r="O11" s="163">
        <f>F11*Dados!$E$49</f>
        <v>890500</v>
      </c>
      <c r="P11" s="163">
        <f>G11*Dados!$C$51</f>
        <v>1425000</v>
      </c>
      <c r="Q11" s="163">
        <f>G11*Dados!$D$51</f>
        <v>7500000</v>
      </c>
      <c r="R11" s="163">
        <f>G11*Dados!$E$51</f>
        <v>6187500</v>
      </c>
      <c r="S11" s="163">
        <f>H11*Dados!$C$66</f>
        <v>467232000</v>
      </c>
      <c r="T11" s="163">
        <f>I:I*Dados!$C$61</f>
        <v>3600000</v>
      </c>
    </row>
    <row r="12" spans="1:20" x14ac:dyDescent="0.25">
      <c r="A12" s="163" t="s">
        <v>56</v>
      </c>
      <c r="B12" s="163" t="s">
        <v>34</v>
      </c>
      <c r="C12" s="163">
        <f>SUMIFS('Qtd Vendas x Faturamento'!D:D,'Qtd Vendas x Faturamento'!A:A,Lotes!A12,'Qtd Vendas x Faturamento'!B:B,Lotes!B12)</f>
        <v>351149.05565941462</v>
      </c>
      <c r="D12" s="163">
        <f>C12/Dados!$C$13</f>
        <v>70.229811131882926</v>
      </c>
      <c r="E12" s="163">
        <f t="shared" si="0"/>
        <v>15</v>
      </c>
      <c r="F12" s="163">
        <f t="shared" si="2"/>
        <v>8</v>
      </c>
      <c r="G12" s="163">
        <f t="shared" si="3"/>
        <v>54</v>
      </c>
      <c r="H12" s="163">
        <f>ROUNDUP(C12/VLOOKUP(B12,Dados!$B$70:$C$74,2,FALSE),0)</f>
        <v>269</v>
      </c>
      <c r="I12" s="163">
        <f t="shared" si="1"/>
        <v>14</v>
      </c>
      <c r="J12" s="163">
        <f>E12*Dados!$C$50</f>
        <v>240000</v>
      </c>
      <c r="K12" s="163">
        <f>E12*Dados!$D$50</f>
        <v>1350000</v>
      </c>
      <c r="L12" s="163">
        <f>E12*Dados!$E$50</f>
        <v>1177500</v>
      </c>
      <c r="M12" s="163">
        <f>F12*Dados!$C$49</f>
        <v>120000</v>
      </c>
      <c r="N12" s="163">
        <f>F12*Dados!$D$49</f>
        <v>640000</v>
      </c>
      <c r="O12" s="163">
        <f>F12*Dados!$E$49</f>
        <v>548000</v>
      </c>
      <c r="P12" s="163">
        <f>G12*Dados!$C$51</f>
        <v>1026000</v>
      </c>
      <c r="Q12" s="163">
        <f>G12*Dados!$D$51</f>
        <v>5400000</v>
      </c>
      <c r="R12" s="163">
        <f>G12*Dados!$E$51</f>
        <v>4455000</v>
      </c>
      <c r="S12" s="163">
        <f>H12*Dados!$C$66</f>
        <v>337864000</v>
      </c>
      <c r="T12" s="163">
        <f>I:I*Dados!$C$61</f>
        <v>2100000</v>
      </c>
    </row>
    <row r="13" spans="1:20" x14ac:dyDescent="0.25">
      <c r="A13" s="163" t="s">
        <v>56</v>
      </c>
      <c r="B13" s="163" t="s">
        <v>36</v>
      </c>
      <c r="C13" s="163">
        <f>SUMIFS('Qtd Vendas x Faturamento'!D:D,'Qtd Vendas x Faturamento'!A:A,Lotes!A13,'Qtd Vendas x Faturamento'!B:B,Lotes!B13)</f>
        <v>995117.17971938208</v>
      </c>
      <c r="D13" s="163">
        <f>C13/Dados!$C$13</f>
        <v>199.02343594387642</v>
      </c>
      <c r="E13" s="163">
        <f t="shared" si="0"/>
        <v>40</v>
      </c>
      <c r="F13" s="163">
        <f t="shared" si="2"/>
        <v>20</v>
      </c>
      <c r="G13" s="163">
        <f t="shared" si="3"/>
        <v>153</v>
      </c>
      <c r="H13" s="163">
        <f>ROUNDUP(C13/VLOOKUP(B13,Dados!$B$70:$C$74,2,FALSE),0)</f>
        <v>762</v>
      </c>
      <c r="I13" s="163">
        <f t="shared" si="1"/>
        <v>37</v>
      </c>
      <c r="J13" s="163">
        <f>E13*Dados!$C$50</f>
        <v>640000</v>
      </c>
      <c r="K13" s="163">
        <f>E13*Dados!$D$50</f>
        <v>3600000</v>
      </c>
      <c r="L13" s="163">
        <f>E13*Dados!$E$50</f>
        <v>3140000</v>
      </c>
      <c r="M13" s="163">
        <f>F13*Dados!$C$49</f>
        <v>300000</v>
      </c>
      <c r="N13" s="163">
        <f>F13*Dados!$D$49</f>
        <v>1600000</v>
      </c>
      <c r="O13" s="163">
        <f>F13*Dados!$E$49</f>
        <v>1370000</v>
      </c>
      <c r="P13" s="163">
        <f>G13*Dados!$C$51</f>
        <v>2907000</v>
      </c>
      <c r="Q13" s="163">
        <f>G13*Dados!$D$51</f>
        <v>15300000</v>
      </c>
      <c r="R13" s="163">
        <f>G13*Dados!$E$51</f>
        <v>12622500</v>
      </c>
      <c r="S13" s="163">
        <f>H13*Dados!$C$66</f>
        <v>957072000</v>
      </c>
      <c r="T13" s="163">
        <f>I:I*Dados!$C$61</f>
        <v>5550000</v>
      </c>
    </row>
    <row r="14" spans="1:20" x14ac:dyDescent="0.25">
      <c r="A14" s="163" t="s">
        <v>56</v>
      </c>
      <c r="B14" s="163" t="s">
        <v>40</v>
      </c>
      <c r="C14" s="163">
        <f>SUMIFS('Qtd Vendas x Faturamento'!D:D,'Qtd Vendas x Faturamento'!A:A,Lotes!A14,'Qtd Vendas x Faturamento'!B:B,Lotes!B14)</f>
        <v>191065.27019231697</v>
      </c>
      <c r="D14" s="163">
        <f>C14/Dados!$C$13</f>
        <v>38.21305403846339</v>
      </c>
      <c r="E14" s="163">
        <f t="shared" si="0"/>
        <v>8</v>
      </c>
      <c r="F14" s="163">
        <f t="shared" si="2"/>
        <v>4</v>
      </c>
      <c r="G14" s="163">
        <f t="shared" si="3"/>
        <v>17</v>
      </c>
      <c r="H14" s="163">
        <f>ROUNDUP(C14/VLOOKUP(B14,Dados!$B$70:$C$74,2,FALSE),0)</f>
        <v>82</v>
      </c>
      <c r="I14" s="163">
        <f t="shared" si="1"/>
        <v>8</v>
      </c>
      <c r="J14" s="163">
        <f>E14*Dados!$C$50</f>
        <v>128000</v>
      </c>
      <c r="K14" s="163">
        <f>E14*Dados!$D$50</f>
        <v>720000</v>
      </c>
      <c r="L14" s="163">
        <f>E14*Dados!$E$50</f>
        <v>628000</v>
      </c>
      <c r="M14" s="163">
        <f>F14*Dados!$C$49</f>
        <v>60000</v>
      </c>
      <c r="N14" s="163">
        <f>F14*Dados!$D$49</f>
        <v>320000</v>
      </c>
      <c r="O14" s="163">
        <f>F14*Dados!$E$49</f>
        <v>274000</v>
      </c>
      <c r="P14" s="163">
        <f>G14*Dados!$C$51</f>
        <v>323000</v>
      </c>
      <c r="Q14" s="163">
        <f>G14*Dados!$D$51</f>
        <v>1700000</v>
      </c>
      <c r="R14" s="163">
        <f>G14*Dados!$E$51</f>
        <v>1402500</v>
      </c>
      <c r="S14" s="163">
        <f>H14*Dados!$C$66</f>
        <v>102992000</v>
      </c>
      <c r="T14" s="163">
        <f>I:I*Dados!$C$61</f>
        <v>1200000</v>
      </c>
    </row>
    <row r="15" spans="1:20" x14ac:dyDescent="0.25">
      <c r="A15" s="163" t="s">
        <v>56</v>
      </c>
      <c r="B15" s="163" t="s">
        <v>42</v>
      </c>
      <c r="C15" s="163">
        <f>SUMIFS('Qtd Vendas x Faturamento'!D:D,'Qtd Vendas x Faturamento'!A:A,Lotes!A15,'Qtd Vendas x Faturamento'!B:B,Lotes!B15)</f>
        <v>203561.05867559407</v>
      </c>
      <c r="D15" s="163">
        <f>C15/Dados!$C$13</f>
        <v>40.712211735118814</v>
      </c>
      <c r="E15" s="163">
        <f t="shared" si="0"/>
        <v>9</v>
      </c>
      <c r="F15" s="163">
        <f t="shared" si="2"/>
        <v>5</v>
      </c>
      <c r="G15" s="163">
        <f t="shared" si="3"/>
        <v>18</v>
      </c>
      <c r="H15" s="163">
        <f>ROUNDUP(C15/VLOOKUP(B15,Dados!$B$70:$C$74,2,FALSE),0)</f>
        <v>87</v>
      </c>
      <c r="I15" s="163">
        <f t="shared" si="1"/>
        <v>8</v>
      </c>
      <c r="J15" s="163">
        <f>E15*Dados!$C$50</f>
        <v>144000</v>
      </c>
      <c r="K15" s="163">
        <f>E15*Dados!$D$50</f>
        <v>810000</v>
      </c>
      <c r="L15" s="163">
        <f>E15*Dados!$E$50</f>
        <v>706500</v>
      </c>
      <c r="M15" s="163">
        <f>F15*Dados!$C$49</f>
        <v>75000</v>
      </c>
      <c r="N15" s="163">
        <f>F15*Dados!$D$49</f>
        <v>400000</v>
      </c>
      <c r="O15" s="163">
        <f>F15*Dados!$E$49</f>
        <v>342500</v>
      </c>
      <c r="P15" s="163">
        <f>G15*Dados!$C$51</f>
        <v>342000</v>
      </c>
      <c r="Q15" s="163">
        <f>G15*Dados!$D$51</f>
        <v>1800000</v>
      </c>
      <c r="R15" s="163">
        <f>G15*Dados!$E$51</f>
        <v>1485000</v>
      </c>
      <c r="S15" s="163">
        <f>H15*Dados!$C$66</f>
        <v>109272000</v>
      </c>
      <c r="T15" s="163">
        <f>I:I*Dados!$C$61</f>
        <v>1200000</v>
      </c>
    </row>
    <row r="16" spans="1:20" x14ac:dyDescent="0.25">
      <c r="A16" s="163" t="s">
        <v>56</v>
      </c>
      <c r="B16" s="163" t="s">
        <v>38</v>
      </c>
      <c r="C16" s="163">
        <f>SUMIFS('Qtd Vendas x Faturamento'!D:D,'Qtd Vendas x Faturamento'!A:A,Lotes!A16,'Qtd Vendas x Faturamento'!B:B,Lotes!B16)</f>
        <v>641107.43575329217</v>
      </c>
      <c r="D16" s="163">
        <f>C16/Dados!$C$13</f>
        <v>128.22148715065845</v>
      </c>
      <c r="E16" s="163">
        <f t="shared" si="0"/>
        <v>26</v>
      </c>
      <c r="F16" s="163">
        <f t="shared" si="2"/>
        <v>13</v>
      </c>
      <c r="G16" s="163">
        <f t="shared" si="3"/>
        <v>75</v>
      </c>
      <c r="H16" s="163">
        <f>ROUNDUP(C16/VLOOKUP(B16,Dados!$B$70:$C$74,2,FALSE),0)</f>
        <v>372</v>
      </c>
      <c r="I16" s="163">
        <f t="shared" si="1"/>
        <v>24</v>
      </c>
      <c r="J16" s="163">
        <f>E16*Dados!$C$50</f>
        <v>416000</v>
      </c>
      <c r="K16" s="163">
        <f>E16*Dados!$D$50</f>
        <v>2340000</v>
      </c>
      <c r="L16" s="163">
        <f>E16*Dados!$E$50</f>
        <v>2041000</v>
      </c>
      <c r="M16" s="163">
        <f>F16*Dados!$C$49</f>
        <v>195000</v>
      </c>
      <c r="N16" s="163">
        <f>F16*Dados!$D$49</f>
        <v>1040000</v>
      </c>
      <c r="O16" s="163">
        <f>F16*Dados!$E$49</f>
        <v>890500</v>
      </c>
      <c r="P16" s="163">
        <f>G16*Dados!$C$51</f>
        <v>1425000</v>
      </c>
      <c r="Q16" s="163">
        <f>G16*Dados!$D$51</f>
        <v>7500000</v>
      </c>
      <c r="R16" s="163">
        <f>G16*Dados!$E$51</f>
        <v>6187500</v>
      </c>
      <c r="S16" s="163">
        <f>H16*Dados!$C$66</f>
        <v>467232000</v>
      </c>
      <c r="T16" s="163">
        <f>I:I*Dados!$C$61</f>
        <v>3600000</v>
      </c>
    </row>
    <row r="17" spans="1:20" x14ac:dyDescent="0.25">
      <c r="A17" s="163" t="s">
        <v>57</v>
      </c>
      <c r="B17" s="163" t="s">
        <v>34</v>
      </c>
      <c r="C17" s="163">
        <f>SUMIFS('Qtd Vendas x Faturamento'!D:D,'Qtd Vendas x Faturamento'!A:A,Lotes!A17,'Qtd Vendas x Faturamento'!B:B,Lotes!B17)</f>
        <v>351149.05565941462</v>
      </c>
      <c r="D17" s="163">
        <f>C17/Dados!$C$13</f>
        <v>70.229811131882926</v>
      </c>
      <c r="E17" s="163">
        <f t="shared" si="0"/>
        <v>15</v>
      </c>
      <c r="F17" s="163">
        <f t="shared" si="2"/>
        <v>8</v>
      </c>
      <c r="G17" s="163">
        <f t="shared" si="3"/>
        <v>54</v>
      </c>
      <c r="H17" s="163">
        <f>ROUNDUP(C17/VLOOKUP(B17,Dados!$B$70:$C$74,2,FALSE),0)</f>
        <v>269</v>
      </c>
      <c r="I17" s="163">
        <f t="shared" si="1"/>
        <v>14</v>
      </c>
      <c r="J17" s="163">
        <f>E17*Dados!$C$50</f>
        <v>240000</v>
      </c>
      <c r="K17" s="163">
        <f>E17*Dados!$D$50</f>
        <v>1350000</v>
      </c>
      <c r="L17" s="163">
        <f>E17*Dados!$E$50</f>
        <v>1177500</v>
      </c>
      <c r="M17" s="163">
        <f>F17*Dados!$C$49</f>
        <v>120000</v>
      </c>
      <c r="N17" s="163">
        <f>F17*Dados!$D$49</f>
        <v>640000</v>
      </c>
      <c r="O17" s="163">
        <f>F17*Dados!$E$49</f>
        <v>548000</v>
      </c>
      <c r="P17" s="163">
        <f>G17*Dados!$C$51</f>
        <v>1026000</v>
      </c>
      <c r="Q17" s="163">
        <f>G17*Dados!$D$51</f>
        <v>5400000</v>
      </c>
      <c r="R17" s="163">
        <f>G17*Dados!$E$51</f>
        <v>4455000</v>
      </c>
      <c r="S17" s="163">
        <f>H17*Dados!$C$66</f>
        <v>337864000</v>
      </c>
      <c r="T17" s="163">
        <f>I:I*Dados!$C$61</f>
        <v>2100000</v>
      </c>
    </row>
    <row r="18" spans="1:20" x14ac:dyDescent="0.25">
      <c r="A18" s="163" t="s">
        <v>57</v>
      </c>
      <c r="B18" s="163" t="s">
        <v>36</v>
      </c>
      <c r="C18" s="163">
        <f>SUMIFS('Qtd Vendas x Faturamento'!D:D,'Qtd Vendas x Faturamento'!A:A,Lotes!A18,'Qtd Vendas x Faturamento'!B:B,Lotes!B18)</f>
        <v>995117.17971938208</v>
      </c>
      <c r="D18" s="163">
        <f>C18/Dados!$C$13</f>
        <v>199.02343594387642</v>
      </c>
      <c r="E18" s="163">
        <f t="shared" si="0"/>
        <v>40</v>
      </c>
      <c r="F18" s="163">
        <f t="shared" si="2"/>
        <v>20</v>
      </c>
      <c r="G18" s="163">
        <f t="shared" si="3"/>
        <v>153</v>
      </c>
      <c r="H18" s="163">
        <f>ROUNDUP(C18/VLOOKUP(B18,Dados!$B$70:$C$74,2,FALSE),0)</f>
        <v>762</v>
      </c>
      <c r="I18" s="163">
        <f t="shared" si="1"/>
        <v>37</v>
      </c>
      <c r="J18" s="163">
        <f>E18*Dados!$C$50</f>
        <v>640000</v>
      </c>
      <c r="K18" s="163">
        <f>E18*Dados!$D$50</f>
        <v>3600000</v>
      </c>
      <c r="L18" s="163">
        <f>E18*Dados!$E$50</f>
        <v>3140000</v>
      </c>
      <c r="M18" s="163">
        <f>F18*Dados!$C$49</f>
        <v>300000</v>
      </c>
      <c r="N18" s="163">
        <f>F18*Dados!$D$49</f>
        <v>1600000</v>
      </c>
      <c r="O18" s="163">
        <f>F18*Dados!$E$49</f>
        <v>1370000</v>
      </c>
      <c r="P18" s="163">
        <f>G18*Dados!$C$51</f>
        <v>2907000</v>
      </c>
      <c r="Q18" s="163">
        <f>G18*Dados!$D$51</f>
        <v>15300000</v>
      </c>
      <c r="R18" s="163">
        <f>G18*Dados!$E$51</f>
        <v>12622500</v>
      </c>
      <c r="S18" s="163">
        <f>H18*Dados!$C$66</f>
        <v>957072000</v>
      </c>
      <c r="T18" s="163">
        <f>I:I*Dados!$C$61</f>
        <v>5550000</v>
      </c>
    </row>
    <row r="19" spans="1:20" x14ac:dyDescent="0.25">
      <c r="A19" s="163" t="s">
        <v>57</v>
      </c>
      <c r="B19" s="163" t="s">
        <v>40</v>
      </c>
      <c r="C19" s="163">
        <f>SUMIFS('Qtd Vendas x Faturamento'!D:D,'Qtd Vendas x Faturamento'!A:A,Lotes!A19,'Qtd Vendas x Faturamento'!B:B,Lotes!B19)</f>
        <v>191065.27019231697</v>
      </c>
      <c r="D19" s="163">
        <f>C19/Dados!$C$13</f>
        <v>38.21305403846339</v>
      </c>
      <c r="E19" s="163">
        <f t="shared" si="0"/>
        <v>8</v>
      </c>
      <c r="F19" s="163">
        <f t="shared" si="2"/>
        <v>4</v>
      </c>
      <c r="G19" s="163">
        <f t="shared" si="3"/>
        <v>17</v>
      </c>
      <c r="H19" s="163">
        <f>ROUNDUP(C19/VLOOKUP(B19,Dados!$B$70:$C$74,2,FALSE),0)</f>
        <v>82</v>
      </c>
      <c r="I19" s="163">
        <f t="shared" si="1"/>
        <v>8</v>
      </c>
      <c r="J19" s="163">
        <f>E19*Dados!$C$50</f>
        <v>128000</v>
      </c>
      <c r="K19" s="163">
        <f>E19*Dados!$D$50</f>
        <v>720000</v>
      </c>
      <c r="L19" s="163">
        <f>E19*Dados!$E$50</f>
        <v>628000</v>
      </c>
      <c r="M19" s="163">
        <f>F19*Dados!$C$49</f>
        <v>60000</v>
      </c>
      <c r="N19" s="163">
        <f>F19*Dados!$D$49</f>
        <v>320000</v>
      </c>
      <c r="O19" s="163">
        <f>F19*Dados!$E$49</f>
        <v>274000</v>
      </c>
      <c r="P19" s="163">
        <f>G19*Dados!$C$51</f>
        <v>323000</v>
      </c>
      <c r="Q19" s="163">
        <f>G19*Dados!$D$51</f>
        <v>1700000</v>
      </c>
      <c r="R19" s="163">
        <f>G19*Dados!$E$51</f>
        <v>1402500</v>
      </c>
      <c r="S19" s="163">
        <f>H19*Dados!$C$66</f>
        <v>102992000</v>
      </c>
      <c r="T19" s="163">
        <f>I:I*Dados!$C$61</f>
        <v>1200000</v>
      </c>
    </row>
    <row r="20" spans="1:20" x14ac:dyDescent="0.25">
      <c r="A20" s="163" t="s">
        <v>57</v>
      </c>
      <c r="B20" s="163" t="s">
        <v>42</v>
      </c>
      <c r="C20" s="163">
        <f>SUMIFS('Qtd Vendas x Faturamento'!D:D,'Qtd Vendas x Faturamento'!A:A,Lotes!A20,'Qtd Vendas x Faturamento'!B:B,Lotes!B20)</f>
        <v>203561.05867559407</v>
      </c>
      <c r="D20" s="163">
        <f>C20/Dados!$C$13</f>
        <v>40.712211735118814</v>
      </c>
      <c r="E20" s="163">
        <f t="shared" si="0"/>
        <v>9</v>
      </c>
      <c r="F20" s="163">
        <f t="shared" si="2"/>
        <v>5</v>
      </c>
      <c r="G20" s="163">
        <f t="shared" si="3"/>
        <v>18</v>
      </c>
      <c r="H20" s="163">
        <f>ROUNDUP(C20/VLOOKUP(B20,Dados!$B$70:$C$74,2,FALSE),0)</f>
        <v>87</v>
      </c>
      <c r="I20" s="163">
        <f t="shared" si="1"/>
        <v>8</v>
      </c>
      <c r="J20" s="163">
        <f>E20*Dados!$C$50</f>
        <v>144000</v>
      </c>
      <c r="K20" s="163">
        <f>E20*Dados!$D$50</f>
        <v>810000</v>
      </c>
      <c r="L20" s="163">
        <f>E20*Dados!$E$50</f>
        <v>706500</v>
      </c>
      <c r="M20" s="163">
        <f>F20*Dados!$C$49</f>
        <v>75000</v>
      </c>
      <c r="N20" s="163">
        <f>F20*Dados!$D$49</f>
        <v>400000</v>
      </c>
      <c r="O20" s="163">
        <f>F20*Dados!$E$49</f>
        <v>342500</v>
      </c>
      <c r="P20" s="163">
        <f>G20*Dados!$C$51</f>
        <v>342000</v>
      </c>
      <c r="Q20" s="163">
        <f>G20*Dados!$D$51</f>
        <v>1800000</v>
      </c>
      <c r="R20" s="163">
        <f>G20*Dados!$E$51</f>
        <v>1485000</v>
      </c>
      <c r="S20" s="163">
        <f>H20*Dados!$C$66</f>
        <v>109272000</v>
      </c>
      <c r="T20" s="163">
        <f>I:I*Dados!$C$61</f>
        <v>1200000</v>
      </c>
    </row>
    <row r="21" spans="1:20" x14ac:dyDescent="0.25">
      <c r="A21" s="163" t="s">
        <v>57</v>
      </c>
      <c r="B21" s="163" t="s">
        <v>38</v>
      </c>
      <c r="C21" s="163">
        <f>SUMIFS('Qtd Vendas x Faturamento'!D:D,'Qtd Vendas x Faturamento'!A:A,Lotes!A21,'Qtd Vendas x Faturamento'!B:B,Lotes!B21)</f>
        <v>641107.43575329217</v>
      </c>
      <c r="D21" s="163">
        <f>C21/Dados!$C$13</f>
        <v>128.22148715065845</v>
      </c>
      <c r="E21" s="163">
        <f t="shared" si="0"/>
        <v>26</v>
      </c>
      <c r="F21" s="163">
        <f t="shared" si="2"/>
        <v>13</v>
      </c>
      <c r="G21" s="163">
        <f t="shared" si="3"/>
        <v>75</v>
      </c>
      <c r="H21" s="163">
        <f>ROUNDUP(C21/VLOOKUP(B21,Dados!$B$70:$C$74,2,FALSE),0)</f>
        <v>372</v>
      </c>
      <c r="I21" s="163">
        <f t="shared" si="1"/>
        <v>24</v>
      </c>
      <c r="J21" s="163">
        <f>E21*Dados!$C$50</f>
        <v>416000</v>
      </c>
      <c r="K21" s="163">
        <f>E21*Dados!$D$50</f>
        <v>2340000</v>
      </c>
      <c r="L21" s="163">
        <f>E21*Dados!$E$50</f>
        <v>2041000</v>
      </c>
      <c r="M21" s="163">
        <f>F21*Dados!$C$49</f>
        <v>195000</v>
      </c>
      <c r="N21" s="163">
        <f>F21*Dados!$D$49</f>
        <v>1040000</v>
      </c>
      <c r="O21" s="163">
        <f>F21*Dados!$E$49</f>
        <v>890500</v>
      </c>
      <c r="P21" s="163">
        <f>G21*Dados!$C$51</f>
        <v>1425000</v>
      </c>
      <c r="Q21" s="163">
        <f>G21*Dados!$D$51</f>
        <v>7500000</v>
      </c>
      <c r="R21" s="163">
        <f>G21*Dados!$E$51</f>
        <v>6187500</v>
      </c>
      <c r="S21" s="163">
        <f>H21*Dados!$C$66</f>
        <v>467232000</v>
      </c>
      <c r="T21" s="163">
        <f>I:I*Dados!$C$61</f>
        <v>3600000</v>
      </c>
    </row>
    <row r="22" spans="1:20" x14ac:dyDescent="0.25">
      <c r="A22" s="163" t="s">
        <v>58</v>
      </c>
      <c r="B22" s="163" t="s">
        <v>34</v>
      </c>
      <c r="C22" s="163">
        <f>SUMIFS('Qtd Vendas x Faturamento'!D:D,'Qtd Vendas x Faturamento'!A:A,Lotes!A22,'Qtd Vendas x Faturamento'!B:B,Lotes!B22)</f>
        <v>526723.58348912199</v>
      </c>
      <c r="D22" s="163">
        <f>C22/Dados!$C$13</f>
        <v>105.3447166978244</v>
      </c>
      <c r="E22" s="163">
        <f t="shared" si="0"/>
        <v>22</v>
      </c>
      <c r="F22" s="163">
        <f t="shared" si="2"/>
        <v>11</v>
      </c>
      <c r="G22" s="163">
        <f t="shared" si="3"/>
        <v>81</v>
      </c>
      <c r="H22" s="163">
        <f>ROUNDUP(C22/VLOOKUP(B22,Dados!$B$70:$C$74,2,FALSE),0)</f>
        <v>404</v>
      </c>
      <c r="I22" s="163">
        <f t="shared" si="1"/>
        <v>20</v>
      </c>
      <c r="J22" s="163">
        <f>E22*Dados!$C$50</f>
        <v>352000</v>
      </c>
      <c r="K22" s="163">
        <f>E22*Dados!$D$50</f>
        <v>1980000</v>
      </c>
      <c r="L22" s="163">
        <f>E22*Dados!$E$50</f>
        <v>1727000</v>
      </c>
      <c r="M22" s="163">
        <f>F22*Dados!$C$49</f>
        <v>165000</v>
      </c>
      <c r="N22" s="163">
        <f>F22*Dados!$D$49</f>
        <v>880000</v>
      </c>
      <c r="O22" s="163">
        <f>F22*Dados!$E$49</f>
        <v>753500</v>
      </c>
      <c r="P22" s="163">
        <f>G22*Dados!$C$51</f>
        <v>1539000</v>
      </c>
      <c r="Q22" s="163">
        <f>G22*Dados!$D$51</f>
        <v>8100000</v>
      </c>
      <c r="R22" s="163">
        <f>G22*Dados!$E$51</f>
        <v>6682500</v>
      </c>
      <c r="S22" s="163">
        <f>H22*Dados!$C$66</f>
        <v>507424000</v>
      </c>
      <c r="T22" s="163">
        <f>I:I*Dados!$C$61</f>
        <v>3000000</v>
      </c>
    </row>
    <row r="23" spans="1:20" x14ac:dyDescent="0.25">
      <c r="A23" s="163" t="s">
        <v>58</v>
      </c>
      <c r="B23" s="163" t="s">
        <v>36</v>
      </c>
      <c r="C23" s="163">
        <f>SUMIFS('Qtd Vendas x Faturamento'!D:D,'Qtd Vendas x Faturamento'!A:A,Lotes!A23,'Qtd Vendas x Faturamento'!B:B,Lotes!B23)</f>
        <v>1492675.7695790732</v>
      </c>
      <c r="D23" s="163">
        <f>C23/Dados!$C$13</f>
        <v>298.53515391581465</v>
      </c>
      <c r="E23" s="163">
        <f t="shared" si="0"/>
        <v>60</v>
      </c>
      <c r="F23" s="163">
        <f t="shared" si="2"/>
        <v>30</v>
      </c>
      <c r="G23" s="163">
        <f t="shared" si="3"/>
        <v>229</v>
      </c>
      <c r="H23" s="163">
        <f>ROUNDUP(C23/VLOOKUP(B23,Dados!$B$70:$C$74,2,FALSE),0)</f>
        <v>1143</v>
      </c>
      <c r="I23" s="163">
        <f t="shared" si="1"/>
        <v>56</v>
      </c>
      <c r="J23" s="163">
        <f>E23*Dados!$C$50</f>
        <v>960000</v>
      </c>
      <c r="K23" s="163">
        <f>E23*Dados!$D$50</f>
        <v>5400000</v>
      </c>
      <c r="L23" s="163">
        <f>E23*Dados!$E$50</f>
        <v>4710000</v>
      </c>
      <c r="M23" s="163">
        <f>F23*Dados!$C$49</f>
        <v>450000</v>
      </c>
      <c r="N23" s="163">
        <f>F23*Dados!$D$49</f>
        <v>2400000</v>
      </c>
      <c r="O23" s="163">
        <f>F23*Dados!$E$49</f>
        <v>2055000</v>
      </c>
      <c r="P23" s="163">
        <f>G23*Dados!$C$51</f>
        <v>4351000</v>
      </c>
      <c r="Q23" s="163">
        <f>G23*Dados!$D$51</f>
        <v>22900000</v>
      </c>
      <c r="R23" s="163">
        <f>G23*Dados!$E$51</f>
        <v>18892500</v>
      </c>
      <c r="S23" s="163">
        <f>H23*Dados!$C$66</f>
        <v>1435608000</v>
      </c>
      <c r="T23" s="163">
        <f>I:I*Dados!$C$61</f>
        <v>8400000</v>
      </c>
    </row>
    <row r="24" spans="1:20" x14ac:dyDescent="0.25">
      <c r="A24" s="163" t="s">
        <v>58</v>
      </c>
      <c r="B24" s="163" t="s">
        <v>40</v>
      </c>
      <c r="C24" s="163">
        <f>SUMIFS('Qtd Vendas x Faturamento'!D:D,'Qtd Vendas x Faturamento'!A:A,Lotes!A24,'Qtd Vendas x Faturamento'!B:B,Lotes!B24)</f>
        <v>286597.90528847551</v>
      </c>
      <c r="D24" s="163">
        <f>C24/Dados!$C$13</f>
        <v>57.319581057695103</v>
      </c>
      <c r="E24" s="163">
        <f t="shared" si="0"/>
        <v>12</v>
      </c>
      <c r="F24" s="163">
        <f t="shared" si="2"/>
        <v>6</v>
      </c>
      <c r="G24" s="163">
        <f t="shared" si="3"/>
        <v>25</v>
      </c>
      <c r="H24" s="163">
        <f>ROUNDUP(C24/VLOOKUP(B24,Dados!$B$70:$C$74,2,FALSE),0)</f>
        <v>123</v>
      </c>
      <c r="I24" s="163">
        <f t="shared" si="1"/>
        <v>11</v>
      </c>
      <c r="J24" s="163">
        <f>E24*Dados!$C$50</f>
        <v>192000</v>
      </c>
      <c r="K24" s="163">
        <f>E24*Dados!$D$50</f>
        <v>1080000</v>
      </c>
      <c r="L24" s="163">
        <f>E24*Dados!$E$50</f>
        <v>942000</v>
      </c>
      <c r="M24" s="163">
        <f>F24*Dados!$C$49</f>
        <v>90000</v>
      </c>
      <c r="N24" s="163">
        <f>F24*Dados!$D$49</f>
        <v>480000</v>
      </c>
      <c r="O24" s="163">
        <f>F24*Dados!$E$49</f>
        <v>411000</v>
      </c>
      <c r="P24" s="163">
        <f>G24*Dados!$C$51</f>
        <v>475000</v>
      </c>
      <c r="Q24" s="163">
        <f>G24*Dados!$D$51</f>
        <v>2500000</v>
      </c>
      <c r="R24" s="163">
        <f>G24*Dados!$E$51</f>
        <v>2062500</v>
      </c>
      <c r="S24" s="163">
        <f>H24*Dados!$C$66</f>
        <v>154488000</v>
      </c>
      <c r="T24" s="163">
        <f>I:I*Dados!$C$61</f>
        <v>1650000</v>
      </c>
    </row>
    <row r="25" spans="1:20" x14ac:dyDescent="0.25">
      <c r="A25" s="163" t="s">
        <v>58</v>
      </c>
      <c r="B25" s="163" t="s">
        <v>42</v>
      </c>
      <c r="C25" s="163">
        <f>SUMIFS('Qtd Vendas x Faturamento'!D:D,'Qtd Vendas x Faturamento'!A:A,Lotes!A25,'Qtd Vendas x Faturamento'!B:B,Lotes!B25)</f>
        <v>305341.58801339107</v>
      </c>
      <c r="D25" s="163">
        <f>C25/Dados!$C$13</f>
        <v>61.068317602678214</v>
      </c>
      <c r="E25" s="163">
        <f t="shared" si="0"/>
        <v>13</v>
      </c>
      <c r="F25" s="163">
        <f t="shared" si="2"/>
        <v>7</v>
      </c>
      <c r="G25" s="163">
        <f t="shared" si="3"/>
        <v>27</v>
      </c>
      <c r="H25" s="163">
        <f>ROUNDUP(C25/VLOOKUP(B25,Dados!$B$70:$C$74,2,FALSE),0)</f>
        <v>131</v>
      </c>
      <c r="I25" s="163">
        <f t="shared" si="1"/>
        <v>12</v>
      </c>
      <c r="J25" s="163">
        <f>E25*Dados!$C$50</f>
        <v>208000</v>
      </c>
      <c r="K25" s="163">
        <f>E25*Dados!$D$50</f>
        <v>1170000</v>
      </c>
      <c r="L25" s="163">
        <f>E25*Dados!$E$50</f>
        <v>1020500</v>
      </c>
      <c r="M25" s="163">
        <f>F25*Dados!$C$49</f>
        <v>105000</v>
      </c>
      <c r="N25" s="163">
        <f>F25*Dados!$D$49</f>
        <v>560000</v>
      </c>
      <c r="O25" s="163">
        <f>F25*Dados!$E$49</f>
        <v>479500</v>
      </c>
      <c r="P25" s="163">
        <f>G25*Dados!$C$51</f>
        <v>513000</v>
      </c>
      <c r="Q25" s="163">
        <f>G25*Dados!$D$51</f>
        <v>2700000</v>
      </c>
      <c r="R25" s="163">
        <f>G25*Dados!$E$51</f>
        <v>2227500</v>
      </c>
      <c r="S25" s="163">
        <f>H25*Dados!$C$66</f>
        <v>164536000</v>
      </c>
      <c r="T25" s="163">
        <f>I:I*Dados!$C$61</f>
        <v>1800000</v>
      </c>
    </row>
    <row r="26" spans="1:20" x14ac:dyDescent="0.25">
      <c r="A26" s="163" t="s">
        <v>58</v>
      </c>
      <c r="B26" s="163" t="s">
        <v>38</v>
      </c>
      <c r="C26" s="163">
        <f>SUMIFS('Qtd Vendas x Faturamento'!D:D,'Qtd Vendas x Faturamento'!A:A,Lotes!A26,'Qtd Vendas x Faturamento'!B:B,Lotes!B26)</f>
        <v>961661.15362993837</v>
      </c>
      <c r="D26" s="163">
        <f>C26/Dados!$C$13</f>
        <v>192.33223072598767</v>
      </c>
      <c r="E26" s="163">
        <f t="shared" si="0"/>
        <v>39</v>
      </c>
      <c r="F26" s="163">
        <f t="shared" si="2"/>
        <v>20</v>
      </c>
      <c r="G26" s="163">
        <f t="shared" si="3"/>
        <v>112</v>
      </c>
      <c r="H26" s="163">
        <f>ROUNDUP(C26/VLOOKUP(B26,Dados!$B$70:$C$74,2,FALSE),0)</f>
        <v>557</v>
      </c>
      <c r="I26" s="163">
        <f t="shared" si="1"/>
        <v>36</v>
      </c>
      <c r="J26" s="163">
        <f>E26*Dados!$C$50</f>
        <v>624000</v>
      </c>
      <c r="K26" s="163">
        <f>E26*Dados!$D$50</f>
        <v>3510000</v>
      </c>
      <c r="L26" s="163">
        <f>E26*Dados!$E$50</f>
        <v>3061500</v>
      </c>
      <c r="M26" s="163">
        <f>F26*Dados!$C$49</f>
        <v>300000</v>
      </c>
      <c r="N26" s="163">
        <f>F26*Dados!$D$49</f>
        <v>1600000</v>
      </c>
      <c r="O26" s="163">
        <f>F26*Dados!$E$49</f>
        <v>1370000</v>
      </c>
      <c r="P26" s="163">
        <f>G26*Dados!$C$51</f>
        <v>2128000</v>
      </c>
      <c r="Q26" s="163">
        <f>G26*Dados!$D$51</f>
        <v>11200000</v>
      </c>
      <c r="R26" s="163">
        <f>G26*Dados!$E$51</f>
        <v>9240000</v>
      </c>
      <c r="S26" s="163">
        <f>H26*Dados!$C$66</f>
        <v>699592000</v>
      </c>
      <c r="T26" s="163">
        <f>I:I*Dados!$C$61</f>
        <v>5400000</v>
      </c>
    </row>
    <row r="27" spans="1:20" x14ac:dyDescent="0.25">
      <c r="A27" s="163" t="s">
        <v>59</v>
      </c>
      <c r="B27" s="163" t="s">
        <v>34</v>
      </c>
      <c r="C27" s="163">
        <f>SUMIFS('Qtd Vendas x Faturamento'!D:D,'Qtd Vendas x Faturamento'!A:A,Lotes!A27,'Qtd Vendas x Faturamento'!B:B,Lotes!B27)</f>
        <v>526723.58348912199</v>
      </c>
      <c r="D27" s="163">
        <f>C27/Dados!$C$13</f>
        <v>105.3447166978244</v>
      </c>
      <c r="E27" s="163">
        <f t="shared" si="0"/>
        <v>22</v>
      </c>
      <c r="F27" s="163">
        <f t="shared" si="2"/>
        <v>11</v>
      </c>
      <c r="G27" s="163">
        <f t="shared" si="3"/>
        <v>81</v>
      </c>
      <c r="H27" s="163">
        <f>ROUNDUP(C27/VLOOKUP(B27,Dados!$B$70:$C$74,2,FALSE),0)</f>
        <v>404</v>
      </c>
      <c r="I27" s="163">
        <f t="shared" si="1"/>
        <v>20</v>
      </c>
      <c r="J27" s="163">
        <f>E27*Dados!$C$50</f>
        <v>352000</v>
      </c>
      <c r="K27" s="163">
        <f>E27*Dados!$D$50</f>
        <v>1980000</v>
      </c>
      <c r="L27" s="163">
        <f>E27*Dados!$E$50</f>
        <v>1727000</v>
      </c>
      <c r="M27" s="163">
        <f>F27*Dados!$C$49</f>
        <v>165000</v>
      </c>
      <c r="N27" s="163">
        <f>F27*Dados!$D$49</f>
        <v>880000</v>
      </c>
      <c r="O27" s="163">
        <f>F27*Dados!$E$49</f>
        <v>753500</v>
      </c>
      <c r="P27" s="163">
        <f>G27*Dados!$C$51</f>
        <v>1539000</v>
      </c>
      <c r="Q27" s="163">
        <f>G27*Dados!$D$51</f>
        <v>8100000</v>
      </c>
      <c r="R27" s="163">
        <f>G27*Dados!$E$51</f>
        <v>6682500</v>
      </c>
      <c r="S27" s="163">
        <f>H27*Dados!$C$66</f>
        <v>507424000</v>
      </c>
      <c r="T27" s="163">
        <f>I:I*Dados!$C$61</f>
        <v>3000000</v>
      </c>
    </row>
    <row r="28" spans="1:20" x14ac:dyDescent="0.25">
      <c r="A28" s="163" t="s">
        <v>59</v>
      </c>
      <c r="B28" s="163" t="s">
        <v>36</v>
      </c>
      <c r="C28" s="163">
        <f>SUMIFS('Qtd Vendas x Faturamento'!D:D,'Qtd Vendas x Faturamento'!A:A,Lotes!A28,'Qtd Vendas x Faturamento'!B:B,Lotes!B28)</f>
        <v>1492675.7695790732</v>
      </c>
      <c r="D28" s="163">
        <f>C28/Dados!$C$13</f>
        <v>298.53515391581465</v>
      </c>
      <c r="E28" s="163">
        <f t="shared" si="0"/>
        <v>60</v>
      </c>
      <c r="F28" s="163">
        <f t="shared" si="2"/>
        <v>30</v>
      </c>
      <c r="G28" s="163">
        <f t="shared" si="3"/>
        <v>229</v>
      </c>
      <c r="H28" s="163">
        <f>ROUNDUP(C28/VLOOKUP(B28,Dados!$B$70:$C$74,2,FALSE),0)</f>
        <v>1143</v>
      </c>
      <c r="I28" s="163">
        <f t="shared" si="1"/>
        <v>56</v>
      </c>
      <c r="J28" s="163">
        <f>E28*Dados!$C$50</f>
        <v>960000</v>
      </c>
      <c r="K28" s="163">
        <f>E28*Dados!$D$50</f>
        <v>5400000</v>
      </c>
      <c r="L28" s="163">
        <f>E28*Dados!$E$50</f>
        <v>4710000</v>
      </c>
      <c r="M28" s="163">
        <f>F28*Dados!$C$49</f>
        <v>450000</v>
      </c>
      <c r="N28" s="163">
        <f>F28*Dados!$D$49</f>
        <v>2400000</v>
      </c>
      <c r="O28" s="163">
        <f>F28*Dados!$E$49</f>
        <v>2055000</v>
      </c>
      <c r="P28" s="163">
        <f>G28*Dados!$C$51</f>
        <v>4351000</v>
      </c>
      <c r="Q28" s="163">
        <f>G28*Dados!$D$51</f>
        <v>22900000</v>
      </c>
      <c r="R28" s="163">
        <f>G28*Dados!$E$51</f>
        <v>18892500</v>
      </c>
      <c r="S28" s="163">
        <f>H28*Dados!$C$66</f>
        <v>1435608000</v>
      </c>
      <c r="T28" s="163">
        <f>I:I*Dados!$C$61</f>
        <v>8400000</v>
      </c>
    </row>
    <row r="29" spans="1:20" x14ac:dyDescent="0.25">
      <c r="A29" s="163" t="s">
        <v>59</v>
      </c>
      <c r="B29" s="163" t="s">
        <v>40</v>
      </c>
      <c r="C29" s="163">
        <f>SUMIFS('Qtd Vendas x Faturamento'!D:D,'Qtd Vendas x Faturamento'!A:A,Lotes!A29,'Qtd Vendas x Faturamento'!B:B,Lotes!B29)</f>
        <v>286597.90528847551</v>
      </c>
      <c r="D29" s="163">
        <f>C29/Dados!$C$13</f>
        <v>57.319581057695103</v>
      </c>
      <c r="E29" s="163">
        <f t="shared" si="0"/>
        <v>12</v>
      </c>
      <c r="F29" s="163">
        <f t="shared" si="2"/>
        <v>6</v>
      </c>
      <c r="G29" s="163">
        <f t="shared" si="3"/>
        <v>25</v>
      </c>
      <c r="H29" s="163">
        <f>ROUNDUP(C29/VLOOKUP(B29,Dados!$B$70:$C$74,2,FALSE),0)</f>
        <v>123</v>
      </c>
      <c r="I29" s="163">
        <f t="shared" si="1"/>
        <v>11</v>
      </c>
      <c r="J29" s="163">
        <f>E29*Dados!$C$50</f>
        <v>192000</v>
      </c>
      <c r="K29" s="163">
        <f>E29*Dados!$D$50</f>
        <v>1080000</v>
      </c>
      <c r="L29" s="163">
        <f>E29*Dados!$E$50</f>
        <v>942000</v>
      </c>
      <c r="M29" s="163">
        <f>F29*Dados!$C$49</f>
        <v>90000</v>
      </c>
      <c r="N29" s="163">
        <f>F29*Dados!$D$49</f>
        <v>480000</v>
      </c>
      <c r="O29" s="163">
        <f>F29*Dados!$E$49</f>
        <v>411000</v>
      </c>
      <c r="P29" s="163">
        <f>G29*Dados!$C$51</f>
        <v>475000</v>
      </c>
      <c r="Q29" s="163">
        <f>G29*Dados!$D$51</f>
        <v>2500000</v>
      </c>
      <c r="R29" s="163">
        <f>G29*Dados!$E$51</f>
        <v>2062500</v>
      </c>
      <c r="S29" s="163">
        <f>H29*Dados!$C$66</f>
        <v>154488000</v>
      </c>
      <c r="T29" s="163">
        <f>I:I*Dados!$C$61</f>
        <v>1650000</v>
      </c>
    </row>
    <row r="30" spans="1:20" x14ac:dyDescent="0.25">
      <c r="A30" s="163" t="s">
        <v>59</v>
      </c>
      <c r="B30" s="163" t="s">
        <v>42</v>
      </c>
      <c r="C30" s="163">
        <f>SUMIFS('Qtd Vendas x Faturamento'!D:D,'Qtd Vendas x Faturamento'!A:A,Lotes!A30,'Qtd Vendas x Faturamento'!B:B,Lotes!B30)</f>
        <v>305341.58801339107</v>
      </c>
      <c r="D30" s="163">
        <f>C30/Dados!$C$13</f>
        <v>61.068317602678214</v>
      </c>
      <c r="E30" s="163">
        <f t="shared" si="0"/>
        <v>13</v>
      </c>
      <c r="F30" s="163">
        <f t="shared" si="2"/>
        <v>7</v>
      </c>
      <c r="G30" s="163">
        <f t="shared" si="3"/>
        <v>27</v>
      </c>
      <c r="H30" s="163">
        <f>ROUNDUP(C30/VLOOKUP(B30,Dados!$B$70:$C$74,2,FALSE),0)</f>
        <v>131</v>
      </c>
      <c r="I30" s="163">
        <f t="shared" si="1"/>
        <v>12</v>
      </c>
      <c r="J30" s="163">
        <f>E30*Dados!$C$50</f>
        <v>208000</v>
      </c>
      <c r="K30" s="163">
        <f>E30*Dados!$D$50</f>
        <v>1170000</v>
      </c>
      <c r="L30" s="163">
        <f>E30*Dados!$E$50</f>
        <v>1020500</v>
      </c>
      <c r="M30" s="163">
        <f>F30*Dados!$C$49</f>
        <v>105000</v>
      </c>
      <c r="N30" s="163">
        <f>F30*Dados!$D$49</f>
        <v>560000</v>
      </c>
      <c r="O30" s="163">
        <f>F30*Dados!$E$49</f>
        <v>479500</v>
      </c>
      <c r="P30" s="163">
        <f>G30*Dados!$C$51</f>
        <v>513000</v>
      </c>
      <c r="Q30" s="163">
        <f>G30*Dados!$D$51</f>
        <v>2700000</v>
      </c>
      <c r="R30" s="163">
        <f>G30*Dados!$E$51</f>
        <v>2227500</v>
      </c>
      <c r="S30" s="163">
        <f>H30*Dados!$C$66</f>
        <v>164536000</v>
      </c>
      <c r="T30" s="163">
        <f>I:I*Dados!$C$61</f>
        <v>1800000</v>
      </c>
    </row>
    <row r="31" spans="1:20" x14ac:dyDescent="0.25">
      <c r="A31" s="163" t="s">
        <v>59</v>
      </c>
      <c r="B31" s="163" t="s">
        <v>38</v>
      </c>
      <c r="C31" s="163">
        <f>SUMIFS('Qtd Vendas x Faturamento'!D:D,'Qtd Vendas x Faturamento'!A:A,Lotes!A31,'Qtd Vendas x Faturamento'!B:B,Lotes!B31)</f>
        <v>961661.15362993837</v>
      </c>
      <c r="D31" s="163">
        <f>C31/Dados!$C$13</f>
        <v>192.33223072598767</v>
      </c>
      <c r="E31" s="163">
        <f t="shared" si="0"/>
        <v>39</v>
      </c>
      <c r="F31" s="163">
        <f t="shared" si="2"/>
        <v>20</v>
      </c>
      <c r="G31" s="163">
        <f t="shared" si="3"/>
        <v>112</v>
      </c>
      <c r="H31" s="163">
        <f>ROUNDUP(C31/VLOOKUP(B31,Dados!$B$70:$C$74,2,FALSE),0)</f>
        <v>557</v>
      </c>
      <c r="I31" s="163">
        <f t="shared" si="1"/>
        <v>36</v>
      </c>
      <c r="J31" s="163">
        <f>E31*Dados!$C$50</f>
        <v>624000</v>
      </c>
      <c r="K31" s="163">
        <f>E31*Dados!$D$50</f>
        <v>3510000</v>
      </c>
      <c r="L31" s="163">
        <f>E31*Dados!$E$50</f>
        <v>3061500</v>
      </c>
      <c r="M31" s="163">
        <f>F31*Dados!$C$49</f>
        <v>300000</v>
      </c>
      <c r="N31" s="163">
        <f>F31*Dados!$D$49</f>
        <v>1600000</v>
      </c>
      <c r="O31" s="163">
        <f>F31*Dados!$E$49</f>
        <v>1370000</v>
      </c>
      <c r="P31" s="163">
        <f>G31*Dados!$C$51</f>
        <v>2128000</v>
      </c>
      <c r="Q31" s="163">
        <f>G31*Dados!$D$51</f>
        <v>11200000</v>
      </c>
      <c r="R31" s="163">
        <f>G31*Dados!$E$51</f>
        <v>9240000</v>
      </c>
      <c r="S31" s="163">
        <f>H31*Dados!$C$66</f>
        <v>699592000</v>
      </c>
      <c r="T31" s="163">
        <f>I:I*Dados!$C$61</f>
        <v>5400000</v>
      </c>
    </row>
    <row r="32" spans="1:20" x14ac:dyDescent="0.25">
      <c r="A32" s="163" t="s">
        <v>60</v>
      </c>
      <c r="B32" s="163" t="s">
        <v>34</v>
      </c>
      <c r="C32" s="163">
        <f>SUMIFS('Qtd Vendas x Faturamento'!D:D,'Qtd Vendas x Faturamento'!A:A,Lotes!A32,'Qtd Vendas x Faturamento'!B:B,Lotes!B32)</f>
        <v>351149.05565941462</v>
      </c>
      <c r="D32" s="163">
        <f>C32/Dados!$C$13</f>
        <v>70.229811131882926</v>
      </c>
      <c r="E32" s="163">
        <f t="shared" si="0"/>
        <v>15</v>
      </c>
      <c r="F32" s="163">
        <f t="shared" si="2"/>
        <v>8</v>
      </c>
      <c r="G32" s="163">
        <f t="shared" si="3"/>
        <v>54</v>
      </c>
      <c r="H32" s="163">
        <f>ROUNDUP(C32/VLOOKUP(B32,Dados!$B$70:$C$74,2,FALSE),0)</f>
        <v>269</v>
      </c>
      <c r="I32" s="163">
        <f t="shared" si="1"/>
        <v>14</v>
      </c>
      <c r="J32" s="163">
        <f>E32*Dados!$C$50</f>
        <v>240000</v>
      </c>
      <c r="K32" s="163">
        <f>E32*Dados!$D$50</f>
        <v>1350000</v>
      </c>
      <c r="L32" s="163">
        <f>E32*Dados!$E$50</f>
        <v>1177500</v>
      </c>
      <c r="M32" s="163">
        <f>F32*Dados!$C$49</f>
        <v>120000</v>
      </c>
      <c r="N32" s="163">
        <f>F32*Dados!$D$49</f>
        <v>640000</v>
      </c>
      <c r="O32" s="163">
        <f>F32*Dados!$E$49</f>
        <v>548000</v>
      </c>
      <c r="P32" s="163">
        <f>G32*Dados!$C$51</f>
        <v>1026000</v>
      </c>
      <c r="Q32" s="163">
        <f>G32*Dados!$D$51</f>
        <v>5400000</v>
      </c>
      <c r="R32" s="163">
        <f>G32*Dados!$E$51</f>
        <v>4455000</v>
      </c>
      <c r="S32" s="163">
        <f>H32*Dados!$C$66</f>
        <v>337864000</v>
      </c>
      <c r="T32" s="163">
        <f>I:I*Dados!$C$61</f>
        <v>2100000</v>
      </c>
    </row>
    <row r="33" spans="1:20" x14ac:dyDescent="0.25">
      <c r="A33" s="163" t="s">
        <v>60</v>
      </c>
      <c r="B33" s="163" t="s">
        <v>36</v>
      </c>
      <c r="C33" s="163">
        <f>SUMIFS('Qtd Vendas x Faturamento'!D:D,'Qtd Vendas x Faturamento'!A:A,Lotes!A33,'Qtd Vendas x Faturamento'!B:B,Lotes!B33)</f>
        <v>995117.17971938208</v>
      </c>
      <c r="D33" s="163">
        <f>C33/Dados!$C$13</f>
        <v>199.02343594387642</v>
      </c>
      <c r="E33" s="163">
        <f t="shared" si="0"/>
        <v>40</v>
      </c>
      <c r="F33" s="163">
        <f t="shared" si="2"/>
        <v>20</v>
      </c>
      <c r="G33" s="163">
        <f t="shared" si="3"/>
        <v>153</v>
      </c>
      <c r="H33" s="163">
        <f>ROUNDUP(C33/VLOOKUP(B33,Dados!$B$70:$C$74,2,FALSE),0)</f>
        <v>762</v>
      </c>
      <c r="I33" s="163">
        <f t="shared" si="1"/>
        <v>37</v>
      </c>
      <c r="J33" s="163">
        <f>E33*Dados!$C$50</f>
        <v>640000</v>
      </c>
      <c r="K33" s="163">
        <f>E33*Dados!$D$50</f>
        <v>3600000</v>
      </c>
      <c r="L33" s="163">
        <f>E33*Dados!$E$50</f>
        <v>3140000</v>
      </c>
      <c r="M33" s="163">
        <f>F33*Dados!$C$49</f>
        <v>300000</v>
      </c>
      <c r="N33" s="163">
        <f>F33*Dados!$D$49</f>
        <v>1600000</v>
      </c>
      <c r="O33" s="163">
        <f>F33*Dados!$E$49</f>
        <v>1370000</v>
      </c>
      <c r="P33" s="163">
        <f>G33*Dados!$C$51</f>
        <v>2907000</v>
      </c>
      <c r="Q33" s="163">
        <f>G33*Dados!$D$51</f>
        <v>15300000</v>
      </c>
      <c r="R33" s="163">
        <f>G33*Dados!$E$51</f>
        <v>12622500</v>
      </c>
      <c r="S33" s="163">
        <f>H33*Dados!$C$66</f>
        <v>957072000</v>
      </c>
      <c r="T33" s="163">
        <f>I:I*Dados!$C$61</f>
        <v>5550000</v>
      </c>
    </row>
    <row r="34" spans="1:20" x14ac:dyDescent="0.25">
      <c r="A34" s="163" t="s">
        <v>60</v>
      </c>
      <c r="B34" s="163" t="s">
        <v>40</v>
      </c>
      <c r="C34" s="163">
        <f>SUMIFS('Qtd Vendas x Faturamento'!D:D,'Qtd Vendas x Faturamento'!A:A,Lotes!A34,'Qtd Vendas x Faturamento'!B:B,Lotes!B34)</f>
        <v>191065.27019231697</v>
      </c>
      <c r="D34" s="163">
        <f>C34/Dados!$C$13</f>
        <v>38.21305403846339</v>
      </c>
      <c r="E34" s="163">
        <f t="shared" ref="E34:E61" si="4">ROUNDUP(D34/5,0)</f>
        <v>8</v>
      </c>
      <c r="F34" s="163">
        <f t="shared" si="2"/>
        <v>4</v>
      </c>
      <c r="G34" s="163">
        <f t="shared" si="3"/>
        <v>17</v>
      </c>
      <c r="H34" s="163">
        <f>ROUNDUP(C34/VLOOKUP(B34,Dados!$B$70:$C$74,2,FALSE),0)</f>
        <v>82</v>
      </c>
      <c r="I34" s="163">
        <f t="shared" ref="I34:I61" si="5">ROUNDUP(C34/27000,0)</f>
        <v>8</v>
      </c>
      <c r="J34" s="163">
        <f>E34*Dados!$C$50</f>
        <v>128000</v>
      </c>
      <c r="K34" s="163">
        <f>E34*Dados!$D$50</f>
        <v>720000</v>
      </c>
      <c r="L34" s="163">
        <f>E34*Dados!$E$50</f>
        <v>628000</v>
      </c>
      <c r="M34" s="163">
        <f>F34*Dados!$C$49</f>
        <v>60000</v>
      </c>
      <c r="N34" s="163">
        <f>F34*Dados!$D$49</f>
        <v>320000</v>
      </c>
      <c r="O34" s="163">
        <f>F34*Dados!$E$49</f>
        <v>274000</v>
      </c>
      <c r="P34" s="163">
        <f>G34*Dados!$C$51</f>
        <v>323000</v>
      </c>
      <c r="Q34" s="163">
        <f>G34*Dados!$D$51</f>
        <v>1700000</v>
      </c>
      <c r="R34" s="163">
        <f>G34*Dados!$E$51</f>
        <v>1402500</v>
      </c>
      <c r="S34" s="163">
        <f>H34*Dados!$C$66</f>
        <v>102992000</v>
      </c>
      <c r="T34" s="163">
        <f>I:I*Dados!$C$61</f>
        <v>1200000</v>
      </c>
    </row>
    <row r="35" spans="1:20" x14ac:dyDescent="0.25">
      <c r="A35" s="163" t="s">
        <v>60</v>
      </c>
      <c r="B35" s="163" t="s">
        <v>42</v>
      </c>
      <c r="C35" s="163">
        <f>SUMIFS('Qtd Vendas x Faturamento'!D:D,'Qtd Vendas x Faturamento'!A:A,Lotes!A35,'Qtd Vendas x Faturamento'!B:B,Lotes!B35)</f>
        <v>203561.05867559407</v>
      </c>
      <c r="D35" s="163">
        <f>C35/Dados!$C$13</f>
        <v>40.712211735118814</v>
      </c>
      <c r="E35" s="163">
        <f t="shared" si="4"/>
        <v>9</v>
      </c>
      <c r="F35" s="163">
        <f t="shared" si="2"/>
        <v>5</v>
      </c>
      <c r="G35" s="163">
        <f t="shared" si="3"/>
        <v>18</v>
      </c>
      <c r="H35" s="163">
        <f>ROUNDUP(C35/VLOOKUP(B35,Dados!$B$70:$C$74,2,FALSE),0)</f>
        <v>87</v>
      </c>
      <c r="I35" s="163">
        <f t="shared" si="5"/>
        <v>8</v>
      </c>
      <c r="J35" s="163">
        <f>E35*Dados!$C$50</f>
        <v>144000</v>
      </c>
      <c r="K35" s="163">
        <f>E35*Dados!$D$50</f>
        <v>810000</v>
      </c>
      <c r="L35" s="163">
        <f>E35*Dados!$E$50</f>
        <v>706500</v>
      </c>
      <c r="M35" s="163">
        <f>F35*Dados!$C$49</f>
        <v>75000</v>
      </c>
      <c r="N35" s="163">
        <f>F35*Dados!$D$49</f>
        <v>400000</v>
      </c>
      <c r="O35" s="163">
        <f>F35*Dados!$E$49</f>
        <v>342500</v>
      </c>
      <c r="P35" s="163">
        <f>G35*Dados!$C$51</f>
        <v>342000</v>
      </c>
      <c r="Q35" s="163">
        <f>G35*Dados!$D$51</f>
        <v>1800000</v>
      </c>
      <c r="R35" s="163">
        <f>G35*Dados!$E$51</f>
        <v>1485000</v>
      </c>
      <c r="S35" s="163">
        <f>H35*Dados!$C$66</f>
        <v>109272000</v>
      </c>
      <c r="T35" s="163">
        <f>I:I*Dados!$C$61</f>
        <v>1200000</v>
      </c>
    </row>
    <row r="36" spans="1:20" x14ac:dyDescent="0.25">
      <c r="A36" s="163" t="s">
        <v>60</v>
      </c>
      <c r="B36" s="163" t="s">
        <v>38</v>
      </c>
      <c r="C36" s="163">
        <f>SUMIFS('Qtd Vendas x Faturamento'!D:D,'Qtd Vendas x Faturamento'!A:A,Lotes!A36,'Qtd Vendas x Faturamento'!B:B,Lotes!B36)</f>
        <v>641107.43575329217</v>
      </c>
      <c r="D36" s="163">
        <f>C36/Dados!$C$13</f>
        <v>128.22148715065845</v>
      </c>
      <c r="E36" s="163">
        <f t="shared" si="4"/>
        <v>26</v>
      </c>
      <c r="F36" s="163">
        <f t="shared" si="2"/>
        <v>13</v>
      </c>
      <c r="G36" s="163">
        <f t="shared" si="3"/>
        <v>75</v>
      </c>
      <c r="H36" s="163">
        <f>ROUNDUP(C36/VLOOKUP(B36,Dados!$B$70:$C$74,2,FALSE),0)</f>
        <v>372</v>
      </c>
      <c r="I36" s="163">
        <f t="shared" si="5"/>
        <v>24</v>
      </c>
      <c r="J36" s="163">
        <f>E36*Dados!$C$50</f>
        <v>416000</v>
      </c>
      <c r="K36" s="163">
        <f>E36*Dados!$D$50</f>
        <v>2340000</v>
      </c>
      <c r="L36" s="163">
        <f>E36*Dados!$E$50</f>
        <v>2041000</v>
      </c>
      <c r="M36" s="163">
        <f>F36*Dados!$C$49</f>
        <v>195000</v>
      </c>
      <c r="N36" s="163">
        <f>F36*Dados!$D$49</f>
        <v>1040000</v>
      </c>
      <c r="O36" s="163">
        <f>F36*Dados!$E$49</f>
        <v>890500</v>
      </c>
      <c r="P36" s="163">
        <f>G36*Dados!$C$51</f>
        <v>1425000</v>
      </c>
      <c r="Q36" s="163">
        <f>G36*Dados!$D$51</f>
        <v>7500000</v>
      </c>
      <c r="R36" s="163">
        <f>G36*Dados!$E$51</f>
        <v>6187500</v>
      </c>
      <c r="S36" s="163">
        <f>H36*Dados!$C$66</f>
        <v>467232000</v>
      </c>
      <c r="T36" s="163">
        <f>I:I*Dados!$C$61</f>
        <v>3600000</v>
      </c>
    </row>
    <row r="37" spans="1:20" x14ac:dyDescent="0.25">
      <c r="A37" s="163" t="s">
        <v>61</v>
      </c>
      <c r="B37" s="163" t="s">
        <v>34</v>
      </c>
      <c r="C37" s="163">
        <f>SUMIFS('Qtd Vendas x Faturamento'!D:D,'Qtd Vendas x Faturamento'!A:A,Lotes!A37,'Qtd Vendas x Faturamento'!B:B,Lotes!B37)</f>
        <v>468198.74087921955</v>
      </c>
      <c r="D37" s="163">
        <f>C37/Dados!$C$13</f>
        <v>93.639748175843906</v>
      </c>
      <c r="E37" s="163">
        <f t="shared" si="4"/>
        <v>19</v>
      </c>
      <c r="F37" s="163">
        <f t="shared" si="2"/>
        <v>10</v>
      </c>
      <c r="G37" s="163">
        <f t="shared" si="3"/>
        <v>72</v>
      </c>
      <c r="H37" s="163">
        <f>ROUNDUP(C37/VLOOKUP(B37,Dados!$B$70:$C$74,2,FALSE),0)</f>
        <v>359</v>
      </c>
      <c r="I37" s="163">
        <f t="shared" si="5"/>
        <v>18</v>
      </c>
      <c r="J37" s="163">
        <f>E37*Dados!$C$50</f>
        <v>304000</v>
      </c>
      <c r="K37" s="163">
        <f>E37*Dados!$D$50</f>
        <v>1710000</v>
      </c>
      <c r="L37" s="163">
        <f>E37*Dados!$E$50</f>
        <v>1491500</v>
      </c>
      <c r="M37" s="163">
        <f>F37*Dados!$C$49</f>
        <v>150000</v>
      </c>
      <c r="N37" s="163">
        <f>F37*Dados!$D$49</f>
        <v>800000</v>
      </c>
      <c r="O37" s="163">
        <f>F37*Dados!$E$49</f>
        <v>685000</v>
      </c>
      <c r="P37" s="163">
        <f>G37*Dados!$C$51</f>
        <v>1368000</v>
      </c>
      <c r="Q37" s="163">
        <f>G37*Dados!$D$51</f>
        <v>7200000</v>
      </c>
      <c r="R37" s="163">
        <f>G37*Dados!$E$51</f>
        <v>5940000</v>
      </c>
      <c r="S37" s="163">
        <f>H37*Dados!$C$66</f>
        <v>450904000</v>
      </c>
      <c r="T37" s="163">
        <f>I:I*Dados!$C$61</f>
        <v>2700000</v>
      </c>
    </row>
    <row r="38" spans="1:20" x14ac:dyDescent="0.25">
      <c r="A38" s="163" t="s">
        <v>61</v>
      </c>
      <c r="B38" s="163" t="s">
        <v>36</v>
      </c>
      <c r="C38" s="163">
        <f>SUMIFS('Qtd Vendas x Faturamento'!D:D,'Qtd Vendas x Faturamento'!A:A,Lotes!A38,'Qtd Vendas x Faturamento'!B:B,Lotes!B38)</f>
        <v>1326822.9062925095</v>
      </c>
      <c r="D38" s="163">
        <f>C38/Dados!$C$13</f>
        <v>265.36458125850191</v>
      </c>
      <c r="E38" s="163">
        <f t="shared" si="4"/>
        <v>54</v>
      </c>
      <c r="F38" s="163">
        <f t="shared" si="2"/>
        <v>27</v>
      </c>
      <c r="G38" s="163">
        <f t="shared" si="3"/>
        <v>204</v>
      </c>
      <c r="H38" s="163">
        <f>ROUNDUP(C38/VLOOKUP(B38,Dados!$B$70:$C$74,2,FALSE),0)</f>
        <v>1016</v>
      </c>
      <c r="I38" s="163">
        <f t="shared" si="5"/>
        <v>50</v>
      </c>
      <c r="J38" s="163">
        <f>E38*Dados!$C$50</f>
        <v>864000</v>
      </c>
      <c r="K38" s="163">
        <f>E38*Dados!$D$50</f>
        <v>4860000</v>
      </c>
      <c r="L38" s="163">
        <f>E38*Dados!$E$50</f>
        <v>4239000</v>
      </c>
      <c r="M38" s="163">
        <f>F38*Dados!$C$49</f>
        <v>405000</v>
      </c>
      <c r="N38" s="163">
        <f>F38*Dados!$D$49</f>
        <v>2160000</v>
      </c>
      <c r="O38" s="163">
        <f>F38*Dados!$E$49</f>
        <v>1849500</v>
      </c>
      <c r="P38" s="163">
        <f>G38*Dados!$C$51</f>
        <v>3876000</v>
      </c>
      <c r="Q38" s="163">
        <f>G38*Dados!$D$51</f>
        <v>20400000</v>
      </c>
      <c r="R38" s="163">
        <f>G38*Dados!$E$51</f>
        <v>16830000</v>
      </c>
      <c r="S38" s="163">
        <f>H38*Dados!$C$66</f>
        <v>1276096000</v>
      </c>
      <c r="T38" s="163">
        <f>I:I*Dados!$C$61</f>
        <v>7500000</v>
      </c>
    </row>
    <row r="39" spans="1:20" x14ac:dyDescent="0.25">
      <c r="A39" s="163" t="s">
        <v>61</v>
      </c>
      <c r="B39" s="163" t="s">
        <v>40</v>
      </c>
      <c r="C39" s="163">
        <f>SUMIFS('Qtd Vendas x Faturamento'!D:D,'Qtd Vendas x Faturamento'!A:A,Lotes!A39,'Qtd Vendas x Faturamento'!B:B,Lotes!B39)</f>
        <v>254753.69358975603</v>
      </c>
      <c r="D39" s="163">
        <f>C39/Dados!$C$13</f>
        <v>50.950738717951204</v>
      </c>
      <c r="E39" s="163">
        <f t="shared" si="4"/>
        <v>11</v>
      </c>
      <c r="F39" s="163">
        <f t="shared" si="2"/>
        <v>6</v>
      </c>
      <c r="G39" s="163">
        <f t="shared" si="3"/>
        <v>22</v>
      </c>
      <c r="H39" s="163">
        <f>ROUNDUP(C39/VLOOKUP(B39,Dados!$B$70:$C$74,2,FALSE),0)</f>
        <v>109</v>
      </c>
      <c r="I39" s="163">
        <f t="shared" si="5"/>
        <v>10</v>
      </c>
      <c r="J39" s="163">
        <f>E39*Dados!$C$50</f>
        <v>176000</v>
      </c>
      <c r="K39" s="163">
        <f>E39*Dados!$D$50</f>
        <v>990000</v>
      </c>
      <c r="L39" s="163">
        <f>E39*Dados!$E$50</f>
        <v>863500</v>
      </c>
      <c r="M39" s="163">
        <f>F39*Dados!$C$49</f>
        <v>90000</v>
      </c>
      <c r="N39" s="163">
        <f>F39*Dados!$D$49</f>
        <v>480000</v>
      </c>
      <c r="O39" s="163">
        <f>F39*Dados!$E$49</f>
        <v>411000</v>
      </c>
      <c r="P39" s="163">
        <f>G39*Dados!$C$51</f>
        <v>418000</v>
      </c>
      <c r="Q39" s="163">
        <f>G39*Dados!$D$51</f>
        <v>2200000</v>
      </c>
      <c r="R39" s="163">
        <f>G39*Dados!$E$51</f>
        <v>1815000</v>
      </c>
      <c r="S39" s="163">
        <f>H39*Dados!$C$66</f>
        <v>136904000</v>
      </c>
      <c r="T39" s="163">
        <f>I:I*Dados!$C$61</f>
        <v>1500000</v>
      </c>
    </row>
    <row r="40" spans="1:20" x14ac:dyDescent="0.25">
      <c r="A40" s="163" t="s">
        <v>61</v>
      </c>
      <c r="B40" s="163" t="s">
        <v>42</v>
      </c>
      <c r="C40" s="163">
        <f>SUMIFS('Qtd Vendas x Faturamento'!D:D,'Qtd Vendas x Faturamento'!A:A,Lotes!A40,'Qtd Vendas x Faturamento'!B:B,Lotes!B40)</f>
        <v>271414.74490079208</v>
      </c>
      <c r="D40" s="163">
        <f>C40/Dados!$C$13</f>
        <v>54.282948980158416</v>
      </c>
      <c r="E40" s="163">
        <f t="shared" si="4"/>
        <v>11</v>
      </c>
      <c r="F40" s="163">
        <f t="shared" si="2"/>
        <v>6</v>
      </c>
      <c r="G40" s="163">
        <f t="shared" si="3"/>
        <v>24</v>
      </c>
      <c r="H40" s="163">
        <f>ROUNDUP(C40/VLOOKUP(B40,Dados!$B$70:$C$74,2,FALSE),0)</f>
        <v>116</v>
      </c>
      <c r="I40" s="163">
        <f t="shared" si="5"/>
        <v>11</v>
      </c>
      <c r="J40" s="163">
        <f>E40*Dados!$C$50</f>
        <v>176000</v>
      </c>
      <c r="K40" s="163">
        <f>E40*Dados!$D$50</f>
        <v>990000</v>
      </c>
      <c r="L40" s="163">
        <f>E40*Dados!$E$50</f>
        <v>863500</v>
      </c>
      <c r="M40" s="163">
        <f>F40*Dados!$C$49</f>
        <v>90000</v>
      </c>
      <c r="N40" s="163">
        <f>F40*Dados!$D$49</f>
        <v>480000</v>
      </c>
      <c r="O40" s="163">
        <f>F40*Dados!$E$49</f>
        <v>411000</v>
      </c>
      <c r="P40" s="163">
        <f>G40*Dados!$C$51</f>
        <v>456000</v>
      </c>
      <c r="Q40" s="163">
        <f>G40*Dados!$D$51</f>
        <v>2400000</v>
      </c>
      <c r="R40" s="163">
        <f>G40*Dados!$E$51</f>
        <v>1980000</v>
      </c>
      <c r="S40" s="163">
        <f>H40*Dados!$C$66</f>
        <v>145696000</v>
      </c>
      <c r="T40" s="163">
        <f>I:I*Dados!$C$61</f>
        <v>1650000</v>
      </c>
    </row>
    <row r="41" spans="1:20" x14ac:dyDescent="0.25">
      <c r="A41" s="163" t="s">
        <v>61</v>
      </c>
      <c r="B41" s="163" t="s">
        <v>38</v>
      </c>
      <c r="C41" s="163">
        <f>SUMIFS('Qtd Vendas x Faturamento'!D:D,'Qtd Vendas x Faturamento'!A:A,Lotes!A41,'Qtd Vendas x Faturamento'!B:B,Lotes!B41)</f>
        <v>854809.91433772282</v>
      </c>
      <c r="D41" s="163">
        <f>C41/Dados!$C$13</f>
        <v>170.96198286754458</v>
      </c>
      <c r="E41" s="163">
        <f t="shared" si="4"/>
        <v>35</v>
      </c>
      <c r="F41" s="163">
        <f t="shared" si="2"/>
        <v>18</v>
      </c>
      <c r="G41" s="163">
        <f t="shared" si="3"/>
        <v>99</v>
      </c>
      <c r="H41" s="163">
        <f>ROUNDUP(C41/VLOOKUP(B41,Dados!$B$70:$C$74,2,FALSE),0)</f>
        <v>495</v>
      </c>
      <c r="I41" s="163">
        <f t="shared" si="5"/>
        <v>32</v>
      </c>
      <c r="J41" s="163">
        <f>E41*Dados!$C$50</f>
        <v>560000</v>
      </c>
      <c r="K41" s="163">
        <f>E41*Dados!$D$50</f>
        <v>3150000</v>
      </c>
      <c r="L41" s="163">
        <f>E41*Dados!$E$50</f>
        <v>2747500</v>
      </c>
      <c r="M41" s="163">
        <f>F41*Dados!$C$49</f>
        <v>270000</v>
      </c>
      <c r="N41" s="163">
        <f>F41*Dados!$D$49</f>
        <v>1440000</v>
      </c>
      <c r="O41" s="163">
        <f>F41*Dados!$E$49</f>
        <v>1233000</v>
      </c>
      <c r="P41" s="163">
        <f>G41*Dados!$C$51</f>
        <v>1881000</v>
      </c>
      <c r="Q41" s="163">
        <f>G41*Dados!$D$51</f>
        <v>9900000</v>
      </c>
      <c r="R41" s="163">
        <f>G41*Dados!$E$51</f>
        <v>8167500</v>
      </c>
      <c r="S41" s="163">
        <f>H41*Dados!$C$66</f>
        <v>621720000</v>
      </c>
      <c r="T41" s="163">
        <f>I:I*Dados!$C$61</f>
        <v>4800000</v>
      </c>
    </row>
    <row r="42" spans="1:20" x14ac:dyDescent="0.25">
      <c r="A42" s="163" t="s">
        <v>62</v>
      </c>
      <c r="B42" s="163" t="s">
        <v>34</v>
      </c>
      <c r="C42" s="163">
        <f>SUMIFS('Qtd Vendas x Faturamento'!D:D,'Qtd Vendas x Faturamento'!A:A,Lotes!A42,'Qtd Vendas x Faturamento'!B:B,Lotes!B42)</f>
        <v>351149.05565941462</v>
      </c>
      <c r="D42" s="163">
        <f>C42/Dados!$C$13</f>
        <v>70.229811131882926</v>
      </c>
      <c r="E42" s="163">
        <f t="shared" si="4"/>
        <v>15</v>
      </c>
      <c r="F42" s="163">
        <f t="shared" si="2"/>
        <v>8</v>
      </c>
      <c r="G42" s="163">
        <f t="shared" si="3"/>
        <v>54</v>
      </c>
      <c r="H42" s="163">
        <f>ROUNDUP(C42/VLOOKUP(B42,Dados!$B$70:$C$74,2,FALSE),0)</f>
        <v>269</v>
      </c>
      <c r="I42" s="163">
        <f t="shared" si="5"/>
        <v>14</v>
      </c>
      <c r="J42" s="163">
        <f>E42*Dados!$C$50</f>
        <v>240000</v>
      </c>
      <c r="K42" s="163">
        <f>E42*Dados!$D$50</f>
        <v>1350000</v>
      </c>
      <c r="L42" s="163">
        <f>E42*Dados!$E$50</f>
        <v>1177500</v>
      </c>
      <c r="M42" s="163">
        <f>F42*Dados!$C$49</f>
        <v>120000</v>
      </c>
      <c r="N42" s="163">
        <f>F42*Dados!$D$49</f>
        <v>640000</v>
      </c>
      <c r="O42" s="163">
        <f>F42*Dados!$E$49</f>
        <v>548000</v>
      </c>
      <c r="P42" s="163">
        <f>G42*Dados!$C$51</f>
        <v>1026000</v>
      </c>
      <c r="Q42" s="163">
        <f>G42*Dados!$D$51</f>
        <v>5400000</v>
      </c>
      <c r="R42" s="163">
        <f>G42*Dados!$E$51</f>
        <v>4455000</v>
      </c>
      <c r="S42" s="163">
        <f>H42*Dados!$C$66</f>
        <v>337864000</v>
      </c>
      <c r="T42" s="163">
        <f>I:I*Dados!$C$61</f>
        <v>2100000</v>
      </c>
    </row>
    <row r="43" spans="1:20" x14ac:dyDescent="0.25">
      <c r="A43" s="163" t="s">
        <v>62</v>
      </c>
      <c r="B43" s="163" t="s">
        <v>36</v>
      </c>
      <c r="C43" s="163">
        <f>SUMIFS('Qtd Vendas x Faturamento'!D:D,'Qtd Vendas x Faturamento'!A:A,Lotes!A43,'Qtd Vendas x Faturamento'!B:B,Lotes!B43)</f>
        <v>995117.17971938208</v>
      </c>
      <c r="D43" s="163">
        <f>C43/Dados!$C$13</f>
        <v>199.02343594387642</v>
      </c>
      <c r="E43" s="163">
        <f t="shared" si="4"/>
        <v>40</v>
      </c>
      <c r="F43" s="163">
        <f t="shared" si="2"/>
        <v>20</v>
      </c>
      <c r="G43" s="163">
        <f t="shared" si="3"/>
        <v>153</v>
      </c>
      <c r="H43" s="163">
        <f>ROUNDUP(C43/VLOOKUP(B43,Dados!$B$70:$C$74,2,FALSE),0)</f>
        <v>762</v>
      </c>
      <c r="I43" s="163">
        <f t="shared" si="5"/>
        <v>37</v>
      </c>
      <c r="J43" s="163">
        <f>E43*Dados!$C$50</f>
        <v>640000</v>
      </c>
      <c r="K43" s="163">
        <f>E43*Dados!$D$50</f>
        <v>3600000</v>
      </c>
      <c r="L43" s="163">
        <f>E43*Dados!$E$50</f>
        <v>3140000</v>
      </c>
      <c r="M43" s="163">
        <f>F43*Dados!$C$49</f>
        <v>300000</v>
      </c>
      <c r="N43" s="163">
        <f>F43*Dados!$D$49</f>
        <v>1600000</v>
      </c>
      <c r="O43" s="163">
        <f>F43*Dados!$E$49</f>
        <v>1370000</v>
      </c>
      <c r="P43" s="163">
        <f>G43*Dados!$C$51</f>
        <v>2907000</v>
      </c>
      <c r="Q43" s="163">
        <f>G43*Dados!$D$51</f>
        <v>15300000</v>
      </c>
      <c r="R43" s="163">
        <f>G43*Dados!$E$51</f>
        <v>12622500</v>
      </c>
      <c r="S43" s="163">
        <f>H43*Dados!$C$66</f>
        <v>957072000</v>
      </c>
      <c r="T43" s="163">
        <f>I:I*Dados!$C$61</f>
        <v>5550000</v>
      </c>
    </row>
    <row r="44" spans="1:20" x14ac:dyDescent="0.25">
      <c r="A44" s="163" t="s">
        <v>62</v>
      </c>
      <c r="B44" s="163" t="s">
        <v>40</v>
      </c>
      <c r="C44" s="163">
        <f>SUMIFS('Qtd Vendas x Faturamento'!D:D,'Qtd Vendas x Faturamento'!A:A,Lotes!A44,'Qtd Vendas x Faturamento'!B:B,Lotes!B44)</f>
        <v>191065.27019231697</v>
      </c>
      <c r="D44" s="163">
        <f>C44/Dados!$C$13</f>
        <v>38.21305403846339</v>
      </c>
      <c r="E44" s="163">
        <f t="shared" si="4"/>
        <v>8</v>
      </c>
      <c r="F44" s="163">
        <f t="shared" si="2"/>
        <v>4</v>
      </c>
      <c r="G44" s="163">
        <f t="shared" si="3"/>
        <v>17</v>
      </c>
      <c r="H44" s="163">
        <f>ROUNDUP(C44/VLOOKUP(B44,Dados!$B$70:$C$74,2,FALSE),0)</f>
        <v>82</v>
      </c>
      <c r="I44" s="163">
        <f t="shared" si="5"/>
        <v>8</v>
      </c>
      <c r="J44" s="163">
        <f>E44*Dados!$C$50</f>
        <v>128000</v>
      </c>
      <c r="K44" s="163">
        <f>E44*Dados!$D$50</f>
        <v>720000</v>
      </c>
      <c r="L44" s="163">
        <f>E44*Dados!$E$50</f>
        <v>628000</v>
      </c>
      <c r="M44" s="163">
        <f>F44*Dados!$C$49</f>
        <v>60000</v>
      </c>
      <c r="N44" s="163">
        <f>F44*Dados!$D$49</f>
        <v>320000</v>
      </c>
      <c r="O44" s="163">
        <f>F44*Dados!$E$49</f>
        <v>274000</v>
      </c>
      <c r="P44" s="163">
        <f>G44*Dados!$C$51</f>
        <v>323000</v>
      </c>
      <c r="Q44" s="163">
        <f>G44*Dados!$D$51</f>
        <v>1700000</v>
      </c>
      <c r="R44" s="163">
        <f>G44*Dados!$E$51</f>
        <v>1402500</v>
      </c>
      <c r="S44" s="163">
        <f>H44*Dados!$C$66</f>
        <v>102992000</v>
      </c>
      <c r="T44" s="163">
        <f>I:I*Dados!$C$61</f>
        <v>1200000</v>
      </c>
    </row>
    <row r="45" spans="1:20" x14ac:dyDescent="0.25">
      <c r="A45" s="163" t="s">
        <v>62</v>
      </c>
      <c r="B45" s="163" t="s">
        <v>42</v>
      </c>
      <c r="C45" s="163">
        <f>SUMIFS('Qtd Vendas x Faturamento'!D:D,'Qtd Vendas x Faturamento'!A:A,Lotes!A45,'Qtd Vendas x Faturamento'!B:B,Lotes!B45)</f>
        <v>203561.05867559407</v>
      </c>
      <c r="D45" s="163">
        <f>C45/Dados!$C$13</f>
        <v>40.712211735118814</v>
      </c>
      <c r="E45" s="163">
        <f t="shared" si="4"/>
        <v>9</v>
      </c>
      <c r="F45" s="163">
        <f t="shared" si="2"/>
        <v>5</v>
      </c>
      <c r="G45" s="163">
        <f t="shared" si="3"/>
        <v>18</v>
      </c>
      <c r="H45" s="163">
        <f>ROUNDUP(C45/VLOOKUP(B45,Dados!$B$70:$C$74,2,FALSE),0)</f>
        <v>87</v>
      </c>
      <c r="I45" s="163">
        <f t="shared" si="5"/>
        <v>8</v>
      </c>
      <c r="J45" s="163">
        <f>E45*Dados!$C$50</f>
        <v>144000</v>
      </c>
      <c r="K45" s="163">
        <f>E45*Dados!$D$50</f>
        <v>810000</v>
      </c>
      <c r="L45" s="163">
        <f>E45*Dados!$E$50</f>
        <v>706500</v>
      </c>
      <c r="M45" s="163">
        <f>F45*Dados!$C$49</f>
        <v>75000</v>
      </c>
      <c r="N45" s="163">
        <f>F45*Dados!$D$49</f>
        <v>400000</v>
      </c>
      <c r="O45" s="163">
        <f>F45*Dados!$E$49</f>
        <v>342500</v>
      </c>
      <c r="P45" s="163">
        <f>G45*Dados!$C$51</f>
        <v>342000</v>
      </c>
      <c r="Q45" s="163">
        <f>G45*Dados!$D$51</f>
        <v>1800000</v>
      </c>
      <c r="R45" s="163">
        <f>G45*Dados!$E$51</f>
        <v>1485000</v>
      </c>
      <c r="S45" s="163">
        <f>H45*Dados!$C$66</f>
        <v>109272000</v>
      </c>
      <c r="T45" s="163">
        <f>I:I*Dados!$C$61</f>
        <v>1200000</v>
      </c>
    </row>
    <row r="46" spans="1:20" x14ac:dyDescent="0.25">
      <c r="A46" s="163" t="s">
        <v>62</v>
      </c>
      <c r="B46" s="163" t="s">
        <v>38</v>
      </c>
      <c r="C46" s="163">
        <f>SUMIFS('Qtd Vendas x Faturamento'!D:D,'Qtd Vendas x Faturamento'!A:A,Lotes!A46,'Qtd Vendas x Faturamento'!B:B,Lotes!B46)</f>
        <v>641107.43575329217</v>
      </c>
      <c r="D46" s="163">
        <f>C46/Dados!$C$13</f>
        <v>128.22148715065845</v>
      </c>
      <c r="E46" s="163">
        <f t="shared" si="4"/>
        <v>26</v>
      </c>
      <c r="F46" s="163">
        <f t="shared" si="2"/>
        <v>13</v>
      </c>
      <c r="G46" s="163">
        <f t="shared" si="3"/>
        <v>75</v>
      </c>
      <c r="H46" s="163">
        <f>ROUNDUP(C46/VLOOKUP(B46,Dados!$B$70:$C$74,2,FALSE),0)</f>
        <v>372</v>
      </c>
      <c r="I46" s="163">
        <f t="shared" si="5"/>
        <v>24</v>
      </c>
      <c r="J46" s="163">
        <f>E46*Dados!$C$50</f>
        <v>416000</v>
      </c>
      <c r="K46" s="163">
        <f>E46*Dados!$D$50</f>
        <v>2340000</v>
      </c>
      <c r="L46" s="163">
        <f>E46*Dados!$E$50</f>
        <v>2041000</v>
      </c>
      <c r="M46" s="163">
        <f>F46*Dados!$C$49</f>
        <v>195000</v>
      </c>
      <c r="N46" s="163">
        <f>F46*Dados!$D$49</f>
        <v>1040000</v>
      </c>
      <c r="O46" s="163">
        <f>F46*Dados!$E$49</f>
        <v>890500</v>
      </c>
      <c r="P46" s="163">
        <f>G46*Dados!$C$51</f>
        <v>1425000</v>
      </c>
      <c r="Q46" s="163">
        <f>G46*Dados!$D$51</f>
        <v>7500000</v>
      </c>
      <c r="R46" s="163">
        <f>G46*Dados!$E$51</f>
        <v>6187500</v>
      </c>
      <c r="S46" s="163">
        <f>H46*Dados!$C$66</f>
        <v>467232000</v>
      </c>
      <c r="T46" s="163">
        <f>I:I*Dados!$C$61</f>
        <v>3600000</v>
      </c>
    </row>
    <row r="47" spans="1:20" x14ac:dyDescent="0.25">
      <c r="A47" s="163" t="s">
        <v>63</v>
      </c>
      <c r="B47" s="163" t="s">
        <v>34</v>
      </c>
      <c r="C47" s="163">
        <f>SUMIFS('Qtd Vendas x Faturamento'!D:D,'Qtd Vendas x Faturamento'!A:A,Lotes!A47,'Qtd Vendas x Faturamento'!B:B,Lotes!B47)</f>
        <v>526723.58348912199</v>
      </c>
      <c r="D47" s="163">
        <f>C47/Dados!$C$13</f>
        <v>105.3447166978244</v>
      </c>
      <c r="E47" s="163">
        <f t="shared" si="4"/>
        <v>22</v>
      </c>
      <c r="F47" s="163">
        <f t="shared" si="2"/>
        <v>11</v>
      </c>
      <c r="G47" s="163">
        <f t="shared" si="3"/>
        <v>81</v>
      </c>
      <c r="H47" s="163">
        <f>ROUNDUP(C47/VLOOKUP(B47,Dados!$B$70:$C$74,2,FALSE),0)</f>
        <v>404</v>
      </c>
      <c r="I47" s="163">
        <f t="shared" si="5"/>
        <v>20</v>
      </c>
      <c r="J47" s="163">
        <f>E47*Dados!$C$50</f>
        <v>352000</v>
      </c>
      <c r="K47" s="163">
        <f>E47*Dados!$D$50</f>
        <v>1980000</v>
      </c>
      <c r="L47" s="163">
        <f>E47*Dados!$E$50</f>
        <v>1727000</v>
      </c>
      <c r="M47" s="163">
        <f>F47*Dados!$C$49</f>
        <v>165000</v>
      </c>
      <c r="N47" s="163">
        <f>F47*Dados!$D$49</f>
        <v>880000</v>
      </c>
      <c r="O47" s="163">
        <f>F47*Dados!$E$49</f>
        <v>753500</v>
      </c>
      <c r="P47" s="163">
        <f>G47*Dados!$C$51</f>
        <v>1539000</v>
      </c>
      <c r="Q47" s="163">
        <f>G47*Dados!$D$51</f>
        <v>8100000</v>
      </c>
      <c r="R47" s="163">
        <f>G47*Dados!$E$51</f>
        <v>6682500</v>
      </c>
      <c r="S47" s="163">
        <f>H47*Dados!$C$66</f>
        <v>507424000</v>
      </c>
      <c r="T47" s="163">
        <f>I:I*Dados!$C$61</f>
        <v>3000000</v>
      </c>
    </row>
    <row r="48" spans="1:20" x14ac:dyDescent="0.25">
      <c r="A48" s="163" t="s">
        <v>63</v>
      </c>
      <c r="B48" s="163" t="s">
        <v>36</v>
      </c>
      <c r="C48" s="163">
        <f>SUMIFS('Qtd Vendas x Faturamento'!D:D,'Qtd Vendas x Faturamento'!A:A,Lotes!A48,'Qtd Vendas x Faturamento'!B:B,Lotes!B48)</f>
        <v>1492675.7695790732</v>
      </c>
      <c r="D48" s="163">
        <f>C48/Dados!$C$13</f>
        <v>298.53515391581465</v>
      </c>
      <c r="E48" s="163">
        <f t="shared" si="4"/>
        <v>60</v>
      </c>
      <c r="F48" s="163">
        <f t="shared" si="2"/>
        <v>30</v>
      </c>
      <c r="G48" s="163">
        <f t="shared" si="3"/>
        <v>229</v>
      </c>
      <c r="H48" s="163">
        <f>ROUNDUP(C48/VLOOKUP(B48,Dados!$B$70:$C$74,2,FALSE),0)</f>
        <v>1143</v>
      </c>
      <c r="I48" s="163">
        <f t="shared" si="5"/>
        <v>56</v>
      </c>
      <c r="J48" s="163">
        <f>E48*Dados!$C$50</f>
        <v>960000</v>
      </c>
      <c r="K48" s="163">
        <f>E48*Dados!$D$50</f>
        <v>5400000</v>
      </c>
      <c r="L48" s="163">
        <f>E48*Dados!$E$50</f>
        <v>4710000</v>
      </c>
      <c r="M48" s="163">
        <f>F48*Dados!$C$49</f>
        <v>450000</v>
      </c>
      <c r="N48" s="163">
        <f>F48*Dados!$D$49</f>
        <v>2400000</v>
      </c>
      <c r="O48" s="163">
        <f>F48*Dados!$E$49</f>
        <v>2055000</v>
      </c>
      <c r="P48" s="163">
        <f>G48*Dados!$C$51</f>
        <v>4351000</v>
      </c>
      <c r="Q48" s="163">
        <f>G48*Dados!$D$51</f>
        <v>22900000</v>
      </c>
      <c r="R48" s="163">
        <f>G48*Dados!$E$51</f>
        <v>18892500</v>
      </c>
      <c r="S48" s="163">
        <f>H48*Dados!$C$66</f>
        <v>1435608000</v>
      </c>
      <c r="T48" s="163">
        <f>I:I*Dados!$C$61</f>
        <v>8400000</v>
      </c>
    </row>
    <row r="49" spans="1:20" x14ac:dyDescent="0.25">
      <c r="A49" s="163" t="s">
        <v>63</v>
      </c>
      <c r="B49" s="163" t="s">
        <v>40</v>
      </c>
      <c r="C49" s="163">
        <f>SUMIFS('Qtd Vendas x Faturamento'!D:D,'Qtd Vendas x Faturamento'!A:A,Lotes!A49,'Qtd Vendas x Faturamento'!B:B,Lotes!B49)</f>
        <v>286597.90528847551</v>
      </c>
      <c r="D49" s="163">
        <f>C49/Dados!$C$13</f>
        <v>57.319581057695103</v>
      </c>
      <c r="E49" s="163">
        <f t="shared" si="4"/>
        <v>12</v>
      </c>
      <c r="F49" s="163">
        <f t="shared" si="2"/>
        <v>6</v>
      </c>
      <c r="G49" s="163">
        <f t="shared" si="3"/>
        <v>25</v>
      </c>
      <c r="H49" s="163">
        <f>ROUNDUP(C49/VLOOKUP(B49,Dados!$B$70:$C$74,2,FALSE),0)</f>
        <v>123</v>
      </c>
      <c r="I49" s="163">
        <f t="shared" si="5"/>
        <v>11</v>
      </c>
      <c r="J49" s="163">
        <f>E49*Dados!$C$50</f>
        <v>192000</v>
      </c>
      <c r="K49" s="163">
        <f>E49*Dados!$D$50</f>
        <v>1080000</v>
      </c>
      <c r="L49" s="163">
        <f>E49*Dados!$E$50</f>
        <v>942000</v>
      </c>
      <c r="M49" s="163">
        <f>F49*Dados!$C$49</f>
        <v>90000</v>
      </c>
      <c r="N49" s="163">
        <f>F49*Dados!$D$49</f>
        <v>480000</v>
      </c>
      <c r="O49" s="163">
        <f>F49*Dados!$E$49</f>
        <v>411000</v>
      </c>
      <c r="P49" s="163">
        <f>G49*Dados!$C$51</f>
        <v>475000</v>
      </c>
      <c r="Q49" s="163">
        <f>G49*Dados!$D$51</f>
        <v>2500000</v>
      </c>
      <c r="R49" s="163">
        <f>G49*Dados!$E$51</f>
        <v>2062500</v>
      </c>
      <c r="S49" s="163">
        <f>H49*Dados!$C$66</f>
        <v>154488000</v>
      </c>
      <c r="T49" s="163">
        <f>I:I*Dados!$C$61</f>
        <v>1650000</v>
      </c>
    </row>
    <row r="50" spans="1:20" x14ac:dyDescent="0.25">
      <c r="A50" s="163" t="s">
        <v>63</v>
      </c>
      <c r="B50" s="163" t="s">
        <v>42</v>
      </c>
      <c r="C50" s="163">
        <f>SUMIFS('Qtd Vendas x Faturamento'!D:D,'Qtd Vendas x Faturamento'!A:A,Lotes!A50,'Qtd Vendas x Faturamento'!B:B,Lotes!B50)</f>
        <v>305341.58801339107</v>
      </c>
      <c r="D50" s="163">
        <f>C50/Dados!$C$13</f>
        <v>61.068317602678214</v>
      </c>
      <c r="E50" s="163">
        <f t="shared" si="4"/>
        <v>13</v>
      </c>
      <c r="F50" s="163">
        <f t="shared" si="2"/>
        <v>7</v>
      </c>
      <c r="G50" s="163">
        <f t="shared" si="3"/>
        <v>27</v>
      </c>
      <c r="H50" s="163">
        <f>ROUNDUP(C50/VLOOKUP(B50,Dados!$B$70:$C$74,2,FALSE),0)</f>
        <v>131</v>
      </c>
      <c r="I50" s="163">
        <f t="shared" si="5"/>
        <v>12</v>
      </c>
      <c r="J50" s="163">
        <f>E50*Dados!$C$50</f>
        <v>208000</v>
      </c>
      <c r="K50" s="163">
        <f>E50*Dados!$D$50</f>
        <v>1170000</v>
      </c>
      <c r="L50" s="163">
        <f>E50*Dados!$E$50</f>
        <v>1020500</v>
      </c>
      <c r="M50" s="163">
        <f>F50*Dados!$C$49</f>
        <v>105000</v>
      </c>
      <c r="N50" s="163">
        <f>F50*Dados!$D$49</f>
        <v>560000</v>
      </c>
      <c r="O50" s="163">
        <f>F50*Dados!$E$49</f>
        <v>479500</v>
      </c>
      <c r="P50" s="163">
        <f>G50*Dados!$C$51</f>
        <v>513000</v>
      </c>
      <c r="Q50" s="163">
        <f>G50*Dados!$D$51</f>
        <v>2700000</v>
      </c>
      <c r="R50" s="163">
        <f>G50*Dados!$E$51</f>
        <v>2227500</v>
      </c>
      <c r="S50" s="163">
        <f>H50*Dados!$C$66</f>
        <v>164536000</v>
      </c>
      <c r="T50" s="163">
        <f>I:I*Dados!$C$61</f>
        <v>1800000</v>
      </c>
    </row>
    <row r="51" spans="1:20" x14ac:dyDescent="0.25">
      <c r="A51" s="163" t="s">
        <v>63</v>
      </c>
      <c r="B51" s="163" t="s">
        <v>38</v>
      </c>
      <c r="C51" s="163">
        <f>SUMIFS('Qtd Vendas x Faturamento'!D:D,'Qtd Vendas x Faturamento'!A:A,Lotes!A51,'Qtd Vendas x Faturamento'!B:B,Lotes!B51)</f>
        <v>961661.15362993837</v>
      </c>
      <c r="D51" s="163">
        <f>C51/Dados!$C$13</f>
        <v>192.33223072598767</v>
      </c>
      <c r="E51" s="163">
        <f t="shared" si="4"/>
        <v>39</v>
      </c>
      <c r="F51" s="163">
        <f t="shared" si="2"/>
        <v>20</v>
      </c>
      <c r="G51" s="163">
        <f t="shared" si="3"/>
        <v>112</v>
      </c>
      <c r="H51" s="163">
        <f>ROUNDUP(C51/VLOOKUP(B51,Dados!$B$70:$C$74,2,FALSE),0)</f>
        <v>557</v>
      </c>
      <c r="I51" s="163">
        <f t="shared" si="5"/>
        <v>36</v>
      </c>
      <c r="J51" s="163">
        <f>E51*Dados!$C$50</f>
        <v>624000</v>
      </c>
      <c r="K51" s="163">
        <f>E51*Dados!$D$50</f>
        <v>3510000</v>
      </c>
      <c r="L51" s="163">
        <f>E51*Dados!$E$50</f>
        <v>3061500</v>
      </c>
      <c r="M51" s="163">
        <f>F51*Dados!$C$49</f>
        <v>300000</v>
      </c>
      <c r="N51" s="163">
        <f>F51*Dados!$D$49</f>
        <v>1600000</v>
      </c>
      <c r="O51" s="163">
        <f>F51*Dados!$E$49</f>
        <v>1370000</v>
      </c>
      <c r="P51" s="163">
        <f>G51*Dados!$C$51</f>
        <v>2128000</v>
      </c>
      <c r="Q51" s="163">
        <f>G51*Dados!$D$51</f>
        <v>11200000</v>
      </c>
      <c r="R51" s="163">
        <f>G51*Dados!$E$51</f>
        <v>9240000</v>
      </c>
      <c r="S51" s="163">
        <f>H51*Dados!$C$66</f>
        <v>699592000</v>
      </c>
      <c r="T51" s="163">
        <f>I:I*Dados!$C$61</f>
        <v>5400000</v>
      </c>
    </row>
    <row r="52" spans="1:20" x14ac:dyDescent="0.25">
      <c r="A52" s="163" t="s">
        <v>64</v>
      </c>
      <c r="B52" s="163" t="s">
        <v>34</v>
      </c>
      <c r="C52" s="163">
        <f>SUMIFS('Qtd Vendas x Faturamento'!D:D,'Qtd Vendas x Faturamento'!A:A,Lotes!A52,'Qtd Vendas x Faturamento'!B:B,Lotes!B52)</f>
        <v>702298.11131882924</v>
      </c>
      <c r="D52" s="163">
        <f>C52/Dados!$C$13</f>
        <v>140.45962226376585</v>
      </c>
      <c r="E52" s="163">
        <f t="shared" si="4"/>
        <v>29</v>
      </c>
      <c r="F52" s="163">
        <f t="shared" si="2"/>
        <v>15</v>
      </c>
      <c r="G52" s="163">
        <f t="shared" si="3"/>
        <v>108</v>
      </c>
      <c r="H52" s="163">
        <f>ROUNDUP(C52/VLOOKUP(B52,Dados!$B$70:$C$74,2,FALSE),0)</f>
        <v>538</v>
      </c>
      <c r="I52" s="163">
        <f t="shared" si="5"/>
        <v>27</v>
      </c>
      <c r="J52" s="163">
        <f>E52*Dados!$C$50</f>
        <v>464000</v>
      </c>
      <c r="K52" s="163">
        <f>E52*Dados!$D$50</f>
        <v>2610000</v>
      </c>
      <c r="L52" s="163">
        <f>E52*Dados!$E$50</f>
        <v>2276500</v>
      </c>
      <c r="M52" s="163">
        <f>F52*Dados!$C$49</f>
        <v>225000</v>
      </c>
      <c r="N52" s="163">
        <f>F52*Dados!$D$49</f>
        <v>1200000</v>
      </c>
      <c r="O52" s="163">
        <f>F52*Dados!$E$49</f>
        <v>1027500</v>
      </c>
      <c r="P52" s="163">
        <f>G52*Dados!$C$51</f>
        <v>2052000</v>
      </c>
      <c r="Q52" s="163">
        <f>G52*Dados!$D$51</f>
        <v>10800000</v>
      </c>
      <c r="R52" s="163">
        <f>G52*Dados!$E$51</f>
        <v>8910000</v>
      </c>
      <c r="S52" s="163">
        <f>H52*Dados!$C$66</f>
        <v>675728000</v>
      </c>
      <c r="T52" s="163">
        <f>I:I*Dados!$C$61</f>
        <v>4050000</v>
      </c>
    </row>
    <row r="53" spans="1:20" x14ac:dyDescent="0.25">
      <c r="A53" s="163" t="s">
        <v>64</v>
      </c>
      <c r="B53" s="163" t="s">
        <v>36</v>
      </c>
      <c r="C53" s="163">
        <f>SUMIFS('Qtd Vendas x Faturamento'!D:D,'Qtd Vendas x Faturamento'!A:A,Lotes!A53,'Qtd Vendas x Faturamento'!B:B,Lotes!B53)</f>
        <v>1990234.3594387642</v>
      </c>
      <c r="D53" s="163">
        <f>C53/Dados!$C$13</f>
        <v>398.04687188775284</v>
      </c>
      <c r="E53" s="163">
        <f t="shared" si="4"/>
        <v>80</v>
      </c>
      <c r="F53" s="163">
        <f t="shared" si="2"/>
        <v>40</v>
      </c>
      <c r="G53" s="163">
        <f t="shared" si="3"/>
        <v>305</v>
      </c>
      <c r="H53" s="163">
        <f>ROUNDUP(C53/VLOOKUP(B53,Dados!$B$70:$C$74,2,FALSE),0)</f>
        <v>1523</v>
      </c>
      <c r="I53" s="163">
        <f t="shared" si="5"/>
        <v>74</v>
      </c>
      <c r="J53" s="163">
        <f>E53*Dados!$C$50</f>
        <v>1280000</v>
      </c>
      <c r="K53" s="163">
        <f>E53*Dados!$D$50</f>
        <v>7200000</v>
      </c>
      <c r="L53" s="163">
        <f>E53*Dados!$E$50</f>
        <v>6280000</v>
      </c>
      <c r="M53" s="163">
        <f>F53*Dados!$C$49</f>
        <v>600000</v>
      </c>
      <c r="N53" s="163">
        <f>F53*Dados!$D$49</f>
        <v>3200000</v>
      </c>
      <c r="O53" s="163">
        <f>F53*Dados!$E$49</f>
        <v>2740000</v>
      </c>
      <c r="P53" s="163">
        <f>G53*Dados!$C$51</f>
        <v>5795000</v>
      </c>
      <c r="Q53" s="163">
        <f>G53*Dados!$D$51</f>
        <v>30500000</v>
      </c>
      <c r="R53" s="163">
        <f>G53*Dados!$E$51</f>
        <v>25162500</v>
      </c>
      <c r="S53" s="163">
        <f>H53*Dados!$C$66</f>
        <v>1912888000</v>
      </c>
      <c r="T53" s="163">
        <f>I:I*Dados!$C$61</f>
        <v>11100000</v>
      </c>
    </row>
    <row r="54" spans="1:20" x14ac:dyDescent="0.25">
      <c r="A54" s="163" t="s">
        <v>64</v>
      </c>
      <c r="B54" s="163" t="s">
        <v>40</v>
      </c>
      <c r="C54" s="163">
        <f>SUMIFS('Qtd Vendas x Faturamento'!D:D,'Qtd Vendas x Faturamento'!A:A,Lotes!A54,'Qtd Vendas x Faturamento'!B:B,Lotes!B54)</f>
        <v>382130.54038463393</v>
      </c>
      <c r="D54" s="163">
        <f>C54/Dados!$C$13</f>
        <v>76.426108076926781</v>
      </c>
      <c r="E54" s="163">
        <f t="shared" si="4"/>
        <v>16</v>
      </c>
      <c r="F54" s="163">
        <f t="shared" si="2"/>
        <v>8</v>
      </c>
      <c r="G54" s="163">
        <f t="shared" si="3"/>
        <v>33</v>
      </c>
      <c r="H54" s="163">
        <f>ROUNDUP(C54/VLOOKUP(B54,Dados!$B$70:$C$74,2,FALSE),0)</f>
        <v>163</v>
      </c>
      <c r="I54" s="163">
        <f t="shared" si="5"/>
        <v>15</v>
      </c>
      <c r="J54" s="163">
        <f>E54*Dados!$C$50</f>
        <v>256000</v>
      </c>
      <c r="K54" s="163">
        <f>E54*Dados!$D$50</f>
        <v>1440000</v>
      </c>
      <c r="L54" s="163">
        <f>E54*Dados!$E$50</f>
        <v>1256000</v>
      </c>
      <c r="M54" s="163">
        <f>F54*Dados!$C$49</f>
        <v>120000</v>
      </c>
      <c r="N54" s="163">
        <f>F54*Dados!$D$49</f>
        <v>640000</v>
      </c>
      <c r="O54" s="163">
        <f>F54*Dados!$E$49</f>
        <v>548000</v>
      </c>
      <c r="P54" s="163">
        <f>G54*Dados!$C$51</f>
        <v>627000</v>
      </c>
      <c r="Q54" s="163">
        <f>G54*Dados!$D$51</f>
        <v>3300000</v>
      </c>
      <c r="R54" s="163">
        <f>G54*Dados!$E$51</f>
        <v>2722500</v>
      </c>
      <c r="S54" s="163">
        <f>H54*Dados!$C$66</f>
        <v>204728000</v>
      </c>
      <c r="T54" s="163">
        <f>I:I*Dados!$C$61</f>
        <v>2250000</v>
      </c>
    </row>
    <row r="55" spans="1:20" x14ac:dyDescent="0.25">
      <c r="A55" s="163" t="s">
        <v>64</v>
      </c>
      <c r="B55" s="163" t="s">
        <v>42</v>
      </c>
      <c r="C55" s="163">
        <f>SUMIFS('Qtd Vendas x Faturamento'!D:D,'Qtd Vendas x Faturamento'!A:A,Lotes!A55,'Qtd Vendas x Faturamento'!B:B,Lotes!B55)</f>
        <v>407122.11735118815</v>
      </c>
      <c r="D55" s="163">
        <f>C55/Dados!$C$13</f>
        <v>81.424423470237627</v>
      </c>
      <c r="E55" s="163">
        <f t="shared" si="4"/>
        <v>17</v>
      </c>
      <c r="F55" s="163">
        <f t="shared" si="2"/>
        <v>9</v>
      </c>
      <c r="G55" s="163">
        <f t="shared" si="3"/>
        <v>35</v>
      </c>
      <c r="H55" s="163">
        <f>ROUNDUP(C55/VLOOKUP(B55,Dados!$B$70:$C$74,2,FALSE),0)</f>
        <v>174</v>
      </c>
      <c r="I55" s="163">
        <f t="shared" si="5"/>
        <v>16</v>
      </c>
      <c r="J55" s="163">
        <f>E55*Dados!$C$50</f>
        <v>272000</v>
      </c>
      <c r="K55" s="163">
        <f>E55*Dados!$D$50</f>
        <v>1530000</v>
      </c>
      <c r="L55" s="163">
        <f>E55*Dados!$E$50</f>
        <v>1334500</v>
      </c>
      <c r="M55" s="163">
        <f>F55*Dados!$C$49</f>
        <v>135000</v>
      </c>
      <c r="N55" s="163">
        <f>F55*Dados!$D$49</f>
        <v>720000</v>
      </c>
      <c r="O55" s="163">
        <f>F55*Dados!$E$49</f>
        <v>616500</v>
      </c>
      <c r="P55" s="163">
        <f>G55*Dados!$C$51</f>
        <v>665000</v>
      </c>
      <c r="Q55" s="163">
        <f>G55*Dados!$D$51</f>
        <v>3500000</v>
      </c>
      <c r="R55" s="163">
        <f>G55*Dados!$E$51</f>
        <v>2887500</v>
      </c>
      <c r="S55" s="163">
        <f>H55*Dados!$C$66</f>
        <v>218544000</v>
      </c>
      <c r="T55" s="163">
        <f>I:I*Dados!$C$61</f>
        <v>2400000</v>
      </c>
    </row>
    <row r="56" spans="1:20" x14ac:dyDescent="0.25">
      <c r="A56" s="163" t="s">
        <v>64</v>
      </c>
      <c r="B56" s="163" t="s">
        <v>38</v>
      </c>
      <c r="C56" s="163">
        <f>SUMIFS('Qtd Vendas x Faturamento'!D:D,'Qtd Vendas x Faturamento'!A:A,Lotes!A56,'Qtd Vendas x Faturamento'!B:B,Lotes!B56)</f>
        <v>1282214.8715065843</v>
      </c>
      <c r="D56" s="163">
        <f>C56/Dados!$C$13</f>
        <v>256.44297430131689</v>
      </c>
      <c r="E56" s="163">
        <f t="shared" si="4"/>
        <v>52</v>
      </c>
      <c r="F56" s="163">
        <f t="shared" si="2"/>
        <v>26</v>
      </c>
      <c r="G56" s="163">
        <f t="shared" si="3"/>
        <v>149</v>
      </c>
      <c r="H56" s="163">
        <f>ROUNDUP(C56/VLOOKUP(B56,Dados!$B$70:$C$74,2,FALSE),0)</f>
        <v>743</v>
      </c>
      <c r="I56" s="163">
        <f t="shared" si="5"/>
        <v>48</v>
      </c>
      <c r="J56" s="163">
        <f>E56*Dados!$C$50</f>
        <v>832000</v>
      </c>
      <c r="K56" s="163">
        <f>E56*Dados!$D$50</f>
        <v>4680000</v>
      </c>
      <c r="L56" s="163">
        <f>E56*Dados!$E$50</f>
        <v>4082000</v>
      </c>
      <c r="M56" s="163">
        <f>F56*Dados!$C$49</f>
        <v>390000</v>
      </c>
      <c r="N56" s="163">
        <f>F56*Dados!$D$49</f>
        <v>2080000</v>
      </c>
      <c r="O56" s="163">
        <f>F56*Dados!$E$49</f>
        <v>1781000</v>
      </c>
      <c r="P56" s="163">
        <f>G56*Dados!$C$51</f>
        <v>2831000</v>
      </c>
      <c r="Q56" s="163">
        <f>G56*Dados!$D$51</f>
        <v>14900000</v>
      </c>
      <c r="R56" s="163">
        <f>G56*Dados!$E$51</f>
        <v>12292500</v>
      </c>
      <c r="S56" s="163">
        <f>H56*Dados!$C$66</f>
        <v>933208000</v>
      </c>
      <c r="T56" s="163">
        <f>I:I*Dados!$C$61</f>
        <v>7200000</v>
      </c>
    </row>
    <row r="57" spans="1:20" x14ac:dyDescent="0.25">
      <c r="A57" s="163" t="s">
        <v>65</v>
      </c>
      <c r="B57" s="163" t="s">
        <v>34</v>
      </c>
      <c r="C57" s="163">
        <f>SUMIFS('Qtd Vendas x Faturamento'!D:D,'Qtd Vendas x Faturamento'!A:A,Lotes!A57,'Qtd Vendas x Faturamento'!B:B,Lotes!B57)</f>
        <v>936397.4817584391</v>
      </c>
      <c r="D57" s="163">
        <f>C57/Dados!$C$13</f>
        <v>187.27949635168781</v>
      </c>
      <c r="E57" s="163">
        <f t="shared" si="4"/>
        <v>38</v>
      </c>
      <c r="F57" s="163">
        <f t="shared" si="2"/>
        <v>19</v>
      </c>
      <c r="G57" s="163">
        <f t="shared" si="3"/>
        <v>144</v>
      </c>
      <c r="H57" s="163">
        <f>ROUNDUP(C57/VLOOKUP(B57,Dados!$B$70:$C$74,2,FALSE),0)</f>
        <v>717</v>
      </c>
      <c r="I57" s="163">
        <f t="shared" si="5"/>
        <v>35</v>
      </c>
      <c r="J57" s="163">
        <f>E57*Dados!$C$50</f>
        <v>608000</v>
      </c>
      <c r="K57" s="163">
        <f>E57*Dados!$D$50</f>
        <v>3420000</v>
      </c>
      <c r="L57" s="163">
        <f>E57*Dados!$E$50</f>
        <v>2983000</v>
      </c>
      <c r="M57" s="163">
        <f>F57*Dados!$C$49</f>
        <v>285000</v>
      </c>
      <c r="N57" s="163">
        <f>F57*Dados!$D$49</f>
        <v>1520000</v>
      </c>
      <c r="O57" s="163">
        <f>F57*Dados!$E$49</f>
        <v>1301500</v>
      </c>
      <c r="P57" s="163">
        <f>G57*Dados!$C$51</f>
        <v>2736000</v>
      </c>
      <c r="Q57" s="163">
        <f>G57*Dados!$D$51</f>
        <v>14400000</v>
      </c>
      <c r="R57" s="163">
        <f>G57*Dados!$E$51</f>
        <v>11880000</v>
      </c>
      <c r="S57" s="163">
        <f>H57*Dados!$C$66</f>
        <v>900552000</v>
      </c>
      <c r="T57" s="163">
        <f>I:I*Dados!$C$61</f>
        <v>5250000</v>
      </c>
    </row>
    <row r="58" spans="1:20" x14ac:dyDescent="0.25">
      <c r="A58" s="163" t="s">
        <v>65</v>
      </c>
      <c r="B58" s="163" t="s">
        <v>36</v>
      </c>
      <c r="C58" s="163">
        <f>SUMIFS('Qtd Vendas x Faturamento'!D:D,'Qtd Vendas x Faturamento'!A:A,Lotes!A58,'Qtd Vendas x Faturamento'!B:B,Lotes!B58)</f>
        <v>2653645.812585019</v>
      </c>
      <c r="D58" s="163">
        <f>C58/Dados!$C$13</f>
        <v>530.72916251700383</v>
      </c>
      <c r="E58" s="163">
        <f t="shared" si="4"/>
        <v>107</v>
      </c>
      <c r="F58" s="163">
        <f t="shared" si="2"/>
        <v>54</v>
      </c>
      <c r="G58" s="163">
        <f t="shared" si="3"/>
        <v>407</v>
      </c>
      <c r="H58" s="163">
        <f>ROUNDUP(C58/VLOOKUP(B58,Dados!$B$70:$C$74,2,FALSE),0)</f>
        <v>2031</v>
      </c>
      <c r="I58" s="163">
        <f t="shared" si="5"/>
        <v>99</v>
      </c>
      <c r="J58" s="163">
        <f>E58*Dados!$C$50</f>
        <v>1712000</v>
      </c>
      <c r="K58" s="163">
        <f>E58*Dados!$D$50</f>
        <v>9630000</v>
      </c>
      <c r="L58" s="163">
        <f>E58*Dados!$E$50</f>
        <v>8399500</v>
      </c>
      <c r="M58" s="163">
        <f>F58*Dados!$C$49</f>
        <v>810000</v>
      </c>
      <c r="N58" s="163">
        <f>F58*Dados!$D$49</f>
        <v>4320000</v>
      </c>
      <c r="O58" s="163">
        <f>F58*Dados!$E$49</f>
        <v>3699000</v>
      </c>
      <c r="P58" s="163">
        <f>G58*Dados!$C$51</f>
        <v>7733000</v>
      </c>
      <c r="Q58" s="163">
        <f>G58*Dados!$D$51</f>
        <v>40700000</v>
      </c>
      <c r="R58" s="163">
        <f>G58*Dados!$E$51</f>
        <v>33577500</v>
      </c>
      <c r="S58" s="163">
        <f>H58*Dados!$C$66</f>
        <v>2550936000</v>
      </c>
      <c r="T58" s="163">
        <f>I:I*Dados!$C$61</f>
        <v>14850000</v>
      </c>
    </row>
    <row r="59" spans="1:20" x14ac:dyDescent="0.25">
      <c r="A59" s="163" t="s">
        <v>65</v>
      </c>
      <c r="B59" s="163" t="s">
        <v>40</v>
      </c>
      <c r="C59" s="163">
        <f>SUMIFS('Qtd Vendas x Faturamento'!D:D,'Qtd Vendas x Faturamento'!A:A,Lotes!A59,'Qtd Vendas x Faturamento'!B:B,Lotes!B59)</f>
        <v>509507.38717951206</v>
      </c>
      <c r="D59" s="163">
        <f>C59/Dados!$C$13</f>
        <v>101.90147743590241</v>
      </c>
      <c r="E59" s="163">
        <f t="shared" si="4"/>
        <v>21</v>
      </c>
      <c r="F59" s="163">
        <f t="shared" si="2"/>
        <v>11</v>
      </c>
      <c r="G59" s="163">
        <f t="shared" si="3"/>
        <v>44</v>
      </c>
      <c r="H59" s="163">
        <f>ROUNDUP(C59/VLOOKUP(B59,Dados!$B$70:$C$74,2,FALSE),0)</f>
        <v>218</v>
      </c>
      <c r="I59" s="163">
        <f t="shared" si="5"/>
        <v>19</v>
      </c>
      <c r="J59" s="163">
        <f>E59*Dados!$C$50</f>
        <v>336000</v>
      </c>
      <c r="K59" s="163">
        <f>E59*Dados!$D$50</f>
        <v>1890000</v>
      </c>
      <c r="L59" s="163">
        <f>E59*Dados!$E$50</f>
        <v>1648500</v>
      </c>
      <c r="M59" s="163">
        <f>F59*Dados!$C$49</f>
        <v>165000</v>
      </c>
      <c r="N59" s="163">
        <f>F59*Dados!$D$49</f>
        <v>880000</v>
      </c>
      <c r="O59" s="163">
        <f>F59*Dados!$E$49</f>
        <v>753500</v>
      </c>
      <c r="P59" s="163">
        <f>G59*Dados!$C$51</f>
        <v>836000</v>
      </c>
      <c r="Q59" s="163">
        <f>G59*Dados!$D$51</f>
        <v>4400000</v>
      </c>
      <c r="R59" s="163">
        <f>G59*Dados!$E$51</f>
        <v>3630000</v>
      </c>
      <c r="S59" s="163">
        <f>H59*Dados!$C$66</f>
        <v>273808000</v>
      </c>
      <c r="T59" s="163">
        <f>I:I*Dados!$C$61</f>
        <v>2850000</v>
      </c>
    </row>
    <row r="60" spans="1:20" x14ac:dyDescent="0.25">
      <c r="A60" s="163" t="s">
        <v>65</v>
      </c>
      <c r="B60" s="163" t="s">
        <v>42</v>
      </c>
      <c r="C60" s="163">
        <f>SUMIFS('Qtd Vendas x Faturamento'!D:D,'Qtd Vendas x Faturamento'!A:A,Lotes!A60,'Qtd Vendas x Faturamento'!B:B,Lotes!B60)</f>
        <v>542829.48980158416</v>
      </c>
      <c r="D60" s="163">
        <f>C60/Dados!$C$13</f>
        <v>108.56589796031683</v>
      </c>
      <c r="E60" s="163">
        <f t="shared" si="4"/>
        <v>22</v>
      </c>
      <c r="F60" s="163">
        <f t="shared" si="2"/>
        <v>11</v>
      </c>
      <c r="G60" s="163">
        <f t="shared" si="3"/>
        <v>47</v>
      </c>
      <c r="H60" s="163">
        <f>ROUNDUP(C60/VLOOKUP(B60,Dados!$B$70:$C$74,2,FALSE),0)</f>
        <v>232</v>
      </c>
      <c r="I60" s="163">
        <f t="shared" si="5"/>
        <v>21</v>
      </c>
      <c r="J60" s="163">
        <f>E60*Dados!$C$50</f>
        <v>352000</v>
      </c>
      <c r="K60" s="163">
        <f>E60*Dados!$D$50</f>
        <v>1980000</v>
      </c>
      <c r="L60" s="163">
        <f>E60*Dados!$E$50</f>
        <v>1727000</v>
      </c>
      <c r="M60" s="163">
        <f>F60*Dados!$C$49</f>
        <v>165000</v>
      </c>
      <c r="N60" s="163">
        <f>F60*Dados!$D$49</f>
        <v>880000</v>
      </c>
      <c r="O60" s="163">
        <f>F60*Dados!$E$49</f>
        <v>753500</v>
      </c>
      <c r="P60" s="163">
        <f>G60*Dados!$C$51</f>
        <v>893000</v>
      </c>
      <c r="Q60" s="163">
        <f>G60*Dados!$D$51</f>
        <v>4700000</v>
      </c>
      <c r="R60" s="163">
        <f>G60*Dados!$E$51</f>
        <v>3877500</v>
      </c>
      <c r="S60" s="163">
        <f>H60*Dados!$C$66</f>
        <v>291392000</v>
      </c>
      <c r="T60" s="163">
        <f>I:I*Dados!$C$61</f>
        <v>3150000</v>
      </c>
    </row>
    <row r="61" spans="1:20" x14ac:dyDescent="0.25">
      <c r="A61" s="163" t="s">
        <v>65</v>
      </c>
      <c r="B61" s="163" t="s">
        <v>38</v>
      </c>
      <c r="C61" s="163">
        <f>SUMIFS('Qtd Vendas x Faturamento'!D:D,'Qtd Vendas x Faturamento'!A:A,Lotes!A61,'Qtd Vendas x Faturamento'!B:B,Lotes!B61)</f>
        <v>1709619.8286754456</v>
      </c>
      <c r="D61" s="163">
        <f>C61/Dados!$C$13</f>
        <v>341.92396573508915</v>
      </c>
      <c r="E61" s="163">
        <f t="shared" si="4"/>
        <v>69</v>
      </c>
      <c r="F61" s="163">
        <f t="shared" si="2"/>
        <v>35</v>
      </c>
      <c r="G61" s="163">
        <f t="shared" si="3"/>
        <v>198</v>
      </c>
      <c r="H61" s="163">
        <f>ROUNDUP(C61/VLOOKUP(B61,Dados!$B$70:$C$74,2,FALSE),0)</f>
        <v>990</v>
      </c>
      <c r="I61" s="163">
        <f t="shared" si="5"/>
        <v>64</v>
      </c>
      <c r="J61" s="163">
        <f>E61*Dados!$C$50</f>
        <v>1104000</v>
      </c>
      <c r="K61" s="163">
        <f>E61*Dados!$D$50</f>
        <v>6210000</v>
      </c>
      <c r="L61" s="163">
        <f>E61*Dados!$E$50</f>
        <v>5416500</v>
      </c>
      <c r="M61" s="163">
        <f>F61*Dados!$C$49</f>
        <v>525000</v>
      </c>
      <c r="N61" s="163">
        <f>F61*Dados!$D$49</f>
        <v>2800000</v>
      </c>
      <c r="O61" s="163">
        <f>F61*Dados!$E$49</f>
        <v>2397500</v>
      </c>
      <c r="P61" s="163">
        <f>G61*Dados!$C$51</f>
        <v>3762000</v>
      </c>
      <c r="Q61" s="163">
        <f>G61*Dados!$D$51</f>
        <v>19800000</v>
      </c>
      <c r="R61" s="163">
        <f>G61*Dados!$E$51</f>
        <v>16335000</v>
      </c>
      <c r="S61" s="163">
        <f>H61*Dados!$C$66</f>
        <v>1243440000</v>
      </c>
      <c r="T61" s="163">
        <f>I:I*Dados!$C$61</f>
        <v>9600000</v>
      </c>
    </row>
  </sheetData>
  <autoFilter ref="A1:S61" xr:uid="{F018FBD4-1F24-4BCA-A0BE-22469DB4467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88E5F-E6C5-421F-BB4C-3CA35146252E}">
  <dimension ref="A1:N29"/>
  <sheetViews>
    <sheetView tabSelected="1" zoomScale="85" zoomScaleNormal="85" workbookViewId="0">
      <selection activeCell="A2" sqref="A2"/>
    </sheetView>
  </sheetViews>
  <sheetFormatPr defaultColWidth="23.7109375" defaultRowHeight="15" x14ac:dyDescent="0.25"/>
  <cols>
    <col min="1" max="1" width="13.140625" style="158" customWidth="1"/>
    <col min="2" max="2" width="27.5703125" style="158" bestFit="1" customWidth="1"/>
    <col min="3" max="14" width="21.7109375" style="158" customWidth="1"/>
    <col min="15" max="16384" width="23.7109375" style="158"/>
  </cols>
  <sheetData>
    <row r="1" spans="1:14" ht="15.75" thickBot="1" x14ac:dyDescent="0.3">
      <c r="A1" s="164"/>
    </row>
    <row r="2" spans="1:14" ht="15.75" thickBot="1" x14ac:dyDescent="0.3">
      <c r="A2" s="165" t="s">
        <v>38</v>
      </c>
      <c r="B2" s="166" t="s">
        <v>206</v>
      </c>
      <c r="C2" s="170" t="s">
        <v>54</v>
      </c>
      <c r="D2" s="171" t="s">
        <v>55</v>
      </c>
      <c r="E2" s="171" t="s">
        <v>56</v>
      </c>
      <c r="F2" s="171" t="s">
        <v>57</v>
      </c>
      <c r="G2" s="171" t="s">
        <v>58</v>
      </c>
      <c r="H2" s="171" t="s">
        <v>59</v>
      </c>
      <c r="I2" s="171" t="s">
        <v>60</v>
      </c>
      <c r="J2" s="171" t="s">
        <v>61</v>
      </c>
      <c r="K2" s="171" t="s">
        <v>62</v>
      </c>
      <c r="L2" s="171" t="s">
        <v>63</v>
      </c>
      <c r="M2" s="171" t="s">
        <v>64</v>
      </c>
      <c r="N2" s="172" t="s">
        <v>65</v>
      </c>
    </row>
    <row r="3" spans="1:14" x14ac:dyDescent="0.25">
      <c r="B3" s="167" t="s">
        <v>189</v>
      </c>
      <c r="C3" s="173">
        <f>SUMIFS(RH!$J:$J,RH!$B:$B,'FLUXO DE CAIXA'!$A$2,RH!$A:$A,'FLUXO DE CAIXA'!C2)+SUMIFS(RH!$M:$M,RH!$B:$B,'FLUXO DE CAIXA'!$A$2,RH!$A:$A,'FLUXO DE CAIXA'!C2)+SUMIFS(RH!$P:$P,RH!$B:$B,'FLUXO DE CAIXA'!$A$2,RH!$A:$A,'FLUXO DE CAIXA'!C2)</f>
        <v>2358000</v>
      </c>
      <c r="D3" s="174">
        <f>SUMIFS(RH!$J:$J,RH!$B:$B,'FLUXO DE CAIXA'!$A$2,RH!$A:$A,'FLUXO DE CAIXA'!D2)+SUMIFS(RH!$M:$M,RH!$B:$B,'FLUXO DE CAIXA'!$A$2,RH!$A:$A,'FLUXO DE CAIXA'!D2)+SUMIFS(RH!$P:$P,RH!$B:$B,'FLUXO DE CAIXA'!$A$2,RH!$A:$A,'FLUXO DE CAIXA'!D2)</f>
        <v>2036000</v>
      </c>
      <c r="E3" s="174">
        <f>SUMIFS(RH!$J:$J,RH!$B:$B,'FLUXO DE CAIXA'!$A$2,RH!$A:$A,'FLUXO DE CAIXA'!E2)+SUMIFS(RH!$M:$M,RH!$B:$B,'FLUXO DE CAIXA'!$A$2,RH!$A:$A,'FLUXO DE CAIXA'!E2)+SUMIFS(RH!$P:$P,RH!$B:$B,'FLUXO DE CAIXA'!$A$2,RH!$A:$A,'FLUXO DE CAIXA'!E2)</f>
        <v>2036000</v>
      </c>
      <c r="F3" s="174">
        <f>SUMIFS(RH!$J:$J,RH!$B:$B,'FLUXO DE CAIXA'!$A$2,RH!$A:$A,'FLUXO DE CAIXA'!F2)+SUMIFS(RH!$M:$M,RH!$B:$B,'FLUXO DE CAIXA'!$A$2,RH!$A:$A,'FLUXO DE CAIXA'!F2)+SUMIFS(RH!$P:$P,RH!$B:$B,'FLUXO DE CAIXA'!$A$2,RH!$A:$A,'FLUXO DE CAIXA'!F2)</f>
        <v>2036000</v>
      </c>
      <c r="G3" s="174">
        <f>SUMIFS(RH!$J:$J,RH!$B:$B,'FLUXO DE CAIXA'!$A$2,RH!$A:$A,'FLUXO DE CAIXA'!G2)+SUMIFS(RH!$M:$M,RH!$B:$B,'FLUXO DE CAIXA'!$A$2,RH!$A:$A,'FLUXO DE CAIXA'!G2)+SUMIFS(RH!$P:$P,RH!$B:$B,'FLUXO DE CAIXA'!$A$2,RH!$A:$A,'FLUXO DE CAIXA'!G2)</f>
        <v>3052000</v>
      </c>
      <c r="H3" s="174">
        <f>SUMIFS(RH!$J:$J,RH!$B:$B,'FLUXO DE CAIXA'!$A$2,RH!$A:$A,'FLUXO DE CAIXA'!H2)+SUMIFS(RH!$M:$M,RH!$B:$B,'FLUXO DE CAIXA'!$A$2,RH!$A:$A,'FLUXO DE CAIXA'!H2)+SUMIFS(RH!$P:$P,RH!$B:$B,'FLUXO DE CAIXA'!$A$2,RH!$A:$A,'FLUXO DE CAIXA'!H2)</f>
        <v>3052000</v>
      </c>
      <c r="I3" s="174">
        <f>SUMIFS(RH!$J:$J,RH!$B:$B,'FLUXO DE CAIXA'!$A$2,RH!$A:$A,'FLUXO DE CAIXA'!I2)+SUMIFS(RH!$M:$M,RH!$B:$B,'FLUXO DE CAIXA'!$A$2,RH!$A:$A,'FLUXO DE CAIXA'!I2)+SUMIFS(RH!$P:$P,RH!$B:$B,'FLUXO DE CAIXA'!$A$2,RH!$A:$A,'FLUXO DE CAIXA'!I2)</f>
        <v>2036000</v>
      </c>
      <c r="J3" s="174">
        <f>SUMIFS(RH!$J:$J,RH!$B:$B,'FLUXO DE CAIXA'!$A$2,RH!$A:$A,'FLUXO DE CAIXA'!J2)+SUMIFS(RH!$M:$M,RH!$B:$B,'FLUXO DE CAIXA'!$A$2,RH!$A:$A,'FLUXO DE CAIXA'!J2)+SUMIFS(RH!$P:$P,RH!$B:$B,'FLUXO DE CAIXA'!$A$2,RH!$A:$A,'FLUXO DE CAIXA'!J2)</f>
        <v>2711000</v>
      </c>
      <c r="K3" s="174">
        <f>SUMIFS(RH!$J:$J,RH!$B:$B,'FLUXO DE CAIXA'!$A$2,RH!$A:$A,'FLUXO DE CAIXA'!K2)+SUMIFS(RH!$M:$M,RH!$B:$B,'FLUXO DE CAIXA'!$A$2,RH!$A:$A,'FLUXO DE CAIXA'!K2)+SUMIFS(RH!$P:$P,RH!$B:$B,'FLUXO DE CAIXA'!$A$2,RH!$A:$A,'FLUXO DE CAIXA'!K2)</f>
        <v>2036000</v>
      </c>
      <c r="L3" s="174">
        <f>SUMIFS(RH!$J:$J,RH!$B:$B,'FLUXO DE CAIXA'!$A$2,RH!$A:$A,'FLUXO DE CAIXA'!L2)+SUMIFS(RH!$M:$M,RH!$B:$B,'FLUXO DE CAIXA'!$A$2,RH!$A:$A,'FLUXO DE CAIXA'!L2)+SUMIFS(RH!$P:$P,RH!$B:$B,'FLUXO DE CAIXA'!$A$2,RH!$A:$A,'FLUXO DE CAIXA'!L2)</f>
        <v>3052000</v>
      </c>
      <c r="M3" s="174">
        <f>SUMIFS(RH!$J:$J,RH!$B:$B,'FLUXO DE CAIXA'!$A$2,RH!$A:$A,'FLUXO DE CAIXA'!M2)+SUMIFS(RH!$M:$M,RH!$B:$B,'FLUXO DE CAIXA'!$A$2,RH!$A:$A,'FLUXO DE CAIXA'!M2)+SUMIFS(RH!$P:$P,RH!$B:$B,'FLUXO DE CAIXA'!$A$2,RH!$A:$A,'FLUXO DE CAIXA'!M2)</f>
        <v>4053000</v>
      </c>
      <c r="N3" s="175">
        <f>SUMIFS(RH!$J:$J,RH!$B:$B,'FLUXO DE CAIXA'!$A$2,RH!$A:$A,'FLUXO DE CAIXA'!N2)+SUMIFS(RH!$M:$M,RH!$B:$B,'FLUXO DE CAIXA'!$A$2,RH!$A:$A,'FLUXO DE CAIXA'!N2)+SUMIFS(RH!$P:$P,RH!$B:$B,'FLUXO DE CAIXA'!$A$2,RH!$A:$A,'FLUXO DE CAIXA'!N2)</f>
        <v>5391000</v>
      </c>
    </row>
    <row r="4" spans="1:14" x14ac:dyDescent="0.25">
      <c r="B4" s="168" t="s">
        <v>190</v>
      </c>
      <c r="C4" s="176">
        <f>SUMIFS(RH!$L:$L,RH!$B:$B,'FLUXO DE CAIXA'!$A$2,RH!$A:$A,'FLUXO DE CAIXA'!C2)+SUMIFS(RH!$O:$O,RH!$B:$B,'FLUXO DE CAIXA'!$A$2,RH!$A:$A,'FLUXO DE CAIXA'!C2)+SUMIFS(RH!$R:$R,RH!$B:$B,'FLUXO DE CAIXA'!$A$2,RH!$A:$A,'FLUXO DE CAIXA'!C2)</f>
        <v>10560000</v>
      </c>
      <c r="D4" s="177">
        <f>SUMIFS(RH!$L:$L,RH!$B:$B,'FLUXO DE CAIXA'!$A$2,RH!$A:$A,'FLUXO DE CAIXA'!D2)+SUMIFS(RH!$O:$O,RH!$B:$B,'FLUXO DE CAIXA'!$A$2,RH!$A:$A,'FLUXO DE CAIXA'!D2)+SUMIFS(RH!$R:$R,RH!$B:$B,'FLUXO DE CAIXA'!$A$2,RH!$A:$A,'FLUXO DE CAIXA'!D2)</f>
        <v>9119000</v>
      </c>
      <c r="E4" s="177">
        <f>SUMIFS(RH!$L:$L,RH!$B:$B,'FLUXO DE CAIXA'!$A$2,RH!$A:$A,'FLUXO DE CAIXA'!E2)+SUMIFS(RH!$O:$O,RH!$B:$B,'FLUXO DE CAIXA'!$A$2,RH!$A:$A,'FLUXO DE CAIXA'!E2)+SUMIFS(RH!$R:$R,RH!$B:$B,'FLUXO DE CAIXA'!$A$2,RH!$A:$A,'FLUXO DE CAIXA'!E2)</f>
        <v>9119000</v>
      </c>
      <c r="F4" s="177">
        <f>SUMIFS(RH!$L:$L,RH!$B:$B,'FLUXO DE CAIXA'!$A$2,RH!$A:$A,'FLUXO DE CAIXA'!F2)+SUMIFS(RH!$O:$O,RH!$B:$B,'FLUXO DE CAIXA'!$A$2,RH!$A:$A,'FLUXO DE CAIXA'!F2)+SUMIFS(RH!$R:$R,RH!$B:$B,'FLUXO DE CAIXA'!$A$2,RH!$A:$A,'FLUXO DE CAIXA'!F2)</f>
        <v>9119000</v>
      </c>
      <c r="G4" s="177">
        <f>SUMIFS(RH!$L:$L,RH!$B:$B,'FLUXO DE CAIXA'!$A$2,RH!$A:$A,'FLUXO DE CAIXA'!G2)+SUMIFS(RH!$O:$O,RH!$B:$B,'FLUXO DE CAIXA'!$A$2,RH!$A:$A,'FLUXO DE CAIXA'!G2)+SUMIFS(RH!$R:$R,RH!$B:$B,'FLUXO DE CAIXA'!$A$2,RH!$A:$A,'FLUXO DE CAIXA'!G2)</f>
        <v>13671500</v>
      </c>
      <c r="H4" s="177">
        <f>SUMIFS(RH!$L:$L,RH!$B:$B,'FLUXO DE CAIXA'!$A$2,RH!$A:$A,'FLUXO DE CAIXA'!H2)+SUMIFS(RH!$O:$O,RH!$B:$B,'FLUXO DE CAIXA'!$A$2,RH!$A:$A,'FLUXO DE CAIXA'!H2)+SUMIFS(RH!$R:$R,RH!$B:$B,'FLUXO DE CAIXA'!$A$2,RH!$A:$A,'FLUXO DE CAIXA'!H2)</f>
        <v>13671500</v>
      </c>
      <c r="I4" s="177">
        <f>SUMIFS(RH!$L:$L,RH!$B:$B,'FLUXO DE CAIXA'!$A$2,RH!$A:$A,'FLUXO DE CAIXA'!I2)+SUMIFS(RH!$O:$O,RH!$B:$B,'FLUXO DE CAIXA'!$A$2,RH!$A:$A,'FLUXO DE CAIXA'!I2)+SUMIFS(RH!$R:$R,RH!$B:$B,'FLUXO DE CAIXA'!$A$2,RH!$A:$A,'FLUXO DE CAIXA'!I2)</f>
        <v>9119000</v>
      </c>
      <c r="J4" s="177">
        <f>SUMIFS(RH!$L:$L,RH!$B:$B,'FLUXO DE CAIXA'!$A$2,RH!$A:$A,'FLUXO DE CAIXA'!J2)+SUMIFS(RH!$O:$O,RH!$B:$B,'FLUXO DE CAIXA'!$A$2,RH!$A:$A,'FLUXO DE CAIXA'!J2)+SUMIFS(RH!$R:$R,RH!$B:$B,'FLUXO DE CAIXA'!$A$2,RH!$A:$A,'FLUXO DE CAIXA'!J2)</f>
        <v>12148000</v>
      </c>
      <c r="K4" s="177">
        <f>SUMIFS(RH!$L:$L,RH!$B:$B,'FLUXO DE CAIXA'!$A$2,RH!$A:$A,'FLUXO DE CAIXA'!K2)+SUMIFS(RH!$O:$O,RH!$B:$B,'FLUXO DE CAIXA'!$A$2,RH!$A:$A,'FLUXO DE CAIXA'!K2)+SUMIFS(RH!$R:$R,RH!$B:$B,'FLUXO DE CAIXA'!$A$2,RH!$A:$A,'FLUXO DE CAIXA'!K2)</f>
        <v>9119000</v>
      </c>
      <c r="L4" s="177">
        <f>SUMIFS(RH!$L:$L,RH!$B:$B,'FLUXO DE CAIXA'!$A$2,RH!$A:$A,'FLUXO DE CAIXA'!L2)+SUMIFS(RH!$O:$O,RH!$B:$B,'FLUXO DE CAIXA'!$A$2,RH!$A:$A,'FLUXO DE CAIXA'!L2)+SUMIFS(RH!$R:$R,RH!$B:$B,'FLUXO DE CAIXA'!$A$2,RH!$A:$A,'FLUXO DE CAIXA'!L2)</f>
        <v>13671500</v>
      </c>
      <c r="M4" s="177">
        <f>SUMIFS(RH!$L:$L,RH!$B:$B,'FLUXO DE CAIXA'!$A$2,RH!$A:$A,'FLUXO DE CAIXA'!M2)+SUMIFS(RH!$O:$O,RH!$B:$B,'FLUXO DE CAIXA'!$A$2,RH!$A:$A,'FLUXO DE CAIXA'!M2)+SUMIFS(RH!$R:$R,RH!$B:$B,'FLUXO DE CAIXA'!$A$2,RH!$A:$A,'FLUXO DE CAIXA'!M2)</f>
        <v>18155500</v>
      </c>
      <c r="N4" s="178">
        <f>SUMIFS(RH!$L:$L,RH!$B:$B,'FLUXO DE CAIXA'!$A$2,RH!$A:$A,'FLUXO DE CAIXA'!N2)+SUMIFS(RH!$O:$O,RH!$B:$B,'FLUXO DE CAIXA'!$A$2,RH!$A:$A,'FLUXO DE CAIXA'!N2)+SUMIFS(RH!$R:$R,RH!$B:$B,'FLUXO DE CAIXA'!$A$2,RH!$A:$A,'FLUXO DE CAIXA'!N2)</f>
        <v>24149000</v>
      </c>
    </row>
    <row r="5" spans="1:14" x14ac:dyDescent="0.25">
      <c r="B5" s="168" t="s">
        <v>191</v>
      </c>
      <c r="C5" s="176">
        <f>SUMIFS(RH!$K:$K,RH!$B:$B,'FLUXO DE CAIXA'!$A$2,RH!$A:$A,'FLUXO DE CAIXA'!C2)+SUMIFS(RH!$N:$N,RH!$B:$B,'FLUXO DE CAIXA'!$A$2,RH!$A:$A,'FLUXO DE CAIXA'!C2)+SUMIFS(RH!$Q:$Q,RH!$B:$B,'FLUXO DE CAIXA'!$A$2,RH!$A:$A,'FLUXO DE CAIXA'!C2)</f>
        <v>12600000</v>
      </c>
      <c r="D5" s="177">
        <f>SUMIFS(RH!$K:$K,RH!$B:$B,'FLUXO DE CAIXA'!$A$2,RH!$A:$A,'FLUXO DE CAIXA'!D2)+SUMIFS(RH!$N:$N,RH!$B:$B,'FLUXO DE CAIXA'!$A$2,RH!$A:$A,'FLUXO DE CAIXA'!D2)+SUMIFS(RH!$Q:$Q,RH!$B:$B,'FLUXO DE CAIXA'!$A$2,RH!$A:$A,'FLUXO DE CAIXA'!D2)</f>
        <v>10880000</v>
      </c>
      <c r="E5" s="177">
        <f>SUMIFS(RH!$K:$K,RH!$B:$B,'FLUXO DE CAIXA'!$A$2,RH!$A:$A,'FLUXO DE CAIXA'!E2)+SUMIFS(RH!$N:$N,RH!$B:$B,'FLUXO DE CAIXA'!$A$2,RH!$A:$A,'FLUXO DE CAIXA'!E2)+SUMIFS(RH!$Q:$Q,RH!$B:$B,'FLUXO DE CAIXA'!$A$2,RH!$A:$A,'FLUXO DE CAIXA'!E2)</f>
        <v>10880000</v>
      </c>
      <c r="F5" s="177">
        <f>SUMIFS(RH!$K:$K,RH!$B:$B,'FLUXO DE CAIXA'!$A$2,RH!$A:$A,'FLUXO DE CAIXA'!F2)+SUMIFS(RH!$N:$N,RH!$B:$B,'FLUXO DE CAIXA'!$A$2,RH!$A:$A,'FLUXO DE CAIXA'!F2)+SUMIFS(RH!$Q:$Q,RH!$B:$B,'FLUXO DE CAIXA'!$A$2,RH!$A:$A,'FLUXO DE CAIXA'!F2)</f>
        <v>10880000</v>
      </c>
      <c r="G5" s="177">
        <f>SUMIFS(RH!$K:$K,RH!$B:$B,'FLUXO DE CAIXA'!$A$2,RH!$A:$A,'FLUXO DE CAIXA'!G2)+SUMIFS(RH!$N:$N,RH!$B:$B,'FLUXO DE CAIXA'!$A$2,RH!$A:$A,'FLUXO DE CAIXA'!G2)+SUMIFS(RH!$Q:$Q,RH!$B:$B,'FLUXO DE CAIXA'!$A$2,RH!$A:$A,'FLUXO DE CAIXA'!G2)</f>
        <v>16310000</v>
      </c>
      <c r="H5" s="177">
        <f>SUMIFS(RH!$K:$K,RH!$B:$B,'FLUXO DE CAIXA'!$A$2,RH!$A:$A,'FLUXO DE CAIXA'!H2)+SUMIFS(RH!$N:$N,RH!$B:$B,'FLUXO DE CAIXA'!$A$2,RH!$A:$A,'FLUXO DE CAIXA'!H2)+SUMIFS(RH!$Q:$Q,RH!$B:$B,'FLUXO DE CAIXA'!$A$2,RH!$A:$A,'FLUXO DE CAIXA'!H2)</f>
        <v>16310000</v>
      </c>
      <c r="I5" s="177">
        <f>SUMIFS(RH!$K:$K,RH!$B:$B,'FLUXO DE CAIXA'!$A$2,RH!$A:$A,'FLUXO DE CAIXA'!I2)+SUMIFS(RH!$N:$N,RH!$B:$B,'FLUXO DE CAIXA'!$A$2,RH!$A:$A,'FLUXO DE CAIXA'!I2)+SUMIFS(RH!$Q:$Q,RH!$B:$B,'FLUXO DE CAIXA'!$A$2,RH!$A:$A,'FLUXO DE CAIXA'!I2)</f>
        <v>10880000</v>
      </c>
      <c r="J5" s="177">
        <f>SUMIFS(RH!$K:$K,RH!$B:$B,'FLUXO DE CAIXA'!$A$2,RH!$A:$A,'FLUXO DE CAIXA'!J2)+SUMIFS(RH!$N:$N,RH!$B:$B,'FLUXO DE CAIXA'!$A$2,RH!$A:$A,'FLUXO DE CAIXA'!J2)+SUMIFS(RH!$Q:$Q,RH!$B:$B,'FLUXO DE CAIXA'!$A$2,RH!$A:$A,'FLUXO DE CAIXA'!J2)</f>
        <v>14490000</v>
      </c>
      <c r="K5" s="177">
        <f>SUMIFS(RH!$K:$K,RH!$B:$B,'FLUXO DE CAIXA'!$A$2,RH!$A:$A,'FLUXO DE CAIXA'!K2)+SUMIFS(RH!$N:$N,RH!$B:$B,'FLUXO DE CAIXA'!$A$2,RH!$A:$A,'FLUXO DE CAIXA'!K2)+SUMIFS(RH!$Q:$Q,RH!$B:$B,'FLUXO DE CAIXA'!$A$2,RH!$A:$A,'FLUXO DE CAIXA'!K2)</f>
        <v>10880000</v>
      </c>
      <c r="L5" s="177">
        <f>SUMIFS(RH!$K:$K,RH!$B:$B,'FLUXO DE CAIXA'!$A$2,RH!$A:$A,'FLUXO DE CAIXA'!L2)+SUMIFS(RH!$N:$N,RH!$B:$B,'FLUXO DE CAIXA'!$A$2,RH!$A:$A,'FLUXO DE CAIXA'!L2)+SUMIFS(RH!$Q:$Q,RH!$B:$B,'FLUXO DE CAIXA'!$A$2,RH!$A:$A,'FLUXO DE CAIXA'!L2)</f>
        <v>16310000</v>
      </c>
      <c r="M5" s="177">
        <f>SUMIFS(RH!$K:$K,RH!$B:$B,'FLUXO DE CAIXA'!$A$2,RH!$A:$A,'FLUXO DE CAIXA'!M2)+SUMIFS(RH!$N:$N,RH!$B:$B,'FLUXO DE CAIXA'!$A$2,RH!$A:$A,'FLUXO DE CAIXA'!M2)+SUMIFS(RH!$Q:$Q,RH!$B:$B,'FLUXO DE CAIXA'!$A$2,RH!$A:$A,'FLUXO DE CAIXA'!M2)</f>
        <v>21660000</v>
      </c>
      <c r="N5" s="178">
        <f>SUMIFS(RH!$K:$K,RH!$B:$B,'FLUXO DE CAIXA'!$A$2,RH!$A:$A,'FLUXO DE CAIXA'!N2)+SUMIFS(RH!$N:$N,RH!$B:$B,'FLUXO DE CAIXA'!$A$2,RH!$A:$A,'FLUXO DE CAIXA'!N2)+SUMIFS(RH!$Q:$Q,RH!$B:$B,'FLUXO DE CAIXA'!$A$2,RH!$A:$A,'FLUXO DE CAIXA'!N2)</f>
        <v>28810000</v>
      </c>
    </row>
    <row r="6" spans="1:14" x14ac:dyDescent="0.25">
      <c r="B6" s="168" t="s">
        <v>192</v>
      </c>
      <c r="C6" s="176">
        <f>SUMIFS(RH!$S:$S,RH!$B:$B,'FLUXO DE CAIXA'!$A$2,RH!$A:$A,'FLUXO DE CAIXA'!C2)</f>
        <v>545104000</v>
      </c>
      <c r="D6" s="177">
        <f>SUMIFS(RH!$S:$S,RH!$B:$B,'FLUXO DE CAIXA'!$A$2,RH!$A:$A,'FLUXO DE CAIXA'!D2)</f>
        <v>467232000</v>
      </c>
      <c r="E6" s="177">
        <f>SUMIFS(RH!$S:$S,RH!$B:$B,'FLUXO DE CAIXA'!$A$2,RH!$A:$A,'FLUXO DE CAIXA'!E2)</f>
        <v>467232000</v>
      </c>
      <c r="F6" s="177">
        <f>SUMIFS(RH!$S:$S,RH!$B:$B,'FLUXO DE CAIXA'!$A$2,RH!$A:$A,'FLUXO DE CAIXA'!F2)</f>
        <v>467232000</v>
      </c>
      <c r="G6" s="177">
        <f>SUMIFS(RH!$S:$S,RH!$B:$B,'FLUXO DE CAIXA'!$A$2,RH!$A:$A,'FLUXO DE CAIXA'!G2)</f>
        <v>699592000</v>
      </c>
      <c r="H6" s="177">
        <f>SUMIFS(RH!$S:$S,RH!$B:$B,'FLUXO DE CAIXA'!$A$2,RH!$A:$A,'FLUXO DE CAIXA'!H2)</f>
        <v>699592000</v>
      </c>
      <c r="I6" s="177">
        <f>SUMIFS(RH!$S:$S,RH!$B:$B,'FLUXO DE CAIXA'!$A$2,RH!$A:$A,'FLUXO DE CAIXA'!I2)</f>
        <v>467232000</v>
      </c>
      <c r="J6" s="177">
        <f>SUMIFS(RH!$S:$S,RH!$B:$B,'FLUXO DE CAIXA'!$A$2,RH!$A:$A,'FLUXO DE CAIXA'!J2)</f>
        <v>621720000</v>
      </c>
      <c r="K6" s="177">
        <f>SUMIFS(RH!$S:$S,RH!$B:$B,'FLUXO DE CAIXA'!$A$2,RH!$A:$A,'FLUXO DE CAIXA'!K2)</f>
        <v>467232000</v>
      </c>
      <c r="L6" s="177">
        <f>SUMIFS(RH!$S:$S,RH!$B:$B,'FLUXO DE CAIXA'!$A$2,RH!$A:$A,'FLUXO DE CAIXA'!L2)</f>
        <v>699592000</v>
      </c>
      <c r="M6" s="177">
        <f>SUMIFS(RH!$S:$S,RH!$B:$B,'FLUXO DE CAIXA'!$A$2,RH!$A:$A,'FLUXO DE CAIXA'!M2)</f>
        <v>933208000</v>
      </c>
      <c r="N6" s="178">
        <f>SUMIFS(RH!$S:$S,RH!$B:$B,'FLUXO DE CAIXA'!$A$2,RH!$A:$A,'FLUXO DE CAIXA'!N2)</f>
        <v>1243440000</v>
      </c>
    </row>
    <row r="7" spans="1:14" x14ac:dyDescent="0.25">
      <c r="B7" s="168" t="s">
        <v>194</v>
      </c>
      <c r="C7" s="176">
        <f>SUMIFS(RH!$T:$T,RH!$B:$B,'FLUXO DE CAIXA'!$A$2,RH!$A:$A,'FLUXO DE CAIXA'!C2)</f>
        <v>4200000</v>
      </c>
      <c r="D7" s="177">
        <f>SUMIFS(RH!$T:$T,RH!$B:$B,'FLUXO DE CAIXA'!$A$2,RH!$A:$A,'FLUXO DE CAIXA'!D2)</f>
        <v>3600000</v>
      </c>
      <c r="E7" s="177">
        <f>SUMIFS(RH!$T:$T,RH!$B:$B,'FLUXO DE CAIXA'!$A$2,RH!$A:$A,'FLUXO DE CAIXA'!E2)</f>
        <v>3600000</v>
      </c>
      <c r="F7" s="177">
        <f>SUMIFS(RH!$T:$T,RH!$B:$B,'FLUXO DE CAIXA'!$A$2,RH!$A:$A,'FLUXO DE CAIXA'!F2)</f>
        <v>3600000</v>
      </c>
      <c r="G7" s="177">
        <f>SUMIFS(RH!$T:$T,RH!$B:$B,'FLUXO DE CAIXA'!$A$2,RH!$A:$A,'FLUXO DE CAIXA'!G2)</f>
        <v>5400000</v>
      </c>
      <c r="H7" s="177">
        <f>SUMIFS(RH!$T:$T,RH!$B:$B,'FLUXO DE CAIXA'!$A$2,RH!$A:$A,'FLUXO DE CAIXA'!H2)</f>
        <v>5400000</v>
      </c>
      <c r="I7" s="177">
        <f>SUMIFS(RH!$T:$T,RH!$B:$B,'FLUXO DE CAIXA'!$A$2,RH!$A:$A,'FLUXO DE CAIXA'!I2)</f>
        <v>3600000</v>
      </c>
      <c r="J7" s="177">
        <f>SUMIFS(RH!$T:$T,RH!$B:$B,'FLUXO DE CAIXA'!$A$2,RH!$A:$A,'FLUXO DE CAIXA'!J2)</f>
        <v>4800000</v>
      </c>
      <c r="K7" s="177">
        <f>SUMIFS(RH!$T:$T,RH!$B:$B,'FLUXO DE CAIXA'!$A$2,RH!$A:$A,'FLUXO DE CAIXA'!K2)</f>
        <v>3600000</v>
      </c>
      <c r="L7" s="177">
        <f>SUMIFS(RH!$T:$T,RH!$B:$B,'FLUXO DE CAIXA'!$A$2,RH!$A:$A,'FLUXO DE CAIXA'!L2)</f>
        <v>5400000</v>
      </c>
      <c r="M7" s="177">
        <f>SUMIFS(RH!$T:$T,RH!$B:$B,'FLUXO DE CAIXA'!$A$2,RH!$A:$A,'FLUXO DE CAIXA'!M2)</f>
        <v>7200000</v>
      </c>
      <c r="N7" s="178">
        <f>SUMIFS(RH!$T:$T,RH!$B:$B,'FLUXO DE CAIXA'!$A$2,RH!$A:$A,'FLUXO DE CAIXA'!N2)</f>
        <v>9600000</v>
      </c>
    </row>
    <row r="8" spans="1:14" x14ac:dyDescent="0.25">
      <c r="B8" s="168" t="s">
        <v>193</v>
      </c>
      <c r="C8" s="176">
        <f>VLOOKUP($A$2,Dados!$E$4:$F$8,2,FALSE)</f>
        <v>100000000</v>
      </c>
      <c r="D8" s="177">
        <f>VLOOKUP($A$2,Dados!$E$4:$F$8,2,FALSE)</f>
        <v>100000000</v>
      </c>
      <c r="E8" s="177">
        <f>VLOOKUP($A$2,Dados!$E$4:$F$8,2,FALSE)</f>
        <v>100000000</v>
      </c>
      <c r="F8" s="177">
        <f>VLOOKUP($A$2,Dados!$E$4:$F$8,2,FALSE)</f>
        <v>100000000</v>
      </c>
      <c r="G8" s="177">
        <f>VLOOKUP($A$2,Dados!$E$4:$F$8,2,FALSE)</f>
        <v>100000000</v>
      </c>
      <c r="H8" s="177">
        <f>VLOOKUP($A$2,Dados!$E$4:$F$8,2,FALSE)</f>
        <v>100000000</v>
      </c>
      <c r="I8" s="177">
        <f>VLOOKUP($A$2,Dados!$E$4:$F$8,2,FALSE)</f>
        <v>100000000</v>
      </c>
      <c r="J8" s="177">
        <f>VLOOKUP($A$2,Dados!$E$4:$F$8,2,FALSE)</f>
        <v>100000000</v>
      </c>
      <c r="K8" s="177">
        <f>VLOOKUP($A$2,Dados!$E$4:$F$8,2,FALSE)</f>
        <v>100000000</v>
      </c>
      <c r="L8" s="177">
        <f>VLOOKUP($A$2,Dados!$E$4:$F$8,2,FALSE)</f>
        <v>100000000</v>
      </c>
      <c r="M8" s="177">
        <f>VLOOKUP($A$2,Dados!$E$4:$F$8,2,FALSE)</f>
        <v>100000000</v>
      </c>
      <c r="N8" s="178">
        <f>VLOOKUP($A$2,Dados!$E$4:$F$8,2,FALSE)</f>
        <v>100000000</v>
      </c>
    </row>
    <row r="9" spans="1:14" x14ac:dyDescent="0.25">
      <c r="B9" s="168" t="s">
        <v>203</v>
      </c>
      <c r="C9" s="176">
        <f>SUMIFS(Lotes!$E:$E,Lotes!$B:$B,'FLUXO DE CAIXA'!$A$2,Lotes!$A:$A,'FLUXO DE CAIXA'!C2)</f>
        <v>3150000</v>
      </c>
      <c r="D9" s="177">
        <f>SUMIFS(Lotes!$E:$E,Lotes!$B:$B,'FLUXO DE CAIXA'!$A$2,Lotes!$A:$A,'FLUXO DE CAIXA'!D2)</f>
        <v>3150000</v>
      </c>
      <c r="E9" s="177">
        <f>SUMIFS(Lotes!$E:$E,Lotes!$B:$B,'FLUXO DE CAIXA'!$A$2,Lotes!$A:$A,'FLUXO DE CAIXA'!E2)</f>
        <v>3150000</v>
      </c>
      <c r="F9" s="177">
        <f>SUMIFS(Lotes!$E:$E,Lotes!$B:$B,'FLUXO DE CAIXA'!$A$2,Lotes!$A:$A,'FLUXO DE CAIXA'!F2)</f>
        <v>3150000</v>
      </c>
      <c r="G9" s="177">
        <f>SUMIFS(Lotes!$E:$E,Lotes!$B:$B,'FLUXO DE CAIXA'!$A$2,Lotes!$A:$A,'FLUXO DE CAIXA'!G2)</f>
        <v>4200000</v>
      </c>
      <c r="H9" s="177">
        <f>SUMIFS(Lotes!$E:$E,Lotes!$B:$B,'FLUXO DE CAIXA'!$A$2,Lotes!$A:$A,'FLUXO DE CAIXA'!H2)</f>
        <v>4200000</v>
      </c>
      <c r="I9" s="177">
        <f>SUMIFS(Lotes!$E:$E,Lotes!$B:$B,'FLUXO DE CAIXA'!$A$2,Lotes!$A:$A,'FLUXO DE CAIXA'!I2)</f>
        <v>3150000</v>
      </c>
      <c r="J9" s="177">
        <f>SUMIFS(Lotes!$E:$E,Lotes!$B:$B,'FLUXO DE CAIXA'!$A$2,Lotes!$A:$A,'FLUXO DE CAIXA'!J2)</f>
        <v>4200000</v>
      </c>
      <c r="K9" s="177">
        <f>SUMIFS(Lotes!$E:$E,Lotes!$B:$B,'FLUXO DE CAIXA'!$A$2,Lotes!$A:$A,'FLUXO DE CAIXA'!K2)</f>
        <v>3150000</v>
      </c>
      <c r="L9" s="177">
        <f>SUMIFS(Lotes!$E:$E,Lotes!$B:$B,'FLUXO DE CAIXA'!$A$2,Lotes!$A:$A,'FLUXO DE CAIXA'!L2)</f>
        <v>4200000</v>
      </c>
      <c r="M9" s="177">
        <f>SUMIFS(Lotes!$E:$E,Lotes!$B:$B,'FLUXO DE CAIXA'!$A$2,Lotes!$A:$A,'FLUXO DE CAIXA'!M2)</f>
        <v>6300000</v>
      </c>
      <c r="N9" s="178">
        <f>SUMIFS(Lotes!$E:$E,Lotes!$B:$B,'FLUXO DE CAIXA'!$A$2,Lotes!$A:$A,'FLUXO DE CAIXA'!N2)</f>
        <v>7350000</v>
      </c>
    </row>
    <row r="10" spans="1:14" x14ac:dyDescent="0.25">
      <c r="B10" s="168" t="s">
        <v>204</v>
      </c>
      <c r="C10" s="176">
        <f>SUMIFS(Lotes!$F:$F,Lotes!$B:$B,'FLUXO DE CAIXA'!$A$2,Lotes!$A:$A,'FLUXO DE CAIXA'!C2)</f>
        <v>200812</v>
      </c>
      <c r="D10" s="177">
        <f>SUMIFS(Lotes!$F:$F,Lotes!$B:$B,'FLUXO DE CAIXA'!$A$2,Lotes!$A:$A,'FLUXO DE CAIXA'!D2)</f>
        <v>200812</v>
      </c>
      <c r="E10" s="177">
        <f>SUMIFS(Lotes!$F:$F,Lotes!$B:$B,'FLUXO DE CAIXA'!$A$2,Lotes!$A:$A,'FLUXO DE CAIXA'!E2)</f>
        <v>200812</v>
      </c>
      <c r="F10" s="177">
        <f>SUMIFS(Lotes!$F:$F,Lotes!$B:$B,'FLUXO DE CAIXA'!$A$2,Lotes!$A:$A,'FLUXO DE CAIXA'!F2)</f>
        <v>200812</v>
      </c>
      <c r="G10" s="177">
        <f>SUMIFS(Lotes!$F:$F,Lotes!$B:$B,'FLUXO DE CAIXA'!$A$2,Lotes!$A:$A,'FLUXO DE CAIXA'!G2)</f>
        <v>311220</v>
      </c>
      <c r="H10" s="177">
        <f>SUMIFS(Lotes!$F:$F,Lotes!$B:$B,'FLUXO DE CAIXA'!$A$2,Lotes!$A:$A,'FLUXO DE CAIXA'!H2)</f>
        <v>311220</v>
      </c>
      <c r="I10" s="177">
        <f>SUMIFS(Lotes!$F:$F,Lotes!$B:$B,'FLUXO DE CAIXA'!$A$2,Lotes!$A:$A,'FLUXO DE CAIXA'!I2)</f>
        <v>200812</v>
      </c>
      <c r="J10" s="177">
        <f>SUMIFS(Lotes!$F:$F,Lotes!$B:$B,'FLUXO DE CAIXA'!$A$2,Lotes!$A:$A,'FLUXO DE CAIXA'!J2)</f>
        <v>311220</v>
      </c>
      <c r="K10" s="177">
        <f>SUMIFS(Lotes!$F:$F,Lotes!$B:$B,'FLUXO DE CAIXA'!$A$2,Lotes!$A:$A,'FLUXO DE CAIXA'!K2)</f>
        <v>200812</v>
      </c>
      <c r="L10" s="177">
        <f>SUMIFS(Lotes!$F:$F,Lotes!$B:$B,'FLUXO DE CAIXA'!$A$2,Lotes!$A:$A,'FLUXO DE CAIXA'!L2)</f>
        <v>311220</v>
      </c>
      <c r="M10" s="177">
        <f>SUMIFS(Lotes!$F:$F,Lotes!$B:$B,'FLUXO DE CAIXA'!$A$2,Lotes!$A:$A,'FLUXO DE CAIXA'!M2)</f>
        <v>517954</v>
      </c>
      <c r="N10" s="178">
        <f>SUMIFS(Lotes!$F:$F,Lotes!$B:$B,'FLUXO DE CAIXA'!$A$2,Lotes!$A:$A,'FLUXO DE CAIXA'!N2)</f>
        <v>637245</v>
      </c>
    </row>
    <row r="11" spans="1:14" x14ac:dyDescent="0.25">
      <c r="B11" s="168" t="s">
        <v>205</v>
      </c>
      <c r="C11" s="176">
        <f>SUMIFS('Qtd Vendas x Faturamento'!$G:$G,'Qtd Vendas x Faturamento'!$B:$B,'FLUXO DE CAIXA'!$A$2,'Qtd Vendas x Faturamento'!$A:$A,'FLUXO DE CAIXA'!C2)</f>
        <v>243115021.73778874</v>
      </c>
      <c r="D11" s="177">
        <f>SUMIFS('Qtd Vendas x Faturamento'!$G:$G,'Qtd Vendas x Faturamento'!$B:$B,'FLUXO DE CAIXA'!$A$2,'Qtd Vendas x Faturamento'!$A:$A,'FLUXO DE CAIXA'!D2)</f>
        <v>208384304.34667602</v>
      </c>
      <c r="E11" s="177">
        <f>SUMIFS('Qtd Vendas x Faturamento'!$G:$G,'Qtd Vendas x Faturamento'!$B:$B,'FLUXO DE CAIXA'!$A$2,'Qtd Vendas x Faturamento'!$A:$A,'FLUXO DE CAIXA'!E2)</f>
        <v>208384304.34667602</v>
      </c>
      <c r="F11" s="177">
        <f>SUMIFS('Qtd Vendas x Faturamento'!$G:$G,'Qtd Vendas x Faturamento'!$B:$B,'FLUXO DE CAIXA'!$A$2,'Qtd Vendas x Faturamento'!$A:$A,'FLUXO DE CAIXA'!F2)</f>
        <v>208384304.34667602</v>
      </c>
      <c r="G11" s="177">
        <f>SUMIFS('Qtd Vendas x Faturamento'!$G:$G,'Qtd Vendas x Faturamento'!$B:$B,'FLUXO DE CAIXA'!$A$2,'Qtd Vendas x Faturamento'!$A:$A,'FLUXO DE CAIXA'!G2)</f>
        <v>312576456.52001405</v>
      </c>
      <c r="H11" s="177">
        <f>SUMIFS('Qtd Vendas x Faturamento'!$G:$G,'Qtd Vendas x Faturamento'!$B:$B,'FLUXO DE CAIXA'!$A$2,'Qtd Vendas x Faturamento'!$A:$A,'FLUXO DE CAIXA'!H2)</f>
        <v>312576456.52001405</v>
      </c>
      <c r="I11" s="177">
        <f>SUMIFS('Qtd Vendas x Faturamento'!$G:$G,'Qtd Vendas x Faturamento'!$B:$B,'FLUXO DE CAIXA'!$A$2,'Qtd Vendas x Faturamento'!$A:$A,'FLUXO DE CAIXA'!I2)</f>
        <v>208384304.34667602</v>
      </c>
      <c r="J11" s="177">
        <f>SUMIFS('Qtd Vendas x Faturamento'!$G:$G,'Qtd Vendas x Faturamento'!$B:$B,'FLUXO DE CAIXA'!$A$2,'Qtd Vendas x Faturamento'!$A:$A,'FLUXO DE CAIXA'!J2)</f>
        <v>277845739.1289013</v>
      </c>
      <c r="K11" s="177">
        <f>SUMIFS('Qtd Vendas x Faturamento'!$G:$G,'Qtd Vendas x Faturamento'!$B:$B,'FLUXO DE CAIXA'!$A$2,'Qtd Vendas x Faturamento'!$A:$A,'FLUXO DE CAIXA'!K2)</f>
        <v>208384304.34667602</v>
      </c>
      <c r="L11" s="177">
        <f>SUMIFS('Qtd Vendas x Faturamento'!$G:$G,'Qtd Vendas x Faturamento'!$B:$B,'FLUXO DE CAIXA'!$A$2,'Qtd Vendas x Faturamento'!$A:$A,'FLUXO DE CAIXA'!L2)</f>
        <v>312576456.52001405</v>
      </c>
      <c r="M11" s="177">
        <f>SUMIFS('Qtd Vendas x Faturamento'!$G:$G,'Qtd Vendas x Faturamento'!$B:$B,'FLUXO DE CAIXA'!$A$2,'Qtd Vendas x Faturamento'!$A:$A,'FLUXO DE CAIXA'!M2)</f>
        <v>416768608.69335204</v>
      </c>
      <c r="N11" s="178">
        <f>SUMIFS('Qtd Vendas x Faturamento'!$G:$G,'Qtd Vendas x Faturamento'!$B:$B,'FLUXO DE CAIXA'!$A$2,'Qtd Vendas x Faturamento'!$A:$A,'FLUXO DE CAIXA'!N2)</f>
        <v>555691478.25780261</v>
      </c>
    </row>
    <row r="12" spans="1:14" ht="15.75" thickBot="1" x14ac:dyDescent="0.3">
      <c r="B12" s="169" t="s">
        <v>199</v>
      </c>
      <c r="C12" s="179">
        <f>SUMIFS('Qtd Vendas x Faturamento'!$F:$F,'Qtd Vendas x Faturamento'!$B:$B,'FLUXO DE CAIXA'!$A$2,'Qtd Vendas x Faturamento'!$A:$A,'FLUXO DE CAIXA'!C2)</f>
        <v>738684286.65841341</v>
      </c>
      <c r="D12" s="180">
        <f>SUMIFS('Qtd Vendas x Faturamento'!$F:$F,'Qtd Vendas x Faturamento'!$B:$B,'FLUXO DE CAIXA'!$A$2,'Qtd Vendas x Faturamento'!$A:$A,'FLUXO DE CAIXA'!D2)</f>
        <v>633157959.99292564</v>
      </c>
      <c r="E12" s="180">
        <f>SUMIFS('Qtd Vendas x Faturamento'!$F:$F,'Qtd Vendas x Faturamento'!$B:$B,'FLUXO DE CAIXA'!$A$2,'Qtd Vendas x Faturamento'!$A:$A,'FLUXO DE CAIXA'!E2)</f>
        <v>633157959.99292564</v>
      </c>
      <c r="F12" s="180">
        <f>SUMIFS('Qtd Vendas x Faturamento'!$F:$F,'Qtd Vendas x Faturamento'!$B:$B,'FLUXO DE CAIXA'!$A$2,'Qtd Vendas x Faturamento'!$A:$A,'FLUXO DE CAIXA'!F2)</f>
        <v>633157959.99292564</v>
      </c>
      <c r="G12" s="180">
        <f>SUMIFS('Qtd Vendas x Faturamento'!$F:$F,'Qtd Vendas x Faturamento'!$B:$B,'FLUXO DE CAIXA'!$A$2,'Qtd Vendas x Faturamento'!$A:$A,'FLUXO DE CAIXA'!G2)</f>
        <v>949736939.98938835</v>
      </c>
      <c r="H12" s="180">
        <f>SUMIFS('Qtd Vendas x Faturamento'!$F:$F,'Qtd Vendas x Faturamento'!$B:$B,'FLUXO DE CAIXA'!$A$2,'Qtd Vendas x Faturamento'!$A:$A,'FLUXO DE CAIXA'!H2)</f>
        <v>949736939.98938835</v>
      </c>
      <c r="I12" s="180">
        <f>SUMIFS('Qtd Vendas x Faturamento'!$F:$F,'Qtd Vendas x Faturamento'!$B:$B,'FLUXO DE CAIXA'!$A$2,'Qtd Vendas x Faturamento'!$A:$A,'FLUXO DE CAIXA'!I2)</f>
        <v>633157959.99292564</v>
      </c>
      <c r="J12" s="180">
        <f>SUMIFS('Qtd Vendas x Faturamento'!$F:$F,'Qtd Vendas x Faturamento'!$B:$B,'FLUXO DE CAIXA'!$A$2,'Qtd Vendas x Faturamento'!$A:$A,'FLUXO DE CAIXA'!J2)</f>
        <v>844210613.3239007</v>
      </c>
      <c r="K12" s="180">
        <f>SUMIFS('Qtd Vendas x Faturamento'!$F:$F,'Qtd Vendas x Faturamento'!$B:$B,'FLUXO DE CAIXA'!$A$2,'Qtd Vendas x Faturamento'!$A:$A,'FLUXO DE CAIXA'!K2)</f>
        <v>633157959.99292564</v>
      </c>
      <c r="L12" s="180">
        <f>SUMIFS('Qtd Vendas x Faturamento'!$F:$F,'Qtd Vendas x Faturamento'!$B:$B,'FLUXO DE CAIXA'!$A$2,'Qtd Vendas x Faturamento'!$A:$A,'FLUXO DE CAIXA'!L2)</f>
        <v>949736939.98938835</v>
      </c>
      <c r="M12" s="180">
        <f>SUMIFS('Qtd Vendas x Faturamento'!$F:$F,'Qtd Vendas x Faturamento'!$B:$B,'FLUXO DE CAIXA'!$A$2,'Qtd Vendas x Faturamento'!$A:$A,'FLUXO DE CAIXA'!M2)</f>
        <v>1266315919.9858513</v>
      </c>
      <c r="N12" s="181">
        <f>SUMIFS('Qtd Vendas x Faturamento'!$F:$F,'Qtd Vendas x Faturamento'!$B:$B,'FLUXO DE CAIXA'!$A$2,'Qtd Vendas x Faturamento'!$A:$A,'FLUXO DE CAIXA'!N2)</f>
        <v>1688421226.6478014</v>
      </c>
    </row>
    <row r="13" spans="1:14" ht="15.75" thickBot="1" x14ac:dyDescent="0.3">
      <c r="B13" s="21"/>
      <c r="C13" s="162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</row>
    <row r="14" spans="1:14" ht="15.75" thickBot="1" x14ac:dyDescent="0.3">
      <c r="B14" s="166" t="s">
        <v>209</v>
      </c>
      <c r="C14" s="182">
        <f>SUM(C3:C12)</f>
        <v>1659972120.3962021</v>
      </c>
      <c r="D14" s="182">
        <f t="shared" ref="D14:N14" si="0">SUM(D3:D12)</f>
        <v>1437760076.3396015</v>
      </c>
      <c r="E14" s="182">
        <f t="shared" si="0"/>
        <v>1437760076.3396015</v>
      </c>
      <c r="F14" s="182">
        <f t="shared" si="0"/>
        <v>1437760076.3396015</v>
      </c>
      <c r="G14" s="182">
        <f t="shared" si="0"/>
        <v>2104850116.5094023</v>
      </c>
      <c r="H14" s="182">
        <f t="shared" si="0"/>
        <v>2104850116.5094023</v>
      </c>
      <c r="I14" s="182">
        <f t="shared" si="0"/>
        <v>1437760076.3396015</v>
      </c>
      <c r="J14" s="182">
        <f t="shared" si="0"/>
        <v>1882436572.4528019</v>
      </c>
      <c r="K14" s="182">
        <f t="shared" si="0"/>
        <v>1437760076.3396015</v>
      </c>
      <c r="L14" s="182">
        <f t="shared" si="0"/>
        <v>2104850116.5094023</v>
      </c>
      <c r="M14" s="182">
        <f t="shared" si="0"/>
        <v>2774178982.679203</v>
      </c>
      <c r="N14" s="182">
        <f t="shared" si="0"/>
        <v>3663489949.9056039</v>
      </c>
    </row>
    <row r="15" spans="1:14" ht="15.75" thickBot="1" x14ac:dyDescent="0.3"/>
    <row r="16" spans="1:14" ht="15.75" thickBot="1" x14ac:dyDescent="0.3">
      <c r="B16" s="183" t="s">
        <v>195</v>
      </c>
      <c r="C16" s="187" t="s">
        <v>54</v>
      </c>
      <c r="D16" s="188" t="s">
        <v>55</v>
      </c>
      <c r="E16" s="188" t="s">
        <v>56</v>
      </c>
      <c r="F16" s="188" t="s">
        <v>57</v>
      </c>
      <c r="G16" s="188" t="s">
        <v>58</v>
      </c>
      <c r="H16" s="188" t="s">
        <v>59</v>
      </c>
      <c r="I16" s="188" t="s">
        <v>60</v>
      </c>
      <c r="J16" s="188" t="s">
        <v>61</v>
      </c>
      <c r="K16" s="188" t="s">
        <v>62</v>
      </c>
      <c r="L16" s="188" t="s">
        <v>63</v>
      </c>
      <c r="M16" s="188" t="s">
        <v>64</v>
      </c>
      <c r="N16" s="189" t="s">
        <v>65</v>
      </c>
    </row>
    <row r="17" spans="2:14" x14ac:dyDescent="0.25">
      <c r="B17" s="184" t="s">
        <v>200</v>
      </c>
      <c r="C17" s="190">
        <f>VLOOKUP(A2,Dados!H4:I8,2,FALSE)</f>
        <v>522822837.18260401</v>
      </c>
      <c r="D17" s="191">
        <f>C22</f>
        <v>1596667383.6196451</v>
      </c>
      <c r="E17" s="191">
        <f t="shared" ref="E17:N17" si="1">D22</f>
        <v>1368572043.1025529</v>
      </c>
      <c r="F17" s="191">
        <f t="shared" si="1"/>
        <v>1368572043.1025529</v>
      </c>
      <c r="G17" s="191">
        <f t="shared" si="1"/>
        <v>1368572043.1025529</v>
      </c>
      <c r="H17" s="191">
        <f t="shared" si="1"/>
        <v>2052858064.6538293</v>
      </c>
      <c r="I17" s="191">
        <f t="shared" si="1"/>
        <v>2052858064.6538293</v>
      </c>
      <c r="J17" s="191">
        <f t="shared" si="1"/>
        <v>1368572043.1025529</v>
      </c>
      <c r="K17" s="191">
        <f t="shared" si="1"/>
        <v>1824762724.1367369</v>
      </c>
      <c r="L17" s="191">
        <f t="shared" si="1"/>
        <v>1368572043.1025529</v>
      </c>
      <c r="M17" s="191">
        <f t="shared" si="1"/>
        <v>2052858064.6538293</v>
      </c>
      <c r="N17" s="191">
        <f t="shared" si="1"/>
        <v>2737144086.2051058</v>
      </c>
    </row>
    <row r="18" spans="2:14" x14ac:dyDescent="0.25">
      <c r="B18" s="185" t="s">
        <v>196</v>
      </c>
      <c r="C18" s="192">
        <f>SUMIFS('Qtd Vendas x Faturamento'!$E:$E,'Qtd Vendas x Faturamento'!$B:$B,'FLUXO DE CAIXA'!$A$2,'Qtd Vendas x Faturamento'!$A:$A,'FLUXO DE CAIXA'!C2)</f>
        <v>1528827531.7930176</v>
      </c>
      <c r="D18" s="192">
        <f>SUMIFS('Qtd Vendas x Faturamento'!$E:$E,'Qtd Vendas x Faturamento'!$B:$B,'FLUXO DE CAIXA'!$A$2,'Qtd Vendas x Faturamento'!$A:$A,'FLUXO DE CAIXA'!D2)</f>
        <v>1310423598.6797292</v>
      </c>
      <c r="E18" s="192">
        <f>SUMIFS('Qtd Vendas x Faturamento'!$E:$E,'Qtd Vendas x Faturamento'!$B:$B,'FLUXO DE CAIXA'!$A$2,'Qtd Vendas x Faturamento'!$A:$A,'FLUXO DE CAIXA'!E2)</f>
        <v>1310423598.6797292</v>
      </c>
      <c r="F18" s="192">
        <f>SUMIFS('Qtd Vendas x Faturamento'!$E:$E,'Qtd Vendas x Faturamento'!$B:$B,'FLUXO DE CAIXA'!$A$2,'Qtd Vendas x Faturamento'!$A:$A,'FLUXO DE CAIXA'!F2)</f>
        <v>1310423598.6797292</v>
      </c>
      <c r="G18" s="192">
        <f>SUMIFS('Qtd Vendas x Faturamento'!$E:$E,'Qtd Vendas x Faturamento'!$B:$B,'FLUXO DE CAIXA'!$A$2,'Qtd Vendas x Faturamento'!$A:$A,'FLUXO DE CAIXA'!G2)</f>
        <v>1965635398.019594</v>
      </c>
      <c r="H18" s="192">
        <f>SUMIFS('Qtd Vendas x Faturamento'!$E:$E,'Qtd Vendas x Faturamento'!$B:$B,'FLUXO DE CAIXA'!$A$2,'Qtd Vendas x Faturamento'!$A:$A,'FLUXO DE CAIXA'!H2)</f>
        <v>1965635398.019594</v>
      </c>
      <c r="I18" s="192">
        <f>SUMIFS('Qtd Vendas x Faturamento'!$E:$E,'Qtd Vendas x Faturamento'!$B:$B,'FLUXO DE CAIXA'!$A$2,'Qtd Vendas x Faturamento'!$A:$A,'FLUXO DE CAIXA'!I2)</f>
        <v>1310423598.6797292</v>
      </c>
      <c r="J18" s="192">
        <f>SUMIFS('Qtd Vendas x Faturamento'!$E:$E,'Qtd Vendas x Faturamento'!$B:$B,'FLUXO DE CAIXA'!$A$2,'Qtd Vendas x Faturamento'!$A:$A,'FLUXO DE CAIXA'!J2)</f>
        <v>1747231464.9063053</v>
      </c>
      <c r="K18" s="192">
        <f>SUMIFS('Qtd Vendas x Faturamento'!$E:$E,'Qtd Vendas x Faturamento'!$B:$B,'FLUXO DE CAIXA'!$A$2,'Qtd Vendas x Faturamento'!$A:$A,'FLUXO DE CAIXA'!K2)</f>
        <v>1310423598.6797292</v>
      </c>
      <c r="L18" s="192">
        <f>SUMIFS('Qtd Vendas x Faturamento'!$E:$E,'Qtd Vendas x Faturamento'!$B:$B,'FLUXO DE CAIXA'!$A$2,'Qtd Vendas x Faturamento'!$A:$A,'FLUXO DE CAIXA'!L2)</f>
        <v>1965635398.019594</v>
      </c>
      <c r="M18" s="192">
        <f>SUMIFS('Qtd Vendas x Faturamento'!$E:$E,'Qtd Vendas x Faturamento'!$B:$B,'FLUXO DE CAIXA'!$A$2,'Qtd Vendas x Faturamento'!$A:$A,'FLUXO DE CAIXA'!M2)</f>
        <v>2620847197.3594584</v>
      </c>
      <c r="N18" s="192">
        <f>SUMIFS('Qtd Vendas x Faturamento'!$E:$E,'Qtd Vendas x Faturamento'!$B:$B,'FLUXO DE CAIXA'!$A$2,'Qtd Vendas x Faturamento'!$A:$A,'FLUXO DE CAIXA'!N2)</f>
        <v>3494462929.8126106</v>
      </c>
    </row>
    <row r="19" spans="2:14" x14ac:dyDescent="0.25">
      <c r="B19" s="185" t="s">
        <v>197</v>
      </c>
      <c r="C19" s="192">
        <f>SUMIFS('Qtd Vendas x Faturamento'!$H:$H,'Qtd Vendas x Faturamento'!$B:$B,'FLUXO DE CAIXA'!$A$2,'Qtd Vendas x Faturamento'!$A:$A,'FLUXO DE CAIXA'!C2)</f>
        <v>67839851.826627553</v>
      </c>
      <c r="D19" s="192">
        <f>SUMIFS('Qtd Vendas x Faturamento'!$H:$H,'Qtd Vendas x Faturamento'!$B:$B,'FLUXO DE CAIXA'!$A$2,'Qtd Vendas x Faturamento'!$A:$A,'FLUXO DE CAIXA'!D2)</f>
        <v>58148444.4228236</v>
      </c>
      <c r="E19" s="192">
        <f>SUMIFS('Qtd Vendas x Faturamento'!$H:$H,'Qtd Vendas x Faturamento'!$B:$B,'FLUXO DE CAIXA'!$A$2,'Qtd Vendas x Faturamento'!$A:$A,'FLUXO DE CAIXA'!E2)</f>
        <v>58148444.4228236</v>
      </c>
      <c r="F19" s="192">
        <f>SUMIFS('Qtd Vendas x Faturamento'!$H:$H,'Qtd Vendas x Faturamento'!$B:$B,'FLUXO DE CAIXA'!$A$2,'Qtd Vendas x Faturamento'!$A:$A,'FLUXO DE CAIXA'!F2)</f>
        <v>58148444.4228236</v>
      </c>
      <c r="G19" s="192">
        <f>SUMIFS('Qtd Vendas x Faturamento'!$H:$H,'Qtd Vendas x Faturamento'!$B:$B,'FLUXO DE CAIXA'!$A$2,'Qtd Vendas x Faturamento'!$A:$A,'FLUXO DE CAIXA'!G2)</f>
        <v>87222666.634235412</v>
      </c>
      <c r="H19" s="192">
        <f>SUMIFS('Qtd Vendas x Faturamento'!$H:$H,'Qtd Vendas x Faturamento'!$B:$B,'FLUXO DE CAIXA'!$A$2,'Qtd Vendas x Faturamento'!$A:$A,'FLUXO DE CAIXA'!H2)</f>
        <v>87222666.634235412</v>
      </c>
      <c r="I19" s="192">
        <f>SUMIFS('Qtd Vendas x Faturamento'!$H:$H,'Qtd Vendas x Faturamento'!$B:$B,'FLUXO DE CAIXA'!$A$2,'Qtd Vendas x Faturamento'!$A:$A,'FLUXO DE CAIXA'!I2)</f>
        <v>58148444.4228236</v>
      </c>
      <c r="J19" s="192">
        <f>SUMIFS('Qtd Vendas x Faturamento'!$H:$H,'Qtd Vendas x Faturamento'!$B:$B,'FLUXO DE CAIXA'!$A$2,'Qtd Vendas x Faturamento'!$A:$A,'FLUXO DE CAIXA'!J2)</f>
        <v>77531259.230431467</v>
      </c>
      <c r="K19" s="192">
        <f>SUMIFS('Qtd Vendas x Faturamento'!$H:$H,'Qtd Vendas x Faturamento'!$B:$B,'FLUXO DE CAIXA'!$A$2,'Qtd Vendas x Faturamento'!$A:$A,'FLUXO DE CAIXA'!K2)</f>
        <v>58148444.4228236</v>
      </c>
      <c r="L19" s="192">
        <f>SUMIFS('Qtd Vendas x Faturamento'!$H:$H,'Qtd Vendas x Faturamento'!$B:$B,'FLUXO DE CAIXA'!$A$2,'Qtd Vendas x Faturamento'!$A:$A,'FLUXO DE CAIXA'!L2)</f>
        <v>87222666.634235412</v>
      </c>
      <c r="M19" s="192">
        <f>SUMIFS('Qtd Vendas x Faturamento'!$H:$H,'Qtd Vendas x Faturamento'!$B:$B,'FLUXO DE CAIXA'!$A$2,'Qtd Vendas x Faturamento'!$A:$A,'FLUXO DE CAIXA'!M2)</f>
        <v>116296888.8456472</v>
      </c>
      <c r="N19" s="192">
        <f>SUMIFS('Qtd Vendas x Faturamento'!$H:$H,'Qtd Vendas x Faturamento'!$B:$B,'FLUXO DE CAIXA'!$A$2,'Qtd Vendas x Faturamento'!$A:$A,'FLUXO DE CAIXA'!N2)</f>
        <v>155062518.46086293</v>
      </c>
    </row>
    <row r="20" spans="2:14" ht="15.75" thickBot="1" x14ac:dyDescent="0.3">
      <c r="B20" s="186" t="s">
        <v>198</v>
      </c>
      <c r="C20" s="193"/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5"/>
    </row>
    <row r="21" spans="2:14" ht="15.75" thickBot="1" x14ac:dyDescent="0.3"/>
    <row r="22" spans="2:14" ht="15.75" thickBot="1" x14ac:dyDescent="0.3">
      <c r="B22" s="233" t="s">
        <v>210</v>
      </c>
      <c r="C22" s="182">
        <f>SUM(C18:C20)</f>
        <v>1596667383.6196451</v>
      </c>
      <c r="D22" s="182">
        <f t="shared" ref="D22:M22" si="2">SUM(D18:D20)</f>
        <v>1368572043.1025529</v>
      </c>
      <c r="E22" s="182">
        <f t="shared" si="2"/>
        <v>1368572043.1025529</v>
      </c>
      <c r="F22" s="182">
        <f t="shared" si="2"/>
        <v>1368572043.1025529</v>
      </c>
      <c r="G22" s="182">
        <f t="shared" si="2"/>
        <v>2052858064.6538293</v>
      </c>
      <c r="H22" s="182">
        <f t="shared" si="2"/>
        <v>2052858064.6538293</v>
      </c>
      <c r="I22" s="182">
        <f t="shared" si="2"/>
        <v>1368572043.1025529</v>
      </c>
      <c r="J22" s="182">
        <f t="shared" si="2"/>
        <v>1824762724.1367369</v>
      </c>
      <c r="K22" s="182">
        <f t="shared" si="2"/>
        <v>1368572043.1025529</v>
      </c>
      <c r="L22" s="182">
        <f t="shared" si="2"/>
        <v>2052858064.6538293</v>
      </c>
      <c r="M22" s="182">
        <f t="shared" si="2"/>
        <v>2737144086.2051058</v>
      </c>
      <c r="N22" s="182">
        <f>SUM(N18:N20)</f>
        <v>3649525448.2734737</v>
      </c>
    </row>
    <row r="23" spans="2:14" x14ac:dyDescent="0.25">
      <c r="B23" s="21"/>
    </row>
    <row r="24" spans="2:14" x14ac:dyDescent="0.25">
      <c r="B24" s="232"/>
    </row>
    <row r="25" spans="2:14" x14ac:dyDescent="0.25">
      <c r="B25" s="21"/>
    </row>
    <row r="26" spans="2:14" x14ac:dyDescent="0.25">
      <c r="B26" s="21"/>
    </row>
    <row r="27" spans="2:14" x14ac:dyDescent="0.25">
      <c r="B27" s="21"/>
    </row>
    <row r="28" spans="2:14" x14ac:dyDescent="0.25">
      <c r="B28" s="21"/>
    </row>
    <row r="29" spans="2:14" x14ac:dyDescent="0.25">
      <c r="B29" s="21"/>
    </row>
  </sheetData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F39CFD-8912-4BD6-8087-51E6417AF26F}">
          <x14:formula1>
            <xm:f>Dados!$E$4:$E$8</xm:f>
          </x14:formula1>
          <xm:sqref>A2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1391E-E372-4E6E-B9CC-F594844FF32D}">
  <dimension ref="A1"/>
  <sheetViews>
    <sheetView workbookViewId="0">
      <selection activeCell="K29" sqref="K2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031C154D50E174D9AC8C94E3E1E0D4C" ma:contentTypeVersion="4" ma:contentTypeDescription="Crie um novo documento." ma:contentTypeScope="" ma:versionID="01d720b12ddb7692c0bc4b53347326d2">
  <xsd:schema xmlns:xsd="http://www.w3.org/2001/XMLSchema" xmlns:xs="http://www.w3.org/2001/XMLSchema" xmlns:p="http://schemas.microsoft.com/office/2006/metadata/properties" xmlns:ns2="d8ff83f3-5cb3-401d-8e88-7cffe5327c27" targetNamespace="http://schemas.microsoft.com/office/2006/metadata/properties" ma:root="true" ma:fieldsID="c18b1042c749552a0c733ace04323c6f" ns2:_="">
    <xsd:import namespace="d8ff83f3-5cb3-401d-8e88-7cffe5327c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ff83f3-5cb3-401d-8e88-7cffe5327c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87F70A-8CDC-453F-A01C-FE8A780DF1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ff83f3-5cb3-401d-8e88-7cffe5327c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EFA2F2-4391-413E-B4C4-B9412BA4A2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08FB1C-C6AF-48A9-BDB3-3F9BEBE3C92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Gráficos</vt:lpstr>
      </vt:variant>
      <vt:variant>
        <vt:i4>1</vt:i4>
      </vt:variant>
    </vt:vector>
  </HeadingPairs>
  <TitlesOfParts>
    <vt:vector size="8" baseType="lpstr">
      <vt:lpstr>Projeto</vt:lpstr>
      <vt:lpstr>Dados</vt:lpstr>
      <vt:lpstr>Qtd Vendas x Faturamento</vt:lpstr>
      <vt:lpstr>Lotes</vt:lpstr>
      <vt:lpstr>RH</vt:lpstr>
      <vt:lpstr>FLUXO DE CAIXA</vt:lpstr>
      <vt:lpstr>GRÁFICOS</vt:lpstr>
      <vt:lpstr>Gráfico1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Rubens</dc:creator>
  <cp:keywords/>
  <dc:description/>
  <cp:lastModifiedBy>Compras1</cp:lastModifiedBy>
  <cp:revision>1</cp:revision>
  <dcterms:created xsi:type="dcterms:W3CDTF">2020-05-12T20:12:14Z</dcterms:created>
  <dcterms:modified xsi:type="dcterms:W3CDTF">2024-12-12T16:59:13Z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0x010100C031C154D50E174D9AC8C94E3E1E0D4C</vt:lpwstr>
  </property>
  <property fmtid="{D5CDD505-2E9C-101B-9397-08002B2CF9AE}" pid="3" name="WorkbookGuid">
    <vt:lpwstr>34933e72-9cba-4331-9c53-bbde9c3d6a22</vt:lpwstr>
  </property>
</Properties>
</file>