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8D8E9DA-6F35-4E14-AD38-C66B29A39815}" xr6:coauthVersionLast="45" xr6:coauthVersionMax="45" xr10:uidLastSave="{00000000-0000-0000-0000-000000000000}"/>
  <bookViews>
    <workbookView xWindow="-120" yWindow="-120" windowWidth="20640" windowHeight="11160" tabRatio="500" activeTab="2" xr2:uid="{00000000-000D-0000-FFFF-FFFF00000000}"/>
  </bookViews>
  <sheets>
    <sheet name="Projeto" sheetId="2" r:id="rId1"/>
    <sheet name="Dados" sheetId="1" r:id="rId2"/>
    <sheet name="Sudeste   e Sul" sheetId="10" r:id="rId3"/>
    <sheet name="Norte e Centro Oeste" sheetId="18" r:id="rId4"/>
    <sheet name="Nordeste" sheetId="1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" i="19" l="1"/>
  <c r="G12" i="19"/>
  <c r="G11" i="19"/>
  <c r="G13" i="18"/>
  <c r="G12" i="18"/>
  <c r="G11" i="18"/>
  <c r="I21" i="19"/>
  <c r="G21" i="19"/>
  <c r="C21" i="19"/>
  <c r="I20" i="19"/>
  <c r="G20" i="19"/>
  <c r="C20" i="19"/>
  <c r="I19" i="19"/>
  <c r="G19" i="19"/>
  <c r="C19" i="19"/>
  <c r="I18" i="19"/>
  <c r="G18" i="19"/>
  <c r="C18" i="19"/>
  <c r="H16" i="19"/>
  <c r="I7" i="19"/>
  <c r="H7" i="19"/>
  <c r="D7" i="19"/>
  <c r="H6" i="19"/>
  <c r="D6" i="19"/>
  <c r="I5" i="19"/>
  <c r="H5" i="19"/>
  <c r="D5" i="19"/>
  <c r="I4" i="19"/>
  <c r="H4" i="19"/>
  <c r="D4" i="19"/>
  <c r="C13" i="19" s="1"/>
  <c r="I3" i="19"/>
  <c r="H3" i="19"/>
  <c r="I8" i="19" s="1"/>
  <c r="D3" i="19"/>
  <c r="I21" i="18"/>
  <c r="G21" i="18"/>
  <c r="C21" i="18"/>
  <c r="I20" i="18"/>
  <c r="G20" i="18"/>
  <c r="C20" i="18"/>
  <c r="I19" i="18"/>
  <c r="G19" i="18"/>
  <c r="C19" i="18"/>
  <c r="I18" i="18"/>
  <c r="G18" i="18"/>
  <c r="C18" i="18"/>
  <c r="H16" i="18"/>
  <c r="I7" i="18"/>
  <c r="H7" i="18"/>
  <c r="D7" i="18"/>
  <c r="H6" i="18"/>
  <c r="D6" i="18"/>
  <c r="I5" i="18"/>
  <c r="H5" i="18"/>
  <c r="D5" i="18"/>
  <c r="I4" i="18"/>
  <c r="H4" i="18"/>
  <c r="D4" i="18"/>
  <c r="C13" i="18" s="1"/>
  <c r="I3" i="18"/>
  <c r="H3" i="18"/>
  <c r="I8" i="18" s="1"/>
  <c r="D3" i="18"/>
  <c r="C20" i="10"/>
  <c r="C19" i="10"/>
  <c r="C21" i="10"/>
  <c r="C18" i="10"/>
  <c r="H13" i="10"/>
  <c r="G11" i="10"/>
  <c r="G13" i="10"/>
  <c r="G12" i="10"/>
  <c r="D8" i="1"/>
  <c r="D9" i="1"/>
  <c r="D10" i="1"/>
  <c r="D7" i="1"/>
  <c r="C5" i="1"/>
  <c r="C8" i="1"/>
  <c r="C9" i="1"/>
  <c r="C10" i="1"/>
  <c r="C7" i="1"/>
  <c r="B10" i="1"/>
  <c r="C29" i="2"/>
  <c r="B2" i="1"/>
  <c r="H16" i="10"/>
  <c r="D21" i="19" l="1"/>
  <c r="H13" i="19"/>
  <c r="D18" i="19"/>
  <c r="E18" i="19"/>
  <c r="H18" i="19"/>
  <c r="E19" i="19"/>
  <c r="H19" i="19"/>
  <c r="D19" i="19" s="1"/>
  <c r="E20" i="19"/>
  <c r="H20" i="19"/>
  <c r="D20" i="19" s="1"/>
  <c r="E21" i="19"/>
  <c r="H21" i="19"/>
  <c r="H13" i="18"/>
  <c r="E19" i="18"/>
  <c r="E20" i="18"/>
  <c r="H20" i="18"/>
  <c r="D20" i="18" s="1"/>
  <c r="E21" i="18"/>
  <c r="H21" i="18"/>
  <c r="D21" i="18" s="1"/>
  <c r="E18" i="18"/>
  <c r="H18" i="18"/>
  <c r="D18" i="18" s="1"/>
  <c r="H19" i="18"/>
  <c r="D19" i="18" s="1"/>
  <c r="H6" i="10"/>
  <c r="D7" i="10"/>
  <c r="I4" i="10"/>
  <c r="I5" i="10"/>
  <c r="I3" i="10"/>
  <c r="H4" i="10"/>
  <c r="H5" i="10"/>
  <c r="H3" i="10"/>
  <c r="H7" i="10"/>
  <c r="I7" i="10" s="1"/>
  <c r="I19" i="10"/>
  <c r="I20" i="10"/>
  <c r="I21" i="10"/>
  <c r="I18" i="10"/>
  <c r="I8" i="10" l="1"/>
  <c r="G21" i="10"/>
  <c r="H21" i="10" s="1"/>
  <c r="D21" i="10" s="1"/>
  <c r="E21" i="10"/>
  <c r="G20" i="10"/>
  <c r="H20" i="10" s="1"/>
  <c r="D20" i="10" s="1"/>
  <c r="E20" i="10"/>
  <c r="G19" i="10"/>
  <c r="H19" i="10" s="1"/>
  <c r="D19" i="10" s="1"/>
  <c r="E19" i="10"/>
  <c r="G18" i="10"/>
  <c r="H18" i="10" s="1"/>
  <c r="D18" i="10" s="1"/>
  <c r="E18" i="10"/>
  <c r="D6" i="10"/>
  <c r="D5" i="10"/>
  <c r="D4" i="10"/>
  <c r="D3" i="10"/>
  <c r="C13" i="10" l="1"/>
  <c r="C52" i="2"/>
  <c r="D50" i="2"/>
  <c r="D49" i="2"/>
  <c r="D48" i="2"/>
  <c r="D47" i="2"/>
  <c r="D46" i="2"/>
  <c r="D45" i="2"/>
  <c r="D44" i="2"/>
  <c r="D43" i="2"/>
  <c r="D42" i="2"/>
  <c r="D41" i="2"/>
  <c r="D40" i="2"/>
  <c r="D39" i="2"/>
  <c r="D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tc={D8B5138E-E23D-43D1-A97C-9F057EA8F328}</author>
  </authors>
  <commentList>
    <comment ref="C1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versão mais simples do Zflip4
Lembrando que o Iphone 13 estaá sendo produzido no Braisl, então fica entre os dois, varia muito da versão.....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 desconhecido</author>
  </authors>
  <commentList>
    <comment ref="B14" authorId="0" shapeId="0" xr:uid="{00000000-0006-0000-0100-000001000000}">
      <text>
        <r>
          <rPr>
            <sz val="10"/>
            <rFont val="Arial"/>
            <family val="2"/>
          </rPr>
          <t xml:space="preserve">iran:
</t>
        </r>
        <r>
          <rPr>
            <sz val="9"/>
            <color rgb="FF000000"/>
            <rFont val="Segoe UI"/>
            <family val="2"/>
            <charset val="1"/>
          </rPr>
          <t>valor de aquisição e ampliação</t>
        </r>
      </text>
    </comment>
    <comment ref="F17" authorId="0" shapeId="0" xr:uid="{00000000-0006-0000-0100-000002000000}">
      <text>
        <r>
          <rPr>
            <sz val="10"/>
            <rFont val="Arial"/>
            <family val="2"/>
          </rPr>
          <t xml:space="preserve">iran: </t>
        </r>
        <r>
          <rPr>
            <sz val="9"/>
            <color rgb="FF000000"/>
            <rFont val="Segoe UI"/>
            <family val="2"/>
            <charset val="1"/>
          </rPr>
          <t>custo para contratar equipe, pago no primeiro mês (janeiro) junto com salário.</t>
        </r>
      </text>
    </comment>
    <comment ref="B48" authorId="0" shapeId="0" xr:uid="{00000000-0006-0000-0100-000003000000}">
      <text>
        <r>
          <rPr>
            <sz val="10"/>
            <rFont val="Arial"/>
            <family val="2"/>
          </rPr>
          <t xml:space="preserve">iran: </t>
        </r>
        <r>
          <rPr>
            <sz val="9"/>
            <color rgb="FF000000"/>
            <rFont val="Segoe UI"/>
            <family val="2"/>
            <charset val="1"/>
          </rPr>
          <t>custo para contratar equipe, pago no primeiro mês (janeiro) junto com salário.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tc={D8B5138E-E23D-43D1-A97C-9F057EA8F328}</author>
  </authors>
  <commentList>
    <comment ref="B1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versão mais simples do Zflip4
Lembrando que o Iphone 13 estaá sendo produzido no Braisl, então fica entre os dois, varia muito da versão.....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tc={D8B5138E-E23D-43D1-A97C-9F057EA8F328}</author>
  </authors>
  <commentList>
    <comment ref="B19" authorId="0" shapeId="0" xr:uid="{88F9B568-29B0-4BF2-A6D7-1548598F209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versão mais simples do Zflip4
Lembrando que o Iphone 13 estaá sendo produzido no Braisl, então fica entre os dois, varia muito da versão.....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tc={D8B5138E-E23D-43D1-A97C-9F057EA8F328}</author>
  </authors>
  <commentList>
    <comment ref="B19" authorId="0" shapeId="0" xr:uid="{1FD57549-4B7F-4506-9EAF-029BF397D30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versão mais simples do Zflip4
Lembrando que o Iphone 13 estaá sendo produzido no Braisl, então fica entre os dois, varia muito da versão.....</t>
        </r>
      </text>
    </comment>
  </commentList>
</comments>
</file>

<file path=xl/sharedStrings.xml><?xml version="1.0" encoding="utf-8"?>
<sst xmlns="http://schemas.openxmlformats.org/spreadsheetml/2006/main" count="337" uniqueCount="188">
  <si>
    <t>DEMANDA MÉDIA 2024:</t>
  </si>
  <si>
    <t>VALOR DA FRANQUIA PARA ATUAÇÃO NAS REGIÕES DO BRASIL</t>
  </si>
  <si>
    <t>DEMANDA ANUAL NACIONAL - PESQUISA DE CADA EMPRESA</t>
  </si>
  <si>
    <t>REGIÃO</t>
  </si>
  <si>
    <t xml:space="preserve">VALOR </t>
  </si>
  <si>
    <t>APÓS A PESQUISA DE DEMANDA SERÁ DEFINIDA A DEMANDA MÉDIA NACIONAL. A DEMANDA REGIONAL E POR APARELHOS SERÁ DEFINIDA POR CADA EMPRESA.</t>
  </si>
  <si>
    <t>SUL/SUDESTE</t>
  </si>
  <si>
    <t>NORDESTE</t>
  </si>
  <si>
    <t>PREÇOS DOS CELULARES - PESQUISA DE CADA EMPRESA.</t>
  </si>
  <si>
    <t>NORTE/C.OESTE</t>
  </si>
  <si>
    <t>APÓS A PESQUISA DE PREÇOS DOS CELULARES, SERÁ DEFINIDO O PREÇO ÚNICO DE COMPRA NACIONAL PARA CADA UM DOS 4 APARELHOS. O PREÇO DE VENDA REGIONAL SERÁ DEFINIDO POR CADA EMPRESA.</t>
  </si>
  <si>
    <t>CUSTO ARMAZÉM</t>
  </si>
  <si>
    <t>CÂMBIO E INFLAÇÃO PODEM SER UTILIZADOS OS VALORES E PROJEÇÕES DESTE ANO DE 2024</t>
  </si>
  <si>
    <t>CAPACIDADE ARMAZÉM Nº LOTES</t>
  </si>
  <si>
    <t xml:space="preserve">AQUISIÇÃO </t>
  </si>
  <si>
    <t>MANUTENÇÃO MENSAL</t>
  </si>
  <si>
    <t>CUSTO EQUIPES FUNCIONÁRIOS</t>
  </si>
  <si>
    <t>CONTRATAÇÃO</t>
  </si>
  <si>
    <t>TREINAMENTO</t>
  </si>
  <si>
    <t>SALÁRIO MENSAL</t>
  </si>
  <si>
    <t>LOGÍSTICA</t>
  </si>
  <si>
    <t>COMERCIAL</t>
  </si>
  <si>
    <t>INFRAESTRUTURA</t>
  </si>
  <si>
    <t>1 EQUIPE LOGÍSTICA MOVIMENTA 10 LOTES</t>
  </si>
  <si>
    <t>1 EQUIPE COMERCIAL VENDE 5 LOTES</t>
  </si>
  <si>
    <t>1 EQUIPE INFRAESTRUTURA INSTALA E MANTÉM 5 ERBs/MÊS</t>
  </si>
  <si>
    <t>VALOR DOS PACOTES DE SERVIÇO</t>
  </si>
  <si>
    <t>POSTO DE ATENDIMENTO (PA)</t>
  </si>
  <si>
    <t>1 PA = 10 ATENDENTES</t>
  </si>
  <si>
    <t>NÍVEL DE SERVIÇO PAs</t>
  </si>
  <si>
    <t>NÍVEL DE OCUPAÇÃO</t>
  </si>
  <si>
    <t>MODELO CELULAR</t>
  </si>
  <si>
    <t>VALOR</t>
  </si>
  <si>
    <t>NÍVEL 5</t>
  </si>
  <si>
    <t>&lt; 49%</t>
  </si>
  <si>
    <t>IMPORTADO + CARO</t>
  </si>
  <si>
    <t>CUSTO MÊS 1 PA</t>
  </si>
  <si>
    <t>NÍVEL 4</t>
  </si>
  <si>
    <t>ENTRE 50 E 64%</t>
  </si>
  <si>
    <t>NACIONAL + CARO</t>
  </si>
  <si>
    <t>1 PA ATENDE 27.000 CLIENTES</t>
  </si>
  <si>
    <t>NÍVEL 3</t>
  </si>
  <si>
    <t>ENTRE 65 E 74%</t>
  </si>
  <si>
    <t>IMPORTADO + BARATO</t>
  </si>
  <si>
    <t>NÍVEL 2</t>
  </si>
  <si>
    <t>ENTRE 75 A 89%</t>
  </si>
  <si>
    <t>NÍVEL DE SERVIÇO GERAL É A MÉDIA GERAL ENTRE OS DOIS NÍVEIS DE SERVIÇO</t>
  </si>
  <si>
    <t>NACIONAL + BARATO</t>
  </si>
  <si>
    <t>NÍVEL 1</t>
  </si>
  <si>
    <t>&gt; 90%</t>
  </si>
  <si>
    <t>ERB (ESTAÇÃO RÁDIO BASE)</t>
  </si>
  <si>
    <t>CUSTO DE INSTALAÇÃO 1 ERB</t>
  </si>
  <si>
    <t>NÍVEL DE SERVIÇO ERBs</t>
  </si>
  <si>
    <t>EXCELENTE</t>
  </si>
  <si>
    <t>VARIAÇÃO PREÇO DE VENDA</t>
  </si>
  <si>
    <t>&lt; 50%</t>
  </si>
  <si>
    <t>BOM</t>
  </si>
  <si>
    <t>Máximo</t>
  </si>
  <si>
    <t>até 30% maior do que o preço médio</t>
  </si>
  <si>
    <t>QTDE DE CLIENTES SUPORTADOS POR UMA ERB POR REGIÃO</t>
  </si>
  <si>
    <t>ENTRE 50,01 E 60%</t>
  </si>
  <si>
    <t>REGULAR</t>
  </si>
  <si>
    <t>Minímo</t>
  </si>
  <si>
    <t>até 10% menor do que o preço médio</t>
  </si>
  <si>
    <t>QTD CELULARES</t>
  </si>
  <si>
    <t>ENTRE 60,01 E 75%</t>
  </si>
  <si>
    <t>RUIM</t>
  </si>
  <si>
    <t>ENTRE 75,01 A 85%</t>
  </si>
  <si>
    <t>PÉSSIMO</t>
  </si>
  <si>
    <t>&gt; 85,01%</t>
  </si>
  <si>
    <t>PROPORÇÃO ENTRE PREÇO DE COMPRA E VENDA</t>
  </si>
  <si>
    <t>Aparelho</t>
  </si>
  <si>
    <t>Preço de Venda Médio</t>
  </si>
  <si>
    <t>Preço de Compra</t>
  </si>
  <si>
    <t>Nacional mais barato</t>
  </si>
  <si>
    <t>Nacional mais caro</t>
  </si>
  <si>
    <t>Importado mais barato</t>
  </si>
  <si>
    <t>Importado mais caro</t>
  </si>
  <si>
    <t>PROJ INTEG I - GPI -  2024 2</t>
  </si>
  <si>
    <t>Demanda Nacional 2024</t>
  </si>
  <si>
    <t>Previsão do número total de celulares em unidade a serem comercializados no país neste ano corrente.</t>
  </si>
  <si>
    <t>Fonte(s):</t>
  </si>
  <si>
    <t>https://www.barte.com/blog-posts/mercado-de-celulares-no-brasil-continua-em-queda-com-consumidores-mantendo-aparelhos-por-mais-tempo#:~:text=O%20total%20de%20aparelhos%20vendidos,a%20apenas%203%2C5%25.</t>
  </si>
  <si>
    <t>Pesquisa de Preços</t>
  </si>
  <si>
    <t>Modelo</t>
  </si>
  <si>
    <t>Preço</t>
  </si>
  <si>
    <t>No Jogo será:</t>
  </si>
  <si>
    <t>Apple - Iphone 15 Pro Max 1 TB</t>
  </si>
  <si>
    <t>O Importado mais caro</t>
  </si>
  <si>
    <t>Fonte:</t>
  </si>
  <si>
    <t>https://www.google.com/search?q=qual+celular+mais+caro+vendio+atualmete+no+brasil&amp;sca_esv=ef2b8d4842bb75f7&amp;sxsrf=ADLYWIJD6nfWMBpx3ldXNG9mnYtuTqDBxA%3A1726409019805&amp;ei=O-nmZvrtMNSP5OUPn-Th8Qk&amp;ved=0ahUKEwi69_LijsWIAxXUB7kGHR9yOJ4Q4dUDCA8&amp;uact=5&amp;oq=qual+celular+mais+caro+vendio+atualmete+no+brasil&amp;gs_lp=Egxnd3Mtd2l6LXNlcnAiMXF1YWwgY2VsdWxhciBtYWlzIGNhcm8gdmVuZGlvIGF0dWFsbWV0ZSBubyBicmFzaWwyBhAAGBYYHjIIEAAYgAQYogQyCBAAGIAEGKIEMggQABiABBiiBDIIEAAYgAQYogRI6JsBULQEWN2YAXADeAGQAQGYAeoBoAGQTaoBBjAuNjQuNLgBA8gBAPgBAZgCNqAC9j3CAgoQABiwAxjWBBhHwgIEECMYJ8ICChAAGAgYDRgeGA_CAggQABgWGAoYHsICChAAGIAEGBQYhwLCAgUQABiABMICBRAhGKABwgIHECEYoAEYCsICCBAAGAgYDRgewgIEECEYCpgDAIgGAZAGCJIHBjMuNDguM6AHrrcD&amp;sclient=gws-wiz-serp</t>
  </si>
  <si>
    <t xml:space="preserve">Galaxy Z Flip4 5G </t>
  </si>
  <si>
    <t>R$ 11.019</t>
  </si>
  <si>
    <t>O Nacional mais caro</t>
  </si>
  <si>
    <t>https://www.google.com/search?q=qual+%C3%A9+o+celular+da+samsung+mais+caro+produzido+no+brasil&amp;oq=qual+%C3%A9+o+celular+da+samsung+mais+caro+produzido+no+&amp;gs_lcrp=EgZjaHJvbWUqBwgBECEYoAEyBggAEEUYOTIHCAEQIRigAdIBCTIyMTQyajBqOagCCLACAQ&amp;sourceid=chrome&amp;ie=UTF-8</t>
  </si>
  <si>
    <t>Redmi 9A</t>
  </si>
  <si>
    <t>$500,00</t>
  </si>
  <si>
    <t>O Importado mais barato</t>
  </si>
  <si>
    <t>https://www.google.com/search?q=qual+celular+que+o+brasil+importa+mais+barato&amp;sca_esv=ef2b8d4842bb75f7&amp;sxsrf=ADLYWILtYJtdKrTEm-mjozO1AsiMAYSdSw%3A1726408724977&amp;ei=FOjmZtyjO66H1sQPq57akQM&amp;ved=0ahUKEwjc_afWjcWIAxWug5UCHSuPNjIQ4dUDCA8&amp;uact=5&amp;oq=qual+celular+que+o+brasil+importa+mais+barato&amp;gs_lp=Egxnd3Mtd2l6LXNlcnAiLXF1YWwgY2VsdWxhciBxdWUgbyBicmFzaWwgaW1wb3J0YSBtYWlzIGJhcmF0bzIIEAAYgAQYogQyCBAAGIAEGKIEMggQABiABBiiBDIIEAAYgAQYogRI0hlQqQNYxxZwAXgBkAEAmAH9AaAB5guqAQUwLjkuMbgBA8gBAPgBAZgCCqACrwvCAgoQABiwAxjWBBhHwgIEECMYJ8ICBRAhGKABwgIFECEYnwWYAwCIBgGQBgiSBwUxLjguMaAHwig&amp;sclient=gws-wiz-serp</t>
  </si>
  <si>
    <t>Motorola Moto G14.</t>
  </si>
  <si>
    <t>$ 724,00</t>
  </si>
  <si>
    <t xml:space="preserve">O Nacional mais barato </t>
  </si>
  <si>
    <t>https://www.google.com/search?q=qual+celular+que+produzido+no+brasil+mais+barato&amp;sca_esv=ef2b8d4842bb75f7&amp;sxsrf=ADLYWILK5NowCRyIwGfvmdciLACLdozJpw%3A1726409014636&amp;ei=NunmZuzIJpfc5OUP8bOI8AY&amp;ved=0ahUKEwjsu7fgjsWIAxUXLrkGHfEZAm4Q4dUDCA8&amp;uact=5&amp;oq=qual+celular+que+produzido+no+brasil+mais+barato&amp;gs_lp=Egxnd3Mtd2l6LXNlcnAiMHF1YWwgY2VsdWxhciBxdWUgcHJvZHV6aWRvIG5vIGJyYXNpbCBtYWlzIGJhcmF0bzIKEAAYsAMY1gQYRzIKEAAYsAMY1gQYRzIKEAAYsAMY1gQYRzIKEAAYsAMY1gQYRzIKEAAYsAMY1gQYRzIKEAAYsAMY1gQYRzIKEAAYsAMY1gQYRzIKEAAYsAMY1gQYR0jMGFC_Bli1FXACeAGQAQCYAasBoAGrBqoBAzAuNrgBA8gBAPgBAZgCB6ACvgXCAgUQIRigAZgDAOIDBRIBMSBAiAYBkAYIkgcDMi41oAeiFw&amp;sclient=gws-wiz-serp</t>
  </si>
  <si>
    <t>Obs: ordenar os preços de 1 a 4 por ordem de valor, sendo o 1 mais caro e o 4 mais barato</t>
  </si>
  <si>
    <t>Demografia e dados Sócio-Econômicos</t>
  </si>
  <si>
    <t>População</t>
  </si>
  <si>
    <t>Classes sociais em %</t>
  </si>
  <si>
    <t>A</t>
  </si>
  <si>
    <t>B</t>
  </si>
  <si>
    <t>C</t>
  </si>
  <si>
    <t>D</t>
  </si>
  <si>
    <t>E</t>
  </si>
  <si>
    <t>1) Região Sul</t>
  </si>
  <si>
    <t>2) Região Sudeste</t>
  </si>
  <si>
    <t>3) Região Nordeste</t>
  </si>
  <si>
    <t xml:space="preserve">4) Região Cento-Oeste </t>
  </si>
  <si>
    <t>5) Região Norte</t>
  </si>
  <si>
    <t>https://censo2022.ibge.gov.br/panorama/</t>
  </si>
  <si>
    <t>https://gente.globo.com/infografico-pesquisa-panorama-das-classes-abcde/</t>
  </si>
  <si>
    <t>Obs: Para o desenvolvimento do Planejamento Estratégico da Empresa, pesquisem mais informações que considerarem relevantes!</t>
  </si>
  <si>
    <t>Sazonalidade</t>
  </si>
  <si>
    <t xml:space="preserve">Comportamento de vendas ao longo do ano no varejo. </t>
  </si>
  <si>
    <t>Considerando datas comemorativas e períodos especifícos (janeiro menos circulação de dinheiro e dezembro mais, por exemplo).</t>
  </si>
  <si>
    <t>Mês</t>
  </si>
  <si>
    <t>%</t>
  </si>
  <si>
    <t>Qtde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</si>
  <si>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</si>
  <si>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</si>
  <si>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</si>
  <si>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</si>
  <si>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</si>
  <si>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</si>
  <si>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</si>
  <si>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</si>
  <si>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</si>
  <si>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</si>
  <si>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</si>
  <si>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</si>
  <si>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</si>
  <si>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Obs: Ao inserir as porcentagens mensais, a soma deve corresponder a 100% da Demanda!</t>
  </si>
  <si>
    <t>Na coluna Qtde será realizada o cálculo automático sobre o item 1 da pesquisa</t>
  </si>
  <si>
    <t>MARKET SHARE</t>
  </si>
  <si>
    <t>Com estes números pesquisados proponha um valor inicial de Market Share Nacional para a sua Empresa.</t>
  </si>
  <si>
    <t>Empresa:</t>
  </si>
  <si>
    <t>START PHONE</t>
  </si>
  <si>
    <t>Se já definiu o nome</t>
  </si>
  <si>
    <t>Market Share</t>
  </si>
  <si>
    <t>Obs: No desenvolvimento do Planej. Estratégico vcs definirão em algumas semanas o valor definitivo a ser colocado como objetivo!</t>
  </si>
  <si>
    <t xml:space="preserve">Custo </t>
  </si>
  <si>
    <t>Valor</t>
  </si>
  <si>
    <t>Aparelhos Adotados</t>
  </si>
  <si>
    <t>1 Lote</t>
  </si>
  <si>
    <t>Celulares</t>
  </si>
  <si>
    <t>1 Equipe</t>
  </si>
  <si>
    <t>Funcionários</t>
  </si>
  <si>
    <t>Custo</t>
  </si>
  <si>
    <t>Margem Lucro</t>
  </si>
  <si>
    <t>Venda</t>
  </si>
  <si>
    <t>Lucro</t>
  </si>
  <si>
    <t>Quantidade</t>
  </si>
  <si>
    <t>Unidade</t>
  </si>
  <si>
    <t>Lotes</t>
  </si>
  <si>
    <t>Equipe</t>
  </si>
  <si>
    <t>Nacional</t>
  </si>
  <si>
    <t>Internacional</t>
  </si>
  <si>
    <t>Taxa de Impostos / no valor de compra</t>
  </si>
  <si>
    <t>Origem</t>
  </si>
  <si>
    <t>Total Custo Fixo Mensal</t>
  </si>
  <si>
    <t>ARMAZÉM / Celulares</t>
  </si>
  <si>
    <t>Custo de Implantação</t>
  </si>
  <si>
    <t>Pacote SUGERIDO</t>
  </si>
  <si>
    <t>Custo Fixo Mensal Empresa</t>
  </si>
  <si>
    <t>SISTEMA GERENCIAL VENDA CLIENTES</t>
  </si>
  <si>
    <t>SETOR</t>
  </si>
  <si>
    <t>TOTAL IMPLANTAÇÃO</t>
  </si>
  <si>
    <t>CUSTO PA</t>
  </si>
  <si>
    <t>SUDESTE</t>
  </si>
  <si>
    <t>CENTRO OESTE</t>
  </si>
  <si>
    <t>NORTE</t>
  </si>
  <si>
    <t>SUL</t>
  </si>
  <si>
    <t>NUMERO DE ERB</t>
  </si>
  <si>
    <t>Taxa Impostos</t>
  </si>
  <si>
    <t>Total de População no Brasil</t>
  </si>
  <si>
    <t>PREVISÃO TOTAL</t>
  </si>
  <si>
    <t>Em %</t>
  </si>
  <si>
    <t>Meta Market Share por Região</t>
  </si>
  <si>
    <t>Valor Custo</t>
  </si>
  <si>
    <t>Custo por Aparelho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</si>
</sst>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R$-416]\ * #,##0.00_-;\-[$R$-416]\ * #,##0.00_-;_-[$R$-416]\ * \-??_-;_-@_-"/>
    <numFmt numFmtId="165" formatCode="_-&quot;R$ &quot;* #,##0.00_-;&quot;-R$ &quot;* #,##0.00_-;_-&quot;R$ &quot;* \-??_-;_-@_-"/>
    <numFmt numFmtId="166" formatCode="&quot;R$ &quot;#,##0.00;[Red]&quot;-R$ &quot;#,##0.00"/>
    <numFmt numFmtId="167" formatCode="&quot;$&quot;#,##0.00"/>
    <numFmt numFmtId="168" formatCode="_(&quot;$&quot;* #,##0.00_);_(&quot;$&quot;* \(#,##0.00\);_(&quot;$&quot;* &quot;-&quot;??_);_(@_)"/>
    <numFmt numFmtId="169" formatCode="0.0%"/>
    <numFmt numFmtId="171" formatCode="_-[$R$-416]\ * #,##0.00_-;\-[$R$-416]\ * #,##0.00_-;_-[$R$-416]\ * &quot;-&quot;??_-;_-@_-"/>
  </numFmts>
  <fonts count="17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040C2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59987182226020086"/>
        <bgColor rgb="FFFFD966"/>
      </patternFill>
    </fill>
    <fill>
      <patternFill patternType="solid">
        <fgColor theme="9" tint="0.59987182226020086"/>
        <bgColor rgb="FFC9C9C9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6" tint="0.39988402966399123"/>
        <bgColor rgb="FFBDD7EE"/>
      </patternFill>
    </fill>
    <fill>
      <patternFill patternType="solid">
        <fgColor theme="7" tint="0.39988402966399123"/>
        <bgColor rgb="FFFFE699"/>
      </patternFill>
    </fill>
    <fill>
      <patternFill patternType="solid">
        <fgColor theme="4" tint="0.59987182226020086"/>
        <bgColor rgb="FFC9C9C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E6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8CBAD"/>
      </patternFill>
    </fill>
    <fill>
      <patternFill patternType="solid">
        <fgColor rgb="FFFFFF00"/>
        <bgColor rgb="FFF8CBAD"/>
      </patternFill>
    </fill>
    <fill>
      <patternFill patternType="solid">
        <fgColor rgb="FFFFFF00"/>
        <bgColor rgb="FFBDD7E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theme="6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5" fontId="6" fillId="0" borderId="0" applyBorder="0" applyProtection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9">
    <xf numFmtId="0" fontId="0" fillId="0" borderId="0" xfId="0"/>
    <xf numFmtId="0" fontId="2" fillId="3" borderId="1" xfId="0" applyFont="1" applyFill="1" applyBorder="1" applyAlignment="1">
      <alignment horizontal="left" indent="1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0" fontId="2" fillId="3" borderId="5" xfId="0" applyFont="1" applyFill="1" applyBorder="1"/>
    <xf numFmtId="0" fontId="2" fillId="3" borderId="4" xfId="0" applyFont="1" applyFill="1" applyBorder="1" applyAlignment="1">
      <alignment horizontal="left" indent="1"/>
    </xf>
    <xf numFmtId="0" fontId="2" fillId="3" borderId="7" xfId="0" applyFont="1" applyFill="1" applyBorder="1" applyAlignment="1">
      <alignment horizontal="left" indent="1"/>
    </xf>
    <xf numFmtId="0" fontId="2" fillId="3" borderId="9" xfId="0" applyFont="1" applyFill="1" applyBorder="1"/>
    <xf numFmtId="0" fontId="2" fillId="3" borderId="8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0" xfId="0" applyFill="1"/>
    <xf numFmtId="0" fontId="0" fillId="7" borderId="5" xfId="0" applyFill="1" applyBorder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9" xfId="0" applyFill="1" applyBorder="1"/>
    <xf numFmtId="0" fontId="0" fillId="7" borderId="8" xfId="0" applyFill="1" applyBorder="1"/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10" fontId="7" fillId="0" borderId="0" xfId="2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0" fontId="10" fillId="9" borderId="0" xfId="0" applyNumberFormat="1" applyFont="1" applyFill="1" applyAlignment="1">
      <alignment horizontal="center" vertical="center"/>
    </xf>
    <xf numFmtId="0" fontId="1" fillId="0" borderId="0" xfId="0" applyFont="1"/>
    <xf numFmtId="3" fontId="1" fillId="9" borderId="0" xfId="2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9" fillId="9" borderId="0" xfId="3" applyFont="1" applyFill="1" applyAlignment="1"/>
    <xf numFmtId="0" fontId="7" fillId="0" borderId="0" xfId="0" applyFont="1" applyAlignment="1">
      <alignment horizontal="center" vertical="center" wrapText="1"/>
    </xf>
    <xf numFmtId="165" fontId="1" fillId="0" borderId="0" xfId="1" applyFont="1"/>
    <xf numFmtId="0" fontId="1" fillId="0" borderId="0" xfId="0" applyFont="1" applyAlignment="1">
      <alignment horizontal="center"/>
    </xf>
    <xf numFmtId="169" fontId="1" fillId="0" borderId="0" xfId="0" applyNumberFormat="1" applyFont="1"/>
    <xf numFmtId="0" fontId="1" fillId="10" borderId="0" xfId="0" applyFont="1" applyFill="1"/>
    <xf numFmtId="0" fontId="9" fillId="9" borderId="0" xfId="4" applyFont="1" applyFill="1"/>
    <xf numFmtId="0" fontId="9" fillId="0" borderId="0" xfId="3" applyFont="1" applyFill="1" applyAlignment="1"/>
    <xf numFmtId="4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0" fontId="1" fillId="9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167" fontId="11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67" fontId="1" fillId="10" borderId="0" xfId="1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168" fontId="1" fillId="9" borderId="0" xfId="1" applyNumberFormat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6" fillId="0" borderId="15" xfId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8"/>
    </xf>
    <xf numFmtId="165" fontId="6" fillId="0" borderId="0" xfId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165" fontId="6" fillId="0" borderId="0" xfId="1" applyFill="1" applyBorder="1" applyProtection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3" fontId="0" fillId="0" borderId="0" xfId="0" applyNumberForma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165" fontId="6" fillId="4" borderId="10" xfId="1" applyFill="1" applyBorder="1" applyAlignment="1" applyProtection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65" fontId="6" fillId="6" borderId="10" xfId="1" applyFill="1" applyBorder="1" applyProtection="1"/>
    <xf numFmtId="0" fontId="2" fillId="5" borderId="10" xfId="0" applyFont="1" applyFill="1" applyBorder="1" applyAlignment="1">
      <alignment horizontal="left" vertical="center" indent="1"/>
    </xf>
    <xf numFmtId="0" fontId="0" fillId="5" borderId="10" xfId="0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165" fontId="6" fillId="5" borderId="10" xfId="1" applyFill="1" applyBorder="1" applyAlignment="1" applyProtection="1">
      <alignment horizontal="center" vertical="center"/>
    </xf>
    <xf numFmtId="0" fontId="2" fillId="5" borderId="1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indent="1"/>
    </xf>
    <xf numFmtId="0" fontId="0" fillId="7" borderId="10" xfId="0" applyFill="1" applyBorder="1"/>
    <xf numFmtId="0" fontId="0" fillId="7" borderId="10" xfId="0" applyFill="1" applyBorder="1" applyAlignment="1">
      <alignment horizontal="left" indent="1"/>
    </xf>
    <xf numFmtId="0" fontId="2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65" fontId="6" fillId="7" borderId="10" xfId="1" applyFill="1" applyBorder="1" applyProtection="1"/>
    <xf numFmtId="0" fontId="2" fillId="7" borderId="10" xfId="0" applyFont="1" applyFill="1" applyBorder="1"/>
    <xf numFmtId="3" fontId="0" fillId="7" borderId="10" xfId="0" applyNumberForma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165" fontId="6" fillId="0" borderId="22" xfId="1" applyBorder="1"/>
    <xf numFmtId="0" fontId="7" fillId="0" borderId="23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165" fontId="6" fillId="0" borderId="29" xfId="1" applyBorder="1"/>
    <xf numFmtId="0" fontId="0" fillId="0" borderId="23" xfId="0" applyBorder="1"/>
    <xf numFmtId="9" fontId="13" fillId="12" borderId="14" xfId="2" applyFont="1" applyFill="1" applyBorder="1" applyAlignment="1">
      <alignment horizontal="center"/>
    </xf>
    <xf numFmtId="165" fontId="6" fillId="0" borderId="35" xfId="1" applyBorder="1"/>
    <xf numFmtId="165" fontId="6" fillId="0" borderId="40" xfId="1" applyBorder="1"/>
    <xf numFmtId="0" fontId="0" fillId="0" borderId="37" xfId="0" applyBorder="1"/>
    <xf numFmtId="0" fontId="0" fillId="0" borderId="20" xfId="0" applyBorder="1"/>
    <xf numFmtId="9" fontId="0" fillId="0" borderId="13" xfId="2" applyFont="1" applyBorder="1" applyAlignment="1">
      <alignment horizontal="center"/>
    </xf>
    <xf numFmtId="9" fontId="0" fillId="0" borderId="28" xfId="2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0" fontId="7" fillId="9" borderId="45" xfId="0" applyFont="1" applyFill="1" applyBorder="1" applyAlignment="1">
      <alignment horizontal="center" vertical="center" wrapText="1"/>
    </xf>
    <xf numFmtId="0" fontId="7" fillId="9" borderId="46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left"/>
    </xf>
    <xf numFmtId="165" fontId="6" fillId="0" borderId="18" xfId="1" applyBorder="1"/>
    <xf numFmtId="0" fontId="13" fillId="9" borderId="33" xfId="0" applyFont="1" applyFill="1" applyBorder="1" applyAlignment="1">
      <alignment horizontal="center"/>
    </xf>
    <xf numFmtId="165" fontId="6" fillId="0" borderId="47" xfId="1" applyBorder="1"/>
    <xf numFmtId="165" fontId="6" fillId="0" borderId="27" xfId="1" applyBorder="1"/>
    <xf numFmtId="165" fontId="6" fillId="0" borderId="48" xfId="1" applyBorder="1"/>
    <xf numFmtId="165" fontId="6" fillId="0" borderId="49" xfId="1" applyBorder="1"/>
    <xf numFmtId="0" fontId="0" fillId="8" borderId="27" xfId="0" applyFill="1" applyBorder="1" applyAlignment="1"/>
    <xf numFmtId="9" fontId="13" fillId="8" borderId="22" xfId="0" applyNumberFormat="1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/>
    <xf numFmtId="9" fontId="13" fillId="8" borderId="25" xfId="0" applyNumberFormat="1" applyFont="1" applyFill="1" applyBorder="1" applyAlignment="1">
      <alignment horizontal="center"/>
    </xf>
    <xf numFmtId="9" fontId="0" fillId="8" borderId="24" xfId="0" applyNumberFormat="1" applyFill="1" applyBorder="1"/>
    <xf numFmtId="0" fontId="0" fillId="8" borderId="25" xfId="0" applyFill="1" applyBorder="1"/>
    <xf numFmtId="0" fontId="0" fillId="8" borderId="30" xfId="0" applyFill="1" applyBorder="1" applyAlignment="1">
      <alignment horizontal="center"/>
    </xf>
    <xf numFmtId="0" fontId="0" fillId="8" borderId="17" xfId="0" applyFill="1" applyBorder="1"/>
    <xf numFmtId="9" fontId="0" fillId="8" borderId="17" xfId="0" applyNumberFormat="1" applyFill="1" applyBorder="1" applyAlignment="1">
      <alignment wrapText="1"/>
    </xf>
    <xf numFmtId="0" fontId="0" fillId="8" borderId="21" xfId="0" applyFill="1" applyBorder="1" applyAlignment="1">
      <alignment wrapText="1"/>
    </xf>
    <xf numFmtId="0" fontId="3" fillId="15" borderId="15" xfId="0" applyFont="1" applyFill="1" applyBorder="1"/>
    <xf numFmtId="166" fontId="3" fillId="15" borderId="16" xfId="0" applyNumberFormat="1" applyFont="1" applyFill="1" applyBorder="1"/>
    <xf numFmtId="166" fontId="3" fillId="15" borderId="22" xfId="0" applyNumberFormat="1" applyFont="1" applyFill="1" applyBorder="1"/>
    <xf numFmtId="0" fontId="3" fillId="15" borderId="29" xfId="0" applyFont="1" applyFill="1" applyBorder="1"/>
    <xf numFmtId="166" fontId="3" fillId="15" borderId="26" xfId="0" applyNumberFormat="1" applyFont="1" applyFill="1" applyBorder="1"/>
    <xf numFmtId="166" fontId="3" fillId="15" borderId="25" xfId="0" applyNumberFormat="1" applyFont="1" applyFill="1" applyBorder="1"/>
    <xf numFmtId="0" fontId="15" fillId="14" borderId="47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0" fillId="5" borderId="17" xfId="0" applyFill="1" applyBorder="1" applyAlignment="1">
      <alignment vertical="center"/>
    </xf>
    <xf numFmtId="0" fontId="13" fillId="16" borderId="23" xfId="0" applyFont="1" applyFill="1" applyBorder="1" applyAlignment="1">
      <alignment horizontal="center" vertical="center"/>
    </xf>
    <xf numFmtId="0" fontId="13" fillId="16" borderId="24" xfId="0" applyFont="1" applyFill="1" applyBorder="1" applyAlignment="1">
      <alignment horizontal="center" vertical="center"/>
    </xf>
    <xf numFmtId="0" fontId="13" fillId="16" borderId="25" xfId="0" applyFont="1" applyFill="1" applyBorder="1" applyAlignment="1">
      <alignment horizontal="center" vertical="center"/>
    </xf>
    <xf numFmtId="0" fontId="0" fillId="5" borderId="37" xfId="0" applyFill="1" applyBorder="1" applyAlignment="1">
      <alignment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left" vertical="center" indent="8"/>
    </xf>
    <xf numFmtId="165" fontId="6" fillId="5" borderId="22" xfId="1" applyFill="1" applyBorder="1" applyAlignment="1" applyProtection="1">
      <alignment horizontal="center" vertical="center"/>
    </xf>
    <xf numFmtId="0" fontId="2" fillId="5" borderId="23" xfId="0" applyFont="1" applyFill="1" applyBorder="1" applyAlignment="1">
      <alignment horizontal="left" vertical="center" indent="8"/>
    </xf>
    <xf numFmtId="165" fontId="6" fillId="5" borderId="24" xfId="1" applyFill="1" applyBorder="1" applyAlignment="1" applyProtection="1">
      <alignment horizontal="center" vertical="center"/>
    </xf>
    <xf numFmtId="165" fontId="6" fillId="5" borderId="25" xfId="1" applyFill="1" applyBorder="1" applyAlignment="1" applyProtection="1">
      <alignment horizontal="center" vertical="center"/>
    </xf>
    <xf numFmtId="165" fontId="6" fillId="0" borderId="10" xfId="1" applyBorder="1"/>
    <xf numFmtId="43" fontId="0" fillId="0" borderId="19" xfId="0" applyNumberFormat="1" applyBorder="1"/>
    <xf numFmtId="43" fontId="0" fillId="0" borderId="13" xfId="0" applyNumberFormat="1" applyBorder="1"/>
    <xf numFmtId="43" fontId="0" fillId="0" borderId="28" xfId="0" applyNumberFormat="1" applyBorder="1"/>
    <xf numFmtId="1" fontId="0" fillId="0" borderId="44" xfId="0" applyNumberFormat="1" applyBorder="1" applyAlignment="1">
      <alignment horizontal="center"/>
    </xf>
    <xf numFmtId="165" fontId="6" fillId="0" borderId="12" xfId="1" applyBorder="1"/>
    <xf numFmtId="165" fontId="13" fillId="17" borderId="17" xfId="1" applyFont="1" applyFill="1" applyBorder="1"/>
    <xf numFmtId="0" fontId="13" fillId="17" borderId="21" xfId="0" applyFont="1" applyFill="1" applyBorder="1"/>
    <xf numFmtId="165" fontId="0" fillId="17" borderId="31" xfId="0" applyNumberFormat="1" applyFill="1" applyBorder="1"/>
    <xf numFmtId="0" fontId="13" fillId="9" borderId="50" xfId="0" applyFont="1" applyFill="1" applyBorder="1" applyAlignment="1">
      <alignment horizontal="center"/>
    </xf>
    <xf numFmtId="0" fontId="14" fillId="0" borderId="57" xfId="0" applyFont="1" applyBorder="1"/>
    <xf numFmtId="0" fontId="14" fillId="0" borderId="15" xfId="0" applyFont="1" applyFill="1" applyBorder="1" applyAlignment="1">
      <alignment vertical="center"/>
    </xf>
    <xf numFmtId="0" fontId="0" fillId="0" borderId="58" xfId="0" applyBorder="1"/>
    <xf numFmtId="0" fontId="0" fillId="0" borderId="15" xfId="0" applyBorder="1"/>
    <xf numFmtId="0" fontId="0" fillId="0" borderId="57" xfId="0" applyBorder="1"/>
    <xf numFmtId="0" fontId="0" fillId="0" borderId="29" xfId="0" applyBorder="1"/>
    <xf numFmtId="0" fontId="13" fillId="9" borderId="53" xfId="0" applyFont="1" applyFill="1" applyBorder="1" applyAlignment="1">
      <alignment horizontal="center"/>
    </xf>
    <xf numFmtId="165" fontId="6" fillId="0" borderId="57" xfId="1" applyBorder="1"/>
    <xf numFmtId="165" fontId="6" fillId="0" borderId="58" xfId="1" applyBorder="1"/>
    <xf numFmtId="0" fontId="0" fillId="17" borderId="12" xfId="0" applyFill="1" applyBorder="1" applyAlignment="1">
      <alignment horizontal="center"/>
    </xf>
    <xf numFmtId="1" fontId="6" fillId="17" borderId="9" xfId="1" applyNumberFormat="1" applyFill="1" applyBorder="1" applyAlignment="1">
      <alignment horizontal="center"/>
    </xf>
    <xf numFmtId="1" fontId="6" fillId="17" borderId="56" xfId="1" applyNumberFormat="1" applyFill="1" applyBorder="1" applyAlignment="1">
      <alignment horizontal="center"/>
    </xf>
    <xf numFmtId="1" fontId="6" fillId="17" borderId="2" xfId="1" applyNumberFormat="1" applyFill="1" applyBorder="1" applyAlignment="1">
      <alignment horizontal="center"/>
    </xf>
    <xf numFmtId="0" fontId="0" fillId="17" borderId="56" xfId="0" applyFill="1" applyBorder="1"/>
    <xf numFmtId="0" fontId="0" fillId="17" borderId="57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58" xfId="0" applyFill="1" applyBorder="1" applyAlignment="1">
      <alignment horizontal="center"/>
    </xf>
    <xf numFmtId="0" fontId="0" fillId="17" borderId="15" xfId="0" applyFill="1" applyBorder="1"/>
    <xf numFmtId="0" fontId="0" fillId="17" borderId="29" xfId="0" applyFill="1" applyBorder="1" applyAlignment="1">
      <alignment horizontal="center"/>
    </xf>
    <xf numFmtId="0" fontId="7" fillId="0" borderId="0" xfId="0" applyFont="1" applyAlignment="1">
      <alignment horizontal="left"/>
    </xf>
    <xf numFmtId="0" fontId="9" fillId="0" borderId="0" xfId="4" applyFont="1" applyAlignment="1">
      <alignment horizontal="center"/>
    </xf>
    <xf numFmtId="0" fontId="9" fillId="9" borderId="0" xfId="3" applyFont="1" applyFill="1" applyAlignment="1">
      <alignment horizontal="left"/>
    </xf>
    <xf numFmtId="0" fontId="13" fillId="16" borderId="37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3" fillId="16" borderId="38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/>
    </xf>
    <xf numFmtId="0" fontId="15" fillId="14" borderId="44" xfId="0" applyFont="1" applyFill="1" applyBorder="1" applyAlignment="1">
      <alignment horizontal="center"/>
    </xf>
    <xf numFmtId="0" fontId="15" fillId="14" borderId="12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31" xfId="0" applyFill="1" applyBorder="1" applyAlignment="1">
      <alignment horizontal="center"/>
    </xf>
    <xf numFmtId="0" fontId="13" fillId="13" borderId="14" xfId="0" applyFont="1" applyFill="1" applyBorder="1" applyAlignment="1">
      <alignment horizontal="center"/>
    </xf>
    <xf numFmtId="0" fontId="13" fillId="13" borderId="32" xfId="0" applyFont="1" applyFill="1" applyBorder="1" applyAlignment="1">
      <alignment horizontal="center"/>
    </xf>
    <xf numFmtId="0" fontId="13" fillId="13" borderId="3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wrapText="1" indent="1"/>
    </xf>
    <xf numFmtId="0" fontId="2" fillId="3" borderId="6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/>
    </xf>
    <xf numFmtId="0" fontId="13" fillId="17" borderId="44" xfId="0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14" fillId="0" borderId="54" xfId="0" applyFont="1" applyFill="1" applyBorder="1" applyAlignment="1">
      <alignment horizontal="left" vertical="center"/>
    </xf>
    <xf numFmtId="0" fontId="14" fillId="0" borderId="55" xfId="0" applyFont="1" applyFill="1" applyBorder="1" applyAlignment="1">
      <alignment horizontal="left" vertical="center"/>
    </xf>
    <xf numFmtId="165" fontId="6" fillId="0" borderId="28" xfId="1" applyBorder="1" applyAlignment="1">
      <alignment horizontal="center"/>
    </xf>
    <xf numFmtId="165" fontId="6" fillId="0" borderId="49" xfId="1" applyBorder="1" applyAlignment="1">
      <alignment horizontal="center"/>
    </xf>
    <xf numFmtId="0" fontId="13" fillId="9" borderId="51" xfId="0" applyFont="1" applyFill="1" applyBorder="1" applyAlignment="1">
      <alignment horizontal="center" vertical="center" wrapText="1"/>
    </xf>
    <xf numFmtId="0" fontId="13" fillId="9" borderId="52" xfId="0" applyFont="1" applyFill="1" applyBorder="1" applyAlignment="1">
      <alignment horizontal="center" vertical="center" wrapText="1"/>
    </xf>
    <xf numFmtId="0" fontId="13" fillId="17" borderId="14" xfId="0" applyFont="1" applyFill="1" applyBorder="1" applyAlignment="1">
      <alignment horizontal="center"/>
    </xf>
    <xf numFmtId="0" fontId="13" fillId="17" borderId="32" xfId="0" applyFont="1" applyFill="1" applyBorder="1" applyAlignment="1">
      <alignment horizontal="center"/>
    </xf>
    <xf numFmtId="0" fontId="13" fillId="17" borderId="31" xfId="0" applyFont="1" applyFill="1" applyBorder="1" applyAlignment="1">
      <alignment horizontal="center"/>
    </xf>
    <xf numFmtId="0" fontId="13" fillId="17" borderId="34" xfId="0" applyFont="1" applyFill="1" applyBorder="1" applyAlignment="1">
      <alignment horizontal="left"/>
    </xf>
    <xf numFmtId="0" fontId="13" fillId="17" borderId="8" xfId="0" applyFont="1" applyFill="1" applyBorder="1" applyAlignment="1">
      <alignment horizontal="left"/>
    </xf>
    <xf numFmtId="0" fontId="14" fillId="0" borderId="20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39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left" vertical="center"/>
    </xf>
    <xf numFmtId="0" fontId="13" fillId="9" borderId="14" xfId="0" applyFont="1" applyFill="1" applyBorder="1" applyAlignment="1">
      <alignment horizontal="center"/>
    </xf>
    <xf numFmtId="0" fontId="13" fillId="9" borderId="32" xfId="0" applyFont="1" applyFill="1" applyBorder="1" applyAlignment="1">
      <alignment horizontal="center"/>
    </xf>
    <xf numFmtId="0" fontId="13" fillId="9" borderId="31" xfId="0" applyFont="1" applyFill="1" applyBorder="1" applyAlignment="1">
      <alignment horizontal="center"/>
    </xf>
    <xf numFmtId="165" fontId="13" fillId="9" borderId="14" xfId="0" applyNumberFormat="1" applyFont="1" applyFill="1" applyBorder="1" applyAlignment="1">
      <alignment horizontal="center"/>
    </xf>
    <xf numFmtId="165" fontId="13" fillId="9" borderId="31" xfId="0" applyNumberFormat="1" applyFont="1" applyFill="1" applyBorder="1" applyAlignment="1">
      <alignment horizontal="center"/>
    </xf>
    <xf numFmtId="0" fontId="13" fillId="9" borderId="45" xfId="0" applyFont="1" applyFill="1" applyBorder="1" applyAlignment="1">
      <alignment horizontal="center"/>
    </xf>
    <xf numFmtId="10" fontId="13" fillId="9" borderId="31" xfId="0" applyNumberFormat="1" applyFont="1" applyFill="1" applyBorder="1" applyAlignment="1">
      <alignment horizontal="center"/>
    </xf>
    <xf numFmtId="0" fontId="16" fillId="18" borderId="14" xfId="0" applyFont="1" applyFill="1" applyBorder="1"/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left" vertical="center" indent="1"/>
    </xf>
    <xf numFmtId="0" fontId="1" fillId="0" borderId="33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10" fontId="1" fillId="9" borderId="0" xfId="2" applyNumberFormat="1" applyFont="1" applyFill="1" applyBorder="1"/>
    <xf numFmtId="10" fontId="1" fillId="9" borderId="0" xfId="2" applyNumberFormat="1" applyFont="1" applyFill="1" applyBorder="1" applyAlignment="1">
      <alignment horizontal="center"/>
    </xf>
    <xf numFmtId="10" fontId="1" fillId="9" borderId="59" xfId="2" applyNumberFormat="1" applyFont="1" applyFill="1" applyBorder="1" applyAlignment="1">
      <alignment horizontal="center"/>
    </xf>
    <xf numFmtId="10" fontId="1" fillId="0" borderId="0" xfId="0" applyNumberFormat="1" applyFont="1" applyBorder="1"/>
    <xf numFmtId="10" fontId="1" fillId="0" borderId="59" xfId="0" applyNumberFormat="1" applyFont="1" applyBorder="1"/>
    <xf numFmtId="10" fontId="1" fillId="9" borderId="0" xfId="0" applyNumberFormat="1" applyFont="1" applyFill="1" applyBorder="1"/>
    <xf numFmtId="10" fontId="1" fillId="9" borderId="0" xfId="0" applyNumberFormat="1" applyFont="1" applyFill="1" applyBorder="1" applyAlignment="1">
      <alignment horizontal="center"/>
    </xf>
    <xf numFmtId="10" fontId="1" fillId="9" borderId="59" xfId="0" applyNumberFormat="1" applyFont="1" applyFill="1" applyBorder="1" applyAlignment="1">
      <alignment horizontal="center"/>
    </xf>
    <xf numFmtId="0" fontId="1" fillId="10" borderId="0" xfId="0" applyFont="1" applyFill="1" applyBorder="1"/>
    <xf numFmtId="0" fontId="1" fillId="10" borderId="59" xfId="0" applyFont="1" applyFill="1" applyBorder="1"/>
    <xf numFmtId="0" fontId="7" fillId="9" borderId="14" xfId="0" applyFont="1" applyFill="1" applyBorder="1" applyAlignment="1">
      <alignment horizontal="center"/>
    </xf>
    <xf numFmtId="0" fontId="7" fillId="9" borderId="32" xfId="0" applyFont="1" applyFill="1" applyBorder="1" applyAlignment="1">
      <alignment horizontal="center"/>
    </xf>
    <xf numFmtId="0" fontId="7" fillId="9" borderId="31" xfId="0" applyFont="1" applyFill="1" applyBorder="1" applyAlignment="1">
      <alignment horizontal="center"/>
    </xf>
    <xf numFmtId="0" fontId="7" fillId="9" borderId="14" xfId="0" applyFont="1" applyFill="1" applyBorder="1"/>
    <xf numFmtId="0" fontId="7" fillId="9" borderId="32" xfId="0" applyFont="1" applyFill="1" applyBorder="1"/>
    <xf numFmtId="0" fontId="7" fillId="9" borderId="31" xfId="0" applyFont="1" applyFill="1" applyBorder="1"/>
    <xf numFmtId="3" fontId="11" fillId="9" borderId="0" xfId="0" applyNumberFormat="1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9" borderId="0" xfId="0" applyNumberFormat="1" applyFont="1" applyFill="1" applyBorder="1" applyAlignment="1">
      <alignment horizontal="center"/>
    </xf>
    <xf numFmtId="3" fontId="12" fillId="9" borderId="0" xfId="0" applyNumberFormat="1" applyFont="1" applyFill="1" applyBorder="1" applyAlignment="1">
      <alignment horizontal="center"/>
    </xf>
    <xf numFmtId="3" fontId="7" fillId="9" borderId="32" xfId="0" applyNumberFormat="1" applyFont="1" applyFill="1" applyBorder="1" applyAlignment="1">
      <alignment horizontal="center"/>
    </xf>
    <xf numFmtId="0" fontId="0" fillId="2" borderId="57" xfId="0" applyFill="1" applyBorder="1" applyAlignment="1">
      <alignment horizontal="left" vertical="center" indent="1"/>
    </xf>
    <xf numFmtId="0" fontId="2" fillId="2" borderId="50" xfId="0" applyFont="1" applyFill="1" applyBorder="1" applyAlignment="1">
      <alignment horizontal="center"/>
    </xf>
    <xf numFmtId="0" fontId="0" fillId="2" borderId="58" xfId="0" applyFill="1" applyBorder="1" applyAlignment="1">
      <alignment horizontal="left" vertical="center" indent="1"/>
    </xf>
    <xf numFmtId="0" fontId="13" fillId="9" borderId="50" xfId="0" applyFont="1" applyFill="1" applyBorder="1"/>
    <xf numFmtId="0" fontId="2" fillId="2" borderId="32" xfId="0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left" vertical="center"/>
    </xf>
    <xf numFmtId="164" fontId="0" fillId="2" borderId="56" xfId="0" applyNumberFormat="1" applyFill="1" applyBorder="1" applyAlignment="1">
      <alignment horizontal="left" vertical="center"/>
    </xf>
    <xf numFmtId="164" fontId="0" fillId="2" borderId="2" xfId="0" applyNumberFormat="1" applyFill="1" applyBorder="1" applyAlignment="1">
      <alignment horizontal="left" vertical="center"/>
    </xf>
    <xf numFmtId="164" fontId="13" fillId="9" borderId="32" xfId="0" applyNumberFormat="1" applyFont="1" applyFill="1" applyBorder="1"/>
    <xf numFmtId="0" fontId="13" fillId="9" borderId="47" xfId="0" applyFont="1" applyFill="1" applyBorder="1" applyAlignment="1">
      <alignment horizontal="center"/>
    </xf>
    <xf numFmtId="165" fontId="13" fillId="9" borderId="31" xfId="1" applyFont="1" applyFill="1" applyBorder="1"/>
    <xf numFmtId="0" fontId="13" fillId="0" borderId="0" xfId="0" applyFont="1" applyFill="1" applyBorder="1"/>
    <xf numFmtId="164" fontId="13" fillId="0" borderId="0" xfId="0" applyNumberFormat="1" applyFont="1" applyFill="1" applyBorder="1"/>
    <xf numFmtId="9" fontId="13" fillId="0" borderId="0" xfId="2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165" fontId="6" fillId="4" borderId="22" xfId="1" applyFill="1" applyBorder="1" applyAlignment="1" applyProtection="1">
      <alignment horizontal="center" vertical="center"/>
    </xf>
    <xf numFmtId="0" fontId="0" fillId="4" borderId="23" xfId="0" applyFill="1" applyBorder="1" applyAlignment="1">
      <alignment horizontal="center" vertical="center"/>
    </xf>
    <xf numFmtId="165" fontId="6" fillId="4" borderId="24" xfId="1" applyFill="1" applyBorder="1" applyAlignment="1" applyProtection="1">
      <alignment horizontal="center" vertical="center"/>
    </xf>
    <xf numFmtId="165" fontId="6" fillId="4" borderId="25" xfId="1" applyFill="1" applyBorder="1" applyAlignment="1" applyProtection="1">
      <alignment horizontal="center" vertical="center"/>
    </xf>
    <xf numFmtId="9" fontId="0" fillId="0" borderId="35" xfId="2" applyFont="1" applyBorder="1" applyAlignment="1">
      <alignment horizontal="center"/>
    </xf>
    <xf numFmtId="171" fontId="0" fillId="0" borderId="47" xfId="0" applyNumberFormat="1" applyBorder="1"/>
    <xf numFmtId="171" fontId="0" fillId="0" borderId="15" xfId="0" applyNumberFormat="1" applyBorder="1"/>
    <xf numFmtId="9" fontId="0" fillId="0" borderId="61" xfId="2" applyFont="1" applyBorder="1" applyAlignment="1">
      <alignment horizontal="center"/>
    </xf>
    <xf numFmtId="171" fontId="0" fillId="0" borderId="58" xfId="0" applyNumberFormat="1" applyBorder="1"/>
    <xf numFmtId="9" fontId="13" fillId="9" borderId="14" xfId="2" applyFont="1" applyFill="1" applyBorder="1" applyAlignment="1">
      <alignment horizontal="center"/>
    </xf>
    <xf numFmtId="0" fontId="13" fillId="19" borderId="51" xfId="0" applyFont="1" applyFill="1" applyBorder="1" applyAlignment="1">
      <alignment horizontal="center"/>
    </xf>
    <xf numFmtId="10" fontId="13" fillId="19" borderId="60" xfId="0" applyNumberFormat="1" applyFont="1" applyFill="1" applyBorder="1" applyAlignment="1">
      <alignment horizontal="center"/>
    </xf>
    <xf numFmtId="171" fontId="0" fillId="19" borderId="50" xfId="0" applyNumberFormat="1" applyFill="1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9" borderId="37" xfId="0" applyFill="1" applyBorder="1"/>
    <xf numFmtId="165" fontId="6" fillId="9" borderId="38" xfId="1" applyFill="1" applyBorder="1"/>
    <xf numFmtId="0" fontId="0" fillId="9" borderId="20" xfId="0" applyFill="1" applyBorder="1"/>
    <xf numFmtId="3" fontId="0" fillId="9" borderId="22" xfId="0" applyNumberFormat="1" applyFill="1" applyBorder="1" applyAlignment="1">
      <alignment horizontal="center"/>
    </xf>
    <xf numFmtId="0" fontId="0" fillId="9" borderId="23" xfId="0" applyFill="1" applyBorder="1"/>
    <xf numFmtId="165" fontId="6" fillId="9" borderId="25" xfId="1" applyFill="1" applyBorder="1"/>
    <xf numFmtId="165" fontId="6" fillId="9" borderId="51" xfId="1" applyFill="1" applyBorder="1" applyAlignment="1">
      <alignment horizontal="center" wrapText="1"/>
    </xf>
    <xf numFmtId="165" fontId="6" fillId="9" borderId="60" xfId="1" applyFill="1" applyBorder="1" applyAlignment="1">
      <alignment horizontal="center" wrapText="1"/>
    </xf>
    <xf numFmtId="165" fontId="6" fillId="9" borderId="50" xfId="1" applyFill="1" applyBorder="1"/>
    <xf numFmtId="0" fontId="0" fillId="19" borderId="42" xfId="0" applyFill="1" applyBorder="1" applyAlignment="1">
      <alignment horizontal="center"/>
    </xf>
    <xf numFmtId="0" fontId="0" fillId="19" borderId="43" xfId="0" applyFill="1" applyBorder="1" applyAlignment="1">
      <alignment horizontal="center"/>
    </xf>
  </cellXfs>
  <cellStyles count="5">
    <cellStyle name="Hiperlink" xfId="3" builtinId="8"/>
    <cellStyle name="Hyperlink" xfId="4" xr:uid="{00000000-0005-0000-0000-000001000000}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4B084"/>
      <rgbColor rgb="FFCC99FF"/>
      <rgbColor rgb="FFF8CBAD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search?q=qual+celular+que+o+brasil+importa+mais+barato&amp;sca_esv=ef2b8d4842bb75f7&amp;sxsrf=ADLYWILtYJtdKrTEm-mjozO1AsiMAYSdSw%3A1726408724977&amp;ei=FOjmZtyjO66H1sQPq57akQM&amp;ved=0ahUKEwjc_afWjcWIAxWug5UCHSuPNjIQ4dUDCA8&amp;uact=5&amp;oq=qual+celular+que+o+brasil+importa+mais+barato&amp;gs_lp=Egxnd3Mtd2l6LXNlcnAiLXF1YWwgY2VsdWxhciBxdWUgbyBicmFzaWwgaW1wb3J0YSBtYWlzIGJhcmF0bzIIEAAYgAQYogQyCBAAGIAEGKIEMggQABiABBiiBDIIEAAYgAQYogRI0hlQqQNYxxZwAXgBkAEAmAH9AaAB5guqAQUwLjkuMbgBA8gBAPgBAZgCCqACrwvCAgoQABiwAxjWBBhHwgIEECMYJ8ICBRAhGKABwgIFECEYnwWYAwCIBgGQBgiSBwUxLjguMaAHwig&amp;sclient=gws-wiz-serp" TargetMode="External"/><Relationship Id="rId7" Type="http://schemas.openxmlformats.org/officeDocument/2006/relationships/hyperlink" Target="https://gente.globo.com/infografico-pesquisa-panorama-das-classes-abcde/" TargetMode="External"/><Relationship Id="rId2" Type="http://schemas.openxmlformats.org/officeDocument/2006/relationships/hyperlink" Target="https://www.google.com/search?q=qual+%C3%A9+o+celular+da+samsung+mais+caro+produzido+no+brasil&amp;oq=qual+%C3%A9+o+celular+da+samsung+mais+caro+produzido+no+&amp;gs_lcrp=EgZjaHJvbWUqBwgBECEYoAEyBggAEEUYOTIHCAEQIRigAdIBCTIyMTQyajBqOagCCLACAQ&amp;sourceid=chrome&amp;ie=UTF-8" TargetMode="External"/><Relationship Id="rId1" Type="http://schemas.openxmlformats.org/officeDocument/2006/relationships/hyperlink" Target="https://www.barte.com/blog-posts/mercado-de-celulares-no-brasil-continua-em-queda-com-consumidores-mantendo-aparelhos-por-mais-tempo" TargetMode="External"/><Relationship Id="rId6" Type="http://schemas.openxmlformats.org/officeDocument/2006/relationships/hyperlink" Target="https://censo2022.ibge.gov.br/panorama/" TargetMode="External"/><Relationship Id="rId5" Type="http://schemas.openxmlformats.org/officeDocument/2006/relationships/hyperlink" Target="https://www.google.com/search?q=qual+celular+mais+caro+vendio+atualmete+no+brasil&amp;sca_esv=ef2b8d4842bb75f7&amp;sxsrf=ADLYWIJD6nfWMBpx3ldXNG9mnYtuTqDBxA%3A1726409019805&amp;ei=O-nmZvrtMNSP5OUPn-Th8Qk&amp;ved=0ahUKEwi69_LijsWIAxXUB7kGHR9yOJ4Q4dUDCA8&amp;uact=5&amp;oq=qual+celular+mais+caro+vendio+atualmete+no+brasil&amp;gs_lp=Egxnd3Mtd2l6LXNlcnAiMXF1YWwgY2VsdWxhciBtYWlzIGNhcm8gdmVuZGlvIGF0dWFsbWV0ZSBubyBicmFzaWwyBhAAGBYYHjIIEAAYgAQYogQyCBAAGIAEGKIEMggQABiABBiiBDIIEAAYgAQYogRI6JsBULQEWN2YAXADeAGQAQGYAeoBoAGQTaoBBjAuNjQuNLgBA8gBAPgBAZgCNqAC9j3CAgoQABiwAxjWBBhHwgIEECMYJ8ICChAAGAgYDRgeGA_CAggQABgWGAoYHsICChAAGIAEGBQYhwLCAgUQABiABMICBRAhGKABwgIHECEYoAEYCsICCBAAGAgYDRgewgIEECEYCpgDAIgGAZAGCJIHBjMuNDguM6AHrrcD&amp;sclient=gws-wiz-serp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google.com/search?q=qual+celular+que+produzido+no+brasil+mais+barato&amp;sca_esv=ef2b8d4842bb75f7&amp;sxsrf=ADLYWILK5NowCRyIwGfvmdciLACLdozJpw%3A1726409014636&amp;ei=NunmZuzIJpfc5OUP8bOI8AY&amp;ved=0ahUKEwjsu7fgjsWIAxUXLrkGHfEZAm4Q4dUDCA8&amp;uact=5&amp;oq=qual+celular+que+produzido+no+brasil+mais+barato&amp;gs_lp=Egxnd3Mtd2l6LXNlcnAiMHF1YWwgY2VsdWxhciBxdWUgcHJvZHV6aWRvIG5vIGJyYXNpbCBtYWlzIGJhcmF0bzIKEAAYsAMY1gQYRzIKEAAYsAMY1gQYRzIKEAAYsAMY1gQYRzIKEAAYsAMY1gQYRzIKEAAYsAMY1gQYRzIKEAAYsAMY1gQYRzIKEAAYsAMY1gQYRzIKEAAYsAMY1gQYR0jMGFC_Bli1FXACeAGQAQCYAasBoAGrBqoBAzAuNrgBA8gBAPgBAZgCB6ACvgXCAgUQIRigAZgDAOIDBRIBMSBAiAYBkAYIkgcDMi41oAeiFw&amp;sclient=gws-wiz-serp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opLeftCell="A4" zoomScale="90" zoomScaleNormal="90" workbookViewId="0">
      <selection activeCell="B20" sqref="B20"/>
    </sheetView>
  </sheetViews>
  <sheetFormatPr defaultRowHeight="15" x14ac:dyDescent="0.25"/>
  <cols>
    <col min="1" max="1" width="8" style="25" customWidth="1"/>
    <col min="2" max="2" width="120.5703125" style="25" bestFit="1" customWidth="1"/>
    <col min="3" max="3" width="19.85546875" style="25" customWidth="1"/>
    <col min="4" max="4" width="19.85546875" style="25" bestFit="1" customWidth="1"/>
    <col min="5" max="5" width="12.7109375" style="25" bestFit="1" customWidth="1"/>
    <col min="6" max="7" width="7.140625" style="25" bestFit="1" customWidth="1"/>
    <col min="8" max="8" width="6.7109375" style="25" bestFit="1" customWidth="1"/>
    <col min="9" max="9" width="2" style="25" bestFit="1" customWidth="1"/>
    <col min="10" max="12" width="9.140625" style="25"/>
    <col min="13" max="13" width="7.85546875" style="25" bestFit="1" customWidth="1"/>
    <col min="14" max="18" width="9.140625" style="25"/>
    <col min="19" max="19" width="26.140625" style="25" customWidth="1"/>
    <col min="20" max="16384" width="9.140625" style="25"/>
  </cols>
  <sheetData>
    <row r="1" spans="1:19" x14ac:dyDescent="0.25">
      <c r="B1" s="20" t="s">
        <v>78</v>
      </c>
    </row>
    <row r="2" spans="1:19" x14ac:dyDescent="0.25">
      <c r="B2" s="20"/>
    </row>
    <row r="3" spans="1:19" x14ac:dyDescent="0.25">
      <c r="A3" s="21">
        <v>1</v>
      </c>
      <c r="B3" s="20" t="s">
        <v>79</v>
      </c>
    </row>
    <row r="4" spans="1:19" ht="11.25" customHeight="1" x14ac:dyDescent="0.25">
      <c r="A4" s="21"/>
      <c r="B4" s="26">
        <v>39700000</v>
      </c>
      <c r="C4" s="27" t="s">
        <v>80</v>
      </c>
    </row>
    <row r="5" spans="1:19" x14ac:dyDescent="0.25">
      <c r="A5" s="21"/>
      <c r="B5" s="22" t="s">
        <v>81</v>
      </c>
      <c r="C5" s="172" t="s">
        <v>82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</row>
    <row r="6" spans="1:19" x14ac:dyDescent="0.25">
      <c r="C6" s="28"/>
    </row>
    <row r="7" spans="1:19" x14ac:dyDescent="0.25">
      <c r="A7" s="21">
        <v>2</v>
      </c>
      <c r="B7" s="20" t="s">
        <v>83</v>
      </c>
    </row>
    <row r="8" spans="1:19" x14ac:dyDescent="0.25">
      <c r="B8" s="21"/>
      <c r="C8" s="21"/>
      <c r="D8" s="21"/>
      <c r="E8" s="21"/>
    </row>
    <row r="9" spans="1:19" ht="15" customHeight="1" x14ac:dyDescent="0.25">
      <c r="A9" s="21"/>
      <c r="B9" s="29" t="s">
        <v>71</v>
      </c>
      <c r="C9" s="21" t="s">
        <v>84</v>
      </c>
      <c r="D9" s="21" t="s">
        <v>85</v>
      </c>
      <c r="E9" s="23" t="s">
        <v>86</v>
      </c>
    </row>
    <row r="10" spans="1:19" x14ac:dyDescent="0.25">
      <c r="B10" s="21">
        <v>1</v>
      </c>
      <c r="C10" s="39" t="s">
        <v>87</v>
      </c>
      <c r="D10" s="40">
        <v>12099</v>
      </c>
      <c r="E10" s="170" t="s">
        <v>88</v>
      </c>
      <c r="F10" s="170"/>
      <c r="G10" s="170"/>
      <c r="H10" s="20" t="s">
        <v>89</v>
      </c>
      <c r="I10" s="171" t="s">
        <v>90</v>
      </c>
      <c r="J10" s="171"/>
      <c r="K10" s="171"/>
      <c r="L10" s="171"/>
      <c r="M10" s="171"/>
      <c r="N10" s="171"/>
      <c r="O10" s="171"/>
      <c r="P10" s="171"/>
      <c r="Q10" s="171"/>
      <c r="R10" s="171"/>
      <c r="S10" s="171"/>
    </row>
    <row r="11" spans="1:19" ht="15" customHeight="1" x14ac:dyDescent="0.25">
      <c r="B11" s="29">
        <v>2</v>
      </c>
      <c r="C11" s="39" t="s">
        <v>91</v>
      </c>
      <c r="D11" s="41" t="s">
        <v>92</v>
      </c>
      <c r="E11" s="170" t="s">
        <v>93</v>
      </c>
      <c r="F11" s="170"/>
      <c r="G11" s="170"/>
      <c r="H11" s="20" t="s">
        <v>89</v>
      </c>
      <c r="I11" s="171" t="s">
        <v>94</v>
      </c>
      <c r="J11" s="171"/>
      <c r="K11" s="171"/>
      <c r="L11" s="171"/>
      <c r="M11" s="171"/>
      <c r="N11" s="171"/>
      <c r="O11" s="171"/>
      <c r="P11" s="171"/>
      <c r="Q11" s="171"/>
      <c r="R11" s="171"/>
      <c r="S11" s="171"/>
    </row>
    <row r="12" spans="1:19" x14ac:dyDescent="0.25">
      <c r="B12" s="29">
        <v>3</v>
      </c>
      <c r="C12" s="39" t="s">
        <v>95</v>
      </c>
      <c r="D12" s="42" t="s">
        <v>96</v>
      </c>
      <c r="E12" s="170" t="s">
        <v>97</v>
      </c>
      <c r="F12" s="170"/>
      <c r="G12" s="170"/>
      <c r="H12" s="20" t="s">
        <v>89</v>
      </c>
      <c r="I12" s="171" t="s">
        <v>98</v>
      </c>
      <c r="J12" s="171"/>
      <c r="K12" s="171"/>
      <c r="L12" s="171"/>
      <c r="M12" s="171"/>
      <c r="N12" s="171"/>
      <c r="O12" s="171"/>
      <c r="P12" s="171"/>
      <c r="Q12" s="171"/>
      <c r="R12" s="171"/>
      <c r="S12" s="171"/>
    </row>
    <row r="13" spans="1:19" x14ac:dyDescent="0.25">
      <c r="B13" s="29">
        <v>4</v>
      </c>
      <c r="C13" s="43" t="s">
        <v>99</v>
      </c>
      <c r="D13" s="44" t="s">
        <v>100</v>
      </c>
      <c r="E13" s="170" t="s">
        <v>101</v>
      </c>
      <c r="F13" s="170"/>
      <c r="G13" s="170"/>
      <c r="H13" s="20" t="s">
        <v>89</v>
      </c>
      <c r="I13" s="171" t="s">
        <v>102</v>
      </c>
      <c r="J13" s="171"/>
      <c r="K13" s="171"/>
      <c r="L13" s="171"/>
      <c r="M13" s="171"/>
      <c r="N13" s="171"/>
      <c r="O13" s="171"/>
      <c r="P13" s="171"/>
      <c r="Q13" s="171"/>
      <c r="R13" s="171"/>
      <c r="S13" s="171"/>
    </row>
    <row r="14" spans="1:19" x14ac:dyDescent="0.25">
      <c r="B14" s="29"/>
      <c r="D14" s="30"/>
      <c r="E14" s="20"/>
    </row>
    <row r="15" spans="1:19" x14ac:dyDescent="0.25">
      <c r="B15" s="25" t="s">
        <v>103</v>
      </c>
    </row>
    <row r="16" spans="1:19" ht="15.75" thickBot="1" x14ac:dyDescent="0.3"/>
    <row r="17" spans="1:11" ht="15.75" thickBot="1" x14ac:dyDescent="0.3">
      <c r="A17" s="21">
        <v>3</v>
      </c>
      <c r="B17" s="240" t="s">
        <v>104</v>
      </c>
      <c r="C17" s="241"/>
      <c r="D17" s="241"/>
      <c r="E17" s="241"/>
      <c r="F17" s="241"/>
      <c r="G17" s="241"/>
      <c r="H17" s="241"/>
      <c r="I17" s="242"/>
    </row>
    <row r="18" spans="1:11" x14ac:dyDescent="0.25">
      <c r="B18" s="226"/>
      <c r="C18" s="228" t="s">
        <v>105</v>
      </c>
      <c r="D18" s="227" t="s">
        <v>106</v>
      </c>
      <c r="E18" s="228" t="s">
        <v>107</v>
      </c>
      <c r="F18" s="228" t="s">
        <v>108</v>
      </c>
      <c r="G18" s="228" t="s">
        <v>109</v>
      </c>
      <c r="H18" s="228" t="s">
        <v>110</v>
      </c>
      <c r="I18" s="229" t="s">
        <v>111</v>
      </c>
    </row>
    <row r="19" spans="1:11" x14ac:dyDescent="0.25">
      <c r="B19" s="226" t="s">
        <v>112</v>
      </c>
      <c r="C19" s="246">
        <v>29937706</v>
      </c>
      <c r="D19" s="227"/>
      <c r="E19" s="230">
        <v>0.03</v>
      </c>
      <c r="F19" s="230">
        <v>0.27</v>
      </c>
      <c r="G19" s="230">
        <v>0.5</v>
      </c>
      <c r="H19" s="231">
        <v>0.2</v>
      </c>
      <c r="I19" s="232"/>
      <c r="J19" s="32"/>
    </row>
    <row r="20" spans="1:11" x14ac:dyDescent="0.25">
      <c r="B20" s="226"/>
      <c r="C20" s="247"/>
      <c r="D20" s="227"/>
      <c r="E20" s="233"/>
      <c r="F20" s="233"/>
      <c r="G20" s="233"/>
      <c r="H20" s="233"/>
      <c r="I20" s="234"/>
    </row>
    <row r="21" spans="1:11" x14ac:dyDescent="0.25">
      <c r="B21" s="226" t="s">
        <v>113</v>
      </c>
      <c r="C21" s="248">
        <v>84840113</v>
      </c>
      <c r="D21" s="227"/>
      <c r="E21" s="235">
        <v>0.04</v>
      </c>
      <c r="F21" s="235">
        <v>0.27</v>
      </c>
      <c r="G21" s="235">
        <v>0.5</v>
      </c>
      <c r="H21" s="236">
        <v>0.19</v>
      </c>
      <c r="I21" s="237"/>
    </row>
    <row r="22" spans="1:11" x14ac:dyDescent="0.25">
      <c r="B22" s="226"/>
      <c r="C22" s="247"/>
      <c r="D22" s="227"/>
      <c r="E22" s="233"/>
      <c r="F22" s="233"/>
      <c r="G22" s="233"/>
      <c r="H22" s="233"/>
      <c r="I22" s="234"/>
    </row>
    <row r="23" spans="1:11" x14ac:dyDescent="0.25">
      <c r="B23" s="226" t="s">
        <v>114</v>
      </c>
      <c r="C23" s="246">
        <v>54658515</v>
      </c>
      <c r="D23" s="227"/>
      <c r="E23" s="230">
        <v>0.01</v>
      </c>
      <c r="F23" s="230">
        <v>0.12</v>
      </c>
      <c r="G23" s="230">
        <v>0.41</v>
      </c>
      <c r="H23" s="231">
        <v>0.46</v>
      </c>
      <c r="I23" s="232"/>
      <c r="J23" s="32"/>
    </row>
    <row r="24" spans="1:11" x14ac:dyDescent="0.25">
      <c r="B24" s="226"/>
      <c r="C24" s="247"/>
      <c r="D24" s="227"/>
      <c r="E24" s="233"/>
      <c r="F24" s="233"/>
      <c r="G24" s="233"/>
      <c r="H24" s="233"/>
      <c r="I24" s="234"/>
    </row>
    <row r="25" spans="1:11" x14ac:dyDescent="0.25">
      <c r="B25" s="226" t="s">
        <v>115</v>
      </c>
      <c r="C25" s="248">
        <v>16289538</v>
      </c>
      <c r="D25" s="227"/>
      <c r="E25" s="230">
        <v>0.05</v>
      </c>
      <c r="F25" s="230">
        <v>0.24</v>
      </c>
      <c r="G25" s="230">
        <v>0.5</v>
      </c>
      <c r="H25" s="231">
        <v>0.21</v>
      </c>
      <c r="I25" s="232"/>
      <c r="J25" s="32"/>
    </row>
    <row r="26" spans="1:11" x14ac:dyDescent="0.25">
      <c r="B26" s="226"/>
      <c r="C26" s="247"/>
      <c r="D26" s="227"/>
      <c r="E26" s="233"/>
      <c r="F26" s="233"/>
      <c r="G26" s="233"/>
      <c r="H26" s="233"/>
      <c r="I26" s="234"/>
    </row>
    <row r="27" spans="1:11" x14ac:dyDescent="0.25">
      <c r="B27" s="226" t="s">
        <v>116</v>
      </c>
      <c r="C27" s="249">
        <v>17354884</v>
      </c>
      <c r="D27" s="227"/>
      <c r="E27" s="235">
        <v>0.01</v>
      </c>
      <c r="F27" s="235">
        <v>0.12</v>
      </c>
      <c r="G27" s="235">
        <v>0.43</v>
      </c>
      <c r="H27" s="236">
        <v>0.44</v>
      </c>
      <c r="I27" s="237"/>
    </row>
    <row r="28" spans="1:11" ht="15.75" thickBot="1" x14ac:dyDescent="0.3">
      <c r="B28" s="226"/>
      <c r="C28" s="247"/>
      <c r="D28" s="227"/>
      <c r="E28" s="238"/>
      <c r="F28" s="238"/>
      <c r="G28" s="238"/>
      <c r="H28" s="238"/>
      <c r="I28" s="239"/>
      <c r="J28" s="33"/>
      <c r="K28" s="33"/>
    </row>
    <row r="29" spans="1:11" ht="15.75" thickBot="1" x14ac:dyDescent="0.3">
      <c r="B29" s="243" t="s">
        <v>182</v>
      </c>
      <c r="C29" s="250">
        <f>SUM(C19:C27)</f>
        <v>203080756</v>
      </c>
      <c r="D29" s="244"/>
      <c r="E29" s="244"/>
      <c r="F29" s="244"/>
      <c r="G29" s="244"/>
      <c r="H29" s="244"/>
      <c r="I29" s="245"/>
      <c r="J29" s="33"/>
      <c r="K29" s="33"/>
    </row>
    <row r="30" spans="1:11" x14ac:dyDescent="0.25">
      <c r="B30" s="20" t="s">
        <v>81</v>
      </c>
      <c r="C30" s="34" t="s">
        <v>117</v>
      </c>
    </row>
    <row r="31" spans="1:11" x14ac:dyDescent="0.25">
      <c r="B31" s="20"/>
      <c r="C31" s="34" t="s">
        <v>118</v>
      </c>
      <c r="D31" s="35"/>
      <c r="E31" s="35"/>
      <c r="F31" s="35"/>
      <c r="G31" s="35"/>
      <c r="H31" s="35"/>
      <c r="I31" s="35"/>
      <c r="J31" s="35"/>
      <c r="K31" s="35"/>
    </row>
    <row r="33" spans="1:4" x14ac:dyDescent="0.25">
      <c r="B33" s="25" t="s">
        <v>119</v>
      </c>
    </row>
    <row r="35" spans="1:4" x14ac:dyDescent="0.25">
      <c r="A35" s="21">
        <v>4</v>
      </c>
      <c r="B35" s="20" t="s">
        <v>120</v>
      </c>
      <c r="C35" s="25" t="s">
        <v>121</v>
      </c>
    </row>
    <row r="36" spans="1:4" x14ac:dyDescent="0.25">
      <c r="A36" s="21"/>
      <c r="C36" s="25" t="s">
        <v>122</v>
      </c>
    </row>
    <row r="37" spans="1:4" x14ac:dyDescent="0.25">
      <c r="B37" s="21" t="s">
        <v>123</v>
      </c>
      <c r="C37" s="21" t="s">
        <v>124</v>
      </c>
      <c r="D37" s="31" t="s">
        <v>125</v>
      </c>
    </row>
    <row r="38" spans="1:4" x14ac:dyDescent="0.25">
      <c r="B38" s="21"/>
      <c r="C38" s="21"/>
    </row>
    <row r="39" spans="1:4" x14ac:dyDescent="0.25">
      <c r="B39" s="21" t="s">
        <v>126</v>
      </c>
      <c r="C39" s="24">
        <v>8.3000000000000004E-2</v>
      </c>
      <c r="D39" s="36">
        <f>B4*C39</f>
        <v>3295100</v>
      </c>
    </row>
    <row r="40" spans="1:4" x14ac:dyDescent="0.25">
      <c r="B40" s="21" t="s">
        <v>127</v>
      </c>
      <c r="C40" s="24">
        <v>8.3000000000000004E-2</v>
      </c>
      <c r="D40" s="36">
        <f>B4*C40</f>
        <v>3295100</v>
      </c>
    </row>
    <row r="41" spans="1:4" x14ac:dyDescent="0.25">
      <c r="B41" s="21" t="s">
        <v>128</v>
      </c>
      <c r="C41" s="24">
        <v>8.3000000000000004E-2</v>
      </c>
      <c r="D41" s="36">
        <f>B4*C41</f>
        <v>3295100</v>
      </c>
    </row>
    <row r="42" spans="1:4" x14ac:dyDescent="0.25">
      <c r="B42" s="21" t="s">
        <v>129</v>
      </c>
      <c r="C42" s="24">
        <v>8.3000000000000004E-2</v>
      </c>
      <c r="D42" s="36">
        <f>B4*C42</f>
        <v>3295100</v>
      </c>
    </row>
    <row r="43" spans="1:4" x14ac:dyDescent="0.25">
      <c r="B43" s="21" t="s">
        <v>130</v>
      </c>
      <c r="C43" s="24">
        <v>8.3000000000000004E-2</v>
      </c>
      <c r="D43" s="36">
        <f>B4*C43</f>
        <v>3295100</v>
      </c>
    </row>
    <row r="44" spans="1:4" x14ac:dyDescent="0.25">
      <c r="B44" s="21" t="s">
        <v>131</v>
      </c>
      <c r="C44" s="24">
        <v>8.3000000000000004E-2</v>
      </c>
      <c r="D44" s="36">
        <f>B4*C44</f>
        <v>3295100</v>
      </c>
    </row>
    <row r="45" spans="1:4" x14ac:dyDescent="0.25">
      <c r="B45" s="21" t="s">
        <v>132</v>
      </c>
      <c r="C45" s="24">
        <v>8.3000000000000004E-2</v>
      </c>
      <c r="D45" s="36">
        <f>B4*C45</f>
        <v>3295100</v>
      </c>
    </row>
    <row r="46" spans="1:4" x14ac:dyDescent="0.25">
      <c r="B46" s="21" t="s">
        <v>133</v>
      </c>
      <c r="C46" s="24">
        <v>8.3000000000000004E-2</v>
      </c>
      <c r="D46" s="36">
        <f>B4*C46</f>
        <v>3295100</v>
      </c>
    </row>
    <row r="47" spans="1:4" x14ac:dyDescent="0.25">
      <c r="B47" s="21" t="s">
        <v>134</v>
      </c>
      <c r="C47" s="24">
        <v>8.3000000000000004E-2</v>
      </c>
      <c r="D47" s="36">
        <f>B4*C47</f>
        <v>3295100</v>
      </c>
    </row>
    <row r="48" spans="1:4" x14ac:dyDescent="0.25">
      <c r="B48" s="21" t="s">
        <v>135</v>
      </c>
      <c r="C48" s="24">
        <v>8.3000000000000004E-2</v>
      </c>
      <c r="D48" s="36">
        <f>B4*C48</f>
        <v>3295100</v>
      </c>
    </row>
    <row r="49" spans="1:4" x14ac:dyDescent="0.25">
      <c r="B49" s="21" t="s">
        <v>136</v>
      </c>
      <c r="C49" s="24">
        <v>8.3000000000000004E-2</v>
      </c>
      <c r="D49" s="36">
        <f>B4*C49</f>
        <v>3295100</v>
      </c>
    </row>
    <row r="50" spans="1:4" x14ac:dyDescent="0.25">
      <c r="B50" s="21" t="s">
        <v>137</v>
      </c>
      <c r="C50" s="24">
        <v>8.3000000000000004E-2</v>
      </c>
      <c r="D50" s="36">
        <f>B4*C50</f>
        <v>3295100</v>
      </c>
    </row>
    <row r="52" spans="1:4" x14ac:dyDescent="0.25">
      <c r="B52" s="21" t="s">
        <v>138</v>
      </c>
      <c r="C52" s="45">
        <f>SUM(C39:C50)</f>
        <v>0.99599999999999989</v>
      </c>
      <c r="D52" s="46">
        <f>SUM(D39:D50)</f>
        <v>39541200</v>
      </c>
    </row>
    <row r="54" spans="1:4" x14ac:dyDescent="0.25">
      <c r="B54" s="23" t="s">
        <v>81</v>
      </c>
      <c r="C54" s="28"/>
    </row>
    <row r="55" spans="1:4" x14ac:dyDescent="0.25">
      <c r="B55" s="23"/>
      <c r="C55" s="28"/>
    </row>
    <row r="56" spans="1:4" x14ac:dyDescent="0.25">
      <c r="B56" s="23"/>
      <c r="C56" s="28"/>
    </row>
    <row r="57" spans="1:4" x14ac:dyDescent="0.25">
      <c r="B57" s="23"/>
      <c r="C57" s="28"/>
    </row>
    <row r="59" spans="1:4" x14ac:dyDescent="0.25">
      <c r="B59" s="25" t="s">
        <v>139</v>
      </c>
    </row>
    <row r="60" spans="1:4" x14ac:dyDescent="0.25">
      <c r="B60" s="25" t="s">
        <v>140</v>
      </c>
    </row>
    <row r="62" spans="1:4" x14ac:dyDescent="0.25">
      <c r="A62" s="21">
        <v>5</v>
      </c>
      <c r="B62" s="20" t="s">
        <v>141</v>
      </c>
    </row>
    <row r="64" spans="1:4" x14ac:dyDescent="0.25">
      <c r="B64" s="25" t="s">
        <v>142</v>
      </c>
    </row>
    <row r="65" spans="2:3" x14ac:dyDescent="0.25">
      <c r="B65" s="25" t="s">
        <v>143</v>
      </c>
    </row>
    <row r="66" spans="2:3" x14ac:dyDescent="0.25">
      <c r="B66" s="37" t="s">
        <v>144</v>
      </c>
      <c r="C66" s="25" t="s">
        <v>145</v>
      </c>
    </row>
    <row r="68" spans="2:3" x14ac:dyDescent="0.25">
      <c r="B68" s="38">
        <v>0.2</v>
      </c>
      <c r="C68" s="25" t="s">
        <v>146</v>
      </c>
    </row>
    <row r="70" spans="2:3" x14ac:dyDescent="0.25">
      <c r="B70" s="25" t="s">
        <v>147</v>
      </c>
    </row>
  </sheetData>
  <mergeCells count="15">
    <mergeCell ref="E12:G12"/>
    <mergeCell ref="I12:S12"/>
    <mergeCell ref="C5:S5"/>
    <mergeCell ref="E10:G10"/>
    <mergeCell ref="I10:S10"/>
    <mergeCell ref="E11:G11"/>
    <mergeCell ref="I11:S11"/>
    <mergeCell ref="H27:I27"/>
    <mergeCell ref="E13:G13"/>
    <mergeCell ref="I13:S13"/>
    <mergeCell ref="H19:I19"/>
    <mergeCell ref="H21:I21"/>
    <mergeCell ref="H23:I23"/>
    <mergeCell ref="H25:I25"/>
    <mergeCell ref="B17:I17"/>
  </mergeCells>
  <hyperlinks>
    <hyperlink ref="C5:S5" r:id="rId1" location=":~:text=O%20total%20de%20aparelhos%20vendidos,a%20apenas%203%2C5%25" display="https://www.barte.com/blog-posts/mercado-de-celulares-no-brasil-continua-em-queda-com-consumidores-mantendo-aparelhos-por-mais-tempo#:~:text=O%20total%20de%20aparelhos%20vendidos,a%20apenas%203%2C5%25." xr:uid="{00000000-0004-0000-0000-000000000000}"/>
    <hyperlink ref="I11:S11" r:id="rId2" display="https://www.google.com/search?q=qual+%C3%A9+o+celular+da+samsung+mais+caro+produzido+no+brasil&amp;oq=qual+%C3%A9+o+celular+da+samsung+mais+caro+produzido+no+&amp;gs_lcrp=EgZjaHJvbWUqBwgBECEYoAEyBggAEEUYOTIHCAEQIRigAdIBCTIyMTQyajBqOagCCLACAQ&amp;sourceid=chrome&amp;ie=UTF-8" xr:uid="{00000000-0004-0000-0000-000001000000}"/>
    <hyperlink ref="I12:S12" r:id="rId3" display="https://www.google.com/search?q=qual+celular+que+o+brasil+importa+mais+barato&amp;sca_esv=ef2b8d4842bb75f7&amp;sxsrf=ADLYWILtYJtdKrTEm-mjozO1AsiMAYSdSw%3A1726408724977&amp;ei=FOjmZtyjO66H1sQPq57akQM&amp;ved=0ahUKEwjc_afWjcWIAxWug5UCHSuPNjIQ4dUDCA8&amp;uact=5&amp;oq=qual+celular+que+o+brasil+importa+mais+barato&amp;gs_lp=Egxnd3Mtd2l6LXNlcnAiLXF1YWwgY2VsdWxhciBxdWUgbyBicmFzaWwgaW1wb3J0YSBtYWlzIGJhcmF0bzIIEAAYgAQYogQyCBAAGIAEGKIEMggQABiABBiiBDIIEAAYgAQYogRI0hlQqQNYxxZwAXgBkAEAmAH9AaAB5guqAQUwLjkuMbgBA8gBAPgBAZgCCqACrwvCAgoQABiwAxjWBBhHwgIEECMYJ8ICBRAhGKABwgIFECEYnwWYAwCIBgGQBgiSBwUxLjguMaAHwig&amp;sclient=gws-wiz-serp" xr:uid="{00000000-0004-0000-0000-000002000000}"/>
    <hyperlink ref="I13:S13" r:id="rId4" display="https://www.google.com/search?q=qual+celular+que+produzido+no+brasil+mais+barato&amp;sca_esv=ef2b8d4842bb75f7&amp;sxsrf=ADLYWILK5NowCRyIwGfvmdciLACLdozJpw%3A1726409014636&amp;ei=NunmZuzIJpfc5OUP8bOI8AY&amp;ved=0ahUKEwjsu7fgjsWIAxUXLrkGHfEZAm4Q4dUDCA8&amp;uact=5&amp;oq=qual+celular+que+produzido+no+brasil+mais+barato&amp;gs_lp=Egxnd3Mtd2l6LXNlcnAiMHF1YWwgY2VsdWxhciBxdWUgcHJvZHV6aWRvIG5vIGJyYXNpbCBtYWlzIGJhcmF0bzIKEAAYsAMY1gQYRzIKEAAYsAMY1gQYRzIKEAAYsAMY1gQYRzIKEAAYsAMY1gQYRzIKEAAYsAMY1gQYRzIKEAAYsAMY1gQYRzIKEAAYsAMY1gQYRzIKEAAYsAMY1gQYR0jMGFC_Bli1FXACeAGQAQCYAasBoAGrBqoBAzAuNrgBA8gBAPgBAZgCB6ACvgXCAgUQIRigAZgDAOIDBRIBMSBAiAYBkAYIkgcDMi41oAeiFw&amp;sclient=gws-wiz-serp" xr:uid="{00000000-0004-0000-0000-000003000000}"/>
    <hyperlink ref="I10:S10" r:id="rId5" display="https://www.google.com/search?q=qual+celular+mais+caro+vendio+atualmete+no+brasil&amp;sca_esv=ef2b8d4842bb75f7&amp;sxsrf=ADLYWIJD6nfWMBpx3ldXNG9mnYtuTqDBxA%3A1726409019805&amp;ei=O-nmZvrtMNSP5OUPn-Th8Qk&amp;ved=0ahUKEwi69_LijsWIAxXUB7kGHR9yOJ4Q4dUDCA8&amp;uact=5&amp;oq=qual+celular+mais+caro+vendio+atualmete+no+brasil&amp;gs_lp=Egxnd3Mtd2l6LXNlcnAiMXF1YWwgY2VsdWxhciBtYWlzIGNhcm8gdmVuZGlvIGF0dWFsbWV0ZSBubyBicmFzaWwyBhAAGBYYHjIIEAAYgAQYogQyCBAAGIAEGKIEMggQABiABBiiBDIIEAAYgAQYogRI6JsBULQEWN2YAXADeAGQAQGYAeoBoAGQTaoBBjAuNjQuNLgBA8gBAPgBAZgCNqAC9j3CAgoQABiwAxjWBBhHwgIEECMYJ8ICChAAGAgYDRgeGA_CAggQABgWGAoYHsICChAAGIAEGBQYhwLCAgUQABiABMICBRAhGKABwgIHECEYoAEYCsICCBAAGAgYDRgewgIEECEYCpgDAIgGAZAGCJIHBjMuNDguM6AHrrcD&amp;sclient=gws-wiz-serp" xr:uid="{00000000-0004-0000-0000-000004000000}"/>
    <hyperlink ref="C30" r:id="rId6" xr:uid="{00000000-0004-0000-0000-000005000000}"/>
    <hyperlink ref="C31" r:id="rId7" xr:uid="{00000000-0004-0000-0000-000006000000}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"/>
  <sheetViews>
    <sheetView showGridLines="0" zoomScale="90" zoomScaleNormal="90" workbookViewId="0">
      <selection activeCell="C44" sqref="C44"/>
    </sheetView>
  </sheetViews>
  <sheetFormatPr defaultColWidth="8.7109375" defaultRowHeight="15" x14ac:dyDescent="0.25"/>
  <cols>
    <col min="1" max="1" width="57" bestFit="1" customWidth="1"/>
    <col min="2" max="2" width="34.7109375" bestFit="1" customWidth="1"/>
    <col min="3" max="3" width="16.140625" bestFit="1" customWidth="1"/>
    <col min="4" max="4" width="17.42578125" customWidth="1"/>
    <col min="5" max="5" width="29.140625" customWidth="1"/>
    <col min="6" max="6" width="16.85546875" customWidth="1"/>
    <col min="7" max="7" width="2.140625" bestFit="1" customWidth="1"/>
    <col min="8" max="8" width="10.5703125" bestFit="1" customWidth="1"/>
    <col min="9" max="9" width="26.7109375" customWidth="1"/>
    <col min="10" max="10" width="14.28515625" customWidth="1"/>
    <col min="11" max="11" width="14" customWidth="1"/>
    <col min="12" max="12" width="13.7109375" customWidth="1"/>
    <col min="13" max="13" width="13" customWidth="1"/>
  </cols>
  <sheetData>
    <row r="1" spans="1:13" ht="15.75" thickBot="1" x14ac:dyDescent="0.3"/>
    <row r="2" spans="1:13" ht="15.75" thickBot="1" x14ac:dyDescent="0.3">
      <c r="A2" s="220" t="s">
        <v>0</v>
      </c>
      <c r="B2" s="261">
        <f>Projeto!B4</f>
        <v>39700000</v>
      </c>
    </row>
    <row r="3" spans="1:13" ht="15.75" thickBot="1" x14ac:dyDescent="0.3"/>
    <row r="4" spans="1:13" ht="15.75" customHeight="1" x14ac:dyDescent="0.25">
      <c r="A4" s="221" t="s">
        <v>1</v>
      </c>
      <c r="B4" s="222"/>
      <c r="C4" s="283" t="s">
        <v>146</v>
      </c>
      <c r="D4" s="202" t="s">
        <v>185</v>
      </c>
    </row>
    <row r="5" spans="1:13" ht="15.75" customHeight="1" thickBot="1" x14ac:dyDescent="0.3">
      <c r="A5" s="223"/>
      <c r="B5" s="224"/>
      <c r="C5" s="284">
        <f>Projeto!B68</f>
        <v>0.2</v>
      </c>
      <c r="D5" s="203"/>
    </row>
    <row r="6" spans="1:13" ht="15" customHeight="1" thickBot="1" x14ac:dyDescent="0.3">
      <c r="A6" s="252" t="s">
        <v>3</v>
      </c>
      <c r="B6" s="255" t="s">
        <v>4</v>
      </c>
      <c r="C6" s="260" t="s">
        <v>184</v>
      </c>
      <c r="D6" s="203"/>
    </row>
    <row r="7" spans="1:13" ht="17.25" customHeight="1" x14ac:dyDescent="0.25">
      <c r="A7" s="251" t="s">
        <v>6</v>
      </c>
      <c r="B7" s="256">
        <v>150000000</v>
      </c>
      <c r="C7" s="277">
        <f>B7/$B$10</f>
        <v>0.45454545454545453</v>
      </c>
      <c r="D7" s="278">
        <f>B7*$C$5*C7</f>
        <v>13636363.636363637</v>
      </c>
    </row>
    <row r="8" spans="1:13" x14ac:dyDescent="0.25">
      <c r="A8" s="225" t="s">
        <v>7</v>
      </c>
      <c r="B8" s="257">
        <v>100000000</v>
      </c>
      <c r="C8" s="277">
        <f t="shared" ref="C8:C10" si="0">B8/$B$10</f>
        <v>0.30303030303030304</v>
      </c>
      <c r="D8" s="279">
        <f t="shared" ref="D8:D10" si="1">B8*$C$5*C8</f>
        <v>6060606.0606060605</v>
      </c>
    </row>
    <row r="9" spans="1:13" ht="15.75" thickBot="1" x14ac:dyDescent="0.3">
      <c r="A9" s="253" t="s">
        <v>9</v>
      </c>
      <c r="B9" s="258">
        <v>80000000</v>
      </c>
      <c r="C9" s="280">
        <f t="shared" si="0"/>
        <v>0.24242424242424243</v>
      </c>
      <c r="D9" s="281">
        <f t="shared" si="1"/>
        <v>3878787.8787878789</v>
      </c>
    </row>
    <row r="10" spans="1:13" ht="15" customHeight="1" thickBot="1" x14ac:dyDescent="0.3">
      <c r="A10" s="254" t="s">
        <v>183</v>
      </c>
      <c r="B10" s="259">
        <f>SUM(B7:B9)</f>
        <v>330000000</v>
      </c>
      <c r="C10" s="282">
        <f t="shared" si="0"/>
        <v>1</v>
      </c>
      <c r="D10" s="285">
        <f t="shared" si="1"/>
        <v>66000000</v>
      </c>
    </row>
    <row r="11" spans="1:13" s="48" customFormat="1" ht="15" customHeight="1" thickBot="1" x14ac:dyDescent="0.3">
      <c r="A11" s="262"/>
      <c r="B11" s="263"/>
      <c r="C11" s="264"/>
    </row>
    <row r="12" spans="1:13" x14ac:dyDescent="0.25">
      <c r="A12" s="265" t="s">
        <v>11</v>
      </c>
      <c r="B12" s="266"/>
      <c r="C12" s="267"/>
    </row>
    <row r="13" spans="1:13" x14ac:dyDescent="0.25">
      <c r="A13" s="268" t="s">
        <v>151</v>
      </c>
      <c r="B13" s="80">
        <v>5000</v>
      </c>
      <c r="C13" s="269" t="s">
        <v>152</v>
      </c>
    </row>
    <row r="14" spans="1:13" ht="33.75" customHeight="1" x14ac:dyDescent="0.25">
      <c r="A14" s="270" t="s">
        <v>13</v>
      </c>
      <c r="B14" s="62" t="s">
        <v>14</v>
      </c>
      <c r="C14" s="271" t="s">
        <v>15</v>
      </c>
    </row>
    <row r="15" spans="1:13" x14ac:dyDescent="0.25">
      <c r="A15" s="272">
        <v>25</v>
      </c>
      <c r="B15" s="63">
        <v>525000</v>
      </c>
      <c r="C15" s="273">
        <v>14437</v>
      </c>
      <c r="E15" s="190"/>
      <c r="F15" s="190"/>
      <c r="G15" s="190"/>
      <c r="H15" s="190"/>
      <c r="I15" s="48"/>
      <c r="J15" s="48"/>
      <c r="K15" s="48"/>
      <c r="L15" s="48"/>
      <c r="M15" s="48"/>
    </row>
    <row r="16" spans="1:13" x14ac:dyDescent="0.25">
      <c r="A16" s="272">
        <v>50</v>
      </c>
      <c r="B16" s="63">
        <v>1050000</v>
      </c>
      <c r="C16" s="273">
        <v>36540</v>
      </c>
      <c r="E16" s="49"/>
      <c r="F16" s="50"/>
      <c r="G16" s="50"/>
      <c r="H16" s="50"/>
      <c r="I16" s="48"/>
      <c r="J16" s="48"/>
      <c r="K16" s="48"/>
      <c r="L16" s="48"/>
      <c r="M16" s="48"/>
    </row>
    <row r="17" spans="1:13" x14ac:dyDescent="0.25">
      <c r="A17" s="272">
        <v>100</v>
      </c>
      <c r="B17" s="63">
        <v>2100000</v>
      </c>
      <c r="C17" s="273">
        <v>95550</v>
      </c>
      <c r="E17" s="50"/>
      <c r="F17" s="51"/>
      <c r="G17" s="51"/>
      <c r="H17" s="51"/>
      <c r="I17" s="48"/>
      <c r="J17" s="48"/>
      <c r="K17" s="48"/>
      <c r="L17" s="48"/>
      <c r="M17" s="48"/>
    </row>
    <row r="18" spans="1:13" x14ac:dyDescent="0.25">
      <c r="A18" s="272">
        <v>150</v>
      </c>
      <c r="B18" s="63">
        <v>3150000</v>
      </c>
      <c r="C18" s="273">
        <v>200812</v>
      </c>
      <c r="E18" s="52"/>
      <c r="F18" s="53"/>
      <c r="G18" s="53"/>
      <c r="H18" s="53"/>
      <c r="I18" s="48"/>
      <c r="J18" s="48"/>
      <c r="K18" s="48"/>
      <c r="L18" s="48"/>
      <c r="M18" s="48"/>
    </row>
    <row r="19" spans="1:13" x14ac:dyDescent="0.25">
      <c r="A19" s="272">
        <v>200</v>
      </c>
      <c r="B19" s="63">
        <v>4200000</v>
      </c>
      <c r="C19" s="273">
        <v>311220</v>
      </c>
      <c r="E19" s="52"/>
      <c r="F19" s="53"/>
      <c r="G19" s="53"/>
      <c r="H19" s="53"/>
      <c r="I19" s="48"/>
      <c r="J19" s="48"/>
      <c r="K19" s="48"/>
      <c r="L19" s="48"/>
      <c r="M19" s="48"/>
    </row>
    <row r="20" spans="1:13" x14ac:dyDescent="0.25">
      <c r="A20" s="272">
        <v>250</v>
      </c>
      <c r="B20" s="63">
        <v>5250000</v>
      </c>
      <c r="C20" s="273">
        <v>406455</v>
      </c>
      <c r="E20" s="52"/>
      <c r="F20" s="53"/>
      <c r="G20" s="53"/>
      <c r="H20" s="53"/>
      <c r="I20" s="48"/>
      <c r="J20" s="48"/>
      <c r="K20" s="48"/>
      <c r="L20" s="48"/>
      <c r="M20" s="48"/>
    </row>
    <row r="21" spans="1:13" x14ac:dyDescent="0.25">
      <c r="A21" s="272">
        <v>300</v>
      </c>
      <c r="B21" s="63">
        <v>6300000</v>
      </c>
      <c r="C21" s="273">
        <v>517954</v>
      </c>
      <c r="E21" s="50"/>
      <c r="F21" s="50"/>
      <c r="G21" s="50"/>
      <c r="H21" s="50"/>
      <c r="I21" s="48"/>
      <c r="J21" s="48"/>
      <c r="K21" s="48"/>
      <c r="L21" s="48"/>
      <c r="M21" s="48"/>
    </row>
    <row r="22" spans="1:13" x14ac:dyDescent="0.25">
      <c r="A22" s="272">
        <v>350</v>
      </c>
      <c r="B22" s="63">
        <v>7350000</v>
      </c>
      <c r="C22" s="273">
        <v>637245</v>
      </c>
      <c r="E22" s="49"/>
      <c r="F22" s="49"/>
      <c r="G22" s="54"/>
      <c r="H22" s="50"/>
      <c r="I22" s="48"/>
      <c r="J22" s="48"/>
      <c r="K22" s="48"/>
      <c r="L22" s="48"/>
      <c r="M22" s="48"/>
    </row>
    <row r="23" spans="1:13" ht="15.75" thickBot="1" x14ac:dyDescent="0.3">
      <c r="A23" s="274">
        <v>400</v>
      </c>
      <c r="B23" s="275">
        <v>8400000</v>
      </c>
      <c r="C23" s="276">
        <v>778680</v>
      </c>
      <c r="E23" s="49"/>
      <c r="F23" s="49"/>
      <c r="G23" s="51"/>
      <c r="H23" s="55"/>
      <c r="I23" s="48"/>
      <c r="J23" s="48"/>
      <c r="K23" s="48"/>
      <c r="L23" s="48"/>
      <c r="M23" s="48"/>
    </row>
    <row r="24" spans="1:13" x14ac:dyDescent="0.25">
      <c r="E24" s="48"/>
      <c r="F24" s="48"/>
      <c r="G24" s="48"/>
      <c r="H24" s="48"/>
      <c r="I24" s="48"/>
      <c r="J24" s="48"/>
      <c r="K24" s="48"/>
      <c r="L24" s="48"/>
      <c r="M24" s="48"/>
    </row>
    <row r="25" spans="1:13" x14ac:dyDescent="0.25">
      <c r="A25" s="187" t="s">
        <v>26</v>
      </c>
      <c r="B25" s="187"/>
      <c r="C25" s="187"/>
      <c r="E25" s="56"/>
      <c r="F25" s="48"/>
      <c r="G25" s="48"/>
      <c r="H25" s="48"/>
      <c r="I25" s="48"/>
      <c r="J25" s="48"/>
      <c r="K25" s="48"/>
      <c r="L25" s="48"/>
      <c r="M25" s="48"/>
    </row>
    <row r="26" spans="1:13" x14ac:dyDescent="0.25">
      <c r="A26" s="187" t="s">
        <v>31</v>
      </c>
      <c r="B26" s="187"/>
      <c r="C26" s="64" t="s">
        <v>32</v>
      </c>
      <c r="E26" s="57"/>
      <c r="F26" s="48"/>
      <c r="G26" s="48"/>
      <c r="H26" s="55"/>
      <c r="I26" s="55"/>
      <c r="J26" s="48"/>
      <c r="K26" s="48"/>
      <c r="L26" s="48"/>
      <c r="M26" s="48"/>
    </row>
    <row r="27" spans="1:13" x14ac:dyDescent="0.25">
      <c r="A27" s="178" t="s">
        <v>35</v>
      </c>
      <c r="B27" s="178"/>
      <c r="C27" s="65">
        <v>219.9</v>
      </c>
      <c r="E27" s="57"/>
      <c r="F27" s="58"/>
      <c r="G27" s="48"/>
      <c r="H27" s="55"/>
      <c r="I27" s="55"/>
      <c r="J27" s="48"/>
      <c r="K27" s="48"/>
      <c r="L27" s="48"/>
      <c r="M27" s="48"/>
    </row>
    <row r="28" spans="1:13" ht="15" customHeight="1" x14ac:dyDescent="0.25">
      <c r="A28" s="178" t="s">
        <v>39</v>
      </c>
      <c r="B28" s="178"/>
      <c r="C28" s="65">
        <v>149.9</v>
      </c>
      <c r="E28" s="57"/>
      <c r="F28" s="48"/>
      <c r="G28" s="48"/>
      <c r="H28" s="55"/>
      <c r="I28" s="55"/>
      <c r="J28" s="48"/>
      <c r="K28" s="48"/>
      <c r="L28" s="48"/>
      <c r="M28" s="48"/>
    </row>
    <row r="29" spans="1:13" ht="15" customHeight="1" x14ac:dyDescent="0.25">
      <c r="A29" s="178" t="s">
        <v>43</v>
      </c>
      <c r="B29" s="178"/>
      <c r="C29" s="65">
        <v>99.9</v>
      </c>
      <c r="E29" s="48"/>
      <c r="F29" s="48"/>
      <c r="G29" s="48"/>
      <c r="H29" s="55"/>
      <c r="I29" s="55"/>
      <c r="J29" s="48"/>
      <c r="K29" s="177"/>
      <c r="L29" s="177"/>
      <c r="M29" s="48"/>
    </row>
    <row r="30" spans="1:13" x14ac:dyDescent="0.25">
      <c r="A30" s="178" t="s">
        <v>47</v>
      </c>
      <c r="B30" s="178"/>
      <c r="C30" s="65">
        <v>59.9</v>
      </c>
      <c r="E30" s="48"/>
      <c r="F30" s="48"/>
      <c r="G30" s="48"/>
      <c r="H30" s="55"/>
      <c r="I30" s="55"/>
      <c r="J30" s="48"/>
      <c r="K30" s="177"/>
      <c r="L30" s="177"/>
      <c r="M30" s="48"/>
    </row>
    <row r="31" spans="1:13" ht="15.75" thickBot="1" x14ac:dyDescent="0.3">
      <c r="A31" s="15"/>
      <c r="E31" s="57"/>
      <c r="F31" s="58"/>
      <c r="G31" s="48"/>
      <c r="H31" s="51"/>
      <c r="I31" s="51"/>
      <c r="J31" s="48"/>
      <c r="K31" s="59"/>
      <c r="L31" s="48"/>
      <c r="M31" s="48"/>
    </row>
    <row r="32" spans="1:13" ht="15.75" thickBot="1" x14ac:dyDescent="0.3">
      <c r="A32" s="182" t="s">
        <v>54</v>
      </c>
      <c r="B32" s="183"/>
      <c r="C32" s="109" t="s">
        <v>156</v>
      </c>
      <c r="E32" s="48"/>
      <c r="F32" s="48"/>
      <c r="G32" s="48"/>
      <c r="H32" s="55"/>
      <c r="I32" s="55"/>
      <c r="J32" s="48"/>
      <c r="K32" s="59"/>
      <c r="L32" s="48"/>
      <c r="M32" s="48"/>
    </row>
    <row r="33" spans="1:13" x14ac:dyDescent="0.25">
      <c r="A33" s="116" t="s">
        <v>57</v>
      </c>
      <c r="B33" s="117" t="s">
        <v>58</v>
      </c>
      <c r="C33" s="110">
        <v>0.3</v>
      </c>
      <c r="E33" s="56"/>
      <c r="F33" s="60"/>
      <c r="G33" s="48"/>
      <c r="H33" s="55"/>
      <c r="I33" s="55"/>
      <c r="J33" s="48"/>
      <c r="K33" s="59"/>
      <c r="L33" s="48"/>
      <c r="M33" s="48"/>
    </row>
    <row r="34" spans="1:13" ht="15.75" thickBot="1" x14ac:dyDescent="0.3">
      <c r="A34" s="111" t="s">
        <v>62</v>
      </c>
      <c r="B34" s="112" t="s">
        <v>63</v>
      </c>
      <c r="C34" s="113">
        <v>0.1</v>
      </c>
      <c r="E34" s="51"/>
      <c r="F34" s="51"/>
      <c r="G34" s="48"/>
      <c r="H34" s="55"/>
      <c r="I34" s="55"/>
      <c r="J34" s="48"/>
      <c r="K34" s="59"/>
      <c r="L34" s="48"/>
      <c r="M34" s="48"/>
    </row>
    <row r="35" spans="1:13" ht="15.75" thickBot="1" x14ac:dyDescent="0.3">
      <c r="A35" s="184" t="s">
        <v>165</v>
      </c>
      <c r="B35" s="185"/>
      <c r="C35" s="186"/>
      <c r="E35" s="57"/>
      <c r="F35" s="61"/>
      <c r="G35" s="48"/>
      <c r="H35" s="55"/>
      <c r="I35" s="55"/>
      <c r="J35" s="48"/>
      <c r="K35" s="59"/>
      <c r="L35" s="48"/>
      <c r="M35" s="48"/>
    </row>
    <row r="36" spans="1:13" ht="15" customHeight="1" x14ac:dyDescent="0.25">
      <c r="A36" s="116" t="s">
        <v>163</v>
      </c>
      <c r="B36" s="118">
        <v>0.3</v>
      </c>
      <c r="C36" s="119" t="s">
        <v>163</v>
      </c>
      <c r="E36" s="57"/>
      <c r="F36" s="61"/>
      <c r="G36" s="48"/>
      <c r="H36" s="55"/>
      <c r="I36" s="55"/>
      <c r="J36" s="48"/>
      <c r="K36" s="48"/>
      <c r="L36" s="48"/>
      <c r="M36" s="48"/>
    </row>
    <row r="37" spans="1:13" ht="15.75" thickBot="1" x14ac:dyDescent="0.3">
      <c r="A37" s="111" t="s">
        <v>164</v>
      </c>
      <c r="B37" s="114">
        <v>0.4</v>
      </c>
      <c r="C37" s="115" t="s">
        <v>164</v>
      </c>
      <c r="E37" s="57"/>
      <c r="F37" s="61"/>
      <c r="G37" s="48"/>
      <c r="H37" s="48"/>
      <c r="I37" s="48"/>
      <c r="J37" s="48"/>
      <c r="K37" s="48"/>
      <c r="L37" s="48"/>
      <c r="M37" s="48"/>
    </row>
    <row r="38" spans="1:13" ht="15.75" thickBot="1" x14ac:dyDescent="0.3"/>
    <row r="39" spans="1:13" ht="15.75" thickBot="1" x14ac:dyDescent="0.3">
      <c r="A39" s="179" t="s">
        <v>70</v>
      </c>
      <c r="B39" s="180"/>
      <c r="C39" s="181"/>
    </row>
    <row r="40" spans="1:13" x14ac:dyDescent="0.25">
      <c r="A40" s="126" t="s">
        <v>71</v>
      </c>
      <c r="B40" s="127" t="s">
        <v>72</v>
      </c>
      <c r="C40" s="128" t="s">
        <v>73</v>
      </c>
    </row>
    <row r="41" spans="1:13" x14ac:dyDescent="0.25">
      <c r="A41" s="120" t="s">
        <v>74</v>
      </c>
      <c r="B41" s="121">
        <v>796.02</v>
      </c>
      <c r="C41" s="122">
        <v>491.26</v>
      </c>
    </row>
    <row r="42" spans="1:13" x14ac:dyDescent="0.25">
      <c r="A42" s="120" t="s">
        <v>75</v>
      </c>
      <c r="B42" s="121">
        <v>7459.33</v>
      </c>
      <c r="C42" s="122">
        <v>2789.26</v>
      </c>
    </row>
    <row r="43" spans="1:13" x14ac:dyDescent="0.25">
      <c r="A43" s="120" t="s">
        <v>76</v>
      </c>
      <c r="B43" s="121">
        <v>1517.5</v>
      </c>
      <c r="C43" s="122">
        <v>891</v>
      </c>
    </row>
    <row r="44" spans="1:13" ht="15.75" thickBot="1" x14ac:dyDescent="0.3">
      <c r="A44" s="123" t="s">
        <v>77</v>
      </c>
      <c r="B44" s="124">
        <v>11846.67</v>
      </c>
      <c r="C44" s="125">
        <v>6159.96</v>
      </c>
    </row>
    <row r="45" spans="1:13" ht="15.75" thickBot="1" x14ac:dyDescent="0.3"/>
    <row r="46" spans="1:13" x14ac:dyDescent="0.25">
      <c r="A46" s="173" t="s">
        <v>16</v>
      </c>
      <c r="B46" s="174"/>
      <c r="C46" s="174"/>
      <c r="D46" s="175"/>
      <c r="E46" s="19"/>
      <c r="G46" s="19"/>
    </row>
    <row r="47" spans="1:13" ht="15.75" thickBot="1" x14ac:dyDescent="0.3">
      <c r="A47" s="130" t="s">
        <v>153</v>
      </c>
      <c r="B47" s="131">
        <v>10</v>
      </c>
      <c r="C47" s="131" t="s">
        <v>154</v>
      </c>
      <c r="D47" s="132"/>
    </row>
    <row r="48" spans="1:13" x14ac:dyDescent="0.25">
      <c r="A48" s="133"/>
      <c r="B48" s="134" t="s">
        <v>17</v>
      </c>
      <c r="C48" s="134" t="s">
        <v>18</v>
      </c>
      <c r="D48" s="135" t="s">
        <v>19</v>
      </c>
      <c r="E48" s="19"/>
      <c r="G48" s="19"/>
    </row>
    <row r="49" spans="1:8" x14ac:dyDescent="0.25">
      <c r="A49" s="136" t="s">
        <v>20</v>
      </c>
      <c r="B49" s="69">
        <v>15000</v>
      </c>
      <c r="C49" s="69">
        <v>80000</v>
      </c>
      <c r="D49" s="137">
        <v>68500</v>
      </c>
    </row>
    <row r="50" spans="1:8" x14ac:dyDescent="0.25">
      <c r="A50" s="136" t="s">
        <v>21</v>
      </c>
      <c r="B50" s="69">
        <v>16000</v>
      </c>
      <c r="C50" s="69">
        <v>90000</v>
      </c>
      <c r="D50" s="137">
        <v>78500</v>
      </c>
      <c r="E50" s="19"/>
      <c r="G50" s="19"/>
    </row>
    <row r="51" spans="1:8" ht="15.75" thickBot="1" x14ac:dyDescent="0.3">
      <c r="A51" s="138" t="s">
        <v>22</v>
      </c>
      <c r="B51" s="139">
        <v>19000</v>
      </c>
      <c r="C51" s="139">
        <v>100000</v>
      </c>
      <c r="D51" s="140">
        <v>82500</v>
      </c>
    </row>
    <row r="52" spans="1:8" x14ac:dyDescent="0.25">
      <c r="A52" s="129"/>
      <c r="B52" s="129"/>
      <c r="C52" s="129"/>
      <c r="D52" s="129"/>
      <c r="E52" s="19"/>
      <c r="G52" s="19"/>
    </row>
    <row r="53" spans="1:8" x14ac:dyDescent="0.25">
      <c r="A53" s="66" t="s">
        <v>23</v>
      </c>
      <c r="B53" s="66"/>
      <c r="C53" s="70"/>
      <c r="D53" s="67"/>
    </row>
    <row r="54" spans="1:8" x14ac:dyDescent="0.25">
      <c r="A54" s="66" t="s">
        <v>24</v>
      </c>
      <c r="B54" s="66"/>
      <c r="C54" s="68"/>
      <c r="D54" s="71"/>
    </row>
    <row r="55" spans="1:8" x14ac:dyDescent="0.25">
      <c r="A55" s="66" t="s">
        <v>25</v>
      </c>
      <c r="B55" s="66"/>
      <c r="C55" s="70"/>
      <c r="D55" s="67"/>
    </row>
    <row r="58" spans="1:8" x14ac:dyDescent="0.25">
      <c r="A58" s="72" t="s">
        <v>27</v>
      </c>
      <c r="B58" s="73"/>
      <c r="C58" s="73"/>
      <c r="D58" s="73"/>
      <c r="E58" s="73"/>
      <c r="F58" s="11"/>
      <c r="G58" s="11"/>
      <c r="H58" s="12"/>
    </row>
    <row r="59" spans="1:8" x14ac:dyDescent="0.25">
      <c r="A59" s="74" t="s">
        <v>28</v>
      </c>
      <c r="B59" s="73"/>
      <c r="C59" s="73"/>
      <c r="D59" s="75" t="s">
        <v>29</v>
      </c>
      <c r="E59" s="75" t="s">
        <v>30</v>
      </c>
      <c r="F59" s="13"/>
      <c r="G59" s="13"/>
      <c r="H59" s="14"/>
    </row>
    <row r="60" spans="1:8" x14ac:dyDescent="0.25">
      <c r="A60" s="74"/>
      <c r="B60" s="73"/>
      <c r="C60" s="73"/>
      <c r="D60" s="76" t="s">
        <v>33</v>
      </c>
      <c r="E60" s="76" t="s">
        <v>34</v>
      </c>
      <c r="F60" s="13"/>
      <c r="G60" s="13"/>
      <c r="H60" s="14"/>
    </row>
    <row r="61" spans="1:8" x14ac:dyDescent="0.25">
      <c r="A61" s="74" t="s">
        <v>36</v>
      </c>
      <c r="B61" s="77">
        <v>150000</v>
      </c>
      <c r="C61" s="73"/>
      <c r="D61" s="76" t="s">
        <v>37</v>
      </c>
      <c r="E61" s="76" t="s">
        <v>38</v>
      </c>
      <c r="F61" s="13"/>
      <c r="G61" s="13"/>
      <c r="H61" s="14"/>
    </row>
    <row r="62" spans="1:8" x14ac:dyDescent="0.25">
      <c r="A62" s="74" t="s">
        <v>40</v>
      </c>
      <c r="B62" s="73"/>
      <c r="C62" s="73"/>
      <c r="D62" s="76" t="s">
        <v>41</v>
      </c>
      <c r="E62" s="76" t="s">
        <v>42</v>
      </c>
      <c r="F62" s="13"/>
      <c r="G62" s="13"/>
      <c r="H62" s="14"/>
    </row>
    <row r="63" spans="1:8" x14ac:dyDescent="0.25">
      <c r="A63" s="73"/>
      <c r="B63" s="73"/>
      <c r="C63" s="73"/>
      <c r="D63" s="76" t="s">
        <v>44</v>
      </c>
      <c r="E63" s="76" t="s">
        <v>45</v>
      </c>
      <c r="F63" s="13"/>
      <c r="G63" s="176" t="s">
        <v>46</v>
      </c>
      <c r="H63" s="176"/>
    </row>
    <row r="64" spans="1:8" x14ac:dyDescent="0.25">
      <c r="A64" s="73"/>
      <c r="B64" s="73"/>
      <c r="C64" s="73"/>
      <c r="D64" s="76" t="s">
        <v>48</v>
      </c>
      <c r="E64" s="76" t="s">
        <v>49</v>
      </c>
      <c r="F64" s="13"/>
      <c r="G64" s="176"/>
      <c r="H64" s="176"/>
    </row>
    <row r="65" spans="1:8" x14ac:dyDescent="0.25">
      <c r="A65" s="72" t="s">
        <v>50</v>
      </c>
      <c r="B65" s="73"/>
      <c r="C65" s="73"/>
      <c r="D65" s="73"/>
      <c r="E65" s="73"/>
      <c r="F65" s="13"/>
      <c r="G65" s="176"/>
      <c r="H65" s="176"/>
    </row>
    <row r="66" spans="1:8" x14ac:dyDescent="0.25">
      <c r="A66" s="74" t="s">
        <v>51</v>
      </c>
      <c r="B66" s="77">
        <v>1256000</v>
      </c>
      <c r="C66" s="73"/>
      <c r="D66" s="75" t="s">
        <v>52</v>
      </c>
      <c r="E66" s="75" t="s">
        <v>30</v>
      </c>
      <c r="F66" s="13"/>
      <c r="G66" s="16">
        <v>5</v>
      </c>
      <c r="H66" s="14" t="s">
        <v>53</v>
      </c>
    </row>
    <row r="67" spans="1:8" x14ac:dyDescent="0.25">
      <c r="A67" s="73"/>
      <c r="B67" s="73"/>
      <c r="C67" s="73"/>
      <c r="D67" s="76" t="s">
        <v>33</v>
      </c>
      <c r="E67" s="76" t="s">
        <v>55</v>
      </c>
      <c r="F67" s="13"/>
      <c r="G67" s="16">
        <v>4</v>
      </c>
      <c r="H67" s="14" t="s">
        <v>56</v>
      </c>
    </row>
    <row r="68" spans="1:8" x14ac:dyDescent="0.25">
      <c r="A68" s="72" t="s">
        <v>59</v>
      </c>
      <c r="B68" s="78"/>
      <c r="C68" s="73"/>
      <c r="D68" s="76" t="s">
        <v>37</v>
      </c>
      <c r="E68" s="76" t="s">
        <v>60</v>
      </c>
      <c r="F68" s="13"/>
      <c r="G68" s="16">
        <v>3</v>
      </c>
      <c r="H68" s="14" t="s">
        <v>61</v>
      </c>
    </row>
    <row r="69" spans="1:8" x14ac:dyDescent="0.25">
      <c r="A69" s="75" t="s">
        <v>3</v>
      </c>
      <c r="B69" s="75" t="s">
        <v>64</v>
      </c>
      <c r="C69" s="73"/>
      <c r="D69" s="76" t="s">
        <v>41</v>
      </c>
      <c r="E69" s="76" t="s">
        <v>65</v>
      </c>
      <c r="F69" s="13"/>
      <c r="G69" s="16">
        <v>2</v>
      </c>
      <c r="H69" s="14" t="s">
        <v>66</v>
      </c>
    </row>
    <row r="70" spans="1:8" x14ac:dyDescent="0.25">
      <c r="A70" s="74" t="s">
        <v>179</v>
      </c>
      <c r="B70" s="79">
        <v>1307</v>
      </c>
      <c r="C70" s="73"/>
      <c r="D70" s="76" t="s">
        <v>44</v>
      </c>
      <c r="E70" s="76" t="s">
        <v>67</v>
      </c>
      <c r="F70" s="13"/>
      <c r="G70" s="16">
        <v>1</v>
      </c>
      <c r="H70" s="14" t="s">
        <v>68</v>
      </c>
    </row>
    <row r="71" spans="1:8" x14ac:dyDescent="0.25">
      <c r="A71" s="74" t="s">
        <v>176</v>
      </c>
      <c r="B71" s="79">
        <v>1307</v>
      </c>
      <c r="C71" s="73"/>
      <c r="D71" s="76"/>
      <c r="E71" s="76"/>
      <c r="F71" s="13"/>
      <c r="G71" s="16"/>
      <c r="H71" s="14"/>
    </row>
    <row r="72" spans="1:8" x14ac:dyDescent="0.25">
      <c r="A72" s="74" t="s">
        <v>7</v>
      </c>
      <c r="B72" s="79">
        <v>1727</v>
      </c>
      <c r="C72" s="73"/>
      <c r="D72" s="76" t="s">
        <v>48</v>
      </c>
      <c r="E72" s="76" t="s">
        <v>69</v>
      </c>
      <c r="F72" s="13"/>
      <c r="G72" s="13"/>
      <c r="H72" s="14"/>
    </row>
    <row r="73" spans="1:8" x14ac:dyDescent="0.25">
      <c r="A73" s="74" t="s">
        <v>177</v>
      </c>
      <c r="B73" s="79">
        <v>2346</v>
      </c>
      <c r="C73" s="73"/>
      <c r="D73" s="73"/>
      <c r="E73" s="73"/>
      <c r="F73" s="13"/>
      <c r="G73" s="13"/>
      <c r="H73" s="14"/>
    </row>
    <row r="74" spans="1:8" x14ac:dyDescent="0.25">
      <c r="A74" s="73" t="s">
        <v>178</v>
      </c>
      <c r="B74" s="79">
        <v>2346</v>
      </c>
      <c r="C74" s="73"/>
      <c r="D74" s="73"/>
      <c r="E74" s="73"/>
      <c r="F74" s="17"/>
      <c r="G74" s="17"/>
      <c r="H74" s="18"/>
    </row>
    <row r="78" spans="1:8" x14ac:dyDescent="0.25">
      <c r="A78" s="1" t="s">
        <v>2</v>
      </c>
      <c r="B78" s="2"/>
      <c r="C78" s="2"/>
      <c r="D78" s="2"/>
      <c r="E78" s="2"/>
      <c r="F78" s="2"/>
      <c r="G78" s="3"/>
    </row>
    <row r="79" spans="1:8" x14ac:dyDescent="0.25">
      <c r="A79" s="4"/>
      <c r="B79" s="5"/>
      <c r="C79" s="5"/>
      <c r="D79" s="5"/>
      <c r="E79" s="5"/>
      <c r="F79" s="5"/>
      <c r="G79" s="6"/>
    </row>
    <row r="80" spans="1:8" x14ac:dyDescent="0.25">
      <c r="A80" s="188" t="s">
        <v>5</v>
      </c>
      <c r="B80" s="188"/>
      <c r="C80" s="188"/>
      <c r="D80" s="188"/>
      <c r="E80" s="188"/>
      <c r="F80" s="188"/>
      <c r="G80" s="188"/>
    </row>
    <row r="81" spans="1:7" x14ac:dyDescent="0.25">
      <c r="A81" s="188"/>
      <c r="B81" s="188"/>
      <c r="C81" s="188"/>
      <c r="D81" s="188"/>
      <c r="E81" s="188"/>
      <c r="F81" s="188"/>
      <c r="G81" s="188"/>
    </row>
    <row r="82" spans="1:7" x14ac:dyDescent="0.25">
      <c r="A82" s="7" t="s">
        <v>8</v>
      </c>
      <c r="B82" s="5"/>
      <c r="C82" s="5"/>
      <c r="D82" s="5"/>
      <c r="E82" s="5"/>
      <c r="F82" s="5"/>
      <c r="G82" s="6"/>
    </row>
    <row r="83" spans="1:7" x14ac:dyDescent="0.25">
      <c r="A83" s="4"/>
      <c r="B83" s="5"/>
      <c r="C83" s="5"/>
      <c r="D83" s="5"/>
      <c r="E83" s="5"/>
      <c r="F83" s="5"/>
      <c r="G83" s="6"/>
    </row>
    <row r="84" spans="1:7" x14ac:dyDescent="0.25">
      <c r="A84" s="189" t="s">
        <v>10</v>
      </c>
      <c r="B84" s="189"/>
      <c r="C84" s="189"/>
      <c r="D84" s="189"/>
      <c r="E84" s="189"/>
      <c r="F84" s="189"/>
      <c r="G84" s="189"/>
    </row>
    <row r="85" spans="1:7" x14ac:dyDescent="0.25">
      <c r="A85" s="189"/>
      <c r="B85" s="189"/>
      <c r="C85" s="189"/>
      <c r="D85" s="189"/>
      <c r="E85" s="189"/>
      <c r="F85" s="189"/>
      <c r="G85" s="189"/>
    </row>
    <row r="86" spans="1:7" x14ac:dyDescent="0.25">
      <c r="A86" s="8" t="s">
        <v>12</v>
      </c>
      <c r="B86" s="9"/>
      <c r="C86" s="9"/>
      <c r="D86" s="9"/>
      <c r="E86" s="9"/>
      <c r="F86" s="9"/>
      <c r="G86" s="10"/>
    </row>
  </sheetData>
  <mergeCells count="18">
    <mergeCell ref="A4:B5"/>
    <mergeCell ref="A80:G81"/>
    <mergeCell ref="A84:G85"/>
    <mergeCell ref="A12:C12"/>
    <mergeCell ref="E15:H15"/>
    <mergeCell ref="D4:D6"/>
    <mergeCell ref="A25:C25"/>
    <mergeCell ref="A26:B26"/>
    <mergeCell ref="A27:B27"/>
    <mergeCell ref="A28:B28"/>
    <mergeCell ref="A29:B29"/>
    <mergeCell ref="A46:D46"/>
    <mergeCell ref="G63:H65"/>
    <mergeCell ref="K29:L30"/>
    <mergeCell ref="A30:B30"/>
    <mergeCell ref="A39:C39"/>
    <mergeCell ref="A32:B32"/>
    <mergeCell ref="A35:C35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workbookViewId="0">
      <selection activeCell="I12" sqref="I12"/>
    </sheetView>
  </sheetViews>
  <sheetFormatPr defaultRowHeight="15" x14ac:dyDescent="0.25"/>
  <cols>
    <col min="1" max="1" width="24.42578125" customWidth="1"/>
    <col min="2" max="2" width="28.7109375" bestFit="1" customWidth="1"/>
    <col min="3" max="3" width="13.28515625" bestFit="1" customWidth="1"/>
    <col min="4" max="5" width="15.85546875" bestFit="1" customWidth="1"/>
    <col min="6" max="6" width="12.7109375" bestFit="1" customWidth="1"/>
    <col min="7" max="7" width="17.7109375" customWidth="1"/>
    <col min="8" max="8" width="16.140625" bestFit="1" customWidth="1"/>
    <col min="9" max="9" width="16.85546875" bestFit="1" customWidth="1"/>
  </cols>
  <sheetData>
    <row r="1" spans="1:9" ht="15.75" thickBot="1" x14ac:dyDescent="0.3">
      <c r="A1" s="213" t="s">
        <v>171</v>
      </c>
      <c r="B1" s="214"/>
      <c r="C1" s="214"/>
      <c r="D1" s="215"/>
      <c r="F1" s="191" t="s">
        <v>169</v>
      </c>
      <c r="G1" s="192"/>
      <c r="H1" s="192"/>
      <c r="I1" s="193"/>
    </row>
    <row r="2" spans="1:9" ht="15.75" thickBot="1" x14ac:dyDescent="0.3">
      <c r="A2" s="150" t="s">
        <v>148</v>
      </c>
      <c r="B2" s="157" t="s">
        <v>159</v>
      </c>
      <c r="C2" s="150" t="s">
        <v>160</v>
      </c>
      <c r="D2" s="150" t="s">
        <v>138</v>
      </c>
      <c r="F2" s="207" t="s">
        <v>173</v>
      </c>
      <c r="G2" s="208"/>
      <c r="H2" s="147" t="s">
        <v>17</v>
      </c>
      <c r="I2" s="148" t="s">
        <v>18</v>
      </c>
    </row>
    <row r="3" spans="1:9" x14ac:dyDescent="0.25">
      <c r="A3" s="151" t="s">
        <v>168</v>
      </c>
      <c r="B3" s="161">
        <v>25</v>
      </c>
      <c r="C3" s="165" t="s">
        <v>161</v>
      </c>
      <c r="D3" s="158">
        <f>VLOOKUP(B3,Dados!A15:C23,3,0)</f>
        <v>14437</v>
      </c>
      <c r="F3" s="209" t="s">
        <v>20</v>
      </c>
      <c r="G3" s="210"/>
      <c r="H3" s="141">
        <f>VLOOKUP(F3,Dados!$A$49:$D$51,2,0)*B4</f>
        <v>15000</v>
      </c>
      <c r="I3" s="82">
        <f>VLOOKUP(F3,Dados!$A$49:$D$51,3,0)*B4</f>
        <v>80000</v>
      </c>
    </row>
    <row r="4" spans="1:9" x14ac:dyDescent="0.25">
      <c r="A4" s="152" t="s">
        <v>20</v>
      </c>
      <c r="B4" s="162">
        <v>1</v>
      </c>
      <c r="C4" s="166" t="s">
        <v>162</v>
      </c>
      <c r="D4" s="47">
        <f>'Sudeste   e Sul'!B4*VLOOKUP('Sudeste   e Sul'!A4,Dados!$A$49:$D$51,4,0)</f>
        <v>68500</v>
      </c>
      <c r="F4" s="209" t="s">
        <v>21</v>
      </c>
      <c r="G4" s="210"/>
      <c r="H4" s="141">
        <f>VLOOKUP(F4,Dados!$A$49:$D$51,2,0)*B5</f>
        <v>16000</v>
      </c>
      <c r="I4" s="82">
        <f>VLOOKUP(F4,Dados!$A$49:$D$51,3,0)*B5</f>
        <v>90000</v>
      </c>
    </row>
    <row r="5" spans="1:9" x14ac:dyDescent="0.25">
      <c r="A5" s="152" t="s">
        <v>21</v>
      </c>
      <c r="B5" s="162">
        <v>1</v>
      </c>
      <c r="C5" s="166" t="s">
        <v>162</v>
      </c>
      <c r="D5" s="47">
        <f>'Sudeste   e Sul'!B5*VLOOKUP('Sudeste   e Sul'!A5,Dados!$A$49:$D$51,4,0)</f>
        <v>78500</v>
      </c>
      <c r="F5" s="211" t="s">
        <v>22</v>
      </c>
      <c r="G5" s="212"/>
      <c r="H5" s="141">
        <f>VLOOKUP(F5,Dados!$A$49:$D$51,2,0)*B6</f>
        <v>19000</v>
      </c>
      <c r="I5" s="82">
        <f>VLOOKUP(F5,Dados!$A$49:$D$51,3,0)*B6</f>
        <v>100000</v>
      </c>
    </row>
    <row r="6" spans="1:9" ht="15.75" thickBot="1" x14ac:dyDescent="0.3">
      <c r="A6" s="152" t="s">
        <v>22</v>
      </c>
      <c r="B6" s="162">
        <v>1</v>
      </c>
      <c r="C6" s="166" t="s">
        <v>162</v>
      </c>
      <c r="D6" s="47">
        <f>'Sudeste   e Sul'!B6*VLOOKUP('Sudeste   e Sul'!A6,Dados!$A$49:$D$51,4,0)</f>
        <v>82500</v>
      </c>
      <c r="F6" s="198" t="s">
        <v>51</v>
      </c>
      <c r="G6" s="199"/>
      <c r="H6" s="200">
        <f>Dados!B66*'Sudeste   e Sul'!H10</f>
        <v>2512000</v>
      </c>
      <c r="I6" s="201"/>
    </row>
    <row r="7" spans="1:9" ht="15.75" thickBot="1" x14ac:dyDescent="0.3">
      <c r="A7" s="153" t="s">
        <v>175</v>
      </c>
      <c r="B7" s="163">
        <v>1</v>
      </c>
      <c r="C7" s="167" t="s">
        <v>162</v>
      </c>
      <c r="D7" s="159">
        <f>Dados!B61*'Sudeste   e Sul'!B7</f>
        <v>150000</v>
      </c>
      <c r="F7" s="194" t="s">
        <v>168</v>
      </c>
      <c r="G7" s="195"/>
      <c r="H7" s="145">
        <f>B3</f>
        <v>25</v>
      </c>
      <c r="I7" s="146">
        <f>VLOOKUP(H7,Dados!A15:C23,2,0)</f>
        <v>525000</v>
      </c>
    </row>
    <row r="8" spans="1:9" ht="15.75" thickBot="1" x14ac:dyDescent="0.3">
      <c r="A8" s="154"/>
      <c r="B8" s="164"/>
      <c r="C8" s="168"/>
      <c r="D8" s="154"/>
      <c r="F8" s="196" t="s">
        <v>174</v>
      </c>
      <c r="G8" s="197"/>
      <c r="H8" s="197"/>
      <c r="I8" s="149">
        <f>H3+H4+H5+I3+I4+I5+H6+I7</f>
        <v>3357000</v>
      </c>
    </row>
    <row r="9" spans="1:9" ht="15.75" thickBot="1" x14ac:dyDescent="0.3">
      <c r="A9" s="155"/>
      <c r="B9" s="161"/>
      <c r="C9" s="165"/>
      <c r="D9" s="158"/>
    </row>
    <row r="10" spans="1:9" ht="15.75" thickBot="1" x14ac:dyDescent="0.3">
      <c r="A10" s="154"/>
      <c r="B10" s="162"/>
      <c r="C10" s="166"/>
      <c r="D10" s="47"/>
      <c r="F10" s="297" t="s">
        <v>180</v>
      </c>
      <c r="G10" s="298"/>
      <c r="H10" s="160">
        <v>2</v>
      </c>
    </row>
    <row r="11" spans="1:9" x14ac:dyDescent="0.25">
      <c r="A11" s="154"/>
      <c r="B11" s="162"/>
      <c r="C11" s="166"/>
      <c r="D11" s="47"/>
      <c r="F11" s="288" t="s">
        <v>186</v>
      </c>
      <c r="G11" s="289">
        <f>Dados!B7</f>
        <v>150000000</v>
      </c>
      <c r="H11" s="294" t="s">
        <v>187</v>
      </c>
    </row>
    <row r="12" spans="1:9" ht="15.75" thickBot="1" x14ac:dyDescent="0.3">
      <c r="A12" s="156"/>
      <c r="B12" s="163"/>
      <c r="C12" s="169"/>
      <c r="D12" s="87"/>
      <c r="F12" s="290" t="s">
        <v>105</v>
      </c>
      <c r="G12" s="291">
        <f>Projeto!C19+Projeto!C21</f>
        <v>114777819</v>
      </c>
      <c r="H12" s="295"/>
    </row>
    <row r="13" spans="1:9" ht="15.75" thickBot="1" x14ac:dyDescent="0.3">
      <c r="A13" s="213" t="s">
        <v>167</v>
      </c>
      <c r="B13" s="215"/>
      <c r="C13" s="216">
        <f>SUM(D3:D12)</f>
        <v>393937</v>
      </c>
      <c r="D13" s="217"/>
      <c r="F13" s="292" t="s">
        <v>146</v>
      </c>
      <c r="G13" s="293">
        <f>Dados!D7</f>
        <v>13636363.636363637</v>
      </c>
      <c r="H13" s="296">
        <f>G11/(G13+I8)</f>
        <v>8.8269752363222</v>
      </c>
    </row>
    <row r="14" spans="1:9" ht="15.75" thickBot="1" x14ac:dyDescent="0.3"/>
    <row r="15" spans="1:9" ht="15.75" thickBot="1" x14ac:dyDescent="0.3">
      <c r="A15" s="204" t="s">
        <v>172</v>
      </c>
      <c r="B15" s="205"/>
      <c r="C15" s="205"/>
      <c r="D15" s="205"/>
      <c r="E15" s="205"/>
      <c r="F15" s="205"/>
      <c r="G15" s="205"/>
      <c r="H15" s="205"/>
      <c r="I15" s="206"/>
    </row>
    <row r="16" spans="1:9" ht="15.75" thickBot="1" x14ac:dyDescent="0.3">
      <c r="A16" s="213" t="s">
        <v>150</v>
      </c>
      <c r="B16" s="215"/>
      <c r="C16" s="214" t="s">
        <v>156</v>
      </c>
      <c r="D16" s="214"/>
      <c r="E16" s="89">
        <v>0.3</v>
      </c>
      <c r="F16" s="213" t="s">
        <v>146</v>
      </c>
      <c r="G16" s="214"/>
      <c r="H16" s="219">
        <f>Projeto!B68</f>
        <v>0.2</v>
      </c>
      <c r="I16" s="202" t="s">
        <v>170</v>
      </c>
    </row>
    <row r="17" spans="1:9" ht="15.75" thickBot="1" x14ac:dyDescent="0.3">
      <c r="A17" s="97" t="s">
        <v>71</v>
      </c>
      <c r="B17" s="98" t="s">
        <v>84</v>
      </c>
      <c r="C17" s="99" t="s">
        <v>155</v>
      </c>
      <c r="D17" s="100" t="s">
        <v>157</v>
      </c>
      <c r="E17" s="104" t="s">
        <v>158</v>
      </c>
      <c r="F17" s="218" t="s">
        <v>166</v>
      </c>
      <c r="G17" s="100" t="s">
        <v>181</v>
      </c>
      <c r="H17" s="100" t="s">
        <v>149</v>
      </c>
      <c r="I17" s="203"/>
    </row>
    <row r="18" spans="1:9" x14ac:dyDescent="0.25">
      <c r="A18" s="101">
        <v>1</v>
      </c>
      <c r="B18" s="102" t="s">
        <v>87</v>
      </c>
      <c r="C18" s="103">
        <f>Dados!C44</f>
        <v>6159.96</v>
      </c>
      <c r="D18" s="105">
        <f>(C18+H18)*(1+$E$16)+H13</f>
        <v>11219.954175236322</v>
      </c>
      <c r="E18" s="106">
        <f>C18*$E$16</f>
        <v>1847.9879999999998</v>
      </c>
      <c r="F18" s="92" t="s">
        <v>164</v>
      </c>
      <c r="G18" s="96">
        <f>VLOOKUP(F18,Dados!$A$36:$B$37,2,0)</f>
        <v>0.4</v>
      </c>
      <c r="H18" s="142">
        <f>C18*G18</f>
        <v>2463.9840000000004</v>
      </c>
      <c r="I18" s="105">
        <f>Dados!C27</f>
        <v>219.9</v>
      </c>
    </row>
    <row r="19" spans="1:9" x14ac:dyDescent="0.25">
      <c r="A19" s="81">
        <v>2</v>
      </c>
      <c r="B19" s="84" t="s">
        <v>91</v>
      </c>
      <c r="C19" s="90">
        <f>Dados!C42</f>
        <v>2789.26</v>
      </c>
      <c r="D19" s="47">
        <f>(C19+H19)*(1+$E$16)+H13</f>
        <v>4722.6763752363231</v>
      </c>
      <c r="E19" s="107">
        <f t="shared" ref="E19:E21" si="0">C19*$E$16</f>
        <v>836.77800000000002</v>
      </c>
      <c r="F19" s="93" t="s">
        <v>163</v>
      </c>
      <c r="G19" s="94">
        <f>VLOOKUP(F19,Dados!$A$36:$B$37,2,0)</f>
        <v>0.3</v>
      </c>
      <c r="H19" s="143">
        <f>C19*G19</f>
        <v>836.77800000000002</v>
      </c>
      <c r="I19" s="47">
        <f>Dados!C28</f>
        <v>149.9</v>
      </c>
    </row>
    <row r="20" spans="1:9" x14ac:dyDescent="0.25">
      <c r="A20" s="81">
        <v>3</v>
      </c>
      <c r="B20" s="85" t="s">
        <v>99</v>
      </c>
      <c r="C20" s="90">
        <f>Dados!C41</f>
        <v>491.26</v>
      </c>
      <c r="D20" s="47">
        <f>(C20+H20)*(1+$E$16)+H13</f>
        <v>902.92017523632228</v>
      </c>
      <c r="E20" s="107">
        <f t="shared" si="0"/>
        <v>147.37799999999999</v>
      </c>
      <c r="F20" s="93" t="s">
        <v>164</v>
      </c>
      <c r="G20" s="94">
        <f>VLOOKUP(F20,Dados!$A$36:$B$37,2,0)</f>
        <v>0.4</v>
      </c>
      <c r="H20" s="143">
        <f t="shared" ref="H20:H21" si="1">C20*G20</f>
        <v>196.50400000000002</v>
      </c>
      <c r="I20" s="47">
        <f>Dados!C29</f>
        <v>99.9</v>
      </c>
    </row>
    <row r="21" spans="1:9" ht="15.75" thickBot="1" x14ac:dyDescent="0.3">
      <c r="A21" s="83">
        <v>4</v>
      </c>
      <c r="B21" s="86" t="s">
        <v>95</v>
      </c>
      <c r="C21" s="91">
        <f>Dados!C43</f>
        <v>891</v>
      </c>
      <c r="D21" s="87">
        <f>(C21+H21)*(1+$E$16)+H13</f>
        <v>1630.4469752363223</v>
      </c>
      <c r="E21" s="108">
        <f t="shared" si="0"/>
        <v>267.3</v>
      </c>
      <c r="F21" s="88" t="s">
        <v>164</v>
      </c>
      <c r="G21" s="95">
        <f>VLOOKUP(F21,Dados!$A$36:$B$37,2,0)</f>
        <v>0.4</v>
      </c>
      <c r="H21" s="144">
        <f t="shared" si="1"/>
        <v>356.40000000000003</v>
      </c>
      <c r="I21" s="87">
        <f>Dados!C30</f>
        <v>59.9</v>
      </c>
    </row>
  </sheetData>
  <mergeCells count="19">
    <mergeCell ref="A1:D1"/>
    <mergeCell ref="A13:B13"/>
    <mergeCell ref="C13:D13"/>
    <mergeCell ref="A16:B16"/>
    <mergeCell ref="C16:D16"/>
    <mergeCell ref="I16:I17"/>
    <mergeCell ref="A15:I15"/>
    <mergeCell ref="F2:G2"/>
    <mergeCell ref="F3:G3"/>
    <mergeCell ref="F4:G4"/>
    <mergeCell ref="F5:G5"/>
    <mergeCell ref="F10:G10"/>
    <mergeCell ref="F16:G16"/>
    <mergeCell ref="H11:H12"/>
    <mergeCell ref="F1:I1"/>
    <mergeCell ref="F7:G7"/>
    <mergeCell ref="F8:H8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200-000000000000}">
          <x14:formula1>
            <xm:f>Dados!$C$33:$C$34</xm:f>
          </x14:formula1>
          <xm:sqref>E16</xm:sqref>
        </x14:dataValidation>
        <x14:dataValidation type="list" allowBlank="1" showInputMessage="1" showErrorMessage="1" xr:uid="{00000000-0002-0000-0200-000001000000}">
          <x14:formula1>
            <xm:f>Dados!$A$36:$A$37</xm:f>
          </x14:formula1>
          <xm:sqref>F18:F21</xm:sqref>
        </x14:dataValidation>
        <x14:dataValidation type="list" allowBlank="1" showInputMessage="1" showErrorMessage="1" xr:uid="{00000000-0002-0000-0200-000002000000}">
          <x14:formula1>
            <xm:f>Dados!$A$15:$A$23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F2B1-16CB-471D-AE33-1C97D46E70EB}">
  <dimension ref="A1:I21"/>
  <sheetViews>
    <sheetView topLeftCell="A4" workbookViewId="0">
      <selection activeCell="G14" sqref="G14"/>
    </sheetView>
  </sheetViews>
  <sheetFormatPr defaultRowHeight="15" x14ac:dyDescent="0.25"/>
  <cols>
    <col min="1" max="1" width="24.42578125" customWidth="1"/>
    <col min="2" max="2" width="28.7109375" bestFit="1" customWidth="1"/>
    <col min="3" max="3" width="13.28515625" bestFit="1" customWidth="1"/>
    <col min="4" max="5" width="15.85546875" bestFit="1" customWidth="1"/>
    <col min="6" max="6" width="12.7109375" bestFit="1" customWidth="1"/>
    <col min="7" max="7" width="17.7109375" customWidth="1"/>
    <col min="8" max="8" width="16.140625" bestFit="1" customWidth="1"/>
    <col min="9" max="9" width="16.85546875" bestFit="1" customWidth="1"/>
  </cols>
  <sheetData>
    <row r="1" spans="1:9" ht="15.75" thickBot="1" x14ac:dyDescent="0.3">
      <c r="A1" s="213" t="s">
        <v>171</v>
      </c>
      <c r="B1" s="214"/>
      <c r="C1" s="214"/>
      <c r="D1" s="215"/>
      <c r="F1" s="191" t="s">
        <v>169</v>
      </c>
      <c r="G1" s="192"/>
      <c r="H1" s="192"/>
      <c r="I1" s="193"/>
    </row>
    <row r="2" spans="1:9" ht="15.75" thickBot="1" x14ac:dyDescent="0.3">
      <c r="A2" s="150" t="s">
        <v>148</v>
      </c>
      <c r="B2" s="157" t="s">
        <v>159</v>
      </c>
      <c r="C2" s="150" t="s">
        <v>160</v>
      </c>
      <c r="D2" s="150" t="s">
        <v>138</v>
      </c>
      <c r="F2" s="207" t="s">
        <v>173</v>
      </c>
      <c r="G2" s="208"/>
      <c r="H2" s="147" t="s">
        <v>17</v>
      </c>
      <c r="I2" s="148" t="s">
        <v>18</v>
      </c>
    </row>
    <row r="3" spans="1:9" x14ac:dyDescent="0.25">
      <c r="A3" s="151" t="s">
        <v>168</v>
      </c>
      <c r="B3" s="161">
        <v>25</v>
      </c>
      <c r="C3" s="165" t="s">
        <v>161</v>
      </c>
      <c r="D3" s="158">
        <f>VLOOKUP(B3,Dados!A15:C23,3,0)</f>
        <v>14437</v>
      </c>
      <c r="F3" s="209" t="s">
        <v>20</v>
      </c>
      <c r="G3" s="210"/>
      <c r="H3" s="141">
        <f>VLOOKUP(F3,Dados!$A$49:$D$51,2,0)*B4</f>
        <v>15000</v>
      </c>
      <c r="I3" s="82">
        <f>VLOOKUP(F3,Dados!$A$49:$D$51,3,0)*B4</f>
        <v>80000</v>
      </c>
    </row>
    <row r="4" spans="1:9" x14ac:dyDescent="0.25">
      <c r="A4" s="152" t="s">
        <v>20</v>
      </c>
      <c r="B4" s="162">
        <v>1</v>
      </c>
      <c r="C4" s="166" t="s">
        <v>162</v>
      </c>
      <c r="D4" s="47">
        <f>'Norte e Centro Oeste'!B4*VLOOKUP('Norte e Centro Oeste'!A4,Dados!$A$49:$D$51,4,0)</f>
        <v>68500</v>
      </c>
      <c r="F4" s="209" t="s">
        <v>21</v>
      </c>
      <c r="G4" s="210"/>
      <c r="H4" s="141">
        <f>VLOOKUP(F4,Dados!$A$49:$D$51,2,0)*B5</f>
        <v>16000</v>
      </c>
      <c r="I4" s="82">
        <f>VLOOKUP(F4,Dados!$A$49:$D$51,3,0)*B5</f>
        <v>90000</v>
      </c>
    </row>
    <row r="5" spans="1:9" x14ac:dyDescent="0.25">
      <c r="A5" s="152" t="s">
        <v>21</v>
      </c>
      <c r="B5" s="162">
        <v>1</v>
      </c>
      <c r="C5" s="166" t="s">
        <v>162</v>
      </c>
      <c r="D5" s="47">
        <f>'Norte e Centro Oeste'!B5*VLOOKUP('Norte e Centro Oeste'!A5,Dados!$A$49:$D$51,4,0)</f>
        <v>78500</v>
      </c>
      <c r="F5" s="211" t="s">
        <v>22</v>
      </c>
      <c r="G5" s="212"/>
      <c r="H5" s="141">
        <f>VLOOKUP(F5,Dados!$A$49:$D$51,2,0)*B6</f>
        <v>19000</v>
      </c>
      <c r="I5" s="82">
        <f>VLOOKUP(F5,Dados!$A$49:$D$51,3,0)*B6</f>
        <v>100000</v>
      </c>
    </row>
    <row r="6" spans="1:9" ht="15.75" thickBot="1" x14ac:dyDescent="0.3">
      <c r="A6" s="152" t="s">
        <v>22</v>
      </c>
      <c r="B6" s="162">
        <v>1</v>
      </c>
      <c r="C6" s="166" t="s">
        <v>162</v>
      </c>
      <c r="D6" s="47">
        <f>'Norte e Centro Oeste'!B6*VLOOKUP('Norte e Centro Oeste'!A6,Dados!$A$49:$D$51,4,0)</f>
        <v>82500</v>
      </c>
      <c r="F6" s="198" t="s">
        <v>51</v>
      </c>
      <c r="G6" s="199"/>
      <c r="H6" s="200">
        <f>Dados!B66*'Norte e Centro Oeste'!H10</f>
        <v>2512000</v>
      </c>
      <c r="I6" s="201"/>
    </row>
    <row r="7" spans="1:9" ht="15.75" thickBot="1" x14ac:dyDescent="0.3">
      <c r="A7" s="153" t="s">
        <v>175</v>
      </c>
      <c r="B7" s="163">
        <v>1</v>
      </c>
      <c r="C7" s="167" t="s">
        <v>162</v>
      </c>
      <c r="D7" s="159">
        <f>Dados!B61*'Norte e Centro Oeste'!B7</f>
        <v>150000</v>
      </c>
      <c r="F7" s="194" t="s">
        <v>168</v>
      </c>
      <c r="G7" s="195"/>
      <c r="H7" s="145">
        <f>B3</f>
        <v>25</v>
      </c>
      <c r="I7" s="146">
        <f>VLOOKUP(H7,Dados!A15:C23,2,0)</f>
        <v>525000</v>
      </c>
    </row>
    <row r="8" spans="1:9" ht="15.75" thickBot="1" x14ac:dyDescent="0.3">
      <c r="A8" s="154"/>
      <c r="B8" s="164"/>
      <c r="C8" s="168"/>
      <c r="D8" s="154"/>
      <c r="F8" s="196" t="s">
        <v>174</v>
      </c>
      <c r="G8" s="197"/>
      <c r="H8" s="197"/>
      <c r="I8" s="149">
        <f>H3+H4+H5+I3+I4+I5+H6+I7</f>
        <v>3357000</v>
      </c>
    </row>
    <row r="9" spans="1:9" ht="15.75" thickBot="1" x14ac:dyDescent="0.3">
      <c r="A9" s="155"/>
      <c r="B9" s="161"/>
      <c r="C9" s="165"/>
      <c r="D9" s="158"/>
    </row>
    <row r="10" spans="1:9" ht="15.75" thickBot="1" x14ac:dyDescent="0.3">
      <c r="A10" s="154"/>
      <c r="B10" s="162"/>
      <c r="C10" s="166"/>
      <c r="D10" s="47"/>
      <c r="F10" s="286" t="s">
        <v>180</v>
      </c>
      <c r="G10" s="287"/>
      <c r="H10" s="160">
        <v>2</v>
      </c>
    </row>
    <row r="11" spans="1:9" x14ac:dyDescent="0.25">
      <c r="A11" s="154"/>
      <c r="B11" s="162"/>
      <c r="C11" s="166"/>
      <c r="D11" s="47"/>
      <c r="F11" s="288" t="s">
        <v>186</v>
      </c>
      <c r="G11" s="289">
        <f>Dados!B9</f>
        <v>80000000</v>
      </c>
      <c r="H11" s="294" t="s">
        <v>187</v>
      </c>
    </row>
    <row r="12" spans="1:9" ht="15.75" thickBot="1" x14ac:dyDescent="0.3">
      <c r="A12" s="156"/>
      <c r="B12" s="163"/>
      <c r="C12" s="169"/>
      <c r="D12" s="87"/>
      <c r="F12" s="290" t="s">
        <v>105</v>
      </c>
      <c r="G12" s="291">
        <f>Projeto!C27+Projeto!C25</f>
        <v>33644422</v>
      </c>
      <c r="H12" s="295"/>
    </row>
    <row r="13" spans="1:9" ht="15.75" thickBot="1" x14ac:dyDescent="0.3">
      <c r="A13" s="213" t="s">
        <v>167</v>
      </c>
      <c r="B13" s="215"/>
      <c r="C13" s="216">
        <f>SUM(D3:D12)</f>
        <v>393937</v>
      </c>
      <c r="D13" s="217"/>
      <c r="F13" s="292" t="s">
        <v>146</v>
      </c>
      <c r="G13" s="293">
        <f>Dados!D9</f>
        <v>3878787.8787878789</v>
      </c>
      <c r="H13" s="296">
        <f>G11/(G13+I8)</f>
        <v>11.056156059317953</v>
      </c>
    </row>
    <row r="14" spans="1:9" ht="15.75" thickBot="1" x14ac:dyDescent="0.3"/>
    <row r="15" spans="1:9" ht="15.75" thickBot="1" x14ac:dyDescent="0.3">
      <c r="A15" s="204" t="s">
        <v>172</v>
      </c>
      <c r="B15" s="205"/>
      <c r="C15" s="205"/>
      <c r="D15" s="205"/>
      <c r="E15" s="205"/>
      <c r="F15" s="205"/>
      <c r="G15" s="205"/>
      <c r="H15" s="205"/>
      <c r="I15" s="206"/>
    </row>
    <row r="16" spans="1:9" ht="15.75" thickBot="1" x14ac:dyDescent="0.3">
      <c r="A16" s="213" t="s">
        <v>150</v>
      </c>
      <c r="B16" s="215"/>
      <c r="C16" s="214" t="s">
        <v>156</v>
      </c>
      <c r="D16" s="214"/>
      <c r="E16" s="89">
        <v>0.3</v>
      </c>
      <c r="F16" s="213" t="s">
        <v>146</v>
      </c>
      <c r="G16" s="214"/>
      <c r="H16" s="219">
        <f>Projeto!B68</f>
        <v>0.2</v>
      </c>
      <c r="I16" s="202" t="s">
        <v>170</v>
      </c>
    </row>
    <row r="17" spans="1:9" ht="15.75" thickBot="1" x14ac:dyDescent="0.3">
      <c r="A17" s="97" t="s">
        <v>71</v>
      </c>
      <c r="B17" s="98" t="s">
        <v>84</v>
      </c>
      <c r="C17" s="99" t="s">
        <v>155</v>
      </c>
      <c r="D17" s="100" t="s">
        <v>157</v>
      </c>
      <c r="E17" s="104" t="s">
        <v>158</v>
      </c>
      <c r="F17" s="218" t="s">
        <v>166</v>
      </c>
      <c r="G17" s="100" t="s">
        <v>181</v>
      </c>
      <c r="H17" s="100" t="s">
        <v>149</v>
      </c>
      <c r="I17" s="203"/>
    </row>
    <row r="18" spans="1:9" x14ac:dyDescent="0.25">
      <c r="A18" s="101">
        <v>1</v>
      </c>
      <c r="B18" s="102" t="s">
        <v>87</v>
      </c>
      <c r="C18" s="103">
        <f>Dados!C44</f>
        <v>6159.96</v>
      </c>
      <c r="D18" s="105">
        <f>(C18+H18)*(1+$E$16)+H13</f>
        <v>11222.183356059317</v>
      </c>
      <c r="E18" s="106">
        <f>C18*$E$16</f>
        <v>1847.9879999999998</v>
      </c>
      <c r="F18" s="92" t="s">
        <v>164</v>
      </c>
      <c r="G18" s="96">
        <f>VLOOKUP(F18,Dados!$A$36:$B$37,2,0)</f>
        <v>0.4</v>
      </c>
      <c r="H18" s="142">
        <f>C18*G18</f>
        <v>2463.9840000000004</v>
      </c>
      <c r="I18" s="105">
        <f>Dados!C27</f>
        <v>219.9</v>
      </c>
    </row>
    <row r="19" spans="1:9" x14ac:dyDescent="0.25">
      <c r="A19" s="81">
        <v>2</v>
      </c>
      <c r="B19" s="84" t="s">
        <v>91</v>
      </c>
      <c r="C19" s="90">
        <f>Dados!C42</f>
        <v>2789.26</v>
      </c>
      <c r="D19" s="47">
        <f>(C19+H19)*(1+$E$16)+H13</f>
        <v>4724.9055560593188</v>
      </c>
      <c r="E19" s="107">
        <f t="shared" ref="E19:E21" si="0">C19*$E$16</f>
        <v>836.77800000000002</v>
      </c>
      <c r="F19" s="93" t="s">
        <v>163</v>
      </c>
      <c r="G19" s="94">
        <f>VLOOKUP(F19,Dados!$A$36:$B$37,2,0)</f>
        <v>0.3</v>
      </c>
      <c r="H19" s="143">
        <f>C19*G19</f>
        <v>836.77800000000002</v>
      </c>
      <c r="I19" s="47">
        <f>Dados!C28</f>
        <v>149.9</v>
      </c>
    </row>
    <row r="20" spans="1:9" x14ac:dyDescent="0.25">
      <c r="A20" s="81">
        <v>3</v>
      </c>
      <c r="B20" s="85" t="s">
        <v>99</v>
      </c>
      <c r="C20" s="90">
        <f>Dados!C41</f>
        <v>491.26</v>
      </c>
      <c r="D20" s="47">
        <f>(C20+H20)*(1+$E$16)+H13</f>
        <v>905.14935605931794</v>
      </c>
      <c r="E20" s="107">
        <f t="shared" si="0"/>
        <v>147.37799999999999</v>
      </c>
      <c r="F20" s="93" t="s">
        <v>164</v>
      </c>
      <c r="G20" s="94">
        <f>VLOOKUP(F20,Dados!$A$36:$B$37,2,0)</f>
        <v>0.4</v>
      </c>
      <c r="H20" s="143">
        <f t="shared" ref="H20:H21" si="1">C20*G20</f>
        <v>196.50400000000002</v>
      </c>
      <c r="I20" s="47">
        <f>Dados!C29</f>
        <v>99.9</v>
      </c>
    </row>
    <row r="21" spans="1:9" ht="15.75" thickBot="1" x14ac:dyDescent="0.3">
      <c r="A21" s="83">
        <v>4</v>
      </c>
      <c r="B21" s="86" t="s">
        <v>95</v>
      </c>
      <c r="C21" s="91">
        <f>Dados!C43</f>
        <v>891</v>
      </c>
      <c r="D21" s="87">
        <f>(C21+H21)*(1+$E$16)+H13</f>
        <v>1632.6761560593181</v>
      </c>
      <c r="E21" s="108">
        <f t="shared" si="0"/>
        <v>267.3</v>
      </c>
      <c r="F21" s="88" t="s">
        <v>164</v>
      </c>
      <c r="G21" s="95">
        <f>VLOOKUP(F21,Dados!$A$36:$B$37,2,0)</f>
        <v>0.4</v>
      </c>
      <c r="H21" s="144">
        <f t="shared" si="1"/>
        <v>356.40000000000003</v>
      </c>
      <c r="I21" s="87">
        <f>Dados!C30</f>
        <v>59.9</v>
      </c>
    </row>
  </sheetData>
  <mergeCells count="19">
    <mergeCell ref="A13:B13"/>
    <mergeCell ref="C13:D13"/>
    <mergeCell ref="A15:I15"/>
    <mergeCell ref="A16:B16"/>
    <mergeCell ref="C16:D16"/>
    <mergeCell ref="F16:G16"/>
    <mergeCell ref="I16:I17"/>
    <mergeCell ref="F6:G6"/>
    <mergeCell ref="H6:I6"/>
    <mergeCell ref="F7:G7"/>
    <mergeCell ref="F8:H8"/>
    <mergeCell ref="F10:G10"/>
    <mergeCell ref="H11:H12"/>
    <mergeCell ref="A1:D1"/>
    <mergeCell ref="F1:I1"/>
    <mergeCell ref="F2:G2"/>
    <mergeCell ref="F3:G3"/>
    <mergeCell ref="F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FD8C8E-0FCF-4A97-B90B-448374C37B38}">
          <x14:formula1>
            <xm:f>Dados!$A$15:$A$23</xm:f>
          </x14:formula1>
          <xm:sqref>B3</xm:sqref>
        </x14:dataValidation>
        <x14:dataValidation type="list" allowBlank="1" showInputMessage="1" showErrorMessage="1" xr:uid="{1045C17D-C1E6-41FC-9AC7-DE1A40AD3766}">
          <x14:formula1>
            <xm:f>Dados!$A$36:$A$37</xm:f>
          </x14:formula1>
          <xm:sqref>F18:F21</xm:sqref>
        </x14:dataValidation>
        <x14:dataValidation type="list" allowBlank="1" showInputMessage="1" showErrorMessage="1" xr:uid="{762BB1D0-6318-4D70-973E-2D4D48C572B4}">
          <x14:formula1>
            <xm:f>Dados!$C$33:$C$34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E7DA-A18F-4FBB-AB19-F9AA9D046DA2}">
  <dimension ref="A1:I21"/>
  <sheetViews>
    <sheetView topLeftCell="A4" workbookViewId="0">
      <selection activeCell="F16" sqref="F16:G16"/>
    </sheetView>
  </sheetViews>
  <sheetFormatPr defaultRowHeight="15" x14ac:dyDescent="0.25"/>
  <cols>
    <col min="1" max="1" width="24.42578125" customWidth="1"/>
    <col min="2" max="2" width="28.7109375" bestFit="1" customWidth="1"/>
    <col min="3" max="3" width="13.28515625" bestFit="1" customWidth="1"/>
    <col min="4" max="5" width="15.85546875" bestFit="1" customWidth="1"/>
    <col min="6" max="6" width="12.7109375" bestFit="1" customWidth="1"/>
    <col min="7" max="7" width="17.7109375" customWidth="1"/>
    <col min="8" max="8" width="16.140625" bestFit="1" customWidth="1"/>
    <col min="9" max="9" width="16.85546875" bestFit="1" customWidth="1"/>
  </cols>
  <sheetData>
    <row r="1" spans="1:9" ht="15.75" thickBot="1" x14ac:dyDescent="0.3">
      <c r="A1" s="213" t="s">
        <v>171</v>
      </c>
      <c r="B1" s="214"/>
      <c r="C1" s="214"/>
      <c r="D1" s="215"/>
      <c r="F1" s="191" t="s">
        <v>169</v>
      </c>
      <c r="G1" s="192"/>
      <c r="H1" s="192"/>
      <c r="I1" s="193"/>
    </row>
    <row r="2" spans="1:9" ht="15.75" thickBot="1" x14ac:dyDescent="0.3">
      <c r="A2" s="150" t="s">
        <v>148</v>
      </c>
      <c r="B2" s="157" t="s">
        <v>159</v>
      </c>
      <c r="C2" s="150" t="s">
        <v>160</v>
      </c>
      <c r="D2" s="150" t="s">
        <v>138</v>
      </c>
      <c r="F2" s="207" t="s">
        <v>173</v>
      </c>
      <c r="G2" s="208"/>
      <c r="H2" s="147" t="s">
        <v>17</v>
      </c>
      <c r="I2" s="148" t="s">
        <v>18</v>
      </c>
    </row>
    <row r="3" spans="1:9" x14ac:dyDescent="0.25">
      <c r="A3" s="151" t="s">
        <v>168</v>
      </c>
      <c r="B3" s="161">
        <v>25</v>
      </c>
      <c r="C3" s="165" t="s">
        <v>161</v>
      </c>
      <c r="D3" s="158">
        <f>VLOOKUP(B3,Dados!A15:C23,3,0)</f>
        <v>14437</v>
      </c>
      <c r="F3" s="209" t="s">
        <v>20</v>
      </c>
      <c r="G3" s="210"/>
      <c r="H3" s="141">
        <f>VLOOKUP(F3,Dados!$A$49:$D$51,2,0)*B4</f>
        <v>15000</v>
      </c>
      <c r="I3" s="82">
        <f>VLOOKUP(F3,Dados!$A$49:$D$51,3,0)*B4</f>
        <v>80000</v>
      </c>
    </row>
    <row r="4" spans="1:9" x14ac:dyDescent="0.25">
      <c r="A4" s="152" t="s">
        <v>20</v>
      </c>
      <c r="B4" s="162">
        <v>1</v>
      </c>
      <c r="C4" s="166" t="s">
        <v>162</v>
      </c>
      <c r="D4" s="47">
        <f>Nordeste!B4*VLOOKUP(Nordeste!A4,Dados!$A$49:$D$51,4,0)</f>
        <v>68500</v>
      </c>
      <c r="F4" s="209" t="s">
        <v>21</v>
      </c>
      <c r="G4" s="210"/>
      <c r="H4" s="141">
        <f>VLOOKUP(F4,Dados!$A$49:$D$51,2,0)*B5</f>
        <v>16000</v>
      </c>
      <c r="I4" s="82">
        <f>VLOOKUP(F4,Dados!$A$49:$D$51,3,0)*B5</f>
        <v>90000</v>
      </c>
    </row>
    <row r="5" spans="1:9" x14ac:dyDescent="0.25">
      <c r="A5" s="152" t="s">
        <v>21</v>
      </c>
      <c r="B5" s="162">
        <v>1</v>
      </c>
      <c r="C5" s="166" t="s">
        <v>162</v>
      </c>
      <c r="D5" s="47">
        <f>Nordeste!B5*VLOOKUP(Nordeste!A5,Dados!$A$49:$D$51,4,0)</f>
        <v>78500</v>
      </c>
      <c r="F5" s="211" t="s">
        <v>22</v>
      </c>
      <c r="G5" s="212"/>
      <c r="H5" s="141">
        <f>VLOOKUP(F5,Dados!$A$49:$D$51,2,0)*B6</f>
        <v>19000</v>
      </c>
      <c r="I5" s="82">
        <f>VLOOKUP(F5,Dados!$A$49:$D$51,3,0)*B6</f>
        <v>100000</v>
      </c>
    </row>
    <row r="6" spans="1:9" ht="15.75" thickBot="1" x14ac:dyDescent="0.3">
      <c r="A6" s="152" t="s">
        <v>22</v>
      </c>
      <c r="B6" s="162">
        <v>1</v>
      </c>
      <c r="C6" s="166" t="s">
        <v>162</v>
      </c>
      <c r="D6" s="47">
        <f>Nordeste!B6*VLOOKUP(Nordeste!A6,Dados!$A$49:$D$51,4,0)</f>
        <v>82500</v>
      </c>
      <c r="F6" s="198" t="s">
        <v>51</v>
      </c>
      <c r="G6" s="199"/>
      <c r="H6" s="200">
        <f>Dados!B66*Nordeste!H10</f>
        <v>2512000</v>
      </c>
      <c r="I6" s="201"/>
    </row>
    <row r="7" spans="1:9" ht="15.75" thickBot="1" x14ac:dyDescent="0.3">
      <c r="A7" s="153" t="s">
        <v>175</v>
      </c>
      <c r="B7" s="163">
        <v>1</v>
      </c>
      <c r="C7" s="167" t="s">
        <v>162</v>
      </c>
      <c r="D7" s="159">
        <f>Dados!B61*Nordeste!B7</f>
        <v>150000</v>
      </c>
      <c r="F7" s="194" t="s">
        <v>168</v>
      </c>
      <c r="G7" s="195"/>
      <c r="H7" s="145">
        <f>B3</f>
        <v>25</v>
      </c>
      <c r="I7" s="146">
        <f>VLOOKUP(H7,Dados!A15:C23,2,0)</f>
        <v>525000</v>
      </c>
    </row>
    <row r="8" spans="1:9" ht="15.75" thickBot="1" x14ac:dyDescent="0.3">
      <c r="A8" s="154"/>
      <c r="B8" s="164"/>
      <c r="C8" s="168"/>
      <c r="D8" s="154"/>
      <c r="F8" s="196" t="s">
        <v>174</v>
      </c>
      <c r="G8" s="197"/>
      <c r="H8" s="197"/>
      <c r="I8" s="149">
        <f>H3+H4+H5+I3+I4+I5+H6+I7</f>
        <v>3357000</v>
      </c>
    </row>
    <row r="9" spans="1:9" ht="15.75" thickBot="1" x14ac:dyDescent="0.3">
      <c r="A9" s="155"/>
      <c r="B9" s="161"/>
      <c r="C9" s="165"/>
      <c r="D9" s="158"/>
    </row>
    <row r="10" spans="1:9" ht="15.75" thickBot="1" x14ac:dyDescent="0.3">
      <c r="A10" s="154"/>
      <c r="B10" s="162"/>
      <c r="C10" s="166"/>
      <c r="D10" s="47"/>
      <c r="F10" s="286" t="s">
        <v>180</v>
      </c>
      <c r="G10" s="287"/>
      <c r="H10" s="160">
        <v>2</v>
      </c>
    </row>
    <row r="11" spans="1:9" x14ac:dyDescent="0.25">
      <c r="A11" s="154"/>
      <c r="B11" s="162"/>
      <c r="C11" s="166"/>
      <c r="D11" s="47"/>
      <c r="F11" s="288" t="s">
        <v>186</v>
      </c>
      <c r="G11" s="289">
        <f>Dados!B8</f>
        <v>100000000</v>
      </c>
      <c r="H11" s="294" t="s">
        <v>187</v>
      </c>
    </row>
    <row r="12" spans="1:9" ht="15.75" thickBot="1" x14ac:dyDescent="0.3">
      <c r="A12" s="156"/>
      <c r="B12" s="163"/>
      <c r="C12" s="169"/>
      <c r="D12" s="87"/>
      <c r="F12" s="290" t="s">
        <v>105</v>
      </c>
      <c r="G12" s="291">
        <f>Projeto!C23</f>
        <v>54658515</v>
      </c>
      <c r="H12" s="295"/>
    </row>
    <row r="13" spans="1:9" ht="15.75" thickBot="1" x14ac:dyDescent="0.3">
      <c r="A13" s="213" t="s">
        <v>167</v>
      </c>
      <c r="B13" s="215"/>
      <c r="C13" s="216">
        <f>SUM(D3:D12)</f>
        <v>393937</v>
      </c>
      <c r="D13" s="217"/>
      <c r="F13" s="292" t="s">
        <v>146</v>
      </c>
      <c r="G13" s="293">
        <f>Dados!D8</f>
        <v>6060606.0606060605</v>
      </c>
      <c r="H13" s="296">
        <f>G11/(G13+I8)</f>
        <v>10.618409748343689</v>
      </c>
    </row>
    <row r="14" spans="1:9" ht="15.75" thickBot="1" x14ac:dyDescent="0.3"/>
    <row r="15" spans="1:9" ht="15.75" thickBot="1" x14ac:dyDescent="0.3">
      <c r="A15" s="204" t="s">
        <v>172</v>
      </c>
      <c r="B15" s="205"/>
      <c r="C15" s="205"/>
      <c r="D15" s="205"/>
      <c r="E15" s="205"/>
      <c r="F15" s="205"/>
      <c r="G15" s="205"/>
      <c r="H15" s="205"/>
      <c r="I15" s="206"/>
    </row>
    <row r="16" spans="1:9" ht="15.75" thickBot="1" x14ac:dyDescent="0.3">
      <c r="A16" s="213" t="s">
        <v>150</v>
      </c>
      <c r="B16" s="215"/>
      <c r="C16" s="214" t="s">
        <v>156</v>
      </c>
      <c r="D16" s="214"/>
      <c r="E16" s="89">
        <v>0.3</v>
      </c>
      <c r="F16" s="213" t="s">
        <v>146</v>
      </c>
      <c r="G16" s="214"/>
      <c r="H16" s="219">
        <f>Projeto!B68</f>
        <v>0.2</v>
      </c>
      <c r="I16" s="202" t="s">
        <v>170</v>
      </c>
    </row>
    <row r="17" spans="1:9" ht="15.75" thickBot="1" x14ac:dyDescent="0.3">
      <c r="A17" s="97" t="s">
        <v>71</v>
      </c>
      <c r="B17" s="98" t="s">
        <v>84</v>
      </c>
      <c r="C17" s="99" t="s">
        <v>155</v>
      </c>
      <c r="D17" s="100" t="s">
        <v>157</v>
      </c>
      <c r="E17" s="104" t="s">
        <v>158</v>
      </c>
      <c r="F17" s="218" t="s">
        <v>166</v>
      </c>
      <c r="G17" s="100" t="s">
        <v>181</v>
      </c>
      <c r="H17" s="100" t="s">
        <v>149</v>
      </c>
      <c r="I17" s="203"/>
    </row>
    <row r="18" spans="1:9" x14ac:dyDescent="0.25">
      <c r="A18" s="101">
        <v>1</v>
      </c>
      <c r="B18" s="102" t="s">
        <v>87</v>
      </c>
      <c r="C18" s="103">
        <f>Dados!C44</f>
        <v>6159.96</v>
      </c>
      <c r="D18" s="105">
        <f>(C18+H18)*(1+$E$16)+H13</f>
        <v>11221.745609748343</v>
      </c>
      <c r="E18" s="106">
        <f>C18*$E$16</f>
        <v>1847.9879999999998</v>
      </c>
      <c r="F18" s="92" t="s">
        <v>164</v>
      </c>
      <c r="G18" s="96">
        <f>VLOOKUP(F18,Dados!$A$36:$B$37,2,0)</f>
        <v>0.4</v>
      </c>
      <c r="H18" s="142">
        <f>C18*G18</f>
        <v>2463.9840000000004</v>
      </c>
      <c r="I18" s="105">
        <f>Dados!C27</f>
        <v>219.9</v>
      </c>
    </row>
    <row r="19" spans="1:9" x14ac:dyDescent="0.25">
      <c r="A19" s="81">
        <v>2</v>
      </c>
      <c r="B19" s="84" t="s">
        <v>91</v>
      </c>
      <c r="C19" s="90">
        <f>Dados!C42</f>
        <v>2789.26</v>
      </c>
      <c r="D19" s="47">
        <f>(C19+H19)*(1+$E$16)+H13</f>
        <v>4724.4678097483447</v>
      </c>
      <c r="E19" s="107">
        <f t="shared" ref="E19:E21" si="0">C19*$E$16</f>
        <v>836.77800000000002</v>
      </c>
      <c r="F19" s="93" t="s">
        <v>163</v>
      </c>
      <c r="G19" s="94">
        <f>VLOOKUP(F19,Dados!$A$36:$B$37,2,0)</f>
        <v>0.3</v>
      </c>
      <c r="H19" s="143">
        <f>C19*G19</f>
        <v>836.77800000000002</v>
      </c>
      <c r="I19" s="47">
        <f>Dados!C28</f>
        <v>149.9</v>
      </c>
    </row>
    <row r="20" spans="1:9" x14ac:dyDescent="0.25">
      <c r="A20" s="81">
        <v>3</v>
      </c>
      <c r="B20" s="85" t="s">
        <v>99</v>
      </c>
      <c r="C20" s="90">
        <f>Dados!C41</f>
        <v>491.26</v>
      </c>
      <c r="D20" s="47">
        <f>(C20+H20)*(1+$E$16)+H13</f>
        <v>904.71160974834368</v>
      </c>
      <c r="E20" s="107">
        <f t="shared" si="0"/>
        <v>147.37799999999999</v>
      </c>
      <c r="F20" s="93" t="s">
        <v>164</v>
      </c>
      <c r="G20" s="94">
        <f>VLOOKUP(F20,Dados!$A$36:$B$37,2,0)</f>
        <v>0.4</v>
      </c>
      <c r="H20" s="143">
        <f t="shared" ref="H20:H21" si="1">C20*G20</f>
        <v>196.50400000000002</v>
      </c>
      <c r="I20" s="47">
        <f>Dados!C29</f>
        <v>99.9</v>
      </c>
    </row>
    <row r="21" spans="1:9" ht="15.75" thickBot="1" x14ac:dyDescent="0.3">
      <c r="A21" s="83">
        <v>4</v>
      </c>
      <c r="B21" s="86" t="s">
        <v>95</v>
      </c>
      <c r="C21" s="91">
        <f>Dados!C43</f>
        <v>891</v>
      </c>
      <c r="D21" s="87">
        <f>(C21+H21)*(1+$E$16)+H13</f>
        <v>1632.2384097483439</v>
      </c>
      <c r="E21" s="108">
        <f t="shared" si="0"/>
        <v>267.3</v>
      </c>
      <c r="F21" s="88" t="s">
        <v>164</v>
      </c>
      <c r="G21" s="95">
        <f>VLOOKUP(F21,Dados!$A$36:$B$37,2,0)</f>
        <v>0.4</v>
      </c>
      <c r="H21" s="144">
        <f t="shared" si="1"/>
        <v>356.40000000000003</v>
      </c>
      <c r="I21" s="87">
        <f>Dados!C30</f>
        <v>59.9</v>
      </c>
    </row>
  </sheetData>
  <mergeCells count="19">
    <mergeCell ref="A13:B13"/>
    <mergeCell ref="C13:D13"/>
    <mergeCell ref="A15:I15"/>
    <mergeCell ref="A16:B16"/>
    <mergeCell ref="C16:D16"/>
    <mergeCell ref="F16:G16"/>
    <mergeCell ref="I16:I17"/>
    <mergeCell ref="F6:G6"/>
    <mergeCell ref="H6:I6"/>
    <mergeCell ref="F7:G7"/>
    <mergeCell ref="F8:H8"/>
    <mergeCell ref="F10:G10"/>
    <mergeCell ref="H11:H12"/>
    <mergeCell ref="A1:D1"/>
    <mergeCell ref="F1:I1"/>
    <mergeCell ref="F2:G2"/>
    <mergeCell ref="F3:G3"/>
    <mergeCell ref="F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DFBE39-1665-48A7-AFF6-EFF8ED54E3D6}">
          <x14:formula1>
            <xm:f>Dados!$C$33:$C$34</xm:f>
          </x14:formula1>
          <xm:sqref>E16</xm:sqref>
        </x14:dataValidation>
        <x14:dataValidation type="list" allowBlank="1" showInputMessage="1" showErrorMessage="1" xr:uid="{8C579432-2271-4DE1-A1DB-6D13AE72EB41}">
          <x14:formula1>
            <xm:f>Dados!$A$36:$A$37</xm:f>
          </x14:formula1>
          <xm:sqref>F18:F21</xm:sqref>
        </x14:dataValidation>
        <x14:dataValidation type="list" allowBlank="1" showInputMessage="1" showErrorMessage="1" xr:uid="{54E5A73F-DA97-4A96-9425-69E83B8475A3}">
          <x14:formula1>
            <xm:f>Dados!$A$15:$A$23</xm:f>
          </x14:formula1>
          <xm:sqref>B3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31C154D50E174D9AC8C94E3E1E0D4C" ma:contentTypeVersion="4" ma:contentTypeDescription="Crie um novo documento." ma:contentTypeScope="" ma:versionID="01d720b12ddb7692c0bc4b53347326d2">
  <xsd:schema xmlns:xsd="http://www.w3.org/2001/XMLSchema" xmlns:xs="http://www.w3.org/2001/XMLSchema" xmlns:p="http://schemas.microsoft.com/office/2006/metadata/properties" xmlns:ns2="d8ff83f3-5cb3-401d-8e88-7cffe5327c27" targetNamespace="http://schemas.microsoft.com/office/2006/metadata/properties" ma:root="true" ma:fieldsID="c18b1042c749552a0c733ace04323c6f" ns2:_="">
    <xsd:import namespace="d8ff83f3-5cb3-401d-8e88-7cffe5327c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ff83f3-5cb3-401d-8e88-7cffe5327c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87F70A-8CDC-453F-A01C-FE8A780DF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ff83f3-5cb3-401d-8e88-7cffe5327c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EFA2F2-4391-413E-B4C4-B9412BA4A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08FB1C-C6AF-48A9-BDB3-3F9BEBE3C920}">
  <ds:schemaRefs>
    <ds:schemaRef ds:uri="http://purl.org/dc/terms/"/>
    <ds:schemaRef ds:uri="d8ff83f3-5cb3-401d-8e88-7cffe5327c27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Dados</vt:lpstr>
      <vt:lpstr>Sudeste   e Sul</vt:lpstr>
      <vt:lpstr>Norte e Centro Oeste</vt:lpstr>
      <vt:lpstr>Nordeste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Rubens</dc:creator>
  <cp:keywords/>
  <dc:description/>
  <cp:lastModifiedBy>user</cp:lastModifiedBy>
  <cp:revision>1</cp:revision>
  <dcterms:created xsi:type="dcterms:W3CDTF">2020-05-12T20:12:14Z</dcterms:created>
  <dcterms:modified xsi:type="dcterms:W3CDTF">2024-11-17T20:53:18Z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0x010100C031C154D50E174D9AC8C94E3E1E0D4C</vt:lpwstr>
  </property>
  <property fmtid="{D5CDD505-2E9C-101B-9397-08002B2CF9AE}" pid="3" name="WorkbookGuid">
    <vt:lpwstr>34933e72-9cba-4331-9c53-bbde9c3d6a22</vt:lpwstr>
  </property>
</Properties>
</file>