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628"/>
  <workbookPr defaultThemeVersion="124226"/>
  <mc:AlternateContent xmlns:mc="http://schemas.openxmlformats.org/markup-compatibility/2006">
    <mc:Choice Requires="x15">
      <x15ac:absPath xmlns:x15ac="http://schemas.microsoft.com/office/spreadsheetml/2010/11/ac" url="https://vships-my.sharepoint.com/personal/sylvie_coromines_vships_com/Documents/Desktop/"/>
    </mc:Choice>
  </mc:AlternateContent>
  <xr:revisionPtr revIDLastSave="2" documentId="8_{A6E0253F-F1E3-4369-8D9B-C428541FDCDC}" xr6:coauthVersionLast="46" xr6:coauthVersionMax="46" xr10:uidLastSave="{B6ECEDB5-9EFB-46B5-B873-AAF9E6CCF3C5}"/>
  <bookViews>
    <workbookView xWindow="-120" yWindow="-120" windowWidth="20730" windowHeight="11160" tabRatio="895" activeTab="2" xr2:uid="{00000000-000D-0000-FFFF-FFFF00000000}"/>
  </bookViews>
  <sheets>
    <sheet name="Introduction" sheetId="19" r:id="rId1"/>
    <sheet name="MD-GM-Business Development" sheetId="1" r:id="rId2"/>
    <sheet name="Minimum Criteria" sheetId="12" r:id="rId3"/>
    <sheet name="Additional Measures" sheetId="13" r:id="rId4"/>
    <sheet name="Client Financial Background" sheetId="5" r:id="rId5"/>
    <sheet name=" HSSEQ Tab" sheetId="15" r:id="rId6"/>
    <sheet name="Crewing" sheetId="8" r:id="rId7"/>
    <sheet name="Insurance &amp; Legal" sheetId="3" r:id="rId8"/>
    <sheet name="Technical" sheetId="10" r:id="rId9"/>
    <sheet name="Summary" sheetId="17" r:id="rId10"/>
    <sheet name="For HSSEQ Department" sheetId="20" state="hidden" r:id="rId11"/>
  </sheets>
  <externalReferences>
    <externalReference r:id="rId12"/>
  </externalReferenc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4" i="17" l="1"/>
  <c r="C12" i="12" l="1"/>
  <c r="C29" i="1"/>
  <c r="E17" i="1"/>
  <c r="I13" i="15" l="1"/>
  <c r="I8" i="15"/>
  <c r="F7" i="15" l="1"/>
  <c r="N6" i="15"/>
  <c r="N5" i="15"/>
  <c r="N4" i="15"/>
  <c r="N3" i="15"/>
  <c r="N7" i="15" s="1"/>
  <c r="M26" i="15" s="1"/>
  <c r="E5" i="1" l="1"/>
  <c r="E6" i="1" s="1"/>
  <c r="E7" i="1" s="1"/>
  <c r="B23" i="17" l="1"/>
  <c r="C28" i="1" l="1"/>
  <c r="C22" i="20" l="1"/>
  <c r="AA7" i="12"/>
  <c r="AA6" i="12"/>
  <c r="J4" i="5" l="1"/>
  <c r="Q67" i="8"/>
  <c r="B23" i="8"/>
  <c r="R46" i="8"/>
  <c r="R45" i="8"/>
  <c r="R44" i="8"/>
  <c r="R47" i="8"/>
  <c r="R48" i="8"/>
  <c r="J20" i="5" l="1"/>
  <c r="J19" i="5"/>
  <c r="J18" i="5"/>
  <c r="J17" i="5"/>
  <c r="J16" i="5"/>
  <c r="J15" i="5"/>
  <c r="J14" i="5"/>
  <c r="J13" i="5"/>
  <c r="J12" i="5"/>
  <c r="J11" i="5"/>
  <c r="G8" i="5" l="1"/>
  <c r="F6" i="5"/>
  <c r="M66" i="15" l="1"/>
  <c r="B19" i="8" l="1"/>
  <c r="Q84" i="8"/>
  <c r="Q85" i="8"/>
  <c r="Q69" i="8"/>
  <c r="Q70" i="8"/>
  <c r="Q71" i="8"/>
  <c r="Q72" i="8"/>
  <c r="Q73" i="8"/>
  <c r="Q74" i="8"/>
  <c r="Q75" i="8"/>
  <c r="Q76" i="8"/>
  <c r="Q77" i="8"/>
  <c r="Q81" i="8"/>
  <c r="Q82" i="8"/>
  <c r="Q83" i="8"/>
  <c r="R102" i="8"/>
  <c r="R101" i="8"/>
  <c r="R100" i="8"/>
  <c r="R99" i="8"/>
  <c r="R98" i="8"/>
  <c r="R97" i="8"/>
  <c r="Y17" i="8"/>
  <c r="V38" i="8"/>
  <c r="V37" i="8"/>
  <c r="R51" i="8"/>
  <c r="R50" i="8"/>
  <c r="R49" i="8"/>
  <c r="R43" i="8"/>
  <c r="R42" i="8"/>
  <c r="R41" i="8"/>
  <c r="B22" i="8"/>
  <c r="V36" i="8"/>
  <c r="R40" i="8"/>
  <c r="R38" i="8"/>
  <c r="R36" i="8"/>
  <c r="R6" i="8"/>
  <c r="Y19" i="8" s="1"/>
  <c r="B18" i="8"/>
  <c r="B16" i="8"/>
  <c r="B15" i="8"/>
  <c r="B14" i="8"/>
  <c r="B17" i="8"/>
  <c r="L13" i="15"/>
  <c r="C6" i="15" s="1"/>
  <c r="Y12" i="8" l="1"/>
  <c r="Y15" i="8"/>
  <c r="Y13" i="8"/>
  <c r="Y20" i="8"/>
  <c r="Y14" i="8"/>
  <c r="J13" i="15"/>
  <c r="J12" i="15"/>
  <c r="J7" i="15"/>
  <c r="M71" i="15"/>
  <c r="M70" i="15"/>
  <c r="B10" i="8"/>
  <c r="M18" i="15" l="1"/>
  <c r="L48" i="15" l="1"/>
  <c r="B22" i="20"/>
  <c r="A22" i="20"/>
  <c r="E16" i="12" l="1"/>
  <c r="E14" i="12"/>
  <c r="E13" i="12"/>
  <c r="E9" i="1" l="1"/>
  <c r="J8" i="15" l="1"/>
  <c r="M26" i="10" l="1"/>
  <c r="L26" i="10" s="1"/>
  <c r="O4" i="10"/>
  <c r="K4" i="10" s="1"/>
  <c r="N4" i="10"/>
  <c r="M4" i="10" s="1"/>
  <c r="P11" i="3"/>
  <c r="O11" i="3" s="1"/>
  <c r="C7" i="12" s="1"/>
  <c r="Y16" i="8"/>
  <c r="J39" i="10"/>
  <c r="J30" i="10"/>
  <c r="J31" i="10"/>
  <c r="J32" i="10"/>
  <c r="J33" i="10"/>
  <c r="J34" i="10"/>
  <c r="J35" i="10"/>
  <c r="J37" i="10"/>
  <c r="K26" i="3"/>
  <c r="K27" i="3"/>
  <c r="K28" i="3"/>
  <c r="L53" i="15"/>
  <c r="L54" i="15"/>
  <c r="L55" i="15"/>
  <c r="L56" i="15"/>
  <c r="E13" i="1"/>
  <c r="E22" i="12"/>
  <c r="E21" i="12"/>
  <c r="E20" i="12"/>
  <c r="C19" i="12"/>
  <c r="E19" i="12"/>
  <c r="E18" i="12"/>
  <c r="E17" i="12"/>
  <c r="C3" i="17" l="1"/>
  <c r="E15" i="12"/>
  <c r="C6" i="12"/>
  <c r="E6" i="12" s="1"/>
  <c r="E7" i="12"/>
  <c r="K7" i="10" l="1"/>
  <c r="K8" i="10"/>
  <c r="K9" i="10"/>
  <c r="K10" i="10"/>
  <c r="K11" i="10"/>
  <c r="K6" i="10"/>
  <c r="B20" i="20"/>
  <c r="A20" i="20"/>
  <c r="A21" i="20" l="1"/>
  <c r="B19" i="20"/>
  <c r="B18" i="20"/>
  <c r="B17" i="20"/>
  <c r="A19" i="20"/>
  <c r="A18" i="20"/>
  <c r="A17" i="20"/>
  <c r="M63" i="15"/>
  <c r="M40" i="15"/>
  <c r="M39" i="15"/>
  <c r="M73" i="15"/>
  <c r="M72" i="15"/>
  <c r="C18" i="20"/>
  <c r="M62" i="15"/>
  <c r="M61" i="15"/>
  <c r="C17" i="20" s="1"/>
  <c r="C19" i="20" l="1"/>
  <c r="B16" i="20"/>
  <c r="C16" i="20"/>
  <c r="A16" i="20"/>
  <c r="B11" i="10"/>
  <c r="B13" i="20"/>
  <c r="B14" i="20"/>
  <c r="B15" i="20"/>
  <c r="B3" i="20"/>
  <c r="B6" i="20"/>
  <c r="B7" i="20"/>
  <c r="B8" i="20"/>
  <c r="B9" i="20"/>
  <c r="B10" i="20"/>
  <c r="B11" i="20"/>
  <c r="B12" i="20"/>
  <c r="B2" i="20"/>
  <c r="AE9" i="12"/>
  <c r="AE8" i="12"/>
  <c r="AE6" i="12"/>
  <c r="A3" i="20"/>
  <c r="A4" i="20"/>
  <c r="A5" i="20"/>
  <c r="A6" i="20"/>
  <c r="A7" i="20"/>
  <c r="A8" i="20"/>
  <c r="A9" i="20"/>
  <c r="A10" i="20"/>
  <c r="A11" i="20"/>
  <c r="A12" i="20"/>
  <c r="A13" i="20"/>
  <c r="A14" i="20"/>
  <c r="A15" i="20"/>
  <c r="A2" i="20"/>
  <c r="B5" i="20" l="1"/>
  <c r="E12" i="12"/>
  <c r="C14" i="10"/>
  <c r="B21" i="20" l="1"/>
  <c r="J36" i="10"/>
  <c r="N10" i="1"/>
  <c r="N13" i="1"/>
  <c r="N14" i="1"/>
  <c r="N15" i="1"/>
  <c r="N16" i="1"/>
  <c r="N17" i="1"/>
  <c r="N18" i="1"/>
  <c r="N19" i="1"/>
  <c r="N20" i="1"/>
  <c r="N21" i="1"/>
  <c r="N22" i="1"/>
  <c r="N23" i="1"/>
  <c r="N24" i="1"/>
  <c r="N25" i="1"/>
  <c r="N26" i="1"/>
  <c r="N27" i="1"/>
  <c r="N28" i="1"/>
  <c r="N29" i="1"/>
  <c r="N30" i="1"/>
  <c r="N31" i="1"/>
  <c r="C11" i="1"/>
  <c r="P4" i="1"/>
  <c r="P5" i="1" s="1"/>
  <c r="C10" i="1"/>
  <c r="P6" i="1" l="1"/>
  <c r="P7" i="1"/>
  <c r="Y18" i="8"/>
  <c r="M7" i="1" l="1"/>
  <c r="N7" i="1" s="1"/>
  <c r="M10" i="1"/>
  <c r="M14" i="1"/>
  <c r="M18" i="1"/>
  <c r="M22" i="1"/>
  <c r="M26" i="1"/>
  <c r="M30" i="1"/>
  <c r="M11" i="1"/>
  <c r="N11" i="1" s="1"/>
  <c r="M15" i="1"/>
  <c r="M19" i="1"/>
  <c r="M23" i="1"/>
  <c r="M27" i="1"/>
  <c r="M31" i="1"/>
  <c r="M8" i="1"/>
  <c r="N8" i="1" s="1"/>
  <c r="M12" i="1"/>
  <c r="N12" i="1" s="1"/>
  <c r="M16" i="1"/>
  <c r="M20" i="1"/>
  <c r="M24" i="1"/>
  <c r="M28" i="1"/>
  <c r="M9" i="1"/>
  <c r="N9" i="1" s="1"/>
  <c r="M13" i="1"/>
  <c r="M17" i="1"/>
  <c r="M21" i="1"/>
  <c r="M25" i="1"/>
  <c r="M29" i="1"/>
  <c r="P8" i="1"/>
  <c r="P9" i="1"/>
  <c r="N5" i="1" l="1"/>
  <c r="E11" i="1" s="1"/>
  <c r="D11" i="1"/>
  <c r="G13" i="10"/>
  <c r="G14" i="10" s="1"/>
  <c r="B13" i="10" s="1"/>
  <c r="G7" i="5"/>
  <c r="G9" i="5"/>
  <c r="G10" i="5"/>
  <c r="G6" i="5"/>
  <c r="E8" i="12" l="1"/>
  <c r="C8" i="12" s="1"/>
  <c r="B4" i="20" s="1"/>
  <c r="G11" i="5"/>
  <c r="G9" i="17" s="1"/>
  <c r="B30" i="17"/>
  <c r="B29" i="17" s="1"/>
  <c r="J28" i="10" l="1"/>
  <c r="B27" i="12"/>
  <c r="C35" i="1"/>
  <c r="E10" i="1" l="1"/>
  <c r="E22" i="1" l="1"/>
  <c r="E25" i="1"/>
  <c r="E26" i="1"/>
  <c r="J2" i="5" l="1"/>
  <c r="X28" i="12" l="1"/>
  <c r="B28" i="12"/>
  <c r="B26" i="12"/>
  <c r="C34" i="1"/>
  <c r="C33" i="1"/>
  <c r="C32" i="1"/>
  <c r="AA13" i="12"/>
  <c r="AA14" i="12"/>
  <c r="AA15" i="12"/>
  <c r="AA16" i="12"/>
  <c r="AA17" i="12"/>
  <c r="AA18" i="12"/>
  <c r="AA19" i="12"/>
  <c r="AA20" i="12"/>
  <c r="AA21" i="12"/>
  <c r="AA22" i="12"/>
  <c r="AA26" i="12"/>
  <c r="AA12" i="12"/>
  <c r="J29" i="10"/>
  <c r="J40" i="10" s="1"/>
  <c r="G13" i="17" s="1"/>
  <c r="K25" i="3"/>
  <c r="K29" i="3" s="1"/>
  <c r="Q68" i="8"/>
  <c r="L50" i="15"/>
  <c r="L51" i="15"/>
  <c r="L52" i="15"/>
  <c r="L49" i="15"/>
  <c r="I32" i="5"/>
  <c r="I31" i="5"/>
  <c r="L47" i="15"/>
  <c r="L46" i="15"/>
  <c r="G52" i="1"/>
  <c r="G55" i="1"/>
  <c r="G56" i="1"/>
  <c r="G59" i="1"/>
  <c r="G60" i="1"/>
  <c r="G61" i="1"/>
  <c r="G64" i="1"/>
  <c r="G65" i="1"/>
  <c r="G51" i="1"/>
  <c r="H45" i="1"/>
  <c r="H44" i="1"/>
  <c r="H43" i="1"/>
  <c r="Q86" i="8" l="1"/>
  <c r="G11" i="17" s="1"/>
  <c r="L57" i="15"/>
  <c r="G10" i="17" s="1"/>
  <c r="G12" i="17"/>
  <c r="G67" i="1"/>
  <c r="G8" i="17" s="1"/>
  <c r="K25" i="10"/>
  <c r="J14" i="17"/>
  <c r="H39" i="1"/>
  <c r="H40" i="1"/>
  <c r="H41" i="1"/>
  <c r="H42" i="1"/>
  <c r="H38" i="1"/>
  <c r="AA8" i="12" l="1"/>
  <c r="K24" i="10"/>
  <c r="K23" i="10"/>
  <c r="H33" i="1"/>
  <c r="H34" i="1"/>
  <c r="H35" i="1"/>
  <c r="H36" i="1"/>
  <c r="H37" i="1"/>
  <c r="H6" i="1"/>
  <c r="H5" i="1"/>
  <c r="K22" i="10"/>
  <c r="K21" i="10"/>
  <c r="K19" i="10"/>
  <c r="K20" i="10"/>
  <c r="K18" i="10"/>
  <c r="K13" i="10"/>
  <c r="K14" i="10"/>
  <c r="K15" i="10"/>
  <c r="K16" i="10"/>
  <c r="K17" i="10"/>
  <c r="K12" i="10"/>
  <c r="C24" i="10"/>
  <c r="B24" i="10"/>
  <c r="H32" i="1"/>
  <c r="H30" i="1"/>
  <c r="H31" i="1"/>
  <c r="B26" i="17" s="1"/>
  <c r="B27" i="17" s="1"/>
  <c r="H29" i="1"/>
  <c r="C25" i="10"/>
  <c r="B25" i="10"/>
  <c r="X7" i="12"/>
  <c r="X8" i="12"/>
  <c r="X12" i="12"/>
  <c r="X13" i="12"/>
  <c r="X14" i="12"/>
  <c r="X15" i="12"/>
  <c r="X16" i="12"/>
  <c r="X17" i="12"/>
  <c r="X18" i="12"/>
  <c r="X19" i="12"/>
  <c r="X20" i="12"/>
  <c r="X21" i="12"/>
  <c r="X22" i="12"/>
  <c r="X26" i="12"/>
  <c r="X27" i="12"/>
  <c r="X6" i="12"/>
  <c r="V13" i="12"/>
  <c r="V12" i="12"/>
  <c r="V11" i="12"/>
  <c r="V10" i="12"/>
  <c r="V9" i="12"/>
  <c r="V8" i="12"/>
  <c r="C21" i="20" l="1"/>
  <c r="K26" i="10"/>
  <c r="K27" i="10" s="1"/>
  <c r="C20" i="20"/>
  <c r="Y28" i="12"/>
  <c r="Z28" i="12" s="1"/>
  <c r="I28" i="12" s="1"/>
  <c r="J28" i="12" s="1"/>
  <c r="AB28" i="12"/>
  <c r="AB14" i="12"/>
  <c r="AB16" i="12"/>
  <c r="AC16" i="12" s="1"/>
  <c r="AB18" i="12"/>
  <c r="AC18" i="12" s="1"/>
  <c r="AB20" i="12"/>
  <c r="AC20" i="12" s="1"/>
  <c r="AB22" i="12"/>
  <c r="AB27" i="12"/>
  <c r="AB12" i="12"/>
  <c r="AC12" i="12" s="1"/>
  <c r="AB13" i="12"/>
  <c r="AB15" i="12"/>
  <c r="AC15" i="12" s="1"/>
  <c r="AB17" i="12"/>
  <c r="AC17" i="12" s="1"/>
  <c r="AB19" i="12"/>
  <c r="AC19" i="12" s="1"/>
  <c r="AB21" i="12"/>
  <c r="AC21" i="12" s="1"/>
  <c r="AB26" i="12"/>
  <c r="Y22" i="12"/>
  <c r="Z22" i="12" s="1"/>
  <c r="I22" i="12" s="1"/>
  <c r="Y7" i="12"/>
  <c r="Z7" i="12" s="1"/>
  <c r="I7" i="12" s="1"/>
  <c r="Y21" i="12"/>
  <c r="Z21" i="12" s="1"/>
  <c r="I21" i="12" s="1"/>
  <c r="Y13" i="12"/>
  <c r="Z13" i="12" s="1"/>
  <c r="I13" i="12" s="1"/>
  <c r="Y27" i="12"/>
  <c r="Z27" i="12" s="1"/>
  <c r="I27" i="12" s="1"/>
  <c r="Y20" i="12"/>
  <c r="Z20" i="12" s="1"/>
  <c r="I20" i="12" s="1"/>
  <c r="Y16" i="12"/>
  <c r="Z16" i="12" s="1"/>
  <c r="I16" i="12" s="1"/>
  <c r="Y12" i="12"/>
  <c r="Z12" i="12" s="1"/>
  <c r="I12" i="12" s="1"/>
  <c r="Y18" i="12"/>
  <c r="Z18" i="12" s="1"/>
  <c r="I18" i="12" s="1"/>
  <c r="Y14" i="12"/>
  <c r="Z14" i="12" s="1"/>
  <c r="I14" i="12" s="1"/>
  <c r="AB7" i="12"/>
  <c r="AC7" i="12" s="1"/>
  <c r="AB8" i="12"/>
  <c r="AC8" i="12" s="1"/>
  <c r="Y6" i="12"/>
  <c r="Z6" i="12" s="1"/>
  <c r="I6" i="12" s="1"/>
  <c r="Y17" i="12"/>
  <c r="Z17" i="12" s="1"/>
  <c r="I17" i="12" s="1"/>
  <c r="Y26" i="12"/>
  <c r="Z26" i="12" s="1"/>
  <c r="I26" i="12" s="1"/>
  <c r="Y19" i="12"/>
  <c r="Z19" i="12" s="1"/>
  <c r="I19" i="12" s="1"/>
  <c r="Y15" i="12"/>
  <c r="Z15" i="12" s="1"/>
  <c r="I15" i="12" s="1"/>
  <c r="Y8" i="12"/>
  <c r="Z8" i="12" s="1"/>
  <c r="I8" i="12" s="1"/>
  <c r="J8" i="12" s="1"/>
  <c r="K8" i="12" s="1"/>
  <c r="AB6" i="12"/>
  <c r="AC6" i="12" s="1"/>
  <c r="AC22" i="12"/>
  <c r="AC26" i="12"/>
  <c r="AC14" i="12"/>
  <c r="AC13" i="12"/>
  <c r="L16" i="3"/>
  <c r="L17" i="3"/>
  <c r="L18" i="3"/>
  <c r="L19" i="3"/>
  <c r="L15" i="3"/>
  <c r="L13" i="3"/>
  <c r="L12" i="3"/>
  <c r="L11" i="3"/>
  <c r="L10" i="3"/>
  <c r="L21" i="3" l="1"/>
  <c r="L23" i="3" s="1"/>
  <c r="K28" i="12"/>
  <c r="B25" i="13"/>
  <c r="A25" i="13" s="1"/>
  <c r="C19" i="10"/>
  <c r="D19" i="10" s="1"/>
  <c r="I13" i="17"/>
  <c r="M34" i="15"/>
  <c r="M35" i="15"/>
  <c r="M36" i="15"/>
  <c r="M37" i="15"/>
  <c r="M38" i="15"/>
  <c r="M33" i="15"/>
  <c r="M30" i="15"/>
  <c r="M31" i="15"/>
  <c r="M32" i="15"/>
  <c r="M29" i="15"/>
  <c r="M27" i="15"/>
  <c r="M28" i="15"/>
  <c r="M24" i="15"/>
  <c r="M25" i="15"/>
  <c r="M23" i="15"/>
  <c r="R61" i="8"/>
  <c r="R60" i="8"/>
  <c r="R57" i="8"/>
  <c r="R58" i="8"/>
  <c r="R59" i="8"/>
  <c r="R56" i="8"/>
  <c r="R53" i="8"/>
  <c r="R54" i="8"/>
  <c r="R55" i="8"/>
  <c r="R52" i="8"/>
  <c r="R35" i="8"/>
  <c r="R34" i="8"/>
  <c r="R30" i="8"/>
  <c r="R31" i="8"/>
  <c r="R32" i="8"/>
  <c r="R33" i="8"/>
  <c r="R29" i="8"/>
  <c r="R25" i="8"/>
  <c r="R26" i="8"/>
  <c r="R27" i="8"/>
  <c r="R28" i="8"/>
  <c r="R24" i="8"/>
  <c r="R20" i="8"/>
  <c r="R21" i="8"/>
  <c r="R22" i="8"/>
  <c r="R23" i="8"/>
  <c r="R19" i="8"/>
  <c r="R13" i="8"/>
  <c r="R14" i="8"/>
  <c r="R12" i="8"/>
  <c r="R8" i="8"/>
  <c r="R9" i="8"/>
  <c r="R10" i="8"/>
  <c r="R11" i="8"/>
  <c r="R7" i="8"/>
  <c r="B21" i="8"/>
  <c r="B20" i="8"/>
  <c r="B13" i="8"/>
  <c r="B12" i="8"/>
  <c r="B11" i="8"/>
  <c r="B9" i="8"/>
  <c r="B8" i="8"/>
  <c r="Y11" i="8" l="1"/>
  <c r="Y23" i="8"/>
  <c r="Y7" i="8"/>
  <c r="Y9" i="8"/>
  <c r="Y22" i="8"/>
  <c r="Y21" i="8"/>
  <c r="Y10" i="8"/>
  <c r="Y8" i="8"/>
  <c r="Y6" i="8"/>
  <c r="F13" i="17"/>
  <c r="I12" i="17"/>
  <c r="C16" i="3"/>
  <c r="D16" i="3" s="1"/>
  <c r="G7" i="8"/>
  <c r="H24" i="1"/>
  <c r="H25" i="1"/>
  <c r="H26" i="1"/>
  <c r="H27" i="1"/>
  <c r="H28" i="1"/>
  <c r="H23" i="1"/>
  <c r="H21" i="1"/>
  <c r="H22" i="1"/>
  <c r="H20" i="1"/>
  <c r="H8" i="1"/>
  <c r="H9" i="1"/>
  <c r="B17" i="17" s="1"/>
  <c r="B18" i="17" s="1"/>
  <c r="H7" i="1"/>
  <c r="B24" i="12"/>
  <c r="Y24" i="8" l="1"/>
  <c r="A21" i="13"/>
  <c r="F12" i="17"/>
  <c r="B20" i="17"/>
  <c r="B21" i="17" s="1"/>
  <c r="C31" i="1"/>
  <c r="H13" i="1"/>
  <c r="H14" i="1"/>
  <c r="H15" i="1"/>
  <c r="H16" i="1"/>
  <c r="H17" i="1"/>
  <c r="H12" i="1"/>
  <c r="J5" i="5"/>
  <c r="J6" i="5"/>
  <c r="J7" i="5"/>
  <c r="J3" i="5"/>
  <c r="R63" i="8" l="1"/>
  <c r="H2" i="1"/>
  <c r="H3" i="1" s="1"/>
  <c r="E20" i="1"/>
  <c r="R65" i="8" l="1"/>
  <c r="C31" i="8" s="1"/>
  <c r="I11" i="17"/>
  <c r="F8" i="17"/>
  <c r="I8" i="17"/>
  <c r="J10" i="5"/>
  <c r="J8" i="5"/>
  <c r="J22" i="5"/>
  <c r="J23" i="5"/>
  <c r="J24" i="5"/>
  <c r="J25" i="5"/>
  <c r="J21" i="5"/>
  <c r="J9" i="5"/>
  <c r="K7" i="15"/>
  <c r="K8" i="15"/>
  <c r="F11" i="17" l="1"/>
  <c r="D31" i="8"/>
  <c r="J27" i="5"/>
  <c r="M22" i="15"/>
  <c r="N22" i="15"/>
  <c r="M21" i="15"/>
  <c r="N21" i="15"/>
  <c r="J27" i="12"/>
  <c r="J26" i="12"/>
  <c r="J7" i="12"/>
  <c r="K7" i="12" s="1"/>
  <c r="J12" i="12"/>
  <c r="J13" i="12"/>
  <c r="K13" i="12" s="1"/>
  <c r="J14" i="12"/>
  <c r="K14" i="12" s="1"/>
  <c r="J15" i="12"/>
  <c r="J16" i="12"/>
  <c r="J17" i="12"/>
  <c r="K17" i="12" s="1"/>
  <c r="J18" i="12"/>
  <c r="K18" i="12" s="1"/>
  <c r="J19" i="12"/>
  <c r="J20" i="12"/>
  <c r="J21" i="12"/>
  <c r="K21" i="12" s="1"/>
  <c r="J22" i="12"/>
  <c r="K22" i="12" s="1"/>
  <c r="J6" i="12"/>
  <c r="M42" i="15" l="1"/>
  <c r="K44" i="15" s="1"/>
  <c r="J28" i="5"/>
  <c r="B16" i="5" s="1"/>
  <c r="C16" i="5" s="1"/>
  <c r="I9" i="17"/>
  <c r="B11" i="13"/>
  <c r="H11" i="13" s="1"/>
  <c r="B19" i="13"/>
  <c r="B10" i="13"/>
  <c r="H10" i="13" s="1"/>
  <c r="B18" i="13"/>
  <c r="B14" i="13"/>
  <c r="B6" i="13"/>
  <c r="H6" i="13" s="1"/>
  <c r="K6" i="12"/>
  <c r="B12" i="13"/>
  <c r="K15" i="12"/>
  <c r="B8" i="13"/>
  <c r="H8" i="13" s="1"/>
  <c r="B23" i="13"/>
  <c r="K26" i="12"/>
  <c r="B15" i="13"/>
  <c r="H15" i="13" s="1"/>
  <c r="B7" i="13"/>
  <c r="B16" i="13"/>
  <c r="K19" i="12"/>
  <c r="B17" i="13"/>
  <c r="H17" i="13" s="1"/>
  <c r="K20" i="12"/>
  <c r="B13" i="13"/>
  <c r="K16" i="12"/>
  <c r="B9" i="13"/>
  <c r="K12" i="12"/>
  <c r="B24" i="13"/>
  <c r="K27" i="12"/>
  <c r="H18" i="13" l="1"/>
  <c r="B27" i="13"/>
  <c r="F9" i="17"/>
  <c r="H7" i="13"/>
  <c r="I7" i="13" s="1"/>
  <c r="C3" i="20" s="1"/>
  <c r="I8" i="13"/>
  <c r="C4" i="20" s="1"/>
  <c r="I6" i="13"/>
  <c r="C2" i="20" s="1"/>
  <c r="A24" i="13"/>
  <c r="A23" i="13"/>
  <c r="H23" i="13"/>
  <c r="I23" i="13" s="1"/>
  <c r="A13" i="13"/>
  <c r="H13" i="13"/>
  <c r="I13" i="13" s="1"/>
  <c r="C9" i="20" s="1"/>
  <c r="A16" i="13"/>
  <c r="H16" i="13"/>
  <c r="I16" i="13" s="1"/>
  <c r="C12" i="20" s="1"/>
  <c r="A7" i="13"/>
  <c r="A6" i="13"/>
  <c r="A19" i="13"/>
  <c r="H19" i="13"/>
  <c r="I19" i="13" s="1"/>
  <c r="C15" i="20" s="1"/>
  <c r="A9" i="13"/>
  <c r="H9" i="13"/>
  <c r="I9" i="13" s="1"/>
  <c r="C5" i="20" s="1"/>
  <c r="A14" i="13"/>
  <c r="H14" i="13"/>
  <c r="I14" i="13" s="1"/>
  <c r="C10" i="20" s="1"/>
  <c r="A12" i="13"/>
  <c r="H12" i="13"/>
  <c r="I12" i="13" s="1"/>
  <c r="C8" i="20" s="1"/>
  <c r="C19" i="15"/>
  <c r="D19" i="15" s="1"/>
  <c r="I10" i="17"/>
  <c r="I14" i="17" s="1"/>
  <c r="E15" i="17" s="1"/>
  <c r="C6" i="17" s="1"/>
  <c r="I17" i="17" s="1"/>
  <c r="A18" i="13"/>
  <c r="I18" i="13"/>
  <c r="C14" i="20" s="1"/>
  <c r="A17" i="13"/>
  <c r="I17" i="13"/>
  <c r="C13" i="20" s="1"/>
  <c r="A15" i="13"/>
  <c r="I15" i="13"/>
  <c r="C11" i="20" s="1"/>
  <c r="A11" i="13"/>
  <c r="I11" i="13"/>
  <c r="C7" i="20" s="1"/>
  <c r="A10" i="13"/>
  <c r="I10" i="13"/>
  <c r="C6" i="20" s="1"/>
  <c r="A8" i="13"/>
  <c r="B24" i="17" l="1"/>
  <c r="F10" i="17"/>
  <c r="AA28" i="12"/>
  <c r="AC28" i="12" s="1"/>
  <c r="H25" i="13" s="1"/>
  <c r="I25" i="13" s="1"/>
  <c r="E2" i="20" l="1"/>
  <c r="F2" i="20" s="1"/>
  <c r="C23" i="20"/>
  <c r="AA27" i="12"/>
  <c r="AC27" i="12" s="1"/>
  <c r="H24" i="13" s="1"/>
  <c r="I24" i="13" s="1"/>
  <c r="I27" i="13" s="1"/>
  <c r="I29" i="13" l="1"/>
  <c r="I30" i="13" s="1"/>
  <c r="I16" i="17" l="1"/>
  <c r="I18" i="17" s="1"/>
  <c r="C12" i="17" s="1"/>
  <c r="C5" i="17"/>
  <c r="B14" i="17" l="1"/>
  <c r="B9" i="17"/>
  <c r="B11" i="17"/>
  <c r="E3" i="17" l="1"/>
</calcChain>
</file>

<file path=xl/sharedStrings.xml><?xml version="1.0" encoding="utf-8"?>
<sst xmlns="http://schemas.openxmlformats.org/spreadsheetml/2006/main" count="633" uniqueCount="438">
  <si>
    <t>Vessel IMO Number</t>
  </si>
  <si>
    <t>Vessel V Ships Name</t>
  </si>
  <si>
    <t>Vessel Type</t>
  </si>
  <si>
    <t>Office Experience in taking vessels into management.</t>
  </si>
  <si>
    <t>For multiple ships, % increase in ship numbers in Office.</t>
  </si>
  <si>
    <t>Client</t>
  </si>
  <si>
    <t>Current Name</t>
  </si>
  <si>
    <t>Proposed Managing Office</t>
  </si>
  <si>
    <t>Is this client New to Group?</t>
  </si>
  <si>
    <t>Financial</t>
  </si>
  <si>
    <t xml:space="preserve"> Rating</t>
  </si>
  <si>
    <t>1. Has a financial check / due diligence been done?</t>
  </si>
  <si>
    <t>Additional Hazards</t>
  </si>
  <si>
    <t>Not applicable</t>
  </si>
  <si>
    <t>Rating</t>
  </si>
  <si>
    <t>Availability of office resources</t>
  </si>
  <si>
    <t>Familiarisation of assigned superintendents arranged?</t>
  </si>
  <si>
    <t>Insurance</t>
  </si>
  <si>
    <t>1. P&amp;I Cover in Place?</t>
  </si>
  <si>
    <t>Observers attending Vessel</t>
  </si>
  <si>
    <t>Pre-purchase inspection result</t>
  </si>
  <si>
    <t>Yard / Country vessel built</t>
  </si>
  <si>
    <t>Class records or status checked</t>
  </si>
  <si>
    <t>Next Dry-Dock</t>
  </si>
  <si>
    <t>Historical PMS records available</t>
  </si>
  <si>
    <t>Cargo ships and other “dry” vessels up to 17 years old</t>
  </si>
  <si>
    <t>“Wet” (including LPG) vessels up to 20 years</t>
  </si>
  <si>
    <t>LNG vessels up to 25 years.</t>
  </si>
  <si>
    <t>If the crew are being directly employed by a V.Group company, Form CRW11 must be signed off by the Group Tax Department.</t>
  </si>
  <si>
    <t>Date of Assessment</t>
  </si>
  <si>
    <t>Hazard #</t>
  </si>
  <si>
    <t>Description of identified hazard</t>
  </si>
  <si>
    <t>Potential consequences</t>
  </si>
  <si>
    <t>Existing Control Measures</t>
  </si>
  <si>
    <t>Identified Contingency Measures</t>
  </si>
  <si>
    <t>Likelihood</t>
  </si>
  <si>
    <t>Severity</t>
  </si>
  <si>
    <t>Minor</t>
  </si>
  <si>
    <t>Moderate</t>
  </si>
  <si>
    <t>Severe</t>
  </si>
  <si>
    <t>Major</t>
  </si>
  <si>
    <t>Critical</t>
  </si>
  <si>
    <t>Highly Likely</t>
  </si>
  <si>
    <t>Medium</t>
  </si>
  <si>
    <t>Significant</t>
  </si>
  <si>
    <t>High</t>
  </si>
  <si>
    <t>Very High</t>
  </si>
  <si>
    <t>Likely</t>
  </si>
  <si>
    <t>Occasional</t>
  </si>
  <si>
    <t>Low</t>
  </si>
  <si>
    <t>Remote</t>
  </si>
  <si>
    <t>Unlikely</t>
  </si>
  <si>
    <t>Very Low</t>
  </si>
  <si>
    <t>Very Unlikely</t>
  </si>
  <si>
    <t>Risk Factor</t>
  </si>
  <si>
    <t>The accounts / credit risk report indicate that the client will NOT be able to fund the vessel’s operating costs.</t>
  </si>
  <si>
    <t>- No external records of vessel full maintenance history</t>
  </si>
  <si>
    <t>- Vessel not fully insured exposing Group to liabilities</t>
  </si>
  <si>
    <t>- Vessel will be poor tonnage owing to age</t>
  </si>
  <si>
    <t>- External parties have already determined that vessel poor quality</t>
  </si>
  <si>
    <t>- Issues with quality of crew supplied</t>
  </si>
  <si>
    <t>- No vision on current condition of vessel which may lead to costs / detentions on takeover</t>
  </si>
  <si>
    <t xml:space="preserve">- Crew Issues outside the control of V Ships </t>
  </si>
  <si>
    <t xml:space="preserve">- Unknown Legal issues </t>
  </si>
  <si>
    <t>Very Severe</t>
  </si>
  <si>
    <t>Further Risk Control Measures</t>
  </si>
  <si>
    <t>Person allocated</t>
  </si>
  <si>
    <t>Remedial Action Date</t>
  </si>
  <si>
    <t>Likelihood of Harm</t>
  </si>
  <si>
    <t>Severity of Harm</t>
  </si>
  <si>
    <t>Level</t>
  </si>
  <si>
    <t>  Meets Minimum Criteria</t>
  </si>
  <si>
    <t>  Risk Level = 3 or below</t>
  </si>
  <si>
    <t>Risk Assessment Approval</t>
  </si>
  <si>
    <t>Yes</t>
  </si>
  <si>
    <t>Final Approval by MD/GM</t>
  </si>
  <si>
    <t>Forward copy of RA for records</t>
  </si>
  <si>
    <t>No</t>
  </si>
  <si>
    <t>Copy of RA for information.</t>
  </si>
  <si>
    <t>Websites:</t>
  </si>
  <si>
    <t>IACS website</t>
  </si>
  <si>
    <t>P&amp;I Website</t>
  </si>
  <si>
    <t>Equasis Web Site</t>
  </si>
  <si>
    <t>Sea web website</t>
  </si>
  <si>
    <t>Other</t>
  </si>
  <si>
    <t>Rightship website</t>
  </si>
  <si>
    <t>Port State Control Performance:</t>
  </si>
  <si>
    <t>In past 2 Years:</t>
  </si>
  <si>
    <t>Number of PSC Inspections</t>
  </si>
  <si>
    <t>Number of PSC Deficiencies</t>
  </si>
  <si>
    <t>Number of Detentions</t>
  </si>
  <si>
    <t>PSC Deficiency Rate:</t>
  </si>
  <si>
    <t>Reviewed By (Name / Title)</t>
  </si>
  <si>
    <t xml:space="preserve">4 = Insufficient information available </t>
  </si>
  <si>
    <t>6 = No</t>
  </si>
  <si>
    <t xml:space="preserve">5 = Issues causing concern </t>
  </si>
  <si>
    <t>6. Yes</t>
  </si>
  <si>
    <t>3. Possible</t>
  </si>
  <si>
    <t>1. No</t>
  </si>
  <si>
    <t>1 = 1/12th of budget plus invoices plus 100% of accruals</t>
  </si>
  <si>
    <t>2 = 1/12th of budget plus invoices plus %age of accruals</t>
  </si>
  <si>
    <t>2 = 1-2 times</t>
  </si>
  <si>
    <t>3 = 3 times</t>
  </si>
  <si>
    <t>4 = 4 times</t>
  </si>
  <si>
    <t>5 = 5 times</t>
  </si>
  <si>
    <t>6 = &gt;5 times</t>
  </si>
  <si>
    <t>1 = Yes, 100%</t>
  </si>
  <si>
    <t>2 = Yes, 80 - 99% = 2</t>
  </si>
  <si>
    <t>3 = Yes, 51 - 79% = 3</t>
  </si>
  <si>
    <t>4 = Yes, 30 - 50% = 4</t>
  </si>
  <si>
    <t xml:space="preserve">6= 1/12th of budget </t>
  </si>
  <si>
    <t>4 = 1/12th of budget plus invoices</t>
  </si>
  <si>
    <t>6=No / &lt; 30% = 5</t>
  </si>
  <si>
    <t>Concern Level</t>
  </si>
  <si>
    <t xml:space="preserve"> Risk Concern:</t>
  </si>
  <si>
    <t>Mitigating Actions where required</t>
  </si>
  <si>
    <t>Summary of Risk Assessment</t>
  </si>
  <si>
    <t>Basic Details</t>
  </si>
  <si>
    <t>Client Details</t>
  </si>
  <si>
    <t>Managing Office Review</t>
  </si>
  <si>
    <t>6= No ships in over 2 years</t>
  </si>
  <si>
    <t>5= No ships in over 1 year</t>
  </si>
  <si>
    <t>4= No ships in last 6 months</t>
  </si>
  <si>
    <t>3=  Ships taken in in past 90 days</t>
  </si>
  <si>
    <t>2= Ships taken in in past 60 days</t>
  </si>
  <si>
    <t>1= Ships taken in in past 30 days</t>
  </si>
  <si>
    <t>3. Medium Risk Ship</t>
  </si>
  <si>
    <t>6. High Risk Ship</t>
  </si>
  <si>
    <t>PSC Detention Risk</t>
  </si>
  <si>
    <t>PSC Average Finding Risk</t>
  </si>
  <si>
    <t>1. N/A</t>
  </si>
  <si>
    <t>2. Good</t>
  </si>
  <si>
    <t>6.  Poor</t>
  </si>
  <si>
    <t xml:space="preserve">4. Average </t>
  </si>
  <si>
    <t>6 or less low risk observations on last SIRE = 2</t>
  </si>
  <si>
    <t>10 or less observations and/or 1 high risk  = 3</t>
  </si>
  <si>
    <t>10 or above observations and /or 2 high risk = 4</t>
  </si>
  <si>
    <t>1 reinspection within last  year = 5</t>
  </si>
  <si>
    <t>2 reinspections within last  year = 6</t>
  </si>
  <si>
    <t>N/A = 1</t>
  </si>
  <si>
    <t>1. Yes</t>
  </si>
  <si>
    <t>6. No</t>
  </si>
  <si>
    <t>Will the vessel subscribe to On Board Training by Seatec?</t>
  </si>
  <si>
    <t>1. Full OBT Services</t>
  </si>
  <si>
    <t>6. No VMS or OBT</t>
  </si>
  <si>
    <t>3. Only VMS</t>
  </si>
  <si>
    <t>1 = Adequate existing staff or Nursery cell</t>
  </si>
  <si>
    <t>3 = Moderate strain on office resources</t>
  </si>
  <si>
    <t>6 =Severe strain on office resources</t>
  </si>
  <si>
    <t>5. Vessel known to one Superintendent - No attendance on takeover</t>
  </si>
  <si>
    <t>4. Vessel known to both Superintendents - No attendance on takeover</t>
  </si>
  <si>
    <t>3. Either Technical or MSQ Superintendent will visit vessel on entering management, not both.</t>
  </si>
  <si>
    <t>6. Vessel not known - No attendance</t>
  </si>
  <si>
    <t>Crewing</t>
  </si>
  <si>
    <t>Not Applicable</t>
  </si>
  <si>
    <t>Use RSQ02a for  Direct crewing risk assessment template</t>
  </si>
  <si>
    <t>1 = No</t>
  </si>
  <si>
    <t>3 = Master and Chief Engineer</t>
  </si>
  <si>
    <t xml:space="preserve">4 = All  four senior officers </t>
  </si>
  <si>
    <t>5 = All Officers</t>
  </si>
  <si>
    <t>6 = All staff</t>
  </si>
  <si>
    <t>1 = Fully approved by the Fleet</t>
  </si>
  <si>
    <t>3 = Minimum to meet needs</t>
  </si>
  <si>
    <t>3 = Available prior to requirement from Supply &amp; Mobilisation TPA</t>
  </si>
  <si>
    <t>4 = Available prior to requirement from Supply only TPA</t>
  </si>
  <si>
    <t>1 = 6 weeks or more</t>
  </si>
  <si>
    <t>2 = 5 weeks</t>
  </si>
  <si>
    <t>3 = 4 weeks</t>
  </si>
  <si>
    <t>4 = 2 weeks</t>
  </si>
  <si>
    <t>5 = 1 weeks or less</t>
  </si>
  <si>
    <t>1 = Crew wages and benefits as per budget assumptions plus MOTO/Owners bonus</t>
  </si>
  <si>
    <t>2 = Crew wages and benefits as per budget assumptions without MOTO/Owners bonus</t>
  </si>
  <si>
    <t>3 = Crew wages and as per budget assumptions but not all benefits agreed as per budget assumptions</t>
  </si>
  <si>
    <t>4 = Crew wages as per Group scales but no additional benefits as per budget assumptions</t>
  </si>
  <si>
    <t>5 = Crew wages less than Group scales</t>
  </si>
  <si>
    <t>1 = Crew budget prepared by Crewing Commercial team</t>
  </si>
  <si>
    <t>3 = Crew budget not prepared by crewing commercial team</t>
  </si>
  <si>
    <t>1 = 100% compliance</t>
  </si>
  <si>
    <t>1 = No requirement</t>
  </si>
  <si>
    <t>3 = Requirement of spot charter</t>
  </si>
  <si>
    <t>1 = Senior Officers for 1 month with good onboard cooperation</t>
  </si>
  <si>
    <t>2 = Senior Officers for 2 weeks with good onboard cooperation</t>
  </si>
  <si>
    <t>3 = Senior Officers for 2 weeks or more with poor onboard cooperation</t>
  </si>
  <si>
    <t>4 = Senior Officers for 2 weeks or less with poor cooperation</t>
  </si>
  <si>
    <t>5 = No pre-observers</t>
  </si>
  <si>
    <t>1 = Full compliance with VMS Training Matrix with full IMTS funding</t>
  </si>
  <si>
    <t>3 = Partial compliance with VMS Training Matrix with limited IMTS funding</t>
  </si>
  <si>
    <t>1 = MLC certified by vessel's Flag</t>
  </si>
  <si>
    <t>2 = MLC certified by National Administration</t>
  </si>
  <si>
    <t>3 = MLC certified by a Recognised Organisation</t>
  </si>
  <si>
    <t xml:space="preserve">1 = Budgeted for two or more V.Ships cadets berths </t>
  </si>
  <si>
    <t>2 = Budgeted for one V.Ships cadet berth</t>
  </si>
  <si>
    <t>3 = Budgeted for one or more non- V.Ships cadet berths</t>
  </si>
  <si>
    <t>1 = All COCs are issued by national administration</t>
  </si>
  <si>
    <t>1 = Yes</t>
  </si>
  <si>
    <t>6=  No</t>
  </si>
  <si>
    <t xml:space="preserve">1. Yes - No objection </t>
  </si>
  <si>
    <t>2. No - but agree that V Ships sign "as agents only for and on behalf of the shipowner and the owner is named as the shipowner".</t>
  </si>
  <si>
    <t>3. No - Flag state that the Technical Manager is the ShipOwner (Malta in particular) and Owners sign a declaration that they are indeed the ShipOwner.</t>
  </si>
  <si>
    <t xml:space="preserve">4. No - V Group entity has been co named as Agents for the “shipowner”. </t>
  </si>
  <si>
    <t>6. No - They will not sign or agree to any of the above.</t>
  </si>
  <si>
    <t>5 = Not available prior to requirement</t>
  </si>
  <si>
    <t>Risk Value</t>
  </si>
  <si>
    <t>Risk Concern</t>
  </si>
  <si>
    <t>Managing Director / General Manager / Business Development Team</t>
  </si>
  <si>
    <t>Insurance &amp; Legal</t>
  </si>
  <si>
    <t>Technical</t>
  </si>
  <si>
    <t>1. Full implemetation Training</t>
  </si>
  <si>
    <t>3. Partial Implementation</t>
  </si>
  <si>
    <t>6. No implementation</t>
  </si>
  <si>
    <t>What level of Shore/Onboard/Online Training has been agreed?</t>
  </si>
  <si>
    <t xml:space="preserve">Note: All criteria must be met for acceptance for entry to management. Waivers will only be issued in exceptional circumstances. </t>
  </si>
  <si>
    <t>Consider if risk excessive. If YES, MD/GM to REJECT vessel</t>
  </si>
  <si>
    <t>GM / MD in management Office</t>
  </si>
  <si>
    <t>Action</t>
  </si>
  <si>
    <t>Determine Level of Approval Required</t>
  </si>
  <si>
    <t>Complete Minimum Criteria Tab - This is a risk assessment and requires input to potential consequences , existing controls , what contingency measures are in place should a process fail and evaluating a risk factor.</t>
  </si>
  <si>
    <t>Amended Review</t>
  </si>
  <si>
    <t>Initial Review</t>
  </si>
  <si>
    <t>Comments</t>
  </si>
  <si>
    <t>Where required, complete Additional Measures Tab.</t>
  </si>
  <si>
    <t>Minimum Criteria for entry met?</t>
  </si>
  <si>
    <t>Comment</t>
  </si>
  <si>
    <t>Business Development to present "MD-GM- Business development Tab" to Management Office with basic details completed</t>
  </si>
  <si>
    <t>Tanker</t>
  </si>
  <si>
    <t>Bulk Carrier - Geared</t>
  </si>
  <si>
    <t>Bulk Carrier - Not Geared</t>
  </si>
  <si>
    <t>Chemical Tanker</t>
  </si>
  <si>
    <t>Chemical / Oil Tanker</t>
  </si>
  <si>
    <t>Container vessel</t>
  </si>
  <si>
    <t>General Cargo Ship</t>
  </si>
  <si>
    <t>LPG Carrier</t>
  </si>
  <si>
    <t>Passenger Ship</t>
  </si>
  <si>
    <t>RoRo</t>
  </si>
  <si>
    <t>Self Unloader</t>
  </si>
  <si>
    <t>Accommodation Ship Offshore Support</t>
  </si>
  <si>
    <t>Cable Ship</t>
  </si>
  <si>
    <t>Cement Carrier</t>
  </si>
  <si>
    <t>Container/Reefer Vessel</t>
  </si>
  <si>
    <t>Dive Support Vessel</t>
  </si>
  <si>
    <t>Fast Supply Vessel</t>
  </si>
  <si>
    <t>Floating Storage</t>
  </si>
  <si>
    <t>Offshore Support Barge</t>
  </si>
  <si>
    <t>OBO</t>
  </si>
  <si>
    <t>Platform Supply Vessel</t>
  </si>
  <si>
    <t>Survey Research Vessel</t>
  </si>
  <si>
    <t>Transhipment Unit</t>
  </si>
  <si>
    <t>Where required, an additional risk assessment is required reviewing if there is sufficient resources and staff experience to successfully take the vessels into management</t>
  </si>
  <si>
    <t>2. Both Technical and MSQ Superintendent will attend vessel on entering management</t>
  </si>
  <si>
    <t>1. Both Technical and MSQ Superintendent will attend vessel prior to entering management.</t>
  </si>
  <si>
    <t>Information Only:</t>
  </si>
  <si>
    <t>Training</t>
  </si>
  <si>
    <t>1. Level of risk as per Paris MOU risk category</t>
  </si>
  <si>
    <t>3. Status with Oil Majors (If Known)</t>
  </si>
  <si>
    <t>4. Risk as per last vetting Inspection Report</t>
  </si>
  <si>
    <t>1= Yes: &gt;3 weeks prior handover</t>
  </si>
  <si>
    <t>2 = Yes : 3 weeks prior to handover</t>
  </si>
  <si>
    <t>3 = Yes :  2 weeks prior handover</t>
  </si>
  <si>
    <t>4 = Yes : 1 week prior handover</t>
  </si>
  <si>
    <t>5 = Not available</t>
  </si>
  <si>
    <t>6 = Not permitted by Owners</t>
  </si>
  <si>
    <t>2 = Very Good</t>
  </si>
  <si>
    <t>3 = Good</t>
  </si>
  <si>
    <t>4 = Average</t>
  </si>
  <si>
    <t>5 = Poor</t>
  </si>
  <si>
    <t>6. None available</t>
  </si>
  <si>
    <t>2 = Very good</t>
  </si>
  <si>
    <t>6 = Not checked</t>
  </si>
  <si>
    <t>3 = Partial Records available</t>
  </si>
  <si>
    <t>6 = No - No records available.</t>
  </si>
  <si>
    <t>6 = Greater than 5 months</t>
  </si>
  <si>
    <t>Check Summary Tab for ommissions or acceptance status.</t>
  </si>
  <si>
    <t>Lead Assessor</t>
  </si>
  <si>
    <t>Attach:</t>
  </si>
  <si>
    <t>Copy of Inspection Report</t>
  </si>
  <si>
    <t>Risk Assessment for Office Resources if required</t>
  </si>
  <si>
    <t>Initial Assessment</t>
  </si>
  <si>
    <t>Section</t>
  </si>
  <si>
    <t>West Europe = 1</t>
  </si>
  <si>
    <t>Japan = 1</t>
  </si>
  <si>
    <t>South Korea = 2</t>
  </si>
  <si>
    <t>China = 3</t>
  </si>
  <si>
    <t>Others = 3</t>
  </si>
  <si>
    <t>Specific yard known for poor construction = 5</t>
  </si>
  <si>
    <t>Overall Risk Concern</t>
  </si>
  <si>
    <t>Overall Risk Concern &lt; 50%</t>
  </si>
  <si>
    <t>Copy of 3rd Party Reports (e.g. Seaweb/Equasis)</t>
  </si>
  <si>
    <t>Budgets available including pre delivery budgets and capex / exceptional budget</t>
  </si>
  <si>
    <t xml:space="preserve">Note: At-least 2 Observers( Marine and Technical) must sail with the vessel prior takeover. </t>
  </si>
  <si>
    <t>IT Arrangements discussed</t>
  </si>
  <si>
    <t>Crewing Proposal</t>
  </si>
  <si>
    <r>
      <t xml:space="preserve">Vessel crewed through V.Ships in-house crew management network (includes TPA's)                          </t>
    </r>
    <r>
      <rPr>
        <b/>
        <sz val="9"/>
        <color rgb="FFFF0000"/>
        <rFont val="Calibri"/>
        <family val="2"/>
        <scheme val="minor"/>
      </rPr>
      <t>Note</t>
    </r>
    <r>
      <rPr>
        <b/>
        <sz val="9"/>
        <color theme="1"/>
        <rFont val="Calibri"/>
        <family val="2"/>
        <scheme val="minor"/>
      </rPr>
      <t xml:space="preserve">: </t>
    </r>
    <r>
      <rPr>
        <b/>
        <sz val="9"/>
        <color rgb="FFFF0000"/>
        <rFont val="Calibri"/>
        <family val="2"/>
        <scheme val="minor"/>
      </rPr>
      <t xml:space="preserve"> Selecting "Yes" in drop down menu to right will activate text in form.</t>
    </r>
  </si>
  <si>
    <t>Note: Pre-takeover Inspection is a “Must”. Use of standard OPS03 is preferable. Inspections by 3rd Parties such as SeaTec may use their own  standard inspection reports. Adequate time &amp; documentation requirements must be clearly stated and explained to the Clients.
The report should clearly mention what areas could not be inspected on the vessel &amp; any high risk findings which may put a risk to the reputation or the vessel operation, immediately after the takeover.
The inspection report should detail the level and condition of spares, lub oil costs, latent defects, possible future defects and repairs, survey, new legislation.The submission will be declined if information missing so please ensure all fields are completed.</t>
  </si>
  <si>
    <t>Submit RSQ02 to drisksafe@vships.com</t>
  </si>
  <si>
    <t>Responsibility</t>
  </si>
  <si>
    <t>Business Development</t>
  </si>
  <si>
    <t>MD/GM</t>
  </si>
  <si>
    <t>Fleet manager with input from Fleet Cell</t>
  </si>
  <si>
    <t>Insert comments as appropriate to detail any mitigating action taken to overcome any percieved issues. Note: Each unit participating; i.e Technical, crewing, etc., has the possibility and the obligation to call for a stop if information is lacking or details are not of the needed quality. The delivery of details shall be timely so as other dependents can deliver their part.</t>
  </si>
  <si>
    <t xml:space="preserve">Fleet Manger </t>
  </si>
  <si>
    <t>Approve RSQ02</t>
  </si>
  <si>
    <t>The GM shall sign off on all objectives and procedures are met when a vessel enters management (Cell C13). Signature is not possible where Minimum Criteria is not met or overall risk concern is greater than 50%</t>
  </si>
  <si>
    <t xml:space="preserve">Takeover team proposals shall not include any first time joining officers - for the type of vessels which are already managed within the company. For vessels that are new to V.Ships, i.e. we have not had them in management previously (within 1 year), no senior officers may have less than 2 years’ continuous service with V.Ships. For Tankers all crew must meet the matrix of the owner and no senior officer may have less than 3 years continuous service with V.Ships. With respect to the crew selection of senior officers, if during the office briefings fleet team is not comfortable with the selection then they should raise their concerns immediately to Crewing team to relook for  urgent replacements.
</t>
  </si>
  <si>
    <t>N/a</t>
  </si>
  <si>
    <t>1 = Excellent (Or New Build)</t>
  </si>
  <si>
    <t>1 = Never (or New Client)</t>
  </si>
  <si>
    <t>1. Low Risk Ship (or New Build)</t>
  </si>
  <si>
    <t>1. Yes (or New Build)</t>
  </si>
  <si>
    <t>1 = Excellent (or New Build)</t>
  </si>
  <si>
    <t>1 = Yes - Fully available (Or New Build)</t>
  </si>
  <si>
    <t>1 = Less than 5 months (or New Build)</t>
  </si>
  <si>
    <t>Introduction</t>
  </si>
  <si>
    <t>#</t>
  </si>
  <si>
    <t xml:space="preserve">Managing Director/ General Manager  Review </t>
  </si>
  <si>
    <t>RSQ02 - New Business Risk Assessment (Part 1)</t>
  </si>
  <si>
    <t>RSQ02 - New Business Risk Assessment (Part 2)</t>
  </si>
  <si>
    <t>2= Yes, concerns exist but controls are in place to manage the risk</t>
  </si>
  <si>
    <t>1. Yes. All Senior Officers will attend Office. (Master / Chief Eng / Ch. Off / 2nd Eng)</t>
  </si>
  <si>
    <t>2. Only Master &amp; Chief Engineer and C/O or 2/E to visit</t>
  </si>
  <si>
    <t>3. Only Master and C/E to visit</t>
  </si>
  <si>
    <t>4. Only Master or C/E and C/O or 2/E to visit</t>
  </si>
  <si>
    <t>5. Only 1 of top 4 to visit Office</t>
  </si>
  <si>
    <t xml:space="preserve">MD/ GM to  (1) Create Customer Success Plan (2) assess Office resources </t>
  </si>
  <si>
    <t>Copy of Customer Success Plan</t>
  </si>
  <si>
    <t>Risk level greater than 3 requires Group  Director sign off</t>
  </si>
  <si>
    <t>Not meeting minimum criteria requires Group Director sign-off</t>
  </si>
  <si>
    <t>Group Director SIGN-OFF REQUIRED</t>
  </si>
  <si>
    <t>Review RA and if possible strengthen controls to reduce RR to 3 or below. If YES, then same as Level 1. If NO, RA needs Group Director sign-off</t>
  </si>
  <si>
    <t>1 = Yes , No concerns (or existing client)</t>
  </si>
  <si>
    <t xml:space="preserve">V.Ship’s standard IT  equipments must be agreed with the Owners prior to the takeover. For Shipsure 2.0 , the following minimum requirements required:                                                                                                                                      Processor                              Minimum Intel i5
Operating System                 Win 10 Pro 64 Bit (English &amp; Fully Licensed)
RAM                                       8 GB minimum, Recommended 16 GB 
HDD Capacity                        1 TB
MS Office     2016 Home &amp; Business Edition (English Licensed) with Full Install CD &amp; Offline Activation Product Key
Monitor recommended         23 Inch
Preferably a PC with a Full Set of Recovery / Driver CDs.
</t>
  </si>
  <si>
    <t>Line 8</t>
  </si>
  <si>
    <t>Line 9</t>
  </si>
  <si>
    <t>Line 15</t>
  </si>
  <si>
    <t>Line 16</t>
  </si>
  <si>
    <t>Line 17</t>
  </si>
  <si>
    <t>Line 10</t>
  </si>
  <si>
    <t>Line 11</t>
  </si>
  <si>
    <t>1a. Has DD identified any evidence of bribery, money laundering or fraud?</t>
  </si>
  <si>
    <t>Customer Success Plan (ex Client Portfolio) Created?</t>
  </si>
  <si>
    <t>New Build?</t>
  </si>
  <si>
    <t>7. Seatec attendance: When will Seatec join the vessel?</t>
  </si>
  <si>
    <t xml:space="preserve">6. No </t>
  </si>
  <si>
    <t>Yes/No</t>
  </si>
  <si>
    <t>Not True</t>
  </si>
  <si>
    <t xml:space="preserve">No </t>
  </si>
  <si>
    <t>Account Audits have not been received</t>
  </si>
  <si>
    <t>Account Audit are available</t>
  </si>
  <si>
    <t>5. Flag State Detentions in Past 2 Years (Flag to be consulted)</t>
  </si>
  <si>
    <t>Flag State Inspections</t>
  </si>
  <si>
    <t>1. Nil</t>
  </si>
  <si>
    <t>3. One</t>
  </si>
  <si>
    <t>6. More than 1</t>
  </si>
  <si>
    <t>Sanction Check</t>
  </si>
  <si>
    <t>No issues</t>
  </si>
  <si>
    <t>Issues noted.</t>
  </si>
  <si>
    <t>Seatec Attendance</t>
  </si>
  <si>
    <t>1. On takeover</t>
  </si>
  <si>
    <t>8. Full incident history of vessel available?</t>
  </si>
  <si>
    <t>Suitability</t>
  </si>
  <si>
    <t>Vessel has  maintained Class with IACS Class Society since new build</t>
  </si>
  <si>
    <t>3. V Ships Named under Insurance?</t>
  </si>
  <si>
    <t>4. Under MLC, is the Owner to sign DMLC Part II ?  They are fully aware of the Financial Guarantee for abandonment which now includes unpaid wages over 2 months?</t>
  </si>
  <si>
    <t>2. P+I insurance with International Group Club.</t>
  </si>
  <si>
    <r>
      <t xml:space="preserve">Vessel has </t>
    </r>
    <r>
      <rPr>
        <b/>
        <u/>
        <sz val="10"/>
        <color rgb="FFFF0000"/>
        <rFont val="Calibri"/>
        <family val="2"/>
        <scheme val="minor"/>
      </rPr>
      <t>not</t>
    </r>
    <r>
      <rPr>
        <sz val="10"/>
        <color rgb="FF000000"/>
        <rFont val="Calibri"/>
        <family val="2"/>
        <scheme val="minor"/>
      </rPr>
      <t xml:space="preserve"> maintained Class with IACS Class Society since new build</t>
    </r>
  </si>
  <si>
    <t>Proposed Date into Management (dd/mm/yyyy)</t>
  </si>
  <si>
    <t>Additional Information</t>
  </si>
  <si>
    <t xml:space="preserve">No vessel may enter management without a thorough inspection by the fleet cell. The objective of the inspection is to have a full overview of technical, crew and safety standard of the vessel enabling V.Ships to establish an agreement with the owners based on actual findings. </t>
  </si>
  <si>
    <t xml:space="preserve">9. Last full Env Compliance inspections to latest RSQ21 standard </t>
  </si>
  <si>
    <t>RSQ21 Inspection</t>
  </si>
  <si>
    <r>
      <t xml:space="preserve">P+I insurance </t>
    </r>
    <r>
      <rPr>
        <b/>
        <u/>
        <sz val="10"/>
        <color rgb="FFFF0000"/>
        <rFont val="Calibri"/>
        <family val="2"/>
        <scheme val="minor"/>
      </rPr>
      <t>not</t>
    </r>
    <r>
      <rPr>
        <sz val="10"/>
        <color rgb="FF000000"/>
        <rFont val="Calibri"/>
        <family val="2"/>
        <scheme val="minor"/>
      </rPr>
      <t xml:space="preserve"> with International Group Club.</t>
    </r>
  </si>
  <si>
    <r>
      <t xml:space="preserve">Vessel </t>
    </r>
    <r>
      <rPr>
        <b/>
        <u/>
        <sz val="10"/>
        <color rgb="FFFF0000"/>
        <rFont val="Calibri"/>
        <family val="2"/>
        <scheme val="minor"/>
      </rPr>
      <t>above</t>
    </r>
    <r>
      <rPr>
        <b/>
        <sz val="10"/>
        <color rgb="FF000000"/>
        <rFont val="Calibri"/>
        <family val="2"/>
        <scheme val="minor"/>
      </rPr>
      <t xml:space="preserve"> maximum preferable age</t>
    </r>
    <r>
      <rPr>
        <sz val="10"/>
        <color rgb="FF000000"/>
        <rFont val="Calibri"/>
        <family val="2"/>
        <scheme val="minor"/>
      </rPr>
      <t>:</t>
    </r>
  </si>
  <si>
    <r>
      <rPr>
        <b/>
        <u/>
        <sz val="10"/>
        <color rgb="FFFF0000"/>
        <rFont val="Calibri"/>
        <family val="2"/>
        <scheme val="minor"/>
      </rPr>
      <t>Poor</t>
    </r>
    <r>
      <rPr>
        <sz val="10"/>
        <color theme="1"/>
        <rFont val="Calibri"/>
        <family val="2"/>
        <scheme val="minor"/>
      </rPr>
      <t xml:space="preserve"> Port State History: maximum 1 detention in the previous 2 years, maximum 10 defects in same period.</t>
    </r>
  </si>
  <si>
    <r>
      <t xml:space="preserve">Vessel </t>
    </r>
    <r>
      <rPr>
        <b/>
        <u/>
        <sz val="10"/>
        <color rgb="FFFF0000"/>
        <rFont val="Calibri"/>
        <family val="2"/>
        <scheme val="minor"/>
      </rPr>
      <t xml:space="preserve"> appears on USCG blacklist</t>
    </r>
    <r>
      <rPr>
        <sz val="10"/>
        <color rgb="FF000000"/>
        <rFont val="Calibri"/>
        <family val="2"/>
        <scheme val="minor"/>
      </rPr>
      <t xml:space="preserve"> (previous owner or vessel).</t>
    </r>
  </si>
  <si>
    <r>
      <t>Vessel and/or owner</t>
    </r>
    <r>
      <rPr>
        <b/>
        <u/>
        <sz val="10"/>
        <color rgb="FFFF0000"/>
        <rFont val="Calibri"/>
        <family val="2"/>
        <scheme val="minor"/>
      </rPr>
      <t xml:space="preserve"> are on</t>
    </r>
    <r>
      <rPr>
        <sz val="10"/>
        <color rgb="FF000000"/>
        <rFont val="Calibri"/>
        <family val="2"/>
        <scheme val="minor"/>
      </rPr>
      <t xml:space="preserve"> any US or other governmental sanctions blacklist.</t>
    </r>
  </si>
  <si>
    <r>
      <t xml:space="preserve">A copy of the client’s latest audited accounts and / or a report from a credit risk rating company (e.g. Infospectrum or similar) </t>
    </r>
    <r>
      <rPr>
        <b/>
        <u/>
        <sz val="10"/>
        <color rgb="FFFF0000"/>
        <rFont val="Calibri"/>
        <family val="2"/>
        <scheme val="minor"/>
      </rPr>
      <t>has not been received</t>
    </r>
    <r>
      <rPr>
        <sz val="10"/>
        <color rgb="FF000000"/>
        <rFont val="Calibri"/>
        <family val="2"/>
        <scheme val="minor"/>
      </rPr>
      <t xml:space="preserve">. </t>
    </r>
  </si>
  <si>
    <r>
      <t>The ship’s Flag </t>
    </r>
    <r>
      <rPr>
        <b/>
        <u/>
        <sz val="10"/>
        <color rgb="FFFF0000"/>
        <rFont val="Calibri"/>
        <family val="2"/>
        <scheme val="minor"/>
      </rPr>
      <t>is on</t>
    </r>
    <r>
      <rPr>
        <sz val="10"/>
        <color theme="1"/>
        <rFont val="Calibri"/>
        <family val="2"/>
        <scheme val="minor"/>
      </rPr>
      <t xml:space="preserve"> the Paris MOU blacklist.</t>
    </r>
  </si>
  <si>
    <r>
      <t xml:space="preserve">Conditions of Class, or Conditions of Authority, </t>
    </r>
    <r>
      <rPr>
        <b/>
        <u/>
        <sz val="10"/>
        <color rgb="FFFF0000"/>
        <rFont val="Calibri"/>
        <family val="2"/>
        <scheme val="minor"/>
      </rPr>
      <t xml:space="preserve">exist </t>
    </r>
    <r>
      <rPr>
        <sz val="10"/>
        <color rgb="FF000000"/>
        <rFont val="Calibri"/>
        <family val="2"/>
        <scheme val="minor"/>
      </rPr>
      <t>affecting trading.</t>
    </r>
  </si>
  <si>
    <r>
      <t xml:space="preserve">Vessel </t>
    </r>
    <r>
      <rPr>
        <b/>
        <u/>
        <sz val="10"/>
        <color rgb="FFFF0000"/>
        <rFont val="Calibri"/>
        <family val="2"/>
        <scheme val="minor"/>
      </rPr>
      <t>NOT</t>
    </r>
    <r>
      <rPr>
        <sz val="10"/>
        <color rgb="FF000000"/>
        <rFont val="Calibri"/>
        <family val="2"/>
        <scheme val="minor"/>
      </rPr>
      <t xml:space="preserve">  crewed through the V.Ships in-house crew management network .</t>
    </r>
  </si>
  <si>
    <r>
      <rPr>
        <b/>
        <u/>
        <sz val="10"/>
        <color rgb="FFFF0000"/>
        <rFont val="Calibri"/>
        <family val="2"/>
        <scheme val="minor"/>
      </rPr>
      <t>No</t>
    </r>
    <r>
      <rPr>
        <sz val="10"/>
        <color rgb="FF000000"/>
        <rFont val="Calibri"/>
        <family val="2"/>
        <scheme val="minor"/>
      </rPr>
      <t xml:space="preserve"> inspection report by V.Group staff in the last 3 months. (New Builds exempt)</t>
    </r>
  </si>
  <si>
    <r>
      <t xml:space="preserve">The crewing agreement </t>
    </r>
    <r>
      <rPr>
        <b/>
        <u/>
        <sz val="10"/>
        <color rgb="FFFF0000"/>
        <rFont val="Calibri"/>
        <family val="2"/>
        <scheme val="minor"/>
      </rPr>
      <t>NOT</t>
    </r>
    <r>
      <rPr>
        <sz val="10"/>
        <color rgb="FF000000"/>
        <rFont val="Calibri"/>
        <family val="2"/>
        <scheme val="minor"/>
      </rPr>
      <t xml:space="preserve"> in line with ITF agreements (Answer "Yes" if not in line).</t>
    </r>
  </si>
  <si>
    <r>
      <t xml:space="preserve">Management Agreement </t>
    </r>
    <r>
      <rPr>
        <b/>
        <u/>
        <sz val="10"/>
        <color rgb="FFFF0000"/>
        <rFont val="Calibri"/>
        <family val="2"/>
        <scheme val="minor"/>
      </rPr>
      <t>NOT under English law</t>
    </r>
    <r>
      <rPr>
        <sz val="10"/>
        <color rgb="FF000000"/>
        <rFont val="Calibri"/>
        <family val="2"/>
        <scheme val="minor"/>
      </rPr>
      <t>. (Answer "Yes" if not under English Law).</t>
    </r>
  </si>
  <si>
    <t>2. 1-3 Days after Takeover</t>
  </si>
  <si>
    <t>3. 3 + days after takeover</t>
  </si>
  <si>
    <t>6. No attendance</t>
  </si>
  <si>
    <t>In past 3 Years</t>
  </si>
  <si>
    <t>Group Average (Q3/ 2020):</t>
  </si>
  <si>
    <t>1 = Available prior to requirement from assigned Crewing Office</t>
  </si>
  <si>
    <t>2 = Available prior to requirement from internal Crewing Office network</t>
  </si>
  <si>
    <t>3 = Senior Officers compliant but not juniors</t>
  </si>
  <si>
    <t>6 = Not compliant</t>
  </si>
  <si>
    <t>Line 12</t>
  </si>
  <si>
    <t>Line 13</t>
  </si>
  <si>
    <t>Line 14</t>
  </si>
  <si>
    <t>Line 18</t>
  </si>
  <si>
    <t>Line 19</t>
  </si>
  <si>
    <t>Line 20</t>
  </si>
  <si>
    <t>Line 21</t>
  </si>
  <si>
    <t>Line 22</t>
  </si>
  <si>
    <t>Line 23</t>
  </si>
  <si>
    <t>Line 24</t>
  </si>
  <si>
    <t>Line 25</t>
  </si>
  <si>
    <t>6 = Not approved by Fleet</t>
  </si>
  <si>
    <t>6 = Non compliance with VMS Training Matrix / no IMTS funding.</t>
  </si>
  <si>
    <t>6 = Requirement of time charterer</t>
  </si>
  <si>
    <t>6 = No certification</t>
  </si>
  <si>
    <t>6 = No cadet berths budgeted</t>
  </si>
  <si>
    <t>6 = One or more officers hold flag COC and are not endorsed or issued by their national administration.</t>
  </si>
  <si>
    <t>Covid -19 Test Kits and PPE being supplied to vessel for take-over?</t>
  </si>
  <si>
    <t>4.  Have / will the Owners fund the pre-delivery costs prior to the vessel entering management?</t>
  </si>
  <si>
    <t>5.  Please advise how much of a float will be paid into the MO bank account</t>
  </si>
  <si>
    <t>Current underfunding ($)</t>
  </si>
  <si>
    <t>Debt owed to group Companies ($)</t>
  </si>
  <si>
    <t xml:space="preserve">2.  If an existing client, have the total liabilities, excluding accruals / commitments, exceeded 15 days under funding over the past 12 months? </t>
  </si>
  <si>
    <t xml:space="preserve">3. Has the fund request format been agreed with owners? </t>
  </si>
  <si>
    <t>ISM/ISPS/MLC Provider</t>
  </si>
  <si>
    <t>2) Other IACS member</t>
  </si>
  <si>
    <t>3) Flag State</t>
  </si>
  <si>
    <t>6) Other</t>
  </si>
  <si>
    <t>1) LR (Under group global contract)</t>
  </si>
  <si>
    <t>Group Average (Q4/2020)</t>
  </si>
  <si>
    <t>Any waiver from RSQ 02 crew matrix requirements must be approved, in writing, by COO .</t>
  </si>
  <si>
    <t>Any waiver from RSQ 02 crew matrix requirements must be approved, in writing, by COO.</t>
  </si>
  <si>
    <t>RSQ02 - Revision 6.2</t>
  </si>
  <si>
    <t>Safety Score 4-5 : Risk Level 1 (or new build)</t>
  </si>
  <si>
    <t>Safety Score 3 = Risk Level 3</t>
  </si>
  <si>
    <t>Safety Score 2 = Risk level 4</t>
  </si>
  <si>
    <t>Safety Score 1 = Risk Level 6</t>
  </si>
  <si>
    <t>Rightship Rating</t>
  </si>
  <si>
    <t>6. Sanction Check Result (Purpletrac Sanctions report available from Central HSSEQ)</t>
  </si>
  <si>
    <t>HSSEQ Central Team</t>
  </si>
  <si>
    <t>Completed RA to HSSEQ Department</t>
  </si>
  <si>
    <t>If Risk considered by SMO/CSO acceptable, forward completed RA to HSSEQ Department</t>
  </si>
  <si>
    <t>Complete Functional Tabs (I.e. Finance, HSSEQ, Crewing, Insurance and Legal, Technical)</t>
  </si>
  <si>
    <t>Finance / HSSEQ / Crewing / Insurance / technical in Managing Office.</t>
  </si>
  <si>
    <t>HSSEQ</t>
  </si>
  <si>
    <t>2. Level of risk as per Rightship report and rating (Available from central HSSEQ Team)</t>
  </si>
  <si>
    <t>Senior officers signing on a new ship to V.Ships, shall visit the Fleet Cell managing the vessel and be familiarized with all the details concerning the vessels incl. agreements with owners, the CSP etc. and shall go through all details and procedures with technical management, crew management and HSSEQ as well as procurement and any other business involved.
The senior officers shall meet with  the GM or the MD where the expectations shall be discussed and agreed. Where it is possible senior officers shall meet the owners or their representatives.
Finally an order letter, signed by the GM or MD, with details of the customer success plan as well as all initiatives agreed with the Senior Officers shall be given to the Captain and Chief Engineer for them to refer to the instructions given at the office.
PRE EMBARKATION BRIEFING THROUGH TEAMS DUE TO THE VISAS RESTRICTIONS AND LIMITED TIME OF THE TAKE OVER /DELIVERY.</t>
  </si>
  <si>
    <t xml:space="preserve">HSSEQ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</si>
</sst>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dd/mm/yyyy;@"/>
    <numFmt numFmtId="166" formatCode="mm\-yyyy"/>
  </numFmts>
  <fonts count="48" x14ac:knownFonts="1">
    <font>
      <sz val="11"/>
      <color theme="1"/>
      <name val="Calibri"/>
      <family val="2"/>
      <scheme val="minor"/>
    </font>
    <font>
      <b/>
      <sz val="11"/>
      <color theme="1"/>
      <name val="Calibri"/>
      <family val="2"/>
      <scheme val="minor"/>
    </font>
    <font>
      <u/>
      <sz val="11"/>
      <color theme="10"/>
      <name val="Calibri"/>
      <family val="2"/>
      <scheme val="minor"/>
    </font>
    <font>
      <sz val="10"/>
      <color theme="1"/>
      <name val="Calibri"/>
      <family val="2"/>
      <scheme val="minor"/>
    </font>
    <font>
      <sz val="9"/>
      <name val="Tahoma"/>
      <family val="2"/>
    </font>
    <font>
      <sz val="10"/>
      <name val="Arial"/>
      <family val="2"/>
    </font>
    <font>
      <sz val="9"/>
      <color theme="1"/>
      <name val="Calibri"/>
      <family val="2"/>
      <scheme val="minor"/>
    </font>
    <font>
      <sz val="18"/>
      <color theme="1"/>
      <name val="Calibri"/>
      <family val="2"/>
      <scheme val="minor"/>
    </font>
    <font>
      <sz val="9"/>
      <name val="Calibri"/>
      <family val="2"/>
      <scheme val="minor"/>
    </font>
    <font>
      <sz val="10"/>
      <name val="Calibri"/>
      <family val="2"/>
      <scheme val="minor"/>
    </font>
    <font>
      <sz val="11"/>
      <color theme="0"/>
      <name val="Calibri"/>
      <family val="2"/>
      <scheme val="minor"/>
    </font>
    <font>
      <sz val="8"/>
      <color theme="1"/>
      <name val="Calibri"/>
      <family val="2"/>
      <scheme val="minor"/>
    </font>
    <font>
      <sz val="11"/>
      <color rgb="FF9C6500"/>
      <name val="Calibri"/>
      <family val="2"/>
      <scheme val="minor"/>
    </font>
    <font>
      <b/>
      <sz val="11"/>
      <color theme="0"/>
      <name val="Calibri"/>
      <family val="2"/>
      <scheme val="minor"/>
    </font>
    <font>
      <sz val="11"/>
      <name val="Calibri"/>
      <family val="2"/>
      <scheme val="minor"/>
    </font>
    <font>
      <b/>
      <sz val="11"/>
      <color rgb="FFFF0000"/>
      <name val="Calibri"/>
      <family val="2"/>
      <scheme val="minor"/>
    </font>
    <font>
      <sz val="9"/>
      <color rgb="FF000000"/>
      <name val="Calibri"/>
      <family val="2"/>
      <scheme val="minor"/>
    </font>
    <font>
      <sz val="9"/>
      <color theme="0"/>
      <name val="Calibri"/>
      <family val="2"/>
      <scheme val="minor"/>
    </font>
    <font>
      <sz val="9"/>
      <color theme="0"/>
      <name val="Tahoma"/>
      <family val="2"/>
    </font>
    <font>
      <sz val="8"/>
      <color rgb="FF9C6500"/>
      <name val="Calibri"/>
      <family val="2"/>
      <scheme val="minor"/>
    </font>
    <font>
      <b/>
      <sz val="10"/>
      <name val="Arial"/>
      <family val="2"/>
    </font>
    <font>
      <b/>
      <sz val="10"/>
      <color rgb="FFFF0000"/>
      <name val="Arial"/>
      <family val="2"/>
    </font>
    <font>
      <b/>
      <sz val="8"/>
      <color rgb="FFFFFFFF"/>
      <name val="Calibri"/>
      <family val="2"/>
      <scheme val="minor"/>
    </font>
    <font>
      <sz val="8"/>
      <color rgb="FF000000"/>
      <name val="Calibri"/>
      <family val="2"/>
      <scheme val="minor"/>
    </font>
    <font>
      <b/>
      <sz val="18"/>
      <color theme="0"/>
      <name val="Calibri"/>
      <family val="2"/>
      <scheme val="minor"/>
    </font>
    <font>
      <b/>
      <sz val="9"/>
      <color theme="1"/>
      <name val="Calibri"/>
      <family val="2"/>
      <scheme val="minor"/>
    </font>
    <font>
      <b/>
      <sz val="9"/>
      <color rgb="FFFF0000"/>
      <name val="Calibri"/>
      <family val="2"/>
      <scheme val="minor"/>
    </font>
    <font>
      <b/>
      <sz val="9"/>
      <color theme="0"/>
      <name val="Calibri"/>
      <family val="2"/>
      <scheme val="minor"/>
    </font>
    <font>
      <sz val="18"/>
      <color theme="0"/>
      <name val="Calibri"/>
      <family val="2"/>
      <scheme val="minor"/>
    </font>
    <font>
      <b/>
      <sz val="9"/>
      <name val="Calibri"/>
      <family val="2"/>
      <scheme val="minor"/>
    </font>
    <font>
      <u/>
      <sz val="9"/>
      <color theme="10"/>
      <name val="Calibri"/>
      <family val="2"/>
      <scheme val="minor"/>
    </font>
    <font>
      <sz val="9"/>
      <color rgb="FFFF0000"/>
      <name val="Calibri"/>
      <family val="2"/>
      <scheme val="minor"/>
    </font>
    <font>
      <sz val="11"/>
      <color rgb="FFFF0000"/>
      <name val="Calibri"/>
      <family val="2"/>
      <scheme val="minor"/>
    </font>
    <font>
      <sz val="10"/>
      <color rgb="FF9C6500"/>
      <name val="Calibri"/>
      <family val="2"/>
      <scheme val="minor"/>
    </font>
    <font>
      <sz val="9"/>
      <color theme="4" tint="-0.249977111117893"/>
      <name val="Calibri"/>
      <family val="2"/>
      <scheme val="minor"/>
    </font>
    <font>
      <sz val="10"/>
      <color theme="4" tint="-0.249977111117893"/>
      <name val="Calibri"/>
      <family val="2"/>
      <scheme val="minor"/>
    </font>
    <font>
      <sz val="10"/>
      <color theme="0"/>
      <name val="Calibri"/>
      <family val="2"/>
      <scheme val="minor"/>
    </font>
    <font>
      <b/>
      <sz val="10"/>
      <color theme="0"/>
      <name val="Calibri"/>
      <family val="2"/>
      <scheme val="minor"/>
    </font>
    <font>
      <sz val="10"/>
      <color theme="0"/>
      <name val="Tahoma"/>
      <family val="2"/>
    </font>
    <font>
      <b/>
      <sz val="10"/>
      <color theme="1"/>
      <name val="Tahoma"/>
      <family val="2"/>
    </font>
    <font>
      <sz val="10"/>
      <color theme="1"/>
      <name val="Tahoma"/>
      <family val="2"/>
    </font>
    <font>
      <sz val="10"/>
      <color rgb="FF000000"/>
      <name val="Calibri"/>
      <family val="2"/>
      <scheme val="minor"/>
    </font>
    <font>
      <b/>
      <u/>
      <sz val="10"/>
      <color rgb="FFFF0000"/>
      <name val="Calibri"/>
      <family val="2"/>
      <scheme val="minor"/>
    </font>
    <font>
      <i/>
      <sz val="10"/>
      <color rgb="FFFF0000"/>
      <name val="Calibri"/>
      <family val="2"/>
      <scheme val="minor"/>
    </font>
    <font>
      <b/>
      <sz val="10"/>
      <color rgb="FF000000"/>
      <name val="Calibri"/>
      <family val="2"/>
      <scheme val="minor"/>
    </font>
    <font>
      <b/>
      <i/>
      <sz val="10"/>
      <color rgb="FFFF0000"/>
      <name val="Calibri"/>
      <family val="2"/>
      <scheme val="minor"/>
    </font>
    <font>
      <sz val="8"/>
      <name val="Calibri"/>
      <family val="2"/>
      <scheme val="minor"/>
    </font>
    <font>
      <sz val="9"/>
      <color theme="0" tint="-0.249977111117893"/>
      <name val="Calibri"/>
      <family val="2"/>
      <scheme val="minor"/>
    </font>
  </fonts>
  <fills count="17">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rgb="FFFFC000"/>
        <bgColor indexed="64"/>
      </patternFill>
    </fill>
    <fill>
      <patternFill patternType="solid">
        <fgColor rgb="FFE5E5E5"/>
        <bgColor indexed="64"/>
      </patternFill>
    </fill>
    <fill>
      <patternFill patternType="solid">
        <fgColor rgb="FFFFCC00"/>
        <bgColor indexed="64"/>
      </patternFill>
    </fill>
    <fill>
      <patternFill patternType="solid">
        <fgColor rgb="FFFF9900"/>
        <bgColor indexed="64"/>
      </patternFill>
    </fill>
    <fill>
      <patternFill patternType="solid">
        <fgColor rgb="FFFF6600"/>
        <bgColor indexed="64"/>
      </patternFill>
    </fill>
    <fill>
      <patternFill patternType="solid">
        <fgColor rgb="FFFF0000"/>
        <bgColor indexed="64"/>
      </patternFill>
    </fill>
    <fill>
      <patternFill patternType="solid">
        <fgColor rgb="FF339966"/>
        <bgColor indexed="64"/>
      </patternFill>
    </fill>
    <fill>
      <patternFill patternType="solid">
        <fgColor rgb="FF00FF00"/>
        <bgColor indexed="64"/>
      </patternFill>
    </fill>
    <fill>
      <patternFill patternType="solid">
        <fgColor rgb="FF000000"/>
        <bgColor indexed="64"/>
      </patternFill>
    </fill>
    <fill>
      <patternFill patternType="solid">
        <fgColor rgb="FFFFFFFF"/>
        <bgColor indexed="64"/>
      </patternFill>
    </fill>
    <fill>
      <patternFill patternType="solid">
        <fgColor rgb="FFFFEB9C"/>
      </patternFill>
    </fill>
    <fill>
      <patternFill patternType="solid">
        <fgColor theme="0" tint="-4.9989318521683403E-2"/>
        <bgColor indexed="64"/>
      </patternFill>
    </fill>
    <fill>
      <patternFill patternType="solid">
        <fgColor theme="4"/>
        <bgColor indexed="64"/>
      </patternFill>
    </fill>
  </fills>
  <borders count="74">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style="thin">
        <color indexed="64"/>
      </top>
      <bottom/>
      <diagonal/>
    </border>
    <border>
      <left/>
      <right/>
      <top/>
      <bottom style="thin">
        <color indexed="64"/>
      </bottom>
      <diagonal/>
    </border>
    <border>
      <left style="thin">
        <color indexed="64"/>
      </left>
      <right/>
      <top/>
      <bottom style="thin">
        <color indexed="64"/>
      </bottom>
      <diagonal/>
    </border>
    <border>
      <left style="thin">
        <color indexed="64"/>
      </left>
      <right/>
      <top/>
      <bottom/>
      <diagonal/>
    </border>
    <border>
      <left style="medium">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top style="thin">
        <color indexed="64"/>
      </top>
      <bottom style="thin">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style="thin">
        <color indexed="64"/>
      </top>
      <bottom/>
      <diagonal/>
    </border>
    <border>
      <left/>
      <right/>
      <top style="medium">
        <color indexed="64"/>
      </top>
      <bottom style="medium">
        <color indexed="64"/>
      </bottom>
      <diagonal/>
    </border>
    <border>
      <left style="thin">
        <color indexed="64"/>
      </left>
      <right style="thin">
        <color indexed="64"/>
      </right>
      <top/>
      <bottom style="medium">
        <color indexed="64"/>
      </bottom>
      <diagonal/>
    </border>
    <border>
      <left/>
      <right style="medium">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style="thin">
        <color indexed="64"/>
      </right>
      <top/>
      <bottom style="thin">
        <color indexed="64"/>
      </bottom>
      <diagonal/>
    </border>
    <border>
      <left style="thin">
        <color indexed="64"/>
      </left>
      <right style="medium">
        <color indexed="64"/>
      </right>
      <top style="thin">
        <color indexed="64"/>
      </top>
      <bottom/>
      <diagonal/>
    </border>
    <border>
      <left style="medium">
        <color indexed="64"/>
      </left>
      <right/>
      <top style="thin">
        <color indexed="64"/>
      </top>
      <bottom/>
      <diagonal/>
    </border>
    <border>
      <left style="medium">
        <color indexed="64"/>
      </left>
      <right style="medium">
        <color indexed="64"/>
      </right>
      <top style="thin">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right style="thin">
        <color indexed="64"/>
      </right>
      <top style="thin">
        <color indexed="64"/>
      </top>
      <bottom style="medium">
        <color indexed="64"/>
      </bottom>
      <diagonal/>
    </border>
    <border>
      <left style="medium">
        <color indexed="64"/>
      </left>
      <right style="medium">
        <color indexed="64"/>
      </right>
      <top/>
      <bottom/>
      <diagonal/>
    </border>
    <border>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medium">
        <color indexed="64"/>
      </left>
      <right/>
      <top/>
      <bottom style="thin">
        <color indexed="64"/>
      </bottom>
      <diagonal/>
    </border>
    <border>
      <left style="thin">
        <color indexed="64"/>
      </left>
      <right style="medium">
        <color indexed="64"/>
      </right>
      <top/>
      <bottom style="thin">
        <color indexed="64"/>
      </bottom>
      <diagonal/>
    </border>
    <border>
      <left style="thin">
        <color indexed="64"/>
      </left>
      <right/>
      <top style="medium">
        <color indexed="64"/>
      </top>
      <bottom style="thin">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top style="medium">
        <color indexed="64"/>
      </top>
      <bottom style="medium">
        <color indexed="64"/>
      </bottom>
      <diagonal/>
    </border>
    <border>
      <left style="thin">
        <color indexed="64"/>
      </left>
      <right style="medium">
        <color indexed="64"/>
      </right>
      <top/>
      <bottom style="medium">
        <color indexed="64"/>
      </bottom>
      <diagonal/>
    </border>
    <border>
      <left style="medium">
        <color indexed="64"/>
      </left>
      <right style="medium">
        <color indexed="64"/>
      </right>
      <top/>
      <bottom style="thin">
        <color indexed="64"/>
      </bottom>
      <diagonal/>
    </border>
  </borders>
  <cellStyleXfs count="4">
    <xf numFmtId="0" fontId="0" fillId="0" borderId="0"/>
    <xf numFmtId="0" fontId="2" fillId="0" borderId="0" applyNumberFormat="0" applyFill="0" applyBorder="0" applyAlignment="0" applyProtection="0"/>
    <xf numFmtId="0" fontId="5" fillId="0" borderId="0"/>
    <xf numFmtId="0" fontId="12" fillId="14" borderId="0" applyNumberFormat="0" applyBorder="0" applyAlignment="0" applyProtection="0"/>
  </cellStyleXfs>
  <cellXfs count="595">
    <xf numFmtId="0" fontId="0" fillId="0" borderId="0" xfId="0"/>
    <xf numFmtId="0" fontId="0" fillId="0" borderId="0" xfId="0" applyProtection="1"/>
    <xf numFmtId="0" fontId="0" fillId="0" borderId="0" xfId="0"/>
    <xf numFmtId="0" fontId="6" fillId="0" borderId="0" xfId="0" applyFont="1"/>
    <xf numFmtId="0" fontId="0" fillId="0" borderId="0" xfId="0" applyAlignment="1">
      <alignment wrapText="1"/>
    </xf>
    <xf numFmtId="0" fontId="6" fillId="0" borderId="25" xfId="0" applyFont="1" applyBorder="1" applyAlignment="1">
      <alignment wrapText="1"/>
    </xf>
    <xf numFmtId="0" fontId="6" fillId="0" borderId="27" xfId="0" applyFont="1" applyBorder="1" applyAlignment="1">
      <alignment wrapText="1"/>
    </xf>
    <xf numFmtId="0" fontId="6" fillId="0" borderId="28" xfId="0" applyFont="1" applyBorder="1" applyAlignment="1">
      <alignment wrapText="1"/>
    </xf>
    <xf numFmtId="0" fontId="0" fillId="3" borderId="7" xfId="0" applyFill="1" applyBorder="1" applyAlignment="1" applyProtection="1">
      <alignment vertical="center"/>
      <protection locked="0"/>
    </xf>
    <xf numFmtId="0" fontId="11" fillId="0" borderId="14" xfId="0" applyFont="1" applyBorder="1" applyAlignment="1" applyProtection="1">
      <alignment horizontal="center"/>
    </xf>
    <xf numFmtId="0" fontId="23" fillId="5" borderId="1" xfId="0" applyFont="1" applyFill="1" applyBorder="1" applyAlignment="1">
      <alignment horizontal="center" vertical="center" wrapText="1"/>
    </xf>
    <xf numFmtId="0" fontId="23" fillId="0" borderId="1" xfId="0" applyFont="1" applyBorder="1" applyAlignment="1">
      <alignment horizontal="center" vertical="center" wrapText="1"/>
    </xf>
    <xf numFmtId="0" fontId="0" fillId="0" borderId="0" xfId="0"/>
    <xf numFmtId="0" fontId="8" fillId="2" borderId="1" xfId="0" applyFont="1" applyFill="1" applyBorder="1" applyAlignment="1" applyProtection="1">
      <alignment horizontal="center" vertical="center" wrapText="1"/>
    </xf>
    <xf numFmtId="0" fontId="0" fillId="0" borderId="0" xfId="0"/>
    <xf numFmtId="0" fontId="6" fillId="0" borderId="33" xfId="0" applyFont="1" applyBorder="1" applyAlignment="1" applyProtection="1">
      <alignment vertical="center" wrapText="1"/>
    </xf>
    <xf numFmtId="0" fontId="25" fillId="4" borderId="34" xfId="0" applyFont="1" applyFill="1" applyBorder="1" applyAlignment="1" applyProtection="1">
      <alignment vertical="center" wrapText="1"/>
    </xf>
    <xf numFmtId="14" fontId="0" fillId="3" borderId="7" xfId="0" applyNumberFormat="1" applyFill="1" applyBorder="1" applyAlignment="1" applyProtection="1">
      <alignment wrapText="1"/>
      <protection locked="0"/>
    </xf>
    <xf numFmtId="0" fontId="0" fillId="0" borderId="0" xfId="0" applyBorder="1" applyAlignment="1" applyProtection="1">
      <alignment horizontal="right"/>
    </xf>
    <xf numFmtId="0" fontId="1" fillId="0" borderId="0" xfId="0" applyFont="1" applyBorder="1" applyAlignment="1" applyProtection="1">
      <alignment horizontal="right"/>
    </xf>
    <xf numFmtId="0" fontId="25" fillId="4" borderId="41" xfId="0" applyFont="1" applyFill="1" applyBorder="1" applyAlignment="1" applyProtection="1">
      <alignment vertical="center" wrapText="1"/>
    </xf>
    <xf numFmtId="0" fontId="6" fillId="0" borderId="66" xfId="0" applyFont="1" applyBorder="1" applyAlignment="1" applyProtection="1">
      <alignment horizontal="center"/>
      <protection locked="0"/>
    </xf>
    <xf numFmtId="0" fontId="6" fillId="0" borderId="31" xfId="0" applyFont="1" applyBorder="1" applyAlignment="1" applyProtection="1">
      <alignment horizontal="center"/>
      <protection locked="0"/>
    </xf>
    <xf numFmtId="0" fontId="8" fillId="0" borderId="31" xfId="0" applyFont="1" applyBorder="1" applyAlignment="1" applyProtection="1">
      <alignment horizontal="center"/>
      <protection locked="0"/>
    </xf>
    <xf numFmtId="0" fontId="6" fillId="0" borderId="32" xfId="0" applyFont="1" applyBorder="1" applyAlignment="1" applyProtection="1">
      <alignment horizontal="center" vertical="center"/>
      <protection locked="0"/>
    </xf>
    <xf numFmtId="0" fontId="6" fillId="0" borderId="31" xfId="0" applyFont="1" applyBorder="1" applyAlignment="1" applyProtection="1">
      <alignment horizontal="center" wrapText="1"/>
      <protection locked="0"/>
    </xf>
    <xf numFmtId="0" fontId="6" fillId="0" borderId="32" xfId="0" applyFont="1" applyBorder="1" applyAlignment="1" applyProtection="1">
      <alignment horizontal="center"/>
      <protection locked="0"/>
    </xf>
    <xf numFmtId="0" fontId="6" fillId="0" borderId="31" xfId="0" applyFont="1" applyBorder="1" applyAlignment="1" applyProtection="1">
      <alignment horizontal="center" vertical="center"/>
      <protection locked="0"/>
    </xf>
    <xf numFmtId="0" fontId="6" fillId="0" borderId="51" xfId="0" applyFont="1" applyBorder="1" applyAlignment="1" applyProtection="1">
      <alignment horizontal="center" vertical="center"/>
      <protection locked="0"/>
    </xf>
    <xf numFmtId="0" fontId="6" fillId="2" borderId="41" xfId="0" applyFont="1" applyFill="1" applyBorder="1" applyAlignment="1" applyProtection="1">
      <alignment horizontal="center"/>
    </xf>
    <xf numFmtId="0" fontId="6" fillId="2" borderId="27" xfId="0" applyFont="1" applyFill="1" applyBorder="1" applyAlignment="1" applyProtection="1">
      <alignment horizontal="center"/>
    </xf>
    <xf numFmtId="0" fontId="0" fillId="0" borderId="7" xfId="0" applyBorder="1" applyAlignment="1" applyProtection="1">
      <alignment horizontal="center"/>
    </xf>
    <xf numFmtId="0" fontId="6" fillId="0" borderId="27" xfId="0" applyFont="1" applyBorder="1" applyAlignment="1" applyProtection="1">
      <alignment horizontal="center"/>
    </xf>
    <xf numFmtId="0" fontId="3" fillId="0" borderId="27" xfId="0" applyFont="1" applyBorder="1" applyAlignment="1" applyProtection="1">
      <alignment horizontal="center" wrapText="1"/>
    </xf>
    <xf numFmtId="0" fontId="3" fillId="0" borderId="27" xfId="0" applyFont="1" applyBorder="1" applyAlignment="1" applyProtection="1">
      <alignment horizontal="center" vertical="center" wrapText="1"/>
    </xf>
    <xf numFmtId="0" fontId="6" fillId="2" borderId="65" xfId="0" applyFont="1" applyFill="1" applyBorder="1" applyAlignment="1" applyProtection="1">
      <alignment horizontal="center"/>
    </xf>
    <xf numFmtId="0" fontId="6" fillId="9" borderId="51" xfId="0" applyFont="1" applyFill="1" applyBorder="1" applyAlignment="1" applyProtection="1">
      <alignment horizontal="center" wrapText="1"/>
    </xf>
    <xf numFmtId="0" fontId="8" fillId="2" borderId="41" xfId="0" applyFont="1" applyFill="1" applyBorder="1" applyAlignment="1" applyProtection="1">
      <alignment horizontal="center"/>
    </xf>
    <xf numFmtId="0" fontId="8" fillId="2" borderId="28" xfId="0" applyFont="1" applyFill="1" applyBorder="1" applyAlignment="1" applyProtection="1">
      <alignment horizontal="center" wrapText="1"/>
    </xf>
    <xf numFmtId="0" fontId="7" fillId="2" borderId="0" xfId="0" applyFont="1" applyFill="1" applyBorder="1" applyAlignment="1" applyProtection="1">
      <alignment horizontal="center"/>
    </xf>
    <xf numFmtId="0" fontId="6" fillId="0" borderId="34" xfId="0" applyFont="1" applyBorder="1" applyAlignment="1" applyProtection="1">
      <alignment wrapText="1"/>
    </xf>
    <xf numFmtId="0" fontId="6" fillId="0" borderId="33" xfId="0" applyFont="1" applyBorder="1" applyAlignment="1" applyProtection="1">
      <alignment wrapText="1"/>
    </xf>
    <xf numFmtId="0" fontId="6" fillId="0" borderId="52" xfId="0" applyFont="1" applyBorder="1" applyAlignment="1" applyProtection="1">
      <alignment wrapText="1"/>
    </xf>
    <xf numFmtId="0" fontId="3" fillId="0" borderId="28" xfId="0" applyFont="1" applyBorder="1" applyAlignment="1" applyProtection="1">
      <alignment vertical="center" wrapText="1"/>
    </xf>
    <xf numFmtId="0" fontId="6" fillId="0" borderId="1" xfId="0" applyFont="1" applyBorder="1" applyAlignment="1" applyProtection="1">
      <alignment horizontal="center" vertical="center" wrapText="1"/>
      <protection locked="0"/>
    </xf>
    <xf numFmtId="0" fontId="3" fillId="0" borderId="26" xfId="0" applyFont="1" applyBorder="1" applyAlignment="1" applyProtection="1">
      <alignment wrapText="1"/>
      <protection locked="0"/>
    </xf>
    <xf numFmtId="0" fontId="3" fillId="0" borderId="29" xfId="0" applyFont="1" applyBorder="1" applyAlignment="1" applyProtection="1">
      <alignment wrapText="1"/>
      <protection locked="0"/>
    </xf>
    <xf numFmtId="164" fontId="4" fillId="2" borderId="54" xfId="0" applyNumberFormat="1" applyFont="1" applyFill="1" applyBorder="1" applyAlignment="1" applyProtection="1">
      <alignment horizontal="center" wrapText="1"/>
      <protection locked="0"/>
    </xf>
    <xf numFmtId="0" fontId="6" fillId="2" borderId="24" xfId="0" applyFont="1" applyFill="1" applyBorder="1" applyAlignment="1" applyProtection="1">
      <alignment horizontal="center" wrapText="1"/>
      <protection locked="0"/>
    </xf>
    <xf numFmtId="0" fontId="25" fillId="0" borderId="34" xfId="0" applyFont="1" applyBorder="1" applyAlignment="1" applyProtection="1">
      <alignment wrapText="1"/>
    </xf>
    <xf numFmtId="0" fontId="8" fillId="0" borderId="41" xfId="0" applyFont="1" applyBorder="1" applyAlignment="1" applyProtection="1">
      <alignment wrapText="1"/>
    </xf>
    <xf numFmtId="0" fontId="8" fillId="0" borderId="27" xfId="0" applyFont="1" applyBorder="1" applyAlignment="1" applyProtection="1">
      <alignment wrapText="1"/>
    </xf>
    <xf numFmtId="164" fontId="4" fillId="2" borderId="56" xfId="0" applyNumberFormat="1" applyFont="1" applyFill="1" applyBorder="1" applyAlignment="1" applyProtection="1">
      <alignment horizontal="center" wrapText="1"/>
      <protection locked="0"/>
    </xf>
    <xf numFmtId="164" fontId="4" fillId="2" borderId="1" xfId="0" applyNumberFormat="1" applyFont="1" applyFill="1" applyBorder="1" applyAlignment="1" applyProtection="1">
      <alignment horizontal="center" wrapText="1"/>
      <protection locked="0"/>
    </xf>
    <xf numFmtId="0" fontId="8" fillId="2" borderId="27" xfId="0" applyFont="1" applyFill="1" applyBorder="1" applyAlignment="1" applyProtection="1">
      <alignment wrapText="1"/>
    </xf>
    <xf numFmtId="0" fontId="6" fillId="0" borderId="27" xfId="0" applyFont="1" applyBorder="1" applyAlignment="1" applyProtection="1">
      <alignment wrapText="1"/>
    </xf>
    <xf numFmtId="0" fontId="6" fillId="0" borderId="0" xfId="0" applyFont="1" applyAlignment="1" applyProtection="1">
      <alignment horizontal="center" vertical="center"/>
    </xf>
    <xf numFmtId="0" fontId="6" fillId="0" borderId="0" xfId="0" applyFont="1" applyAlignment="1" applyProtection="1">
      <alignment horizontal="center"/>
    </xf>
    <xf numFmtId="0" fontId="10" fillId="16" borderId="1" xfId="0" applyFont="1" applyFill="1" applyBorder="1" applyAlignment="1" applyProtection="1">
      <alignment horizontal="center"/>
    </xf>
    <xf numFmtId="0" fontId="11" fillId="0" borderId="1" xfId="0" applyFont="1" applyBorder="1" applyAlignment="1" applyProtection="1">
      <alignment horizontal="center" wrapText="1"/>
    </xf>
    <xf numFmtId="10" fontId="0" fillId="0" borderId="1" xfId="0" applyNumberFormat="1" applyBorder="1" applyAlignment="1" applyProtection="1">
      <alignment horizontal="center"/>
    </xf>
    <xf numFmtId="0" fontId="10" fillId="0" borderId="0" xfId="0" applyFont="1" applyProtection="1"/>
    <xf numFmtId="0" fontId="11" fillId="0" borderId="3" xfId="0" applyFont="1" applyBorder="1" applyAlignment="1" applyProtection="1">
      <alignment horizontal="center" wrapText="1"/>
    </xf>
    <xf numFmtId="10" fontId="0" fillId="0" borderId="3" xfId="0" applyNumberFormat="1" applyBorder="1" applyAlignment="1" applyProtection="1">
      <alignment horizontal="center"/>
    </xf>
    <xf numFmtId="0" fontId="14" fillId="0" borderId="0" xfId="0" applyFont="1" applyProtection="1"/>
    <xf numFmtId="0" fontId="6" fillId="0" borderId="1" xfId="0" applyFont="1" applyBorder="1" applyAlignment="1" applyProtection="1">
      <alignment wrapText="1"/>
    </xf>
    <xf numFmtId="0" fontId="10" fillId="2" borderId="0" xfId="0" applyFont="1" applyFill="1" applyProtection="1"/>
    <xf numFmtId="0" fontId="3" fillId="0" borderId="1" xfId="0" applyFont="1" applyBorder="1" applyAlignment="1" applyProtection="1">
      <alignment wrapText="1"/>
      <protection locked="0"/>
    </xf>
    <xf numFmtId="0" fontId="28" fillId="2" borderId="0" xfId="0" applyFont="1" applyFill="1" applyBorder="1" applyAlignment="1" applyProtection="1">
      <alignment horizontal="center"/>
    </xf>
    <xf numFmtId="0" fontId="22" fillId="12" borderId="1" xfId="0" applyFont="1" applyFill="1" applyBorder="1" applyAlignment="1">
      <alignment horizontal="center" vertical="center" wrapText="1"/>
    </xf>
    <xf numFmtId="0" fontId="10" fillId="16" borderId="10" xfId="0" applyFont="1" applyFill="1" applyBorder="1" applyAlignment="1">
      <alignment horizontal="center" vertical="center"/>
    </xf>
    <xf numFmtId="14" fontId="14" fillId="0" borderId="1" xfId="0" applyNumberFormat="1" applyFont="1" applyBorder="1" applyAlignment="1" applyProtection="1">
      <alignment horizontal="center"/>
      <protection locked="0"/>
    </xf>
    <xf numFmtId="0" fontId="14" fillId="0" borderId="7" xfId="0" applyFont="1" applyBorder="1" applyAlignment="1" applyProtection="1">
      <alignment horizontal="center"/>
      <protection locked="0"/>
    </xf>
    <xf numFmtId="0" fontId="23" fillId="5" borderId="29" xfId="0" applyFont="1" applyFill="1" applyBorder="1" applyAlignment="1">
      <alignment horizontal="center" vertical="center" wrapText="1"/>
    </xf>
    <xf numFmtId="0" fontId="10" fillId="16" borderId="18" xfId="0" applyFont="1" applyFill="1" applyBorder="1" applyAlignment="1">
      <alignment horizontal="center" vertical="center"/>
    </xf>
    <xf numFmtId="0" fontId="0" fillId="0" borderId="7" xfId="0" applyBorder="1" applyAlignment="1">
      <alignment horizontal="center"/>
    </xf>
    <xf numFmtId="0" fontId="0" fillId="0" borderId="7" xfId="0" applyBorder="1" applyAlignment="1">
      <alignment horizontal="center" vertical="center"/>
    </xf>
    <xf numFmtId="0" fontId="6" fillId="0" borderId="7" xfId="0" applyFont="1" applyBorder="1" applyAlignment="1">
      <alignment horizontal="center" vertical="center"/>
    </xf>
    <xf numFmtId="0" fontId="6" fillId="0" borderId="7" xfId="0" applyFont="1" applyBorder="1" applyAlignment="1">
      <alignment horizontal="center"/>
    </xf>
    <xf numFmtId="0" fontId="6" fillId="0" borderId="17" xfId="0" applyFont="1" applyBorder="1" applyAlignment="1">
      <alignment horizontal="center" vertical="center" wrapText="1"/>
    </xf>
    <xf numFmtId="0" fontId="6" fillId="0" borderId="17" xfId="0" applyFont="1" applyBorder="1" applyAlignment="1">
      <alignment horizontal="center" vertical="center"/>
    </xf>
    <xf numFmtId="0" fontId="22" fillId="12" borderId="31" xfId="0" applyFont="1" applyFill="1" applyBorder="1" applyAlignment="1">
      <alignment horizontal="center" vertical="center" wrapText="1"/>
    </xf>
    <xf numFmtId="0" fontId="23" fillId="13" borderId="27" xfId="0" applyFont="1" applyFill="1" applyBorder="1" applyAlignment="1">
      <alignment horizontal="center" vertical="center" wrapText="1"/>
    </xf>
    <xf numFmtId="0" fontId="23" fillId="13" borderId="28" xfId="0" applyFont="1" applyFill="1" applyBorder="1" applyAlignment="1">
      <alignment horizontal="center" vertical="center" wrapText="1"/>
    </xf>
    <xf numFmtId="0" fontId="8" fillId="0" borderId="25" xfId="0" applyFont="1" applyBorder="1" applyAlignment="1">
      <alignment horizontal="center" wrapText="1"/>
    </xf>
    <xf numFmtId="0" fontId="8" fillId="0" borderId="27" xfId="0" applyFont="1" applyBorder="1" applyAlignment="1">
      <alignment horizontal="center" wrapText="1"/>
    </xf>
    <xf numFmtId="0" fontId="8" fillId="0" borderId="28" xfId="0" applyFont="1" applyBorder="1" applyAlignment="1">
      <alignment horizontal="center" wrapText="1"/>
    </xf>
    <xf numFmtId="0" fontId="6" fillId="0" borderId="16" xfId="0" applyFont="1" applyBorder="1" applyAlignment="1" applyProtection="1">
      <alignment vertical="center" wrapText="1"/>
    </xf>
    <xf numFmtId="0" fontId="6" fillId="0" borderId="34" xfId="0" applyFont="1" applyBorder="1" applyAlignment="1" applyProtection="1">
      <alignment vertical="center" wrapText="1"/>
    </xf>
    <xf numFmtId="0" fontId="6" fillId="0" borderId="35" xfId="0" applyFont="1" applyBorder="1" applyAlignment="1" applyProtection="1">
      <alignment vertical="center" wrapText="1"/>
    </xf>
    <xf numFmtId="0" fontId="6" fillId="2" borderId="55" xfId="0" applyFont="1" applyFill="1" applyBorder="1" applyAlignment="1" applyProtection="1">
      <alignment horizontal="center" wrapText="1"/>
      <protection locked="0"/>
    </xf>
    <xf numFmtId="0" fontId="6" fillId="2" borderId="27" xfId="0" applyFont="1" applyFill="1" applyBorder="1" applyAlignment="1" applyProtection="1">
      <alignment vertical="center" wrapText="1"/>
    </xf>
    <xf numFmtId="0" fontId="17" fillId="16" borderId="25" xfId="0" applyFont="1" applyFill="1" applyBorder="1" applyAlignment="1" applyProtection="1">
      <alignment horizontal="center" wrapText="1"/>
    </xf>
    <xf numFmtId="0" fontId="6" fillId="0" borderId="26" xfId="0" applyFont="1" applyBorder="1" applyAlignment="1" applyProtection="1">
      <alignment horizontal="center" wrapText="1"/>
      <protection locked="0"/>
    </xf>
    <xf numFmtId="0" fontId="6" fillId="0" borderId="30" xfId="0" applyFont="1" applyBorder="1" applyAlignment="1" applyProtection="1">
      <alignment wrapText="1"/>
    </xf>
    <xf numFmtId="0" fontId="6" fillId="0" borderId="31" xfId="0" applyFont="1" applyBorder="1" applyAlignment="1" applyProtection="1">
      <alignment wrapText="1"/>
    </xf>
    <xf numFmtId="0" fontId="6" fillId="0" borderId="31" xfId="0" applyFont="1" applyBorder="1" applyAlignment="1" applyProtection="1">
      <alignment horizontal="center" wrapText="1"/>
    </xf>
    <xf numFmtId="0" fontId="17" fillId="16" borderId="28" xfId="0" applyFont="1" applyFill="1" applyBorder="1" applyAlignment="1" applyProtection="1">
      <alignment horizontal="center" wrapText="1"/>
    </xf>
    <xf numFmtId="2" fontId="6" fillId="0" borderId="29" xfId="0" applyNumberFormat="1" applyFont="1" applyBorder="1" applyAlignment="1" applyProtection="1">
      <alignment horizontal="center" wrapText="1"/>
    </xf>
    <xf numFmtId="0" fontId="6" fillId="0" borderId="32" xfId="0" applyFont="1" applyBorder="1" applyAlignment="1" applyProtection="1">
      <alignment horizontal="center" wrapText="1"/>
    </xf>
    <xf numFmtId="0" fontId="17" fillId="0" borderId="0" xfId="0" applyFont="1" applyAlignment="1" applyProtection="1">
      <alignment wrapText="1"/>
    </xf>
    <xf numFmtId="0" fontId="1" fillId="0" borderId="0" xfId="0" applyFont="1" applyAlignment="1" applyProtection="1">
      <alignment horizontal="center" vertical="center" wrapText="1"/>
    </xf>
    <xf numFmtId="0" fontId="25" fillId="0" borderId="27" xfId="0" applyFont="1" applyBorder="1" applyAlignment="1" applyProtection="1">
      <alignment horizontal="left" vertical="center" wrapText="1"/>
    </xf>
    <xf numFmtId="0" fontId="11" fillId="0" borderId="31" xfId="0" applyFont="1" applyBorder="1" applyAlignment="1">
      <alignment horizontal="center" vertical="center" wrapText="1"/>
    </xf>
    <xf numFmtId="0" fontId="11" fillId="0" borderId="32" xfId="0" applyFont="1" applyBorder="1" applyAlignment="1">
      <alignment horizontal="center" vertical="center" wrapText="1"/>
    </xf>
    <xf numFmtId="0" fontId="6" fillId="4" borderId="47" xfId="0" applyFont="1" applyFill="1" applyBorder="1" applyAlignment="1" applyProtection="1">
      <alignment horizontal="center" wrapText="1"/>
    </xf>
    <xf numFmtId="0" fontId="23" fillId="5" borderId="31" xfId="0" applyFont="1" applyFill="1" applyBorder="1" applyAlignment="1">
      <alignment horizontal="center" vertical="center" wrapText="1"/>
    </xf>
    <xf numFmtId="0" fontId="23" fillId="0" borderId="31" xfId="0" applyFont="1" applyBorder="1" applyAlignment="1">
      <alignment horizontal="center" vertical="center" wrapText="1"/>
    </xf>
    <xf numFmtId="0" fontId="23" fillId="5" borderId="1" xfId="0" applyFont="1" applyFill="1" applyBorder="1" applyAlignment="1">
      <alignment horizontal="center" wrapText="1"/>
    </xf>
    <xf numFmtId="0" fontId="11" fillId="0" borderId="1" xfId="0" applyFont="1" applyBorder="1" applyAlignment="1">
      <alignment horizontal="center" wrapText="1"/>
    </xf>
    <xf numFmtId="0" fontId="23" fillId="0" borderId="1" xfId="0" applyFont="1" applyBorder="1" applyAlignment="1">
      <alignment horizontal="center" wrapText="1"/>
    </xf>
    <xf numFmtId="0" fontId="11" fillId="0" borderId="29" xfId="0" applyFont="1" applyBorder="1" applyAlignment="1">
      <alignment horizontal="center" wrapText="1"/>
    </xf>
    <xf numFmtId="14" fontId="10" fillId="0" borderId="0" xfId="0" applyNumberFormat="1" applyFont="1" applyProtection="1"/>
    <xf numFmtId="2" fontId="10" fillId="0" borderId="0" xfId="0" applyNumberFormat="1" applyFont="1" applyProtection="1"/>
    <xf numFmtId="0" fontId="6" fillId="0" borderId="0" xfId="0" applyFont="1" applyAlignment="1">
      <alignment wrapText="1"/>
    </xf>
    <xf numFmtId="0" fontId="17" fillId="0" borderId="0" xfId="0" applyFont="1" applyAlignment="1">
      <alignment wrapText="1"/>
    </xf>
    <xf numFmtId="0" fontId="17" fillId="16" borderId="47" xfId="0" applyFont="1" applyFill="1" applyBorder="1" applyAlignment="1">
      <alignment horizontal="center" wrapText="1"/>
    </xf>
    <xf numFmtId="0" fontId="18" fillId="16" borderId="17" xfId="0" applyFont="1" applyFill="1" applyBorder="1" applyAlignment="1">
      <alignment horizontal="center" vertical="center" wrapText="1"/>
    </xf>
    <xf numFmtId="0" fontId="18" fillId="16" borderId="10" xfId="0" applyFont="1" applyFill="1" applyBorder="1" applyAlignment="1">
      <alignment horizontal="center" vertical="center" wrapText="1"/>
    </xf>
    <xf numFmtId="0" fontId="6" fillId="0" borderId="0" xfId="0" applyFont="1" applyAlignment="1" applyProtection="1">
      <alignment wrapText="1"/>
      <protection locked="0"/>
    </xf>
    <xf numFmtId="0" fontId="17" fillId="16" borderId="46" xfId="0" applyFont="1" applyFill="1" applyBorder="1" applyAlignment="1">
      <alignment wrapText="1"/>
    </xf>
    <xf numFmtId="0" fontId="6" fillId="0" borderId="63" xfId="0" applyFont="1" applyBorder="1" applyAlignment="1" applyProtection="1">
      <alignment wrapText="1"/>
      <protection locked="0"/>
    </xf>
    <xf numFmtId="0" fontId="6" fillId="0" borderId="26" xfId="0" applyFont="1" applyBorder="1" applyAlignment="1" applyProtection="1">
      <alignment wrapText="1"/>
      <protection locked="0"/>
    </xf>
    <xf numFmtId="0" fontId="6" fillId="0" borderId="2" xfId="0" applyFont="1" applyBorder="1" applyAlignment="1" applyProtection="1">
      <alignment wrapText="1"/>
      <protection locked="0"/>
    </xf>
    <xf numFmtId="0" fontId="6" fillId="0" borderId="1" xfId="0" applyFont="1" applyBorder="1" applyAlignment="1" applyProtection="1">
      <alignment wrapText="1"/>
      <protection locked="0"/>
    </xf>
    <xf numFmtId="0" fontId="6" fillId="0" borderId="61" xfId="0" applyFont="1" applyBorder="1" applyAlignment="1" applyProtection="1">
      <alignment wrapText="1"/>
      <protection locked="0"/>
    </xf>
    <xf numFmtId="0" fontId="6" fillId="0" borderId="29" xfId="0" applyFont="1" applyBorder="1" applyAlignment="1" applyProtection="1">
      <alignment wrapText="1"/>
      <protection locked="0"/>
    </xf>
    <xf numFmtId="0" fontId="8" fillId="0" borderId="26" xfId="0" applyFont="1" applyBorder="1" applyAlignment="1">
      <alignment horizontal="center" wrapText="1"/>
    </xf>
    <xf numFmtId="0" fontId="8" fillId="0" borderId="26" xfId="0" applyFont="1" applyBorder="1" applyAlignment="1" applyProtection="1">
      <alignment horizontal="center" wrapText="1"/>
      <protection locked="0"/>
    </xf>
    <xf numFmtId="0" fontId="8" fillId="0" borderId="26" xfId="0" applyFont="1" applyBorder="1" applyAlignment="1" applyProtection="1">
      <alignment horizontal="center" vertical="center" wrapText="1"/>
      <protection locked="0"/>
    </xf>
    <xf numFmtId="0" fontId="8" fillId="0" borderId="26" xfId="0" applyFont="1" applyBorder="1" applyAlignment="1">
      <alignment horizontal="center" vertical="center" wrapText="1"/>
    </xf>
    <xf numFmtId="0" fontId="8" fillId="0" borderId="30" xfId="0" applyFont="1" applyBorder="1" applyAlignment="1">
      <alignment horizontal="center" vertical="center" wrapText="1"/>
    </xf>
    <xf numFmtId="0" fontId="8" fillId="0" borderId="1" xfId="0" applyFont="1" applyBorder="1" applyAlignment="1">
      <alignment horizontal="center" wrapText="1"/>
    </xf>
    <xf numFmtId="0" fontId="8" fillId="0" borderId="1" xfId="0" applyFont="1" applyBorder="1" applyAlignment="1" applyProtection="1">
      <alignment horizontal="center" wrapText="1"/>
      <protection locked="0"/>
    </xf>
    <xf numFmtId="0" fontId="8" fillId="0" borderId="1" xfId="0" applyFont="1" applyBorder="1" applyAlignment="1" applyProtection="1">
      <alignment horizontal="center" vertical="center" wrapText="1"/>
      <protection locked="0"/>
    </xf>
    <xf numFmtId="0" fontId="8" fillId="0" borderId="1" xfId="0" applyFont="1" applyBorder="1" applyAlignment="1">
      <alignment horizontal="center" vertical="center" wrapText="1"/>
    </xf>
    <xf numFmtId="0" fontId="8" fillId="0" borderId="31" xfId="0" applyFont="1" applyBorder="1" applyAlignment="1">
      <alignment horizontal="center" vertical="center" wrapText="1"/>
    </xf>
    <xf numFmtId="0" fontId="8" fillId="0" borderId="29" xfId="0" applyFont="1" applyBorder="1" applyAlignment="1">
      <alignment horizontal="center" wrapText="1"/>
    </xf>
    <xf numFmtId="0" fontId="8" fillId="0" borderId="29" xfId="0" applyFont="1" applyBorder="1" applyAlignment="1" applyProtection="1">
      <alignment horizontal="center" wrapText="1"/>
      <protection locked="0"/>
    </xf>
    <xf numFmtId="0" fontId="8" fillId="0" borderId="29" xfId="0" applyFont="1" applyBorder="1" applyAlignment="1" applyProtection="1">
      <alignment horizontal="center" vertical="center" wrapText="1"/>
      <protection locked="0"/>
    </xf>
    <xf numFmtId="0" fontId="8" fillId="0" borderId="29" xfId="0" applyFont="1" applyBorder="1" applyAlignment="1">
      <alignment horizontal="center" vertical="center" wrapText="1"/>
    </xf>
    <xf numFmtId="0" fontId="8" fillId="0" borderId="32" xfId="0" applyFont="1" applyBorder="1" applyAlignment="1">
      <alignment horizontal="center" vertical="center" wrapText="1"/>
    </xf>
    <xf numFmtId="0" fontId="17" fillId="2" borderId="0" xfId="0" applyFont="1" applyFill="1" applyAlignment="1" applyProtection="1">
      <alignment wrapText="1"/>
    </xf>
    <xf numFmtId="0" fontId="17" fillId="2" borderId="0" xfId="0" applyFont="1" applyFill="1" applyAlignment="1" applyProtection="1">
      <alignment horizontal="center" wrapText="1"/>
    </xf>
    <xf numFmtId="0" fontId="6" fillId="0" borderId="0" xfId="0" applyFont="1" applyAlignment="1" applyProtection="1">
      <alignment wrapText="1"/>
    </xf>
    <xf numFmtId="0" fontId="6" fillId="0" borderId="13" xfId="0" applyFont="1" applyBorder="1" applyAlignment="1" applyProtection="1">
      <alignment horizontal="left" wrapText="1"/>
    </xf>
    <xf numFmtId="10" fontId="6" fillId="2" borderId="19" xfId="0" applyNumberFormat="1" applyFont="1" applyFill="1" applyBorder="1" applyAlignment="1" applyProtection="1">
      <alignment horizontal="center" wrapText="1"/>
    </xf>
    <xf numFmtId="10" fontId="17" fillId="2" borderId="0" xfId="0" applyNumberFormat="1" applyFont="1" applyFill="1" applyAlignment="1" applyProtection="1">
      <alignment horizontal="center" wrapText="1"/>
    </xf>
    <xf numFmtId="0" fontId="26" fillId="0" borderId="0" xfId="0" applyFont="1" applyAlignment="1" applyProtection="1">
      <alignment wrapText="1"/>
    </xf>
    <xf numFmtId="0" fontId="6" fillId="2" borderId="26" xfId="0" applyFont="1" applyFill="1" applyBorder="1" applyAlignment="1" applyProtection="1">
      <alignment wrapText="1"/>
      <protection locked="0"/>
    </xf>
    <xf numFmtId="0" fontId="6" fillId="2" borderId="27" xfId="0" applyFont="1" applyFill="1" applyBorder="1" applyAlignment="1" applyProtection="1">
      <alignment wrapText="1"/>
      <protection locked="0"/>
    </xf>
    <xf numFmtId="0" fontId="6" fillId="2" borderId="28" xfId="0" applyFont="1" applyFill="1" applyBorder="1" applyAlignment="1" applyProtection="1">
      <alignment wrapText="1"/>
      <protection locked="0"/>
    </xf>
    <xf numFmtId="0" fontId="6" fillId="0" borderId="56" xfId="0" applyFont="1" applyBorder="1" applyAlignment="1" applyProtection="1">
      <alignment horizontal="left" wrapText="1"/>
    </xf>
    <xf numFmtId="10" fontId="6" fillId="2" borderId="56" xfId="0" applyNumberFormat="1" applyFont="1" applyFill="1" applyBorder="1" applyAlignment="1" applyProtection="1">
      <alignment horizontal="center" wrapText="1"/>
    </xf>
    <xf numFmtId="0" fontId="17" fillId="0" borderId="0" xfId="0" applyFont="1" applyAlignment="1" applyProtection="1">
      <alignment horizontal="center" wrapText="1"/>
    </xf>
    <xf numFmtId="10" fontId="17" fillId="0" borderId="0" xfId="0" applyNumberFormat="1" applyFont="1" applyAlignment="1" applyProtection="1">
      <alignment wrapText="1"/>
    </xf>
    <xf numFmtId="0" fontId="8" fillId="0" borderId="0" xfId="0" applyFont="1" applyAlignment="1" applyProtection="1">
      <alignment wrapText="1"/>
    </xf>
    <xf numFmtId="0" fontId="6" fillId="4" borderId="46" xfId="0" applyFont="1" applyFill="1" applyBorder="1" applyAlignment="1" applyProtection="1">
      <alignment wrapText="1"/>
    </xf>
    <xf numFmtId="0" fontId="6" fillId="0" borderId="65" xfId="0" applyFont="1" applyBorder="1" applyAlignment="1" applyProtection="1">
      <alignment vertical="center" wrapText="1"/>
    </xf>
    <xf numFmtId="0" fontId="25" fillId="4" borderId="8" xfId="0" applyFont="1" applyFill="1" applyBorder="1" applyAlignment="1" applyProtection="1">
      <alignment vertical="center" wrapText="1"/>
    </xf>
    <xf numFmtId="0" fontId="6" fillId="2" borderId="25" xfId="0" applyFont="1" applyFill="1" applyBorder="1" applyAlignment="1" applyProtection="1">
      <alignment vertical="center" wrapText="1"/>
      <protection locked="0"/>
    </xf>
    <xf numFmtId="0" fontId="6" fillId="2" borderId="27" xfId="0" applyFont="1" applyFill="1" applyBorder="1" applyAlignment="1" applyProtection="1">
      <alignment vertical="center" wrapText="1"/>
      <protection locked="0"/>
    </xf>
    <xf numFmtId="0" fontId="6" fillId="4" borderId="18" xfId="0" applyFont="1" applyFill="1" applyBorder="1" applyAlignment="1" applyProtection="1">
      <alignment horizontal="center" wrapText="1"/>
    </xf>
    <xf numFmtId="0" fontId="8" fillId="2" borderId="0" xfId="0" applyFont="1" applyFill="1" applyBorder="1" applyAlignment="1" applyProtection="1">
      <alignment horizontal="center" vertical="center" wrapText="1"/>
      <protection locked="0"/>
    </xf>
    <xf numFmtId="0" fontId="8" fillId="2" borderId="0" xfId="0" applyFont="1" applyFill="1" applyBorder="1" applyAlignment="1" applyProtection="1">
      <alignment horizontal="center" wrapText="1"/>
      <protection locked="0"/>
    </xf>
    <xf numFmtId="0" fontId="6" fillId="0" borderId="36" xfId="0" applyFont="1" applyBorder="1" applyAlignment="1" applyProtection="1">
      <alignment wrapText="1"/>
      <protection locked="0"/>
    </xf>
    <xf numFmtId="0" fontId="6" fillId="0" borderId="46" xfId="0" applyFont="1" applyBorder="1" applyAlignment="1" applyProtection="1">
      <alignment horizontal="left" wrapText="1"/>
    </xf>
    <xf numFmtId="10" fontId="6" fillId="2" borderId="47" xfId="0" applyNumberFormat="1" applyFont="1" applyFill="1" applyBorder="1" applyAlignment="1" applyProtection="1">
      <alignment horizontal="center" vertical="center" wrapText="1"/>
    </xf>
    <xf numFmtId="0" fontId="6" fillId="0" borderId="1" xfId="0" applyFont="1" applyBorder="1" applyAlignment="1" applyProtection="1">
      <alignment horizontal="center" vertical="center" wrapText="1"/>
    </xf>
    <xf numFmtId="0" fontId="8" fillId="0" borderId="0" xfId="0" applyFont="1" applyAlignment="1">
      <alignment wrapText="1"/>
    </xf>
    <xf numFmtId="0" fontId="31" fillId="0" borderId="0" xfId="0" applyFont="1" applyAlignment="1" applyProtection="1">
      <alignment wrapText="1"/>
    </xf>
    <xf numFmtId="14" fontId="17" fillId="0" borderId="0" xfId="0" applyNumberFormat="1" applyFont="1" applyAlignment="1" applyProtection="1">
      <alignment wrapText="1"/>
    </xf>
    <xf numFmtId="165" fontId="17" fillId="0" borderId="0" xfId="0" applyNumberFormat="1" applyFont="1" applyAlignment="1" applyProtection="1">
      <alignment wrapText="1"/>
    </xf>
    <xf numFmtId="1" fontId="17" fillId="0" borderId="0" xfId="0" applyNumberFormat="1" applyFont="1" applyAlignment="1" applyProtection="1">
      <alignment wrapText="1"/>
    </xf>
    <xf numFmtId="166" fontId="6" fillId="0" borderId="31" xfId="0" applyNumberFormat="1" applyFont="1" applyBorder="1" applyAlignment="1" applyProtection="1">
      <alignment horizontal="center"/>
      <protection locked="0"/>
    </xf>
    <xf numFmtId="0" fontId="31" fillId="0" borderId="0" xfId="0" applyFont="1" applyAlignment="1">
      <alignment wrapText="1"/>
    </xf>
    <xf numFmtId="0" fontId="6" fillId="2" borderId="29" xfId="0" applyFont="1" applyFill="1" applyBorder="1" applyAlignment="1" applyProtection="1">
      <alignment horizontal="center" wrapText="1"/>
      <protection locked="0"/>
    </xf>
    <xf numFmtId="0" fontId="6" fillId="2" borderId="1" xfId="0" applyFont="1" applyFill="1" applyBorder="1" applyAlignment="1" applyProtection="1">
      <alignment horizontal="center" wrapText="1"/>
      <protection locked="0"/>
    </xf>
    <xf numFmtId="0" fontId="6" fillId="2" borderId="26" xfId="0" applyFont="1" applyFill="1" applyBorder="1" applyAlignment="1" applyProtection="1">
      <alignment horizontal="center" wrapText="1"/>
      <protection locked="0"/>
    </xf>
    <xf numFmtId="0" fontId="8" fillId="2" borderId="1" xfId="0" applyFont="1" applyFill="1" applyBorder="1" applyAlignment="1" applyProtection="1">
      <alignment horizontal="center" vertical="center" wrapText="1"/>
      <protection locked="0"/>
    </xf>
    <xf numFmtId="0" fontId="8" fillId="4" borderId="56" xfId="0" applyFont="1" applyFill="1" applyBorder="1" applyAlignment="1" applyProtection="1">
      <alignment horizontal="center" vertical="center" wrapText="1"/>
    </xf>
    <xf numFmtId="0" fontId="25" fillId="4" borderId="64" xfId="0" applyFont="1" applyFill="1" applyBorder="1" applyAlignment="1" applyProtection="1">
      <alignment vertical="center" wrapText="1"/>
    </xf>
    <xf numFmtId="0" fontId="3" fillId="0" borderId="1" xfId="0" applyFont="1" applyBorder="1" applyAlignment="1">
      <alignment horizontal="center"/>
    </xf>
    <xf numFmtId="0" fontId="3" fillId="0" borderId="1" xfId="0" applyFont="1" applyBorder="1" applyAlignment="1">
      <alignment horizontal="center" wrapText="1"/>
    </xf>
    <xf numFmtId="10" fontId="0" fillId="0" borderId="0" xfId="0" applyNumberFormat="1"/>
    <xf numFmtId="0" fontId="6" fillId="0" borderId="27" xfId="0" applyFont="1" applyBorder="1" applyAlignment="1" applyProtection="1">
      <alignment horizontal="center" vertical="center" wrapText="1"/>
    </xf>
    <xf numFmtId="10" fontId="10" fillId="0" borderId="0" xfId="0" applyNumberFormat="1" applyFont="1" applyProtection="1"/>
    <xf numFmtId="0" fontId="10" fillId="0" borderId="0" xfId="0" applyFont="1" applyFill="1" applyBorder="1" applyProtection="1"/>
    <xf numFmtId="10" fontId="10" fillId="0" borderId="0" xfId="0" applyNumberFormat="1" applyFont="1" applyAlignment="1" applyProtection="1">
      <alignment horizontal="center"/>
    </xf>
    <xf numFmtId="1" fontId="10" fillId="0" borderId="0" xfId="0" applyNumberFormat="1" applyFont="1" applyProtection="1"/>
    <xf numFmtId="0" fontId="10" fillId="0" borderId="0" xfId="0" applyFont="1" applyAlignment="1" applyProtection="1">
      <alignment wrapText="1"/>
    </xf>
    <xf numFmtId="0" fontId="10" fillId="0" borderId="0" xfId="0" applyFont="1" applyProtection="1">
      <protection locked="0"/>
    </xf>
    <xf numFmtId="0" fontId="0" fillId="0" borderId="0" xfId="0" applyProtection="1">
      <protection locked="0"/>
    </xf>
    <xf numFmtId="0" fontId="6" fillId="0" borderId="33" xfId="0" applyFont="1" applyBorder="1" applyAlignment="1" applyProtection="1">
      <alignment wrapText="1"/>
      <protection locked="0"/>
    </xf>
    <xf numFmtId="0" fontId="14" fillId="0" borderId="0" xfId="0" applyFont="1" applyProtection="1">
      <protection locked="0"/>
    </xf>
    <xf numFmtId="0" fontId="17" fillId="0" borderId="0" xfId="0" applyFont="1" applyAlignment="1" applyProtection="1">
      <alignment wrapText="1"/>
      <protection locked="0"/>
    </xf>
    <xf numFmtId="0" fontId="31" fillId="0" borderId="0" xfId="0" applyFont="1" applyAlignment="1" applyProtection="1">
      <alignment wrapText="1"/>
      <protection locked="0"/>
    </xf>
    <xf numFmtId="0" fontId="16" fillId="15" borderId="27" xfId="0" applyFont="1" applyFill="1" applyBorder="1" applyAlignment="1" applyProtection="1">
      <alignment horizontal="left" vertical="center" wrapText="1"/>
    </xf>
    <xf numFmtId="0" fontId="6" fillId="0" borderId="35" xfId="0" applyFont="1" applyBorder="1" applyAlignment="1" applyProtection="1">
      <alignment wrapText="1"/>
      <protection locked="0"/>
    </xf>
    <xf numFmtId="0" fontId="6" fillId="2" borderId="54" xfId="0" applyFont="1" applyFill="1" applyBorder="1" applyAlignment="1" applyProtection="1">
      <alignment horizontal="center" wrapText="1"/>
    </xf>
    <xf numFmtId="0" fontId="30" fillId="4" borderId="54" xfId="1" applyFont="1" applyFill="1" applyBorder="1" applyAlignment="1" applyProtection="1">
      <alignment horizontal="center" wrapText="1"/>
      <protection locked="0"/>
    </xf>
    <xf numFmtId="0" fontId="30" fillId="4" borderId="24" xfId="1" applyFont="1" applyFill="1" applyBorder="1" applyAlignment="1" applyProtection="1">
      <alignment horizontal="center" wrapText="1"/>
      <protection locked="0"/>
    </xf>
    <xf numFmtId="0" fontId="30" fillId="4" borderId="53" xfId="1" applyFont="1" applyFill="1" applyBorder="1" applyAlignment="1" applyProtection="1">
      <alignment horizontal="center" wrapText="1"/>
      <protection locked="0"/>
    </xf>
    <xf numFmtId="0" fontId="6" fillId="4" borderId="24" xfId="0" applyFont="1" applyFill="1" applyBorder="1" applyAlignment="1" applyProtection="1">
      <alignment wrapText="1"/>
      <protection locked="0"/>
    </xf>
    <xf numFmtId="0" fontId="6" fillId="4" borderId="55" xfId="0" applyFont="1" applyFill="1" applyBorder="1" applyAlignment="1" applyProtection="1">
      <alignment wrapText="1"/>
      <protection locked="0"/>
    </xf>
    <xf numFmtId="0" fontId="0" fillId="0" borderId="0" xfId="0" applyAlignment="1" applyProtection="1">
      <alignment horizontal="center" vertical="center"/>
    </xf>
    <xf numFmtId="0" fontId="34" fillId="2" borderId="33" xfId="0" applyFont="1" applyFill="1" applyBorder="1" applyAlignment="1" applyProtection="1">
      <alignment horizontal="center"/>
    </xf>
    <xf numFmtId="0" fontId="35" fillId="0" borderId="27" xfId="0" applyFont="1" applyBorder="1" applyAlignment="1" applyProtection="1">
      <alignment horizontal="center" vertical="center" wrapText="1"/>
    </xf>
    <xf numFmtId="0" fontId="34" fillId="2" borderId="36" xfId="0" applyFont="1" applyFill="1" applyBorder="1" applyAlignment="1" applyProtection="1">
      <alignment horizontal="center" wrapText="1"/>
    </xf>
    <xf numFmtId="0" fontId="34" fillId="2" borderId="27" xfId="0" applyFont="1" applyFill="1" applyBorder="1" applyAlignment="1" applyProtection="1">
      <alignment horizontal="center" wrapText="1"/>
    </xf>
    <xf numFmtId="0" fontId="35" fillId="0" borderId="27" xfId="0" applyFont="1" applyBorder="1" applyAlignment="1" applyProtection="1">
      <alignment horizontal="center" wrapText="1"/>
    </xf>
    <xf numFmtId="0" fontId="34" fillId="2" borderId="41" xfId="0" applyFont="1" applyFill="1" applyBorder="1" applyAlignment="1" applyProtection="1">
      <alignment horizontal="center" wrapText="1"/>
    </xf>
    <xf numFmtId="0" fontId="3" fillId="0" borderId="0" xfId="0" applyFont="1" applyAlignment="1" applyProtection="1">
      <alignment wrapText="1"/>
    </xf>
    <xf numFmtId="0" fontId="36" fillId="0" borderId="0" xfId="0" applyFont="1" applyAlignment="1" applyProtection="1">
      <alignment wrapText="1"/>
    </xf>
    <xf numFmtId="0" fontId="3" fillId="0" borderId="0" xfId="0" applyFont="1" applyAlignment="1" applyProtection="1">
      <alignment wrapText="1"/>
      <protection locked="0"/>
    </xf>
    <xf numFmtId="0" fontId="36" fillId="16" borderId="34" xfId="0" applyFont="1" applyFill="1" applyBorder="1" applyAlignment="1" applyProtection="1">
      <alignment horizontal="center" wrapText="1"/>
    </xf>
    <xf numFmtId="0" fontId="36" fillId="16" borderId="25" xfId="0" applyFont="1" applyFill="1" applyBorder="1" applyAlignment="1" applyProtection="1">
      <alignment horizontal="center" wrapText="1"/>
    </xf>
    <xf numFmtId="0" fontId="36" fillId="16" borderId="26" xfId="0" applyFont="1" applyFill="1" applyBorder="1" applyAlignment="1" applyProtection="1">
      <alignment horizontal="center" wrapText="1"/>
    </xf>
    <xf numFmtId="0" fontId="38" fillId="16" borderId="26" xfId="0" applyFont="1" applyFill="1" applyBorder="1" applyAlignment="1" applyProtection="1">
      <alignment horizontal="center" vertical="center" wrapText="1"/>
    </xf>
    <xf numFmtId="0" fontId="39" fillId="0" borderId="17" xfId="0" applyFont="1" applyBorder="1" applyAlignment="1" applyProtection="1">
      <alignment horizontal="center" vertical="center" wrapText="1"/>
    </xf>
    <xf numFmtId="0" fontId="40" fillId="0" borderId="14" xfId="0" applyFont="1" applyBorder="1" applyAlignment="1" applyProtection="1">
      <alignment horizontal="center" vertical="center" wrapText="1"/>
    </xf>
    <xf numFmtId="0" fontId="36" fillId="16" borderId="33" xfId="0" applyFont="1" applyFill="1" applyBorder="1" applyAlignment="1" applyProtection="1">
      <alignment horizontal="center" wrapText="1"/>
    </xf>
    <xf numFmtId="0" fontId="41" fillId="15" borderId="27" xfId="0" applyFont="1" applyFill="1" applyBorder="1" applyAlignment="1" applyProtection="1">
      <alignment horizontal="left" vertical="center" wrapText="1"/>
    </xf>
    <xf numFmtId="0" fontId="3" fillId="0" borderId="1" xfId="0" applyFont="1" applyBorder="1" applyAlignment="1" applyProtection="1">
      <alignment horizontal="center" vertical="center" wrapText="1"/>
    </xf>
    <xf numFmtId="0" fontId="3" fillId="15" borderId="1" xfId="0" quotePrefix="1" applyFont="1" applyFill="1" applyBorder="1" applyAlignment="1" applyProtection="1">
      <alignment horizontal="center" vertical="center" wrapText="1"/>
    </xf>
    <xf numFmtId="0" fontId="43" fillId="15" borderId="1" xfId="0" applyFont="1" applyFill="1" applyBorder="1" applyAlignment="1" applyProtection="1">
      <alignment horizontal="center" vertical="center" wrapText="1"/>
    </xf>
    <xf numFmtId="0" fontId="3" fillId="15" borderId="1" xfId="0" applyFont="1" applyFill="1" applyBorder="1" applyAlignment="1" applyProtection="1">
      <alignment horizontal="center" vertical="center" wrapText="1"/>
      <protection locked="0"/>
    </xf>
    <xf numFmtId="0" fontId="3" fillId="0" borderId="1" xfId="0" applyFont="1" applyBorder="1" applyAlignment="1" applyProtection="1">
      <alignment horizontal="center" vertical="center" wrapText="1"/>
      <protection locked="0"/>
    </xf>
    <xf numFmtId="0" fontId="36" fillId="0" borderId="0" xfId="0" applyFont="1" applyAlignment="1" applyProtection="1"/>
    <xf numFmtId="0" fontId="41" fillId="0" borderId="27" xfId="0" applyFont="1" applyBorder="1" applyAlignment="1" applyProtection="1">
      <alignment horizontal="left" vertical="center" wrapText="1"/>
    </xf>
    <xf numFmtId="0" fontId="3" fillId="0" borderId="1" xfId="0" quotePrefix="1" applyFont="1" applyBorder="1" applyAlignment="1" applyProtection="1">
      <alignment horizontal="center" vertical="center" wrapText="1"/>
    </xf>
    <xf numFmtId="0" fontId="43" fillId="0" borderId="1" xfId="0" applyFont="1" applyBorder="1" applyAlignment="1" applyProtection="1">
      <alignment horizontal="center" vertical="center" wrapText="1"/>
    </xf>
    <xf numFmtId="0" fontId="44" fillId="15" borderId="27" xfId="0" applyFont="1" applyFill="1" applyBorder="1" applyAlignment="1" applyProtection="1">
      <alignment horizontal="left" vertical="center" wrapText="1"/>
    </xf>
    <xf numFmtId="0" fontId="40" fillId="0" borderId="19" xfId="0" applyFont="1" applyBorder="1" applyAlignment="1" applyProtection="1">
      <alignment horizontal="center" vertical="center" wrapText="1"/>
    </xf>
    <xf numFmtId="0" fontId="40" fillId="6" borderId="15" xfId="0" applyFont="1" applyFill="1" applyBorder="1" applyAlignment="1" applyProtection="1">
      <alignment horizontal="center" vertical="center" wrapText="1"/>
    </xf>
    <xf numFmtId="0" fontId="40" fillId="7" borderId="15" xfId="0" applyFont="1" applyFill="1" applyBorder="1" applyAlignment="1" applyProtection="1">
      <alignment horizontal="center" vertical="center" wrapText="1"/>
    </xf>
    <xf numFmtId="0" fontId="40" fillId="8" borderId="15" xfId="0" applyFont="1" applyFill="1" applyBorder="1" applyAlignment="1" applyProtection="1">
      <alignment horizontal="center" vertical="center" wrapText="1"/>
    </xf>
    <xf numFmtId="0" fontId="40" fillId="9" borderId="15" xfId="0" applyFont="1" applyFill="1" applyBorder="1" applyAlignment="1" applyProtection="1">
      <alignment horizontal="center" vertical="center" wrapText="1"/>
    </xf>
    <xf numFmtId="0" fontId="43" fillId="15" borderId="27" xfId="0" applyFont="1" applyFill="1" applyBorder="1" applyAlignment="1" applyProtection="1">
      <alignment horizontal="left" vertical="center" wrapText="1"/>
    </xf>
    <xf numFmtId="0" fontId="40" fillId="10" borderId="15" xfId="0" applyFont="1" applyFill="1" applyBorder="1" applyAlignment="1" applyProtection="1">
      <alignment horizontal="center" vertical="center" wrapText="1"/>
    </xf>
    <xf numFmtId="0" fontId="3" fillId="0" borderId="27" xfId="0" applyFont="1" applyBorder="1" applyAlignment="1" applyProtection="1">
      <alignment wrapText="1"/>
    </xf>
    <xf numFmtId="0" fontId="3" fillId="0" borderId="1" xfId="0" applyFont="1" applyBorder="1" applyAlignment="1" applyProtection="1">
      <alignment horizontal="center" wrapText="1"/>
    </xf>
    <xf numFmtId="0" fontId="40" fillId="11" borderId="15" xfId="0" applyFont="1" applyFill="1" applyBorder="1" applyAlignment="1" applyProtection="1">
      <alignment horizontal="center" vertical="center" wrapText="1"/>
    </xf>
    <xf numFmtId="0" fontId="41" fillId="15" borderId="1" xfId="0" applyFont="1" applyFill="1" applyBorder="1" applyAlignment="1" applyProtection="1">
      <alignment horizontal="center" vertical="center" wrapText="1"/>
      <protection locked="0"/>
    </xf>
    <xf numFmtId="0" fontId="3" fillId="15" borderId="1" xfId="0" applyFont="1" applyFill="1" applyBorder="1" applyAlignment="1" applyProtection="1">
      <alignment horizontal="center" vertical="center" wrapText="1"/>
    </xf>
    <xf numFmtId="0" fontId="36" fillId="16" borderId="35" xfId="0" applyFont="1" applyFill="1" applyBorder="1" applyAlignment="1" applyProtection="1">
      <alignment horizontal="center" wrapText="1"/>
    </xf>
    <xf numFmtId="0" fontId="41" fillId="0" borderId="28" xfId="0" applyFont="1" applyBorder="1" applyAlignment="1" applyProtection="1">
      <alignment horizontal="left" vertical="center" wrapText="1"/>
    </xf>
    <xf numFmtId="0" fontId="41" fillId="15" borderId="29" xfId="0" applyFont="1" applyFill="1" applyBorder="1" applyAlignment="1" applyProtection="1">
      <alignment horizontal="center" vertical="center" wrapText="1"/>
      <protection locked="0"/>
    </xf>
    <xf numFmtId="0" fontId="3" fillId="0" borderId="29" xfId="0" applyFont="1" applyBorder="1" applyAlignment="1" applyProtection="1">
      <alignment horizontal="center" vertical="center" wrapText="1"/>
    </xf>
    <xf numFmtId="0" fontId="43" fillId="0" borderId="29" xfId="0" applyFont="1" applyBorder="1" applyAlignment="1" applyProtection="1">
      <alignment horizontal="center" vertical="center" wrapText="1"/>
    </xf>
    <xf numFmtId="0" fontId="3" fillId="0" borderId="29" xfId="0" applyFont="1" applyBorder="1" applyAlignment="1" applyProtection="1">
      <alignment horizontal="center" vertical="center" wrapText="1"/>
      <protection locked="0"/>
    </xf>
    <xf numFmtId="0" fontId="3" fillId="0" borderId="0" xfId="0" applyFont="1" applyAlignment="1" applyProtection="1">
      <alignment horizontal="center" vertical="center" wrapText="1"/>
    </xf>
    <xf numFmtId="0" fontId="37" fillId="16" borderId="0" xfId="0" applyFont="1" applyFill="1" applyAlignment="1" applyProtection="1">
      <alignment horizontal="center" wrapText="1"/>
    </xf>
    <xf numFmtId="0" fontId="36" fillId="16" borderId="63" xfId="0" applyFont="1" applyFill="1" applyBorder="1" applyAlignment="1" applyProtection="1">
      <alignment horizontal="center" wrapText="1"/>
    </xf>
    <xf numFmtId="0" fontId="36" fillId="16" borderId="26" xfId="0" applyFont="1" applyFill="1" applyBorder="1" applyAlignment="1" applyProtection="1">
      <alignment horizontal="center" vertical="center" wrapText="1"/>
    </xf>
    <xf numFmtId="0" fontId="36" fillId="16" borderId="9" xfId="0" applyFont="1" applyFill="1" applyBorder="1" applyAlignment="1" applyProtection="1">
      <alignment horizontal="center" vertical="center" wrapText="1"/>
    </xf>
    <xf numFmtId="0" fontId="3" fillId="0" borderId="26" xfId="0" applyFont="1" applyBorder="1" applyAlignment="1" applyProtection="1">
      <alignment horizontal="center" vertical="center" wrapText="1"/>
      <protection locked="0"/>
    </xf>
    <xf numFmtId="0" fontId="3" fillId="0" borderId="26" xfId="0" applyFont="1" applyBorder="1" applyAlignment="1" applyProtection="1">
      <alignment horizontal="center" vertical="center" wrapText="1"/>
    </xf>
    <xf numFmtId="0" fontId="36" fillId="16" borderId="27" xfId="0" applyFont="1" applyFill="1" applyBorder="1" applyAlignment="1" applyProtection="1">
      <alignment horizontal="center" wrapText="1"/>
    </xf>
    <xf numFmtId="0" fontId="36" fillId="16" borderId="28" xfId="0" applyFont="1" applyFill="1" applyBorder="1" applyAlignment="1" applyProtection="1">
      <alignment horizontal="center" wrapText="1"/>
    </xf>
    <xf numFmtId="0" fontId="17" fillId="2" borderId="0" xfId="0" applyFont="1" applyFill="1" applyBorder="1" applyAlignment="1" applyProtection="1">
      <alignment wrapText="1"/>
    </xf>
    <xf numFmtId="10" fontId="17" fillId="2" borderId="0" xfId="0" applyNumberFormat="1" applyFont="1" applyFill="1" applyAlignment="1" applyProtection="1">
      <alignment wrapText="1"/>
    </xf>
    <xf numFmtId="0" fontId="27" fillId="2" borderId="0" xfId="0" applyFont="1" applyFill="1" applyBorder="1" applyAlignment="1" applyProtection="1">
      <alignment horizontal="center" vertical="center" wrapText="1"/>
    </xf>
    <xf numFmtId="14" fontId="6" fillId="0" borderId="31" xfId="0" applyNumberFormat="1" applyFont="1" applyBorder="1" applyAlignment="1" applyProtection="1">
      <alignment horizontal="center"/>
      <protection locked="0"/>
    </xf>
    <xf numFmtId="0" fontId="10" fillId="16" borderId="7" xfId="0" applyFont="1" applyFill="1" applyBorder="1" applyAlignment="1" applyProtection="1">
      <alignment horizontal="center"/>
    </xf>
    <xf numFmtId="0" fontId="10" fillId="16" borderId="0" xfId="0" applyFont="1" applyFill="1" applyAlignment="1" applyProtection="1">
      <alignment horizontal="center"/>
    </xf>
    <xf numFmtId="0" fontId="6" fillId="0" borderId="31" xfId="0" applyFont="1" applyBorder="1" applyAlignment="1" applyProtection="1">
      <alignment horizontal="center"/>
    </xf>
    <xf numFmtId="0" fontId="6" fillId="2" borderId="36" xfId="0" applyFont="1" applyFill="1" applyBorder="1" applyAlignment="1" applyProtection="1">
      <alignment horizontal="center" wrapText="1"/>
      <protection locked="0"/>
    </xf>
    <xf numFmtId="0" fontId="6" fillId="0" borderId="51" xfId="0" applyFont="1" applyBorder="1" applyAlignment="1" applyProtection="1">
      <alignment horizontal="center"/>
      <protection locked="0"/>
    </xf>
    <xf numFmtId="0" fontId="13" fillId="16" borderId="0" xfId="0" applyFont="1" applyFill="1" applyAlignment="1" applyProtection="1">
      <alignment horizontal="center"/>
    </xf>
    <xf numFmtId="0" fontId="10" fillId="0" borderId="0" xfId="0" applyFont="1" applyAlignment="1" applyProtection="1">
      <alignment horizontal="center"/>
    </xf>
    <xf numFmtId="0" fontId="3" fillId="0" borderId="1" xfId="0" applyFont="1" applyBorder="1" applyAlignment="1" applyProtection="1">
      <alignment horizontal="center" vertical="center" wrapText="1"/>
      <protection locked="0"/>
    </xf>
    <xf numFmtId="0" fontId="3" fillId="15" borderId="1" xfId="0" applyFont="1" applyFill="1" applyBorder="1" applyAlignment="1" applyProtection="1">
      <alignment horizontal="center" vertical="center" wrapText="1"/>
      <protection locked="0"/>
    </xf>
    <xf numFmtId="0" fontId="32" fillId="0" borderId="0" xfId="0" applyFont="1" applyAlignment="1" applyProtection="1">
      <alignment wrapText="1"/>
    </xf>
    <xf numFmtId="22" fontId="10" fillId="0" borderId="0" xfId="0" applyNumberFormat="1" applyFont="1" applyProtection="1"/>
    <xf numFmtId="0" fontId="10" fillId="0" borderId="0" xfId="0" applyNumberFormat="1" applyFont="1" applyProtection="1"/>
    <xf numFmtId="14" fontId="6" fillId="0" borderId="1" xfId="0" applyNumberFormat="1" applyFont="1" applyBorder="1" applyAlignment="1" applyProtection="1">
      <alignment wrapText="1"/>
      <protection locked="0"/>
    </xf>
    <xf numFmtId="0" fontId="0" fillId="0" borderId="1" xfId="0" applyBorder="1" applyProtection="1">
      <protection locked="0"/>
    </xf>
    <xf numFmtId="0" fontId="6" fillId="2" borderId="25" xfId="0" applyFont="1" applyFill="1" applyBorder="1" applyAlignment="1" applyProtection="1">
      <alignment vertical="center" wrapText="1"/>
    </xf>
    <xf numFmtId="0" fontId="8" fillId="2" borderId="27" xfId="0" applyFont="1" applyFill="1" applyBorder="1" applyAlignment="1" applyProtection="1">
      <alignment vertical="center" wrapText="1"/>
    </xf>
    <xf numFmtId="0" fontId="6" fillId="0" borderId="29" xfId="0" applyFont="1" applyBorder="1" applyAlignment="1" applyProtection="1">
      <alignment horizontal="center" vertical="center"/>
      <protection locked="0"/>
    </xf>
    <xf numFmtId="0" fontId="17" fillId="2" borderId="0" xfId="0" applyFont="1" applyFill="1" applyAlignment="1" applyProtection="1">
      <alignment horizontal="center" vertical="center" wrapText="1"/>
    </xf>
    <xf numFmtId="0" fontId="6" fillId="4" borderId="7" xfId="0" applyFont="1" applyFill="1" applyBorder="1" applyAlignment="1" applyProtection="1">
      <alignment horizontal="center" wrapText="1"/>
      <protection locked="0"/>
    </xf>
    <xf numFmtId="0" fontId="6" fillId="2" borderId="28" xfId="0" applyFont="1" applyFill="1" applyBorder="1" applyAlignment="1" applyProtection="1">
      <alignment vertical="center" wrapText="1"/>
    </xf>
    <xf numFmtId="0" fontId="3" fillId="0" borderId="3" xfId="0" applyFont="1" applyBorder="1" applyAlignment="1">
      <alignment horizontal="center"/>
    </xf>
    <xf numFmtId="0" fontId="6" fillId="0" borderId="1" xfId="0" applyFont="1" applyBorder="1" applyAlignment="1">
      <alignment horizontal="center"/>
    </xf>
    <xf numFmtId="0" fontId="6" fillId="0" borderId="1" xfId="0" applyFont="1" applyBorder="1"/>
    <xf numFmtId="0" fontId="6" fillId="2" borderId="66" xfId="0" applyFont="1" applyFill="1" applyBorder="1" applyAlignment="1" applyProtection="1">
      <alignment horizontal="center"/>
      <protection locked="0"/>
    </xf>
    <xf numFmtId="0" fontId="6" fillId="2" borderId="31" xfId="0" applyFont="1" applyFill="1" applyBorder="1" applyAlignment="1" applyProtection="1">
      <alignment horizontal="center"/>
      <protection locked="0"/>
    </xf>
    <xf numFmtId="0" fontId="6" fillId="2" borderId="3" xfId="0" applyFont="1" applyFill="1" applyBorder="1" applyAlignment="1" applyProtection="1">
      <alignment horizontal="center" wrapText="1"/>
      <protection locked="0"/>
    </xf>
    <xf numFmtId="1" fontId="17" fillId="2" borderId="0" xfId="0" applyNumberFormat="1" applyFont="1" applyFill="1" applyAlignment="1" applyProtection="1">
      <alignment wrapText="1"/>
    </xf>
    <xf numFmtId="0" fontId="17" fillId="16" borderId="27" xfId="0" applyFont="1" applyFill="1" applyBorder="1" applyAlignment="1" applyProtection="1">
      <alignment horizontal="center" wrapText="1"/>
    </xf>
    <xf numFmtId="0" fontId="6" fillId="2" borderId="2" xfId="0" applyFont="1" applyFill="1" applyBorder="1" applyAlignment="1" applyProtection="1">
      <alignment horizontal="center" wrapText="1"/>
      <protection locked="0"/>
    </xf>
    <xf numFmtId="0" fontId="6" fillId="2" borderId="1" xfId="0" applyFont="1" applyFill="1" applyBorder="1" applyAlignment="1" applyProtection="1">
      <alignment horizontal="center" wrapText="1"/>
      <protection locked="0"/>
    </xf>
    <xf numFmtId="0" fontId="6" fillId="2" borderId="31" xfId="0" applyFont="1" applyFill="1" applyBorder="1" applyAlignment="1" applyProtection="1">
      <alignment horizontal="center" wrapText="1"/>
      <protection locked="0"/>
    </xf>
    <xf numFmtId="0" fontId="26" fillId="2" borderId="0" xfId="0" applyFont="1" applyFill="1" applyAlignment="1" applyProtection="1">
      <alignment horizontal="center" vertical="center" wrapText="1"/>
    </xf>
    <xf numFmtId="0" fontId="6" fillId="2" borderId="2" xfId="0" applyFont="1" applyFill="1" applyBorder="1" applyAlignment="1" applyProtection="1">
      <alignment horizontal="center" vertical="center" wrapText="1"/>
    </xf>
    <xf numFmtId="0" fontId="6" fillId="2" borderId="1" xfId="0" applyFont="1" applyFill="1" applyBorder="1" applyAlignment="1" applyProtection="1">
      <alignment horizontal="center" wrapText="1"/>
    </xf>
    <xf numFmtId="0" fontId="6" fillId="2" borderId="31" xfId="0" applyFont="1" applyFill="1" applyBorder="1" applyAlignment="1" applyProtection="1">
      <alignment horizontal="center" vertical="center" wrapText="1"/>
    </xf>
    <xf numFmtId="0" fontId="36" fillId="16" borderId="26" xfId="0" applyFont="1" applyFill="1" applyBorder="1" applyAlignment="1" applyProtection="1">
      <alignment horizontal="center" wrapText="1"/>
    </xf>
    <xf numFmtId="0" fontId="6" fillId="2" borderId="1" xfId="0" applyFont="1" applyFill="1" applyBorder="1" applyAlignment="1" applyProtection="1">
      <alignment horizontal="center" wrapText="1"/>
      <protection locked="0"/>
    </xf>
    <xf numFmtId="0" fontId="29" fillId="2" borderId="0" xfId="0" applyFont="1" applyFill="1" applyBorder="1" applyAlignment="1" applyProtection="1">
      <alignment horizontal="center" vertical="center" wrapText="1"/>
    </xf>
    <xf numFmtId="0" fontId="3" fillId="0" borderId="1" xfId="0" applyFont="1" applyBorder="1" applyAlignment="1" applyProtection="1">
      <alignment horizontal="center" vertical="center" wrapText="1"/>
      <protection locked="0"/>
    </xf>
    <xf numFmtId="0" fontId="6" fillId="2" borderId="1" xfId="0" applyFont="1" applyFill="1" applyBorder="1" applyAlignment="1" applyProtection="1">
      <alignment wrapText="1"/>
      <protection locked="0"/>
    </xf>
    <xf numFmtId="0" fontId="6" fillId="0" borderId="56" xfId="0" applyFont="1" applyBorder="1" applyAlignment="1" applyProtection="1">
      <alignment wrapText="1"/>
      <protection locked="0"/>
    </xf>
    <xf numFmtId="0" fontId="17" fillId="2" borderId="0" xfId="0" applyFont="1" applyFill="1" applyBorder="1" applyAlignment="1" applyProtection="1">
      <alignment horizontal="center" wrapText="1"/>
    </xf>
    <xf numFmtId="0" fontId="17" fillId="2" borderId="0" xfId="0" applyFont="1" applyFill="1" applyBorder="1" applyAlignment="1" applyProtection="1">
      <alignment vertical="center" wrapText="1"/>
    </xf>
    <xf numFmtId="10" fontId="17" fillId="2" borderId="0" xfId="0" applyNumberFormat="1" applyFont="1" applyFill="1" applyBorder="1" applyAlignment="1" applyProtection="1">
      <alignment wrapText="1"/>
    </xf>
    <xf numFmtId="0" fontId="10" fillId="0" borderId="0" xfId="0" applyFont="1" applyAlignment="1" applyProtection="1">
      <alignment horizontal="center"/>
    </xf>
    <xf numFmtId="0" fontId="8" fillId="0" borderId="51" xfId="0" applyFont="1" applyBorder="1" applyAlignment="1" applyProtection="1">
      <alignment horizontal="center"/>
      <protection locked="0"/>
    </xf>
    <xf numFmtId="0" fontId="9" fillId="3" borderId="27" xfId="0" applyFont="1" applyFill="1" applyBorder="1" applyAlignment="1" applyProtection="1">
      <alignment horizontal="center" wrapText="1"/>
    </xf>
    <xf numFmtId="0" fontId="10" fillId="0" borderId="0" xfId="0" applyFont="1" applyAlignment="1">
      <alignment vertical="top"/>
    </xf>
    <xf numFmtId="0" fontId="10" fillId="0" borderId="0" xfId="0" applyFont="1" applyAlignment="1">
      <alignment vertical="center"/>
    </xf>
    <xf numFmtId="0" fontId="15" fillId="0" borderId="0" xfId="0" applyFont="1" applyAlignment="1" applyProtection="1">
      <alignment horizontal="center"/>
    </xf>
    <xf numFmtId="0" fontId="6" fillId="0" borderId="1" xfId="0" applyFont="1" applyBorder="1" applyAlignment="1">
      <alignment horizontal="center" vertical="center" wrapText="1"/>
    </xf>
    <xf numFmtId="0" fontId="6" fillId="0" borderId="31" xfId="0" applyFont="1" applyBorder="1" applyAlignment="1">
      <alignment horizontal="center" vertical="center" wrapText="1"/>
    </xf>
    <xf numFmtId="0" fontId="6" fillId="0" borderId="29" xfId="0" applyFont="1" applyBorder="1" applyAlignment="1">
      <alignment horizontal="center" vertical="center" wrapText="1"/>
    </xf>
    <xf numFmtId="0" fontId="6" fillId="0" borderId="32" xfId="0" applyFont="1" applyBorder="1" applyAlignment="1">
      <alignment horizontal="center" vertical="center" wrapText="1"/>
    </xf>
    <xf numFmtId="0" fontId="6" fillId="0" borderId="0" xfId="0" applyFont="1" applyAlignment="1" applyProtection="1">
      <alignment vertical="center" wrapText="1"/>
      <protection locked="0"/>
    </xf>
    <xf numFmtId="0" fontId="6" fillId="0" borderId="0" xfId="0" applyFont="1" applyAlignment="1" applyProtection="1">
      <alignment horizontal="center" vertical="center" wrapText="1"/>
      <protection locked="0"/>
    </xf>
    <xf numFmtId="0" fontId="47" fillId="0" borderId="0" xfId="0" applyFont="1" applyAlignment="1" applyProtection="1">
      <alignment vertical="center" wrapText="1"/>
    </xf>
    <xf numFmtId="0" fontId="47" fillId="0" borderId="0" xfId="0" applyFont="1" applyAlignment="1" applyProtection="1">
      <alignment horizontal="center" vertical="center" wrapText="1"/>
    </xf>
    <xf numFmtId="0" fontId="6" fillId="2" borderId="0" xfId="0" applyFont="1" applyFill="1" applyAlignment="1">
      <alignment wrapText="1"/>
    </xf>
    <xf numFmtId="0" fontId="17" fillId="2" borderId="0" xfId="0" applyFont="1" applyFill="1" applyAlignment="1">
      <alignment horizontal="center" wrapText="1"/>
    </xf>
    <xf numFmtId="0" fontId="6" fillId="0" borderId="29" xfId="0" applyFont="1" applyBorder="1" applyAlignment="1" applyProtection="1">
      <alignment horizontal="center" vertical="center" wrapText="1"/>
      <protection locked="0"/>
    </xf>
    <xf numFmtId="0" fontId="6" fillId="2" borderId="29" xfId="0" applyFont="1" applyFill="1" applyBorder="1" applyAlignment="1" applyProtection="1">
      <alignment horizontal="center" wrapText="1"/>
      <protection locked="0"/>
    </xf>
    <xf numFmtId="0" fontId="6" fillId="2" borderId="1" xfId="0" applyFont="1" applyFill="1" applyBorder="1" applyAlignment="1" applyProtection="1">
      <alignment horizontal="center" wrapText="1"/>
      <protection locked="0"/>
    </xf>
    <xf numFmtId="0" fontId="6" fillId="2" borderId="26" xfId="0" applyFont="1" applyFill="1" applyBorder="1" applyAlignment="1" applyProtection="1">
      <alignment horizontal="center" wrapText="1"/>
      <protection locked="0"/>
    </xf>
    <xf numFmtId="0" fontId="6" fillId="2" borderId="1" xfId="0" applyFont="1" applyFill="1" applyBorder="1" applyAlignment="1" applyProtection="1">
      <alignment horizontal="center" vertical="center" wrapText="1"/>
      <protection locked="0"/>
    </xf>
    <xf numFmtId="0" fontId="6" fillId="4" borderId="38" xfId="0" applyFont="1" applyFill="1" applyBorder="1" applyAlignment="1" applyProtection="1">
      <alignment horizontal="center" wrapText="1"/>
    </xf>
    <xf numFmtId="0" fontId="6" fillId="0" borderId="1" xfId="0" applyFont="1" applyBorder="1" applyAlignment="1" applyProtection="1">
      <alignment horizontal="center" wrapText="1"/>
      <protection locked="0"/>
    </xf>
    <xf numFmtId="0" fontId="6" fillId="0" borderId="0" xfId="0" applyFont="1" applyBorder="1" applyAlignment="1" applyProtection="1">
      <alignment wrapText="1"/>
      <protection locked="0"/>
    </xf>
    <xf numFmtId="0" fontId="25" fillId="2" borderId="31" xfId="0" applyFont="1" applyFill="1" applyBorder="1" applyAlignment="1" applyProtection="1">
      <alignment horizontal="center" vertical="center" wrapText="1"/>
    </xf>
    <xf numFmtId="0" fontId="26" fillId="2" borderId="46" xfId="0" applyFont="1" applyFill="1" applyBorder="1" applyAlignment="1">
      <alignment horizontal="center" vertical="center" wrapText="1"/>
    </xf>
    <xf numFmtId="0" fontId="26" fillId="2" borderId="47" xfId="0" applyFont="1" applyFill="1" applyBorder="1" applyAlignment="1">
      <alignment horizontal="center" vertical="center" wrapText="1"/>
    </xf>
    <xf numFmtId="0" fontId="26" fillId="2" borderId="68" xfId="0" applyFont="1" applyFill="1" applyBorder="1" applyAlignment="1">
      <alignment horizontal="center" vertical="center" wrapText="1"/>
    </xf>
    <xf numFmtId="0" fontId="22" fillId="12" borderId="26" xfId="0" applyFont="1" applyFill="1" applyBorder="1" applyAlignment="1">
      <alignment horizontal="center" vertical="center" wrapText="1"/>
    </xf>
    <xf numFmtId="0" fontId="22" fillId="12" borderId="1" xfId="0" applyFont="1" applyFill="1" applyBorder="1" applyAlignment="1">
      <alignment horizontal="center" vertical="center" wrapText="1"/>
    </xf>
    <xf numFmtId="0" fontId="0" fillId="0" borderId="46" xfId="0" applyBorder="1" applyAlignment="1">
      <alignment horizontal="center"/>
    </xf>
    <xf numFmtId="0" fontId="0" fillId="0" borderId="47" xfId="0" applyBorder="1" applyAlignment="1">
      <alignment horizontal="center"/>
    </xf>
    <xf numFmtId="0" fontId="0" fillId="0" borderId="68" xfId="0" applyBorder="1" applyAlignment="1">
      <alignment horizontal="center"/>
    </xf>
    <xf numFmtId="0" fontId="26" fillId="2" borderId="8" xfId="0" applyFont="1" applyFill="1" applyBorder="1" applyAlignment="1">
      <alignment horizontal="center" vertical="center" wrapText="1"/>
    </xf>
    <xf numFmtId="0" fontId="26" fillId="2" borderId="9" xfId="0" applyFont="1" applyFill="1" applyBorder="1" applyAlignment="1">
      <alignment horizontal="center" vertical="center" wrapText="1"/>
    </xf>
    <xf numFmtId="0" fontId="26" fillId="2" borderId="10" xfId="0" applyFont="1" applyFill="1" applyBorder="1" applyAlignment="1">
      <alignment horizontal="center" vertical="center" wrapText="1"/>
    </xf>
    <xf numFmtId="0" fontId="26" fillId="2" borderId="13" xfId="0" applyFont="1" applyFill="1" applyBorder="1" applyAlignment="1">
      <alignment horizontal="center" vertical="center" wrapText="1"/>
    </xf>
    <xf numFmtId="0" fontId="26" fillId="2" borderId="14" xfId="0" applyFont="1" applyFill="1" applyBorder="1" applyAlignment="1">
      <alignment horizontal="center" vertical="center" wrapText="1"/>
    </xf>
    <xf numFmtId="0" fontId="26" fillId="2" borderId="15" xfId="0" applyFont="1" applyFill="1" applyBorder="1" applyAlignment="1">
      <alignment horizontal="center" vertical="center" wrapText="1"/>
    </xf>
    <xf numFmtId="0" fontId="9" fillId="2" borderId="16" xfId="0" applyFont="1" applyFill="1" applyBorder="1" applyAlignment="1">
      <alignment horizontal="center" wrapText="1"/>
    </xf>
    <xf numFmtId="0" fontId="9" fillId="2" borderId="37" xfId="0" applyFont="1" applyFill="1" applyBorder="1" applyAlignment="1">
      <alignment horizontal="center" wrapText="1"/>
    </xf>
    <xf numFmtId="0" fontId="9" fillId="2" borderId="17" xfId="0" applyFont="1" applyFill="1" applyBorder="1" applyAlignment="1">
      <alignment horizontal="center" wrapText="1"/>
    </xf>
    <xf numFmtId="0" fontId="6" fillId="2" borderId="34" xfId="0" applyFont="1" applyFill="1" applyBorder="1" applyAlignment="1">
      <alignment horizontal="center" wrapText="1"/>
    </xf>
    <xf numFmtId="0" fontId="6" fillId="2" borderId="44" xfId="0" applyFont="1" applyFill="1" applyBorder="1" applyAlignment="1">
      <alignment horizontal="center" wrapText="1"/>
    </xf>
    <xf numFmtId="0" fontId="6" fillId="2" borderId="45" xfId="0" applyFont="1" applyFill="1" applyBorder="1" applyAlignment="1">
      <alignment horizontal="center" wrapText="1"/>
    </xf>
    <xf numFmtId="0" fontId="22" fillId="12" borderId="25" xfId="0" applyFont="1" applyFill="1" applyBorder="1" applyAlignment="1">
      <alignment horizontal="center" vertical="center" wrapText="1"/>
    </xf>
    <xf numFmtId="0" fontId="22" fillId="12" borderId="27" xfId="0" applyFont="1" applyFill="1" applyBorder="1" applyAlignment="1">
      <alignment horizontal="center" vertical="center" wrapText="1"/>
    </xf>
    <xf numFmtId="0" fontId="6" fillId="0" borderId="0" xfId="0" applyFont="1" applyAlignment="1">
      <alignment horizontal="center" wrapText="1"/>
    </xf>
    <xf numFmtId="0" fontId="6" fillId="0" borderId="54" xfId="0" applyFont="1" applyBorder="1" applyAlignment="1">
      <alignment horizontal="center" vertical="center"/>
    </xf>
    <xf numFmtId="0" fontId="6" fillId="0" borderId="24" xfId="0" applyFont="1" applyBorder="1" applyAlignment="1">
      <alignment horizontal="center" vertical="center"/>
    </xf>
    <xf numFmtId="0" fontId="6" fillId="0" borderId="55" xfId="0" applyFont="1" applyBorder="1" applyAlignment="1">
      <alignment horizontal="center" vertical="center"/>
    </xf>
    <xf numFmtId="0" fontId="6" fillId="0" borderId="25" xfId="0" applyFont="1" applyBorder="1" applyAlignment="1">
      <alignment horizontal="center" wrapText="1"/>
    </xf>
    <xf numFmtId="0" fontId="6" fillId="0" borderId="26" xfId="0" applyFont="1" applyBorder="1" applyAlignment="1">
      <alignment horizontal="center" wrapText="1"/>
    </xf>
    <xf numFmtId="0" fontId="6" fillId="0" borderId="30" xfId="0" applyFont="1" applyBorder="1" applyAlignment="1">
      <alignment horizontal="center" wrapText="1"/>
    </xf>
    <xf numFmtId="0" fontId="6" fillId="0" borderId="36" xfId="0" applyFont="1" applyBorder="1" applyAlignment="1">
      <alignment horizontal="center" wrapText="1"/>
    </xf>
    <xf numFmtId="0" fontId="6" fillId="0" borderId="3" xfId="0" applyFont="1" applyBorder="1" applyAlignment="1">
      <alignment horizontal="center" wrapText="1"/>
    </xf>
    <xf numFmtId="0" fontId="6" fillId="0" borderId="51" xfId="0" applyFont="1" applyBorder="1" applyAlignment="1">
      <alignment horizontal="center" wrapText="1"/>
    </xf>
    <xf numFmtId="0" fontId="6" fillId="0" borderId="52" xfId="0" applyFont="1" applyBorder="1" applyAlignment="1">
      <alignment horizontal="center" wrapText="1"/>
    </xf>
    <xf numFmtId="0" fontId="6" fillId="0" borderId="20" xfId="0" applyFont="1" applyBorder="1" applyAlignment="1">
      <alignment horizontal="center" wrapText="1"/>
    </xf>
    <xf numFmtId="0" fontId="6" fillId="0" borderId="39" xfId="0" applyFont="1" applyBorder="1" applyAlignment="1">
      <alignment horizontal="center" wrapText="1"/>
    </xf>
    <xf numFmtId="0" fontId="6" fillId="0" borderId="25" xfId="0" applyFont="1" applyBorder="1" applyAlignment="1">
      <alignment horizontal="center" vertical="center" wrapText="1"/>
    </xf>
    <xf numFmtId="0" fontId="6" fillId="0" borderId="26" xfId="0" applyFont="1" applyBorder="1" applyAlignment="1">
      <alignment horizontal="center" vertical="center" wrapText="1"/>
    </xf>
    <xf numFmtId="0" fontId="6" fillId="0" borderId="30" xfId="0" applyFont="1" applyBorder="1" applyAlignment="1">
      <alignment horizontal="center" vertical="center" wrapText="1"/>
    </xf>
    <xf numFmtId="0" fontId="6" fillId="0" borderId="27" xfId="0" applyFont="1" applyBorder="1" applyAlignment="1">
      <alignment horizontal="center" vertical="center" wrapText="1"/>
    </xf>
    <xf numFmtId="0" fontId="6" fillId="0" borderId="1" xfId="0" applyFont="1" applyBorder="1" applyAlignment="1">
      <alignment horizontal="center" vertical="center" wrapText="1"/>
    </xf>
    <xf numFmtId="0" fontId="6" fillId="0" borderId="31" xfId="0" applyFont="1" applyBorder="1" applyAlignment="1">
      <alignment horizontal="center" vertical="center" wrapText="1"/>
    </xf>
    <xf numFmtId="0" fontId="6" fillId="0" borderId="28" xfId="0" applyFont="1" applyBorder="1" applyAlignment="1">
      <alignment horizontal="center" vertical="center" wrapText="1"/>
    </xf>
    <xf numFmtId="0" fontId="6" fillId="0" borderId="29" xfId="0" applyFont="1" applyBorder="1" applyAlignment="1">
      <alignment horizontal="center" vertical="center" wrapText="1"/>
    </xf>
    <xf numFmtId="0" fontId="6" fillId="0" borderId="32" xfId="0" applyFont="1" applyBorder="1" applyAlignment="1">
      <alignment horizontal="center" vertical="center" wrapText="1"/>
    </xf>
    <xf numFmtId="0" fontId="6" fillId="0" borderId="46" xfId="0" applyFont="1" applyBorder="1" applyAlignment="1">
      <alignment horizontal="center" wrapText="1"/>
    </xf>
    <xf numFmtId="0" fontId="6" fillId="0" borderId="47" xfId="0" applyFont="1" applyBorder="1" applyAlignment="1">
      <alignment horizontal="center" wrapText="1"/>
    </xf>
    <xf numFmtId="0" fontId="6" fillId="0" borderId="68" xfId="0" applyFont="1" applyBorder="1" applyAlignment="1">
      <alignment horizontal="center" wrapText="1"/>
    </xf>
    <xf numFmtId="0" fontId="6" fillId="0" borderId="13" xfId="0" applyFont="1" applyBorder="1" applyAlignment="1">
      <alignment horizontal="center" wrapText="1"/>
    </xf>
    <xf numFmtId="0" fontId="6" fillId="0" borderId="14" xfId="0" applyFont="1" applyBorder="1" applyAlignment="1">
      <alignment horizontal="center" wrapText="1"/>
    </xf>
    <xf numFmtId="0" fontId="6" fillId="0" borderId="15" xfId="0" applyFont="1" applyBorder="1" applyAlignment="1">
      <alignment horizontal="center" wrapText="1"/>
    </xf>
    <xf numFmtId="0" fontId="6" fillId="0" borderId="11" xfId="0" applyFont="1" applyBorder="1" applyAlignment="1">
      <alignment horizontal="center"/>
    </xf>
    <xf numFmtId="0" fontId="6" fillId="0" borderId="0" xfId="0" applyFont="1" applyBorder="1" applyAlignment="1">
      <alignment horizontal="center"/>
    </xf>
    <xf numFmtId="0" fontId="6" fillId="0" borderId="12" xfId="0" applyFont="1" applyBorder="1" applyAlignment="1">
      <alignment horizontal="center"/>
    </xf>
    <xf numFmtId="0" fontId="6" fillId="0" borderId="11" xfId="0" applyFont="1" applyBorder="1" applyAlignment="1">
      <alignment horizontal="center" wrapText="1"/>
    </xf>
    <xf numFmtId="0" fontId="6" fillId="0" borderId="0" xfId="0" applyFont="1" applyBorder="1" applyAlignment="1">
      <alignment horizontal="center" wrapText="1"/>
    </xf>
    <xf numFmtId="0" fontId="6" fillId="0" borderId="12" xfId="0" applyFont="1" applyBorder="1" applyAlignment="1">
      <alignment horizontal="center" wrapText="1"/>
    </xf>
    <xf numFmtId="0" fontId="13" fillId="16" borderId="0" xfId="0" applyFont="1" applyFill="1" applyAlignment="1">
      <alignment horizontal="center"/>
    </xf>
    <xf numFmtId="0" fontId="6" fillId="0" borderId="45" xfId="0" applyFont="1" applyBorder="1" applyAlignment="1">
      <alignment horizontal="center" vertical="center" wrapText="1"/>
    </xf>
    <xf numFmtId="0" fontId="6" fillId="0" borderId="49" xfId="0" applyFont="1" applyBorder="1" applyAlignment="1">
      <alignment horizontal="center" vertical="center" wrapText="1"/>
    </xf>
    <xf numFmtId="0" fontId="6" fillId="15" borderId="45" xfId="0" applyFont="1" applyFill="1" applyBorder="1" applyAlignment="1">
      <alignment horizontal="center" vertical="center" wrapText="1"/>
    </xf>
    <xf numFmtId="0" fontId="6" fillId="15" borderId="43" xfId="0" applyFont="1" applyFill="1" applyBorder="1" applyAlignment="1">
      <alignment horizontal="center" vertical="center" wrapText="1"/>
    </xf>
    <xf numFmtId="0" fontId="6" fillId="15" borderId="49" xfId="0" applyFont="1" applyFill="1" applyBorder="1" applyAlignment="1">
      <alignment horizontal="center" vertical="center" wrapText="1"/>
    </xf>
    <xf numFmtId="0" fontId="6" fillId="0" borderId="43" xfId="0" applyFont="1" applyBorder="1" applyAlignment="1">
      <alignment horizontal="center" vertical="center" wrapText="1"/>
    </xf>
    <xf numFmtId="0" fontId="6" fillId="0" borderId="46" xfId="0" applyFont="1" applyBorder="1" applyAlignment="1">
      <alignment horizontal="center" vertical="center"/>
    </xf>
    <xf numFmtId="0" fontId="6" fillId="0" borderId="47" xfId="0" applyFont="1" applyBorder="1" applyAlignment="1">
      <alignment horizontal="center" vertical="center"/>
    </xf>
    <xf numFmtId="0" fontId="6" fillId="0" borderId="68" xfId="0" applyFont="1" applyBorder="1" applyAlignment="1">
      <alignment horizontal="center" vertical="center"/>
    </xf>
    <xf numFmtId="0" fontId="6" fillId="0" borderId="46" xfId="0" applyFont="1" applyBorder="1" applyAlignment="1">
      <alignment horizontal="center" vertical="center" wrapText="1"/>
    </xf>
    <xf numFmtId="0" fontId="6" fillId="0" borderId="47" xfId="0" applyFont="1" applyBorder="1" applyAlignment="1">
      <alignment horizontal="center" vertical="center" wrapText="1"/>
    </xf>
    <xf numFmtId="0" fontId="6" fillId="0" borderId="68" xfId="0" applyFont="1" applyBorder="1" applyAlignment="1">
      <alignment horizontal="center" vertical="center" wrapText="1"/>
    </xf>
    <xf numFmtId="0" fontId="26" fillId="0" borderId="8" xfId="0" applyFont="1" applyBorder="1" applyAlignment="1">
      <alignment horizontal="center" vertical="center" wrapText="1"/>
    </xf>
    <xf numFmtId="0" fontId="26" fillId="0" borderId="9" xfId="0" applyFont="1" applyBorder="1" applyAlignment="1">
      <alignment horizontal="center" vertical="center" wrapText="1"/>
    </xf>
    <xf numFmtId="0" fontId="26" fillId="0" borderId="10" xfId="0" applyFont="1" applyBorder="1" applyAlignment="1">
      <alignment horizontal="center" vertical="center" wrapText="1"/>
    </xf>
    <xf numFmtId="0" fontId="26" fillId="0" borderId="11" xfId="0" applyFont="1" applyBorder="1" applyAlignment="1">
      <alignment horizontal="center" vertical="center" wrapText="1"/>
    </xf>
    <xf numFmtId="0" fontId="26" fillId="0" borderId="0" xfId="0" applyFont="1" applyBorder="1" applyAlignment="1">
      <alignment horizontal="center" vertical="center" wrapText="1"/>
    </xf>
    <xf numFmtId="0" fontId="26" fillId="0" borderId="12" xfId="0" applyFont="1" applyBorder="1" applyAlignment="1">
      <alignment horizontal="center" vertical="center" wrapText="1"/>
    </xf>
    <xf numFmtId="0" fontId="26" fillId="0" borderId="13" xfId="0" applyFont="1" applyBorder="1" applyAlignment="1">
      <alignment horizontal="center" vertical="center" wrapText="1"/>
    </xf>
    <xf numFmtId="0" fontId="26" fillId="0" borderId="14" xfId="0" applyFont="1" applyBorder="1" applyAlignment="1">
      <alignment horizontal="center" vertical="center" wrapText="1"/>
    </xf>
    <xf numFmtId="0" fontId="26" fillId="0" borderId="15" xfId="0" applyFont="1" applyBorder="1" applyAlignment="1">
      <alignment horizontal="center" vertical="center" wrapText="1"/>
    </xf>
    <xf numFmtId="0" fontId="6" fillId="0" borderId="18" xfId="0" applyFont="1" applyBorder="1" applyAlignment="1">
      <alignment horizontal="center" vertical="center"/>
    </xf>
    <xf numFmtId="0" fontId="6" fillId="0" borderId="19" xfId="0" applyFont="1" applyBorder="1" applyAlignment="1">
      <alignment horizontal="center" vertical="center"/>
    </xf>
    <xf numFmtId="0" fontId="10" fillId="16" borderId="9" xfId="0" applyFont="1" applyFill="1" applyBorder="1" applyAlignment="1">
      <alignment horizontal="center" vertical="center"/>
    </xf>
    <xf numFmtId="0" fontId="10" fillId="16" borderId="10" xfId="0" applyFont="1" applyFill="1" applyBorder="1" applyAlignment="1">
      <alignment horizontal="center" vertical="center"/>
    </xf>
    <xf numFmtId="0" fontId="6" fillId="2" borderId="35" xfId="0" applyFont="1" applyFill="1" applyBorder="1" applyAlignment="1">
      <alignment horizontal="center" vertical="center" wrapText="1"/>
    </xf>
    <xf numFmtId="0" fontId="6" fillId="2" borderId="48" xfId="0" applyFont="1" applyFill="1" applyBorder="1" applyAlignment="1">
      <alignment horizontal="center" vertical="center" wrapText="1"/>
    </xf>
    <xf numFmtId="0" fontId="6" fillId="2" borderId="49" xfId="0" applyFont="1" applyFill="1" applyBorder="1" applyAlignment="1">
      <alignment horizontal="center" vertical="center" wrapText="1"/>
    </xf>
    <xf numFmtId="0" fontId="6" fillId="2" borderId="46" xfId="0" applyFont="1" applyFill="1" applyBorder="1" applyAlignment="1">
      <alignment horizontal="center" wrapText="1"/>
    </xf>
    <xf numFmtId="0" fontId="6" fillId="2" borderId="47" xfId="0" applyFont="1" applyFill="1" applyBorder="1" applyAlignment="1">
      <alignment horizontal="center" wrapText="1"/>
    </xf>
    <xf numFmtId="0" fontId="6" fillId="2" borderId="68" xfId="0" applyFont="1" applyFill="1" applyBorder="1" applyAlignment="1">
      <alignment horizontal="center" wrapText="1"/>
    </xf>
    <xf numFmtId="0" fontId="22" fillId="12" borderId="30" xfId="0" applyFont="1" applyFill="1" applyBorder="1" applyAlignment="1">
      <alignment horizontal="center" vertical="center" wrapText="1"/>
    </xf>
    <xf numFmtId="0" fontId="10" fillId="16" borderId="8" xfId="0" applyFont="1" applyFill="1" applyBorder="1" applyAlignment="1">
      <alignment horizontal="center" vertical="center"/>
    </xf>
    <xf numFmtId="0" fontId="13" fillId="16" borderId="0" xfId="0" applyFont="1" applyFill="1" applyAlignment="1" applyProtection="1">
      <alignment horizontal="center"/>
    </xf>
    <xf numFmtId="0" fontId="10" fillId="16" borderId="16" xfId="0" applyFont="1" applyFill="1" applyBorder="1" applyAlignment="1" applyProtection="1">
      <alignment horizontal="center"/>
    </xf>
    <xf numFmtId="0" fontId="10" fillId="16" borderId="17" xfId="0" applyFont="1" applyFill="1" applyBorder="1" applyAlignment="1" applyProtection="1">
      <alignment horizontal="center"/>
    </xf>
    <xf numFmtId="0" fontId="17" fillId="16" borderId="8" xfId="0" applyFont="1" applyFill="1" applyBorder="1" applyAlignment="1" applyProtection="1">
      <alignment horizontal="center"/>
    </xf>
    <xf numFmtId="0" fontId="17" fillId="16" borderId="10" xfId="0" applyFont="1" applyFill="1" applyBorder="1" applyAlignment="1" applyProtection="1">
      <alignment horizontal="center"/>
    </xf>
    <xf numFmtId="0" fontId="21" fillId="4" borderId="0" xfId="2" applyFont="1" applyFill="1" applyBorder="1" applyAlignment="1" applyProtection="1">
      <alignment horizontal="center" vertical="center" wrapText="1"/>
    </xf>
    <xf numFmtId="0" fontId="17" fillId="16" borderId="16" xfId="0" applyFont="1" applyFill="1" applyBorder="1" applyAlignment="1" applyProtection="1">
      <alignment horizontal="center" wrapText="1"/>
    </xf>
    <xf numFmtId="0" fontId="17" fillId="16" borderId="17" xfId="0" applyFont="1" applyFill="1" applyBorder="1" applyAlignment="1" applyProtection="1">
      <alignment horizontal="center" wrapText="1"/>
    </xf>
    <xf numFmtId="0" fontId="10" fillId="16" borderId="13" xfId="0" applyFont="1" applyFill="1" applyBorder="1" applyAlignment="1" applyProtection="1">
      <alignment horizontal="center"/>
    </xf>
    <xf numFmtId="0" fontId="10" fillId="16" borderId="15" xfId="0" applyFont="1" applyFill="1" applyBorder="1" applyAlignment="1" applyProtection="1">
      <alignment horizontal="center"/>
    </xf>
    <xf numFmtId="0" fontId="10" fillId="16" borderId="46" xfId="0" applyFont="1" applyFill="1" applyBorder="1" applyAlignment="1" applyProtection="1">
      <alignment horizontal="center"/>
    </xf>
    <xf numFmtId="0" fontId="10" fillId="16" borderId="68" xfId="0" applyFont="1" applyFill="1" applyBorder="1" applyAlignment="1" applyProtection="1">
      <alignment horizontal="center"/>
    </xf>
    <xf numFmtId="0" fontId="10" fillId="0" borderId="0" xfId="0" applyFont="1" applyAlignment="1" applyProtection="1">
      <alignment horizontal="center"/>
    </xf>
    <xf numFmtId="0" fontId="3" fillId="0" borderId="29" xfId="0" applyFont="1" applyBorder="1" applyAlignment="1" applyProtection="1">
      <alignment horizontal="center" vertical="center" wrapText="1"/>
      <protection locked="0"/>
    </xf>
    <xf numFmtId="0" fontId="3" fillId="0" borderId="32" xfId="0" applyFont="1" applyBorder="1" applyAlignment="1" applyProtection="1">
      <alignment horizontal="center" vertical="center" wrapText="1"/>
      <protection locked="0"/>
    </xf>
    <xf numFmtId="0" fontId="36" fillId="16" borderId="44" xfId="0" applyFont="1" applyFill="1" applyBorder="1" applyAlignment="1" applyProtection="1">
      <alignment horizontal="center" vertical="center" wrapText="1"/>
    </xf>
    <xf numFmtId="0" fontId="36" fillId="16" borderId="45" xfId="0" applyFont="1" applyFill="1" applyBorder="1" applyAlignment="1" applyProtection="1">
      <alignment horizontal="center" vertical="center" wrapText="1"/>
    </xf>
    <xf numFmtId="0" fontId="40" fillId="0" borderId="18" xfId="0" applyFont="1" applyBorder="1" applyAlignment="1" applyProtection="1">
      <alignment horizontal="center" vertical="center" wrapText="1"/>
    </xf>
    <xf numFmtId="0" fontId="40" fillId="0" borderId="19" xfId="0" applyFont="1" applyBorder="1" applyAlignment="1" applyProtection="1">
      <alignment horizontal="center" vertical="center" wrapText="1"/>
    </xf>
    <xf numFmtId="0" fontId="3" fillId="15" borderId="1" xfId="0" quotePrefix="1" applyFont="1" applyFill="1" applyBorder="1" applyAlignment="1" applyProtection="1">
      <alignment horizontal="center" vertical="center" wrapText="1"/>
    </xf>
    <xf numFmtId="0" fontId="3" fillId="15" borderId="1" xfId="0" applyFont="1" applyFill="1" applyBorder="1" applyAlignment="1" applyProtection="1">
      <alignment horizontal="center" vertical="center" wrapText="1"/>
    </xf>
    <xf numFmtId="0" fontId="45" fillId="15" borderId="1" xfId="0" applyFont="1" applyFill="1" applyBorder="1" applyAlignment="1" applyProtection="1">
      <alignment horizontal="center" vertical="center" wrapText="1"/>
    </xf>
    <xf numFmtId="0" fontId="3" fillId="15" borderId="1" xfId="0" applyFont="1" applyFill="1" applyBorder="1" applyAlignment="1" applyProtection="1">
      <alignment horizontal="center" vertical="center" wrapText="1"/>
      <protection locked="0"/>
    </xf>
    <xf numFmtId="0" fontId="3" fillId="0" borderId="1" xfId="0" applyFont="1" applyBorder="1" applyAlignment="1" applyProtection="1">
      <alignment horizontal="center" vertical="center" wrapText="1"/>
      <protection locked="0"/>
    </xf>
    <xf numFmtId="0" fontId="3" fillId="0" borderId="1" xfId="0" applyFont="1" applyBorder="1" applyAlignment="1" applyProtection="1">
      <alignment horizontal="center" vertical="center" wrapText="1"/>
    </xf>
    <xf numFmtId="0" fontId="3" fillId="0" borderId="31" xfId="0" applyFont="1" applyBorder="1" applyAlignment="1" applyProtection="1">
      <alignment horizontal="center" vertical="center" wrapText="1"/>
    </xf>
    <xf numFmtId="0" fontId="39" fillId="0" borderId="18" xfId="0" applyFont="1" applyBorder="1" applyAlignment="1" applyProtection="1">
      <alignment horizontal="center" vertical="center" wrapText="1"/>
    </xf>
    <xf numFmtId="0" fontId="39" fillId="0" borderId="62" xfId="0" applyFont="1" applyBorder="1" applyAlignment="1" applyProtection="1">
      <alignment horizontal="center" vertical="center" wrapText="1"/>
    </xf>
    <xf numFmtId="0" fontId="39" fillId="0" borderId="19" xfId="0" applyFont="1" applyBorder="1" applyAlignment="1" applyProtection="1">
      <alignment horizontal="center" vertical="center" wrapText="1"/>
    </xf>
    <xf numFmtId="0" fontId="37" fillId="16" borderId="16" xfId="0" applyFont="1" applyFill="1" applyBorder="1" applyAlignment="1" applyProtection="1">
      <alignment horizontal="center" wrapText="1"/>
    </xf>
    <xf numFmtId="0" fontId="37" fillId="16" borderId="37" xfId="0" applyFont="1" applyFill="1" applyBorder="1" applyAlignment="1" applyProtection="1">
      <alignment horizontal="center" wrapText="1"/>
    </xf>
    <xf numFmtId="0" fontId="37" fillId="16" borderId="17" xfId="0" applyFont="1" applyFill="1" applyBorder="1" applyAlignment="1" applyProtection="1">
      <alignment horizontal="center" wrapText="1"/>
    </xf>
    <xf numFmtId="0" fontId="36" fillId="16" borderId="26" xfId="0" applyFont="1" applyFill="1" applyBorder="1" applyAlignment="1" applyProtection="1">
      <alignment horizontal="center" wrapText="1"/>
    </xf>
    <xf numFmtId="0" fontId="36" fillId="16" borderId="30" xfId="0" applyFont="1" applyFill="1" applyBorder="1" applyAlignment="1" applyProtection="1">
      <alignment horizontal="center" wrapText="1"/>
    </xf>
    <xf numFmtId="0" fontId="44" fillId="15" borderId="1" xfId="0" applyFont="1" applyFill="1" applyBorder="1" applyAlignment="1" applyProtection="1">
      <alignment horizontal="center" vertical="center" wrapText="1"/>
    </xf>
    <xf numFmtId="0" fontId="3" fillId="0" borderId="26" xfId="0" applyFont="1" applyBorder="1" applyAlignment="1" applyProtection="1">
      <alignment horizontal="center" vertical="center" wrapText="1"/>
      <protection locked="0"/>
    </xf>
    <xf numFmtId="0" fontId="3" fillId="0" borderId="30" xfId="0" applyFont="1" applyBorder="1" applyAlignment="1" applyProtection="1">
      <alignment horizontal="center" vertical="center" wrapText="1"/>
      <protection locked="0"/>
    </xf>
    <xf numFmtId="0" fontId="3" fillId="0" borderId="31" xfId="0" applyFont="1" applyBorder="1" applyAlignment="1" applyProtection="1">
      <alignment horizontal="center" vertical="center" wrapText="1"/>
      <protection locked="0"/>
    </xf>
    <xf numFmtId="0" fontId="3" fillId="0" borderId="29" xfId="0" applyFont="1" applyBorder="1" applyAlignment="1" applyProtection="1">
      <alignment horizontal="center" vertical="center" wrapText="1"/>
    </xf>
    <xf numFmtId="0" fontId="3" fillId="0" borderId="32" xfId="0" applyFont="1" applyBorder="1" applyAlignment="1" applyProtection="1">
      <alignment horizontal="center" vertical="center" wrapText="1"/>
    </xf>
    <xf numFmtId="0" fontId="31" fillId="0" borderId="0" xfId="0" applyFont="1" applyAlignment="1">
      <alignment horizontal="center" wrapText="1"/>
    </xf>
    <xf numFmtId="0" fontId="27" fillId="16" borderId="16" xfId="0" applyFont="1" applyFill="1" applyBorder="1" applyAlignment="1">
      <alignment horizontal="center" wrapText="1"/>
    </xf>
    <xf numFmtId="0" fontId="27" fillId="16" borderId="37" xfId="0" applyFont="1" applyFill="1" applyBorder="1" applyAlignment="1">
      <alignment horizontal="center" wrapText="1"/>
    </xf>
    <xf numFmtId="0" fontId="27" fillId="16" borderId="17" xfId="0" applyFont="1" applyFill="1" applyBorder="1" applyAlignment="1">
      <alignment horizontal="center" wrapText="1"/>
    </xf>
    <xf numFmtId="0" fontId="27" fillId="16" borderId="0" xfId="0" applyFont="1" applyFill="1" applyAlignment="1" applyProtection="1">
      <alignment horizontal="center" wrapText="1"/>
    </xf>
    <xf numFmtId="0" fontId="27" fillId="16" borderId="58" xfId="0" applyFont="1" applyFill="1" applyBorder="1" applyAlignment="1" applyProtection="1">
      <alignment horizontal="center" vertical="center" wrapText="1"/>
    </xf>
    <xf numFmtId="0" fontId="27" fillId="16" borderId="40" xfId="0" applyFont="1" applyFill="1" applyBorder="1" applyAlignment="1" applyProtection="1">
      <alignment horizontal="center" vertical="center" wrapText="1"/>
    </xf>
    <xf numFmtId="0" fontId="27" fillId="16" borderId="64" xfId="0" applyFont="1" applyFill="1" applyBorder="1" applyAlignment="1" applyProtection="1">
      <alignment horizontal="center" vertical="center" wrapText="1"/>
    </xf>
    <xf numFmtId="0" fontId="6" fillId="2" borderId="61" xfId="0" applyFont="1" applyFill="1" applyBorder="1" applyAlignment="1" applyProtection="1">
      <alignment horizontal="center" wrapText="1"/>
      <protection locked="0"/>
    </xf>
    <xf numFmtId="0" fontId="6" fillId="2" borderId="29" xfId="0" applyFont="1" applyFill="1" applyBorder="1" applyAlignment="1" applyProtection="1">
      <alignment horizontal="center" wrapText="1"/>
      <protection locked="0"/>
    </xf>
    <xf numFmtId="0" fontId="6" fillId="2" borderId="32" xfId="0" applyFont="1" applyFill="1" applyBorder="1" applyAlignment="1" applyProtection="1">
      <alignment horizontal="center" wrapText="1"/>
      <protection locked="0"/>
    </xf>
    <xf numFmtId="0" fontId="17" fillId="16" borderId="59" xfId="0" applyFont="1" applyFill="1" applyBorder="1" applyAlignment="1" applyProtection="1">
      <alignment horizontal="center" vertical="center" wrapText="1"/>
    </xf>
    <xf numFmtId="0" fontId="17" fillId="16" borderId="5" xfId="0" applyFont="1" applyFill="1" applyBorder="1" applyAlignment="1" applyProtection="1">
      <alignment horizontal="center" vertical="center" wrapText="1"/>
    </xf>
    <xf numFmtId="0" fontId="17" fillId="16" borderId="38" xfId="0" applyFont="1" applyFill="1" applyBorder="1" applyAlignment="1" applyProtection="1">
      <alignment horizontal="center" vertical="center" wrapText="1"/>
    </xf>
    <xf numFmtId="0" fontId="6" fillId="9" borderId="14" xfId="0" applyFont="1" applyFill="1" applyBorder="1" applyAlignment="1" applyProtection="1">
      <alignment horizontal="center" wrapText="1"/>
    </xf>
    <xf numFmtId="0" fontId="6" fillId="9" borderId="15" xfId="0" applyFont="1" applyFill="1" applyBorder="1" applyAlignment="1" applyProtection="1">
      <alignment horizontal="center" wrapText="1"/>
    </xf>
    <xf numFmtId="0" fontId="6" fillId="2" borderId="2" xfId="0" applyFont="1" applyFill="1" applyBorder="1" applyAlignment="1" applyProtection="1">
      <alignment horizontal="center" wrapText="1"/>
      <protection locked="0"/>
    </xf>
    <xf numFmtId="0" fontId="6" fillId="2" borderId="1" xfId="0" applyFont="1" applyFill="1" applyBorder="1" applyAlignment="1" applyProtection="1">
      <alignment horizontal="center" wrapText="1"/>
      <protection locked="0"/>
    </xf>
    <xf numFmtId="0" fontId="6" fillId="2" borderId="31" xfId="0" applyFont="1" applyFill="1" applyBorder="1" applyAlignment="1" applyProtection="1">
      <alignment horizontal="center" wrapText="1"/>
      <protection locked="0"/>
    </xf>
    <xf numFmtId="0" fontId="6" fillId="2" borderId="63" xfId="0" applyFont="1" applyFill="1" applyBorder="1" applyAlignment="1" applyProtection="1">
      <alignment horizontal="center" wrapText="1"/>
    </xf>
    <xf numFmtId="0" fontId="6" fillId="2" borderId="26" xfId="0" applyFont="1" applyFill="1" applyBorder="1" applyAlignment="1" applyProtection="1">
      <alignment horizontal="center" wrapText="1"/>
    </xf>
    <xf numFmtId="0" fontId="6" fillId="2" borderId="30" xfId="0" applyFont="1" applyFill="1" applyBorder="1" applyAlignment="1" applyProtection="1">
      <alignment horizontal="center" wrapText="1"/>
    </xf>
    <xf numFmtId="0" fontId="17" fillId="16" borderId="60" xfId="0" applyFont="1" applyFill="1" applyBorder="1" applyAlignment="1" applyProtection="1">
      <alignment horizontal="center" vertical="center" wrapText="1"/>
    </xf>
    <xf numFmtId="0" fontId="17" fillId="16" borderId="9" xfId="0" applyFont="1" applyFill="1" applyBorder="1" applyAlignment="1" applyProtection="1">
      <alignment horizontal="center" vertical="center" wrapText="1"/>
    </xf>
    <xf numFmtId="0" fontId="17" fillId="16" borderId="10" xfId="0" applyFont="1" applyFill="1" applyBorder="1" applyAlignment="1" applyProtection="1">
      <alignment horizontal="center" vertical="center" wrapText="1"/>
    </xf>
    <xf numFmtId="0" fontId="17" fillId="16" borderId="23" xfId="0" applyFont="1" applyFill="1" applyBorder="1" applyAlignment="1" applyProtection="1">
      <alignment horizontal="center" vertical="center" wrapText="1"/>
    </xf>
    <xf numFmtId="0" fontId="17" fillId="16" borderId="0" xfId="0" applyFont="1" applyFill="1" applyBorder="1" applyAlignment="1" applyProtection="1">
      <alignment horizontal="center" vertical="center" wrapText="1"/>
    </xf>
    <xf numFmtId="0" fontId="17" fillId="16" borderId="12" xfId="0" applyFont="1" applyFill="1" applyBorder="1" applyAlignment="1" applyProtection="1">
      <alignment horizontal="center" vertical="center" wrapText="1"/>
    </xf>
    <xf numFmtId="0" fontId="17" fillId="16" borderId="57" xfId="0" applyFont="1" applyFill="1" applyBorder="1" applyAlignment="1" applyProtection="1">
      <alignment horizontal="center" vertical="center" wrapText="1"/>
    </xf>
    <xf numFmtId="0" fontId="17" fillId="16" borderId="14" xfId="0" applyFont="1" applyFill="1" applyBorder="1" applyAlignment="1" applyProtection="1">
      <alignment horizontal="center" vertical="center" wrapText="1"/>
    </xf>
    <xf numFmtId="0" fontId="17" fillId="16" borderId="15" xfId="0" applyFont="1" applyFill="1" applyBorder="1" applyAlignment="1" applyProtection="1">
      <alignment horizontal="center" vertical="center" wrapText="1"/>
    </xf>
    <xf numFmtId="0" fontId="6" fillId="2" borderId="63" xfId="0" applyFont="1" applyFill="1" applyBorder="1" applyAlignment="1" applyProtection="1">
      <alignment horizontal="center" wrapText="1"/>
      <protection locked="0"/>
    </xf>
    <xf numFmtId="0" fontId="6" fillId="2" borderId="26" xfId="0" applyFont="1" applyFill="1" applyBorder="1" applyAlignment="1" applyProtection="1">
      <alignment horizontal="center" wrapText="1"/>
      <protection locked="0"/>
    </xf>
    <xf numFmtId="0" fontId="6" fillId="2" borderId="30" xfId="0" applyFont="1" applyFill="1" applyBorder="1" applyAlignment="1" applyProtection="1">
      <alignment horizontal="center" wrapText="1"/>
      <protection locked="0"/>
    </xf>
    <xf numFmtId="0" fontId="6" fillId="2" borderId="16" xfId="0" applyFont="1" applyFill="1" applyBorder="1" applyAlignment="1" applyProtection="1">
      <alignment horizontal="center" vertical="center" wrapText="1"/>
      <protection locked="0"/>
    </xf>
    <xf numFmtId="0" fontId="6" fillId="2" borderId="37" xfId="0" applyFont="1" applyFill="1" applyBorder="1" applyAlignment="1" applyProtection="1">
      <alignment horizontal="center" vertical="center" wrapText="1"/>
      <protection locked="0"/>
    </xf>
    <xf numFmtId="0" fontId="6" fillId="2" borderId="17" xfId="0" applyFont="1" applyFill="1" applyBorder="1" applyAlignment="1" applyProtection="1">
      <alignment horizontal="center" vertical="center" wrapText="1"/>
      <protection locked="0"/>
    </xf>
    <xf numFmtId="0" fontId="6" fillId="0" borderId="53" xfId="0" applyFont="1" applyBorder="1" applyAlignment="1" applyProtection="1">
      <alignment horizontal="center" vertical="center" wrapText="1"/>
    </xf>
    <xf numFmtId="0" fontId="6" fillId="0" borderId="73" xfId="0" applyFont="1" applyBorder="1" applyAlignment="1" applyProtection="1">
      <alignment horizontal="center" vertical="center" wrapText="1"/>
    </xf>
    <xf numFmtId="0" fontId="6" fillId="2" borderId="53" xfId="0" applyFont="1" applyFill="1" applyBorder="1" applyAlignment="1" applyProtection="1">
      <alignment horizontal="center" wrapText="1"/>
      <protection locked="0"/>
    </xf>
    <xf numFmtId="0" fontId="6" fillId="2" borderId="73" xfId="0" applyFont="1" applyFill="1" applyBorder="1" applyAlignment="1" applyProtection="1">
      <alignment horizontal="center" wrapText="1"/>
      <protection locked="0"/>
    </xf>
    <xf numFmtId="0" fontId="6" fillId="2" borderId="67" xfId="0" applyFont="1" applyFill="1" applyBorder="1" applyAlignment="1" applyProtection="1">
      <alignment horizontal="center" wrapText="1"/>
      <protection locked="0"/>
    </xf>
    <xf numFmtId="0" fontId="6" fillId="2" borderId="44" xfId="0" applyFont="1" applyFill="1" applyBorder="1" applyAlignment="1" applyProtection="1">
      <alignment horizontal="center" wrapText="1"/>
      <protection locked="0"/>
    </xf>
    <xf numFmtId="0" fontId="6" fillId="2" borderId="45" xfId="0" applyFont="1" applyFill="1" applyBorder="1" applyAlignment="1" applyProtection="1">
      <alignment horizontal="center" wrapText="1"/>
      <protection locked="0"/>
    </xf>
    <xf numFmtId="0" fontId="6" fillId="9" borderId="56" xfId="0" applyFont="1" applyFill="1" applyBorder="1" applyAlignment="1" applyProtection="1">
      <alignment horizontal="center" wrapText="1"/>
    </xf>
    <xf numFmtId="0" fontId="6" fillId="2" borderId="1" xfId="0" applyFont="1" applyFill="1" applyBorder="1" applyAlignment="1" applyProtection="1">
      <alignment horizontal="center" vertical="center" wrapText="1"/>
      <protection locked="0"/>
    </xf>
    <xf numFmtId="0" fontId="6" fillId="2" borderId="31" xfId="0" applyFont="1" applyFill="1" applyBorder="1" applyAlignment="1" applyProtection="1">
      <alignment horizontal="center" vertical="center" wrapText="1"/>
      <protection locked="0"/>
    </xf>
    <xf numFmtId="0" fontId="6" fillId="2" borderId="29" xfId="0" applyFont="1" applyFill="1" applyBorder="1" applyAlignment="1" applyProtection="1">
      <alignment horizontal="center" vertical="center" wrapText="1"/>
      <protection locked="0"/>
    </xf>
    <xf numFmtId="0" fontId="6" fillId="2" borderId="32" xfId="0" applyFont="1" applyFill="1" applyBorder="1" applyAlignment="1" applyProtection="1">
      <alignment horizontal="center" vertical="center" wrapText="1"/>
      <protection locked="0"/>
    </xf>
    <xf numFmtId="0" fontId="6" fillId="4" borderId="38" xfId="0" applyFont="1" applyFill="1" applyBorder="1" applyAlignment="1" applyProtection="1">
      <alignment horizontal="center" wrapText="1"/>
    </xf>
    <xf numFmtId="0" fontId="6" fillId="4" borderId="72" xfId="0" applyFont="1" applyFill="1" applyBorder="1" applyAlignment="1" applyProtection="1">
      <alignment horizontal="center" wrapText="1"/>
    </xf>
    <xf numFmtId="0" fontId="6" fillId="2" borderId="26" xfId="0" applyFont="1" applyFill="1" applyBorder="1" applyAlignment="1" applyProtection="1">
      <alignment horizontal="center" vertical="center" wrapText="1"/>
      <protection locked="0"/>
    </xf>
    <xf numFmtId="0" fontId="6" fillId="2" borderId="30" xfId="0" applyFont="1" applyFill="1" applyBorder="1" applyAlignment="1" applyProtection="1">
      <alignment horizontal="center" vertical="center" wrapText="1"/>
      <protection locked="0"/>
    </xf>
    <xf numFmtId="0" fontId="6" fillId="2" borderId="4" xfId="0" applyFont="1" applyFill="1" applyBorder="1" applyAlignment="1" applyProtection="1">
      <alignment horizontal="center" vertical="center" wrapText="1"/>
      <protection locked="0"/>
    </xf>
    <xf numFmtId="0" fontId="6" fillId="2" borderId="2" xfId="0" applyFont="1" applyFill="1" applyBorder="1" applyAlignment="1" applyProtection="1">
      <alignment horizontal="center" vertical="center" wrapText="1"/>
      <protection locked="0"/>
    </xf>
    <xf numFmtId="0" fontId="17" fillId="2" borderId="0" xfId="0" applyFont="1" applyFill="1" applyBorder="1" applyAlignment="1" applyProtection="1">
      <alignment horizontal="center" wrapText="1"/>
    </xf>
    <xf numFmtId="0" fontId="17" fillId="2" borderId="0" xfId="0" applyFont="1" applyFill="1" applyBorder="1" applyAlignment="1" applyProtection="1">
      <alignment horizontal="center" vertical="center" wrapText="1"/>
    </xf>
    <xf numFmtId="0" fontId="29" fillId="0" borderId="0" xfId="0" applyFont="1" applyBorder="1" applyAlignment="1" applyProtection="1">
      <alignment horizontal="center" vertical="center" wrapText="1"/>
    </xf>
    <xf numFmtId="0" fontId="29" fillId="0" borderId="0" xfId="0" applyFont="1" applyAlignment="1" applyProtection="1">
      <alignment horizontal="center" vertical="center" wrapText="1"/>
    </xf>
    <xf numFmtId="0" fontId="8" fillId="2" borderId="22" xfId="0" applyFont="1" applyFill="1" applyBorder="1" applyAlignment="1" applyProtection="1">
      <alignment horizontal="center" wrapText="1"/>
      <protection locked="0"/>
    </xf>
    <xf numFmtId="0" fontId="8" fillId="2" borderId="21" xfId="0" applyFont="1" applyFill="1" applyBorder="1" applyAlignment="1" applyProtection="1">
      <alignment horizontal="center" wrapText="1"/>
      <protection locked="0"/>
    </xf>
    <xf numFmtId="0" fontId="8" fillId="2" borderId="42" xfId="0" applyFont="1" applyFill="1" applyBorder="1" applyAlignment="1" applyProtection="1">
      <alignment horizontal="center" wrapText="1"/>
      <protection locked="0"/>
    </xf>
    <xf numFmtId="0" fontId="8" fillId="2" borderId="4" xfId="0" applyFont="1" applyFill="1" applyBorder="1" applyAlignment="1" applyProtection="1">
      <alignment horizontal="center" wrapText="1"/>
      <protection locked="0"/>
    </xf>
    <xf numFmtId="0" fontId="8" fillId="2" borderId="6" xfId="0" applyFont="1" applyFill="1" applyBorder="1" applyAlignment="1" applyProtection="1">
      <alignment horizontal="center" wrapText="1"/>
      <protection locked="0"/>
    </xf>
    <xf numFmtId="0" fontId="8" fillId="2" borderId="43" xfId="0" applyFont="1" applyFill="1" applyBorder="1" applyAlignment="1" applyProtection="1">
      <alignment horizontal="center" wrapText="1"/>
      <protection locked="0"/>
    </xf>
    <xf numFmtId="0" fontId="8" fillId="16" borderId="9" xfId="0" applyFont="1" applyFill="1" applyBorder="1" applyAlignment="1" applyProtection="1">
      <alignment horizontal="center" wrapText="1"/>
    </xf>
    <xf numFmtId="0" fontId="8" fillId="16" borderId="10" xfId="0" applyFont="1" applyFill="1" applyBorder="1" applyAlignment="1" applyProtection="1">
      <alignment horizontal="center" wrapText="1"/>
    </xf>
    <xf numFmtId="0" fontId="29" fillId="2" borderId="0" xfId="0" applyFont="1" applyFill="1" applyBorder="1" applyAlignment="1" applyProtection="1">
      <alignment horizontal="center" vertical="center" wrapText="1"/>
    </xf>
    <xf numFmtId="0" fontId="29" fillId="2" borderId="12" xfId="0" applyFont="1" applyFill="1" applyBorder="1" applyAlignment="1" applyProtection="1">
      <alignment horizontal="center" vertical="center" wrapText="1"/>
    </xf>
    <xf numFmtId="0" fontId="29" fillId="2" borderId="14" xfId="0" applyFont="1" applyFill="1" applyBorder="1" applyAlignment="1" applyProtection="1">
      <alignment horizontal="center" vertical="center" wrapText="1"/>
    </xf>
    <xf numFmtId="0" fontId="29" fillId="2" borderId="15" xfId="0" applyFont="1" applyFill="1" applyBorder="1" applyAlignment="1" applyProtection="1">
      <alignment horizontal="center" vertical="center" wrapText="1"/>
    </xf>
    <xf numFmtId="0" fontId="31" fillId="2" borderId="4" xfId="0" applyFont="1" applyFill="1" applyBorder="1" applyAlignment="1" applyProtection="1">
      <alignment horizontal="center" vertical="center" wrapText="1"/>
      <protection locked="0"/>
    </xf>
    <xf numFmtId="0" fontId="31" fillId="2" borderId="6" xfId="0" applyFont="1" applyFill="1" applyBorder="1" applyAlignment="1" applyProtection="1">
      <alignment horizontal="center" vertical="center" wrapText="1"/>
      <protection locked="0"/>
    </xf>
    <xf numFmtId="0" fontId="31" fillId="2" borderId="43" xfId="0" applyFont="1" applyFill="1" applyBorder="1" applyAlignment="1" applyProtection="1">
      <alignment horizontal="center" vertical="center" wrapText="1"/>
      <protection locked="0"/>
    </xf>
    <xf numFmtId="0" fontId="8" fillId="2" borderId="1" xfId="0" applyFont="1" applyFill="1" applyBorder="1" applyAlignment="1" applyProtection="1">
      <alignment horizontal="center" wrapText="1"/>
      <protection locked="0"/>
    </xf>
    <xf numFmtId="0" fontId="8" fillId="2" borderId="31" xfId="0" applyFont="1" applyFill="1" applyBorder="1" applyAlignment="1" applyProtection="1">
      <alignment horizontal="center" wrapText="1"/>
      <protection locked="0"/>
    </xf>
    <xf numFmtId="0" fontId="31" fillId="2" borderId="4" xfId="0" applyFont="1" applyFill="1" applyBorder="1" applyAlignment="1" applyProtection="1">
      <alignment horizontal="center" wrapText="1"/>
      <protection locked="0"/>
    </xf>
    <xf numFmtId="0" fontId="31" fillId="2" borderId="6" xfId="0" applyFont="1" applyFill="1" applyBorder="1" applyAlignment="1" applyProtection="1">
      <alignment horizontal="center" wrapText="1"/>
      <protection locked="0"/>
    </xf>
    <xf numFmtId="0" fontId="31" fillId="2" borderId="43" xfId="0" applyFont="1" applyFill="1" applyBorder="1" applyAlignment="1" applyProtection="1">
      <alignment horizontal="center" wrapText="1"/>
      <protection locked="0"/>
    </xf>
    <xf numFmtId="0" fontId="8" fillId="4" borderId="71" xfId="0" applyFont="1" applyFill="1" applyBorder="1" applyAlignment="1" applyProtection="1">
      <alignment horizontal="center" wrapText="1"/>
    </xf>
    <xf numFmtId="0" fontId="8" fillId="4" borderId="37" xfId="0" applyFont="1" applyFill="1" applyBorder="1" applyAlignment="1" applyProtection="1">
      <alignment horizontal="center" wrapText="1"/>
    </xf>
    <xf numFmtId="0" fontId="8" fillId="4" borderId="17" xfId="0" applyFont="1" applyFill="1" applyBorder="1" applyAlignment="1" applyProtection="1">
      <alignment horizontal="center" wrapText="1"/>
    </xf>
    <xf numFmtId="0" fontId="6" fillId="0" borderId="56" xfId="0" applyFont="1" applyBorder="1" applyAlignment="1" applyProtection="1">
      <alignment horizontal="center" wrapText="1"/>
      <protection locked="0"/>
    </xf>
    <xf numFmtId="0" fontId="6" fillId="0" borderId="1" xfId="0" applyFont="1" applyBorder="1" applyAlignment="1" applyProtection="1">
      <alignment horizontal="center" wrapText="1"/>
      <protection locked="0"/>
    </xf>
    <xf numFmtId="0" fontId="6" fillId="0" borderId="31" xfId="0" applyFont="1" applyBorder="1" applyAlignment="1" applyProtection="1">
      <alignment horizontal="center" wrapText="1"/>
      <protection locked="0"/>
    </xf>
    <xf numFmtId="0" fontId="8" fillId="2" borderId="2" xfId="0" applyFont="1" applyFill="1" applyBorder="1" applyAlignment="1" applyProtection="1">
      <alignment horizontal="center" wrapText="1"/>
      <protection locked="0"/>
    </xf>
    <xf numFmtId="0" fontId="6" fillId="4" borderId="69" xfId="0" applyFont="1" applyFill="1" applyBorder="1" applyAlignment="1" applyProtection="1">
      <alignment horizontal="center" wrapText="1"/>
    </xf>
    <xf numFmtId="0" fontId="6" fillId="4" borderId="59" xfId="0" applyFont="1" applyFill="1" applyBorder="1" applyAlignment="1" applyProtection="1">
      <alignment horizontal="center" wrapText="1"/>
    </xf>
    <xf numFmtId="0" fontId="6" fillId="4" borderId="70" xfId="0" applyFont="1" applyFill="1" applyBorder="1" applyAlignment="1" applyProtection="1">
      <alignment horizontal="center" wrapText="1"/>
    </xf>
    <xf numFmtId="0" fontId="6" fillId="2" borderId="4" xfId="0" applyFont="1" applyFill="1" applyBorder="1" applyAlignment="1" applyProtection="1">
      <alignment horizontal="center" wrapText="1"/>
      <protection locked="0"/>
    </xf>
    <xf numFmtId="0" fontId="6" fillId="2" borderId="6" xfId="0" applyFont="1" applyFill="1" applyBorder="1" applyAlignment="1" applyProtection="1">
      <alignment horizontal="center" wrapText="1"/>
      <protection locked="0"/>
    </xf>
    <xf numFmtId="0" fontId="6" fillId="2" borderId="43" xfId="0" applyFont="1" applyFill="1" applyBorder="1" applyAlignment="1" applyProtection="1">
      <alignment horizontal="center" wrapText="1"/>
      <protection locked="0"/>
    </xf>
    <xf numFmtId="0" fontId="17" fillId="16" borderId="21" xfId="0" applyFont="1" applyFill="1" applyBorder="1" applyAlignment="1" applyProtection="1">
      <alignment horizontal="center" wrapText="1"/>
    </xf>
    <xf numFmtId="0" fontId="8" fillId="2" borderId="4" xfId="0" applyFont="1" applyFill="1" applyBorder="1" applyAlignment="1" applyProtection="1">
      <alignment horizontal="center" vertical="center" wrapText="1"/>
      <protection locked="0"/>
    </xf>
    <xf numFmtId="0" fontId="8" fillId="2" borderId="6" xfId="0" applyFont="1" applyFill="1" applyBorder="1" applyAlignment="1" applyProtection="1">
      <alignment horizontal="center" vertical="center" wrapText="1"/>
      <protection locked="0"/>
    </xf>
    <xf numFmtId="0" fontId="8" fillId="2" borderId="43" xfId="0" applyFont="1" applyFill="1" applyBorder="1" applyAlignment="1" applyProtection="1">
      <alignment horizontal="center" vertical="center" wrapText="1"/>
      <protection locked="0"/>
    </xf>
    <xf numFmtId="0" fontId="8" fillId="2" borderId="1" xfId="0" applyFont="1" applyFill="1" applyBorder="1" applyAlignment="1" applyProtection="1">
      <alignment horizontal="center" vertical="center" wrapText="1"/>
      <protection locked="0"/>
    </xf>
    <xf numFmtId="0" fontId="6" fillId="9" borderId="14" xfId="0" applyFont="1" applyFill="1" applyBorder="1" applyAlignment="1" applyProtection="1">
      <alignment horizontal="center" vertical="center" wrapText="1"/>
    </xf>
    <xf numFmtId="0" fontId="6" fillId="9" borderId="15" xfId="0" applyFont="1" applyFill="1" applyBorder="1" applyAlignment="1" applyProtection="1">
      <alignment horizontal="center" vertical="center" wrapText="1"/>
    </xf>
    <xf numFmtId="0" fontId="8" fillId="4" borderId="50" xfId="0" applyFont="1" applyFill="1" applyBorder="1" applyAlignment="1" applyProtection="1">
      <alignment horizontal="center" vertical="center" wrapText="1"/>
    </xf>
    <xf numFmtId="0" fontId="8" fillId="4" borderId="56" xfId="0" applyFont="1" applyFill="1" applyBorder="1" applyAlignment="1" applyProtection="1">
      <alignment horizontal="center" vertical="center" wrapText="1"/>
    </xf>
    <xf numFmtId="0" fontId="8" fillId="4" borderId="66" xfId="0" applyFont="1" applyFill="1" applyBorder="1" applyAlignment="1" applyProtection="1">
      <alignment horizontal="center" vertical="center" wrapText="1"/>
    </xf>
    <xf numFmtId="0" fontId="8" fillId="2" borderId="31" xfId="0" applyFont="1" applyFill="1" applyBorder="1" applyAlignment="1" applyProtection="1">
      <alignment horizontal="center" vertical="center" wrapText="1"/>
      <protection locked="0"/>
    </xf>
    <xf numFmtId="0" fontId="8" fillId="2" borderId="2" xfId="0" applyFont="1" applyFill="1" applyBorder="1" applyAlignment="1" applyProtection="1">
      <alignment horizontal="center" vertical="center" wrapText="1"/>
      <protection locked="0"/>
    </xf>
    <xf numFmtId="0" fontId="20" fillId="0" borderId="8" xfId="2" applyFont="1" applyBorder="1" applyAlignment="1" applyProtection="1">
      <alignment horizontal="center" vertical="center"/>
    </xf>
    <xf numFmtId="0" fontId="20" fillId="0" borderId="9" xfId="2" applyFont="1" applyBorder="1" applyAlignment="1" applyProtection="1">
      <alignment horizontal="center" vertical="center"/>
    </xf>
    <xf numFmtId="0" fontId="20" fillId="0" borderId="10" xfId="2" applyFont="1" applyBorder="1" applyAlignment="1" applyProtection="1">
      <alignment horizontal="center" vertical="center"/>
    </xf>
    <xf numFmtId="0" fontId="33" fillId="14" borderId="28" xfId="3" applyFont="1" applyBorder="1" applyAlignment="1" applyProtection="1">
      <alignment horizontal="center"/>
    </xf>
    <xf numFmtId="0" fontId="33" fillId="14" borderId="29" xfId="3" applyFont="1" applyBorder="1" applyAlignment="1" applyProtection="1">
      <alignment horizontal="center"/>
    </xf>
    <xf numFmtId="0" fontId="33" fillId="14" borderId="32" xfId="3" applyFont="1" applyBorder="1" applyAlignment="1" applyProtection="1">
      <alignment horizontal="center"/>
    </xf>
    <xf numFmtId="0" fontId="15" fillId="0" borderId="16" xfId="0" applyFont="1" applyBorder="1" applyAlignment="1" applyProtection="1">
      <alignment horizontal="center" wrapText="1"/>
    </xf>
    <xf numFmtId="0" fontId="15" fillId="0" borderId="17" xfId="0" applyFont="1" applyBorder="1" applyAlignment="1" applyProtection="1">
      <alignment horizontal="center" wrapText="1"/>
    </xf>
    <xf numFmtId="0" fontId="24" fillId="16" borderId="0" xfId="0" applyFont="1" applyFill="1" applyAlignment="1" applyProtection="1">
      <alignment horizontal="center"/>
    </xf>
    <xf numFmtId="0" fontId="20" fillId="0" borderId="34" xfId="2" applyFont="1" applyBorder="1" applyAlignment="1" applyProtection="1">
      <alignment horizontal="center" vertical="center"/>
    </xf>
    <xf numFmtId="0" fontId="20" fillId="0" borderId="44" xfId="2" applyFont="1" applyBorder="1" applyAlignment="1" applyProtection="1">
      <alignment horizontal="center" vertical="center"/>
    </xf>
    <xf numFmtId="0" fontId="20" fillId="0" borderId="45" xfId="2" applyFont="1" applyBorder="1" applyAlignment="1" applyProtection="1">
      <alignment horizontal="center" vertical="center"/>
    </xf>
    <xf numFmtId="0" fontId="19" fillId="14" borderId="35" xfId="3" applyFont="1" applyBorder="1" applyAlignment="1" applyProtection="1">
      <alignment horizontal="center" wrapText="1"/>
    </xf>
    <xf numFmtId="0" fontId="19" fillId="14" borderId="48" xfId="3" applyFont="1" applyBorder="1" applyAlignment="1" applyProtection="1">
      <alignment horizontal="center" wrapText="1"/>
    </xf>
    <xf numFmtId="0" fontId="19" fillId="14" borderId="49" xfId="3" applyFont="1" applyBorder="1" applyAlignment="1" applyProtection="1">
      <alignment horizontal="center" wrapText="1"/>
    </xf>
    <xf numFmtId="0" fontId="15" fillId="0" borderId="8" xfId="0" applyFont="1" applyBorder="1" applyAlignment="1" applyProtection="1">
      <alignment horizontal="center" vertical="center" wrapText="1"/>
    </xf>
    <xf numFmtId="0" fontId="15" fillId="0" borderId="9" xfId="0" applyFont="1" applyBorder="1" applyAlignment="1" applyProtection="1">
      <alignment horizontal="center" vertical="center" wrapText="1"/>
    </xf>
    <xf numFmtId="0" fontId="15" fillId="0" borderId="10" xfId="0" applyFont="1" applyBorder="1" applyAlignment="1" applyProtection="1">
      <alignment horizontal="center" vertical="center" wrapText="1"/>
    </xf>
    <xf numFmtId="0" fontId="15" fillId="0" borderId="13" xfId="0" applyFont="1" applyBorder="1" applyAlignment="1" applyProtection="1">
      <alignment horizontal="center" vertical="center" wrapText="1"/>
    </xf>
    <xf numFmtId="0" fontId="15" fillId="0" borderId="14" xfId="0" applyFont="1" applyBorder="1" applyAlignment="1" applyProtection="1">
      <alignment horizontal="center" vertical="center" wrapText="1"/>
    </xf>
    <xf numFmtId="0" fontId="15" fillId="0" borderId="15" xfId="0" applyFont="1" applyBorder="1" applyAlignment="1" applyProtection="1">
      <alignment horizontal="center" vertical="center" wrapText="1"/>
    </xf>
    <xf numFmtId="0" fontId="19" fillId="14" borderId="28" xfId="3" applyFont="1" applyBorder="1" applyAlignment="1" applyProtection="1">
      <alignment horizontal="center"/>
    </xf>
    <xf numFmtId="0" fontId="19" fillId="14" borderId="29" xfId="3" applyFont="1" applyBorder="1" applyAlignment="1" applyProtection="1">
      <alignment horizontal="center"/>
    </xf>
    <xf numFmtId="0" fontId="19" fillId="14" borderId="32" xfId="3" applyFont="1" applyBorder="1" applyAlignment="1" applyProtection="1">
      <alignment horizontal="center"/>
    </xf>
    <xf numFmtId="0" fontId="0" fillId="0" borderId="8" xfId="0" applyBorder="1" applyAlignment="1" applyProtection="1">
      <alignment horizontal="center"/>
    </xf>
    <xf numFmtId="0" fontId="0" fillId="0" borderId="10" xfId="0" applyBorder="1" applyAlignment="1" applyProtection="1">
      <alignment horizontal="center"/>
    </xf>
    <xf numFmtId="10" fontId="0" fillId="0" borderId="13" xfId="0" applyNumberFormat="1" applyBorder="1" applyAlignment="1" applyProtection="1">
      <alignment horizontal="center"/>
    </xf>
    <xf numFmtId="10" fontId="0" fillId="0" borderId="15" xfId="0" applyNumberFormat="1" applyBorder="1" applyAlignment="1" applyProtection="1">
      <alignment horizontal="center"/>
    </xf>
  </cellXfs>
  <cellStyles count="4">
    <cellStyle name="Hyperlink" xfId="1" builtinId="8"/>
    <cellStyle name="Neutral" xfId="3" builtinId="28"/>
    <cellStyle name="Normal" xfId="0" builtinId="0"/>
    <cellStyle name="Normal 2" xfId="2" xr:uid="{00000000-0005-0000-0000-000003000000}"/>
  </cellStyles>
  <dxfs count="8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border>
        <left/>
        <right/>
        <top/>
        <bottom/>
      </border>
    </dxf>
    <dxf>
      <fill>
        <patternFill patternType="none">
          <bgColor auto="1"/>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rgb="FF92D050"/>
        </patternFill>
      </fill>
    </dxf>
    <dxf>
      <fill>
        <patternFill>
          <bgColor rgb="FF00B050"/>
        </patternFill>
      </fill>
    </dxf>
    <dxf>
      <fill>
        <patternFill>
          <bgColor rgb="FFFFCC00"/>
        </patternFill>
      </fill>
    </dxf>
    <dxf>
      <fill>
        <patternFill>
          <bgColor rgb="FFFF9933"/>
        </patternFill>
      </fill>
    </dxf>
    <dxf>
      <fill>
        <patternFill>
          <bgColor rgb="FFFF6600"/>
        </patternFill>
      </fill>
    </dxf>
    <dxf>
      <fill>
        <patternFill>
          <bgColor rgb="FFFF0000"/>
        </patternFill>
      </fill>
    </dxf>
    <dxf>
      <fill>
        <patternFill>
          <bgColor rgb="FF92D050"/>
        </patternFill>
      </fill>
    </dxf>
    <dxf>
      <fill>
        <patternFill>
          <bgColor rgb="FFFFCC00"/>
        </patternFill>
      </fill>
    </dxf>
    <dxf>
      <fill>
        <patternFill>
          <bgColor rgb="FFFF9933"/>
        </patternFill>
      </fill>
    </dxf>
    <dxf>
      <fill>
        <patternFill>
          <bgColor rgb="FFFF6600"/>
        </patternFill>
      </fill>
    </dxf>
    <dxf>
      <fill>
        <patternFill>
          <bgColor rgb="FFFF0000"/>
        </patternFill>
      </fill>
    </dxf>
    <dxf>
      <fill>
        <patternFill>
          <bgColor rgb="FF00B050"/>
        </patternFill>
      </fill>
    </dxf>
    <dxf>
      <fill>
        <patternFill>
          <bgColor indexed="10"/>
        </patternFill>
      </fill>
    </dxf>
    <dxf>
      <fill>
        <patternFill>
          <bgColor indexed="52"/>
        </patternFill>
      </fill>
    </dxf>
    <dxf>
      <fill>
        <patternFill>
          <bgColor indexed="11"/>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theme="0" tint="-4.9989318521683403E-2"/>
      </font>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0"/>
        </patternFill>
      </fill>
    </dxf>
    <dxf>
      <fill>
        <patternFill>
          <bgColor rgb="FFFF0000"/>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20HSSEQ%20Tab"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 HSSEQ Tab"/>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http://www.equasis.org/EquasisWeb/public/HomePage" TargetMode="External"/><Relationship Id="rId2" Type="http://schemas.openxmlformats.org/officeDocument/2006/relationships/hyperlink" Target="http://www.igpandi.org/" TargetMode="External"/><Relationship Id="rId1" Type="http://schemas.openxmlformats.org/officeDocument/2006/relationships/hyperlink" Target="http://www.iacs.org.uk/" TargetMode="External"/><Relationship Id="rId6" Type="http://schemas.openxmlformats.org/officeDocument/2006/relationships/printerSettings" Target="../printerSettings/printerSettings6.bin"/><Relationship Id="rId5" Type="http://schemas.openxmlformats.org/officeDocument/2006/relationships/hyperlink" Target="http://www.sea-web.com/seaweb_welcome.aspx" TargetMode="External"/><Relationship Id="rId4" Type="http://schemas.openxmlformats.org/officeDocument/2006/relationships/hyperlink" Target="http://site.rightship.com/"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C1:N31"/>
  <sheetViews>
    <sheetView showGridLines="0" topLeftCell="B1" zoomScaleNormal="100" workbookViewId="0">
      <selection activeCell="I6" sqref="I6:M7"/>
    </sheetView>
  </sheetViews>
  <sheetFormatPr defaultRowHeight="15" x14ac:dyDescent="0.25"/>
  <cols>
    <col min="9" max="9" width="14.28515625" customWidth="1"/>
    <col min="11" max="11" width="25" customWidth="1"/>
    <col min="12" max="12" width="24.28515625" customWidth="1"/>
    <col min="13" max="13" width="29.5703125" customWidth="1"/>
    <col min="14" max="14" width="17.5703125" customWidth="1"/>
  </cols>
  <sheetData>
    <row r="1" spans="3:14" x14ac:dyDescent="0.25">
      <c r="C1" s="389" t="s">
        <v>311</v>
      </c>
      <c r="D1" s="389"/>
      <c r="E1" s="389"/>
      <c r="F1" s="389"/>
      <c r="G1" s="389"/>
      <c r="H1" s="389"/>
      <c r="I1" s="389"/>
      <c r="J1" s="389"/>
      <c r="K1" s="389"/>
      <c r="L1" s="389"/>
      <c r="M1" s="389"/>
      <c r="N1" s="389"/>
    </row>
    <row r="2" spans="3:14" ht="15.75" thickBot="1" x14ac:dyDescent="0.3"/>
    <row r="3" spans="3:14" ht="24" customHeight="1" thickBot="1" x14ac:dyDescent="0.3">
      <c r="C3" s="74" t="s">
        <v>312</v>
      </c>
      <c r="D3" s="413" t="s">
        <v>214</v>
      </c>
      <c r="E3" s="413"/>
      <c r="F3" s="413"/>
      <c r="G3" s="413"/>
      <c r="H3" s="414"/>
      <c r="I3" s="422" t="s">
        <v>222</v>
      </c>
      <c r="J3" s="413"/>
      <c r="K3" s="413"/>
      <c r="L3" s="413"/>
      <c r="M3" s="414"/>
      <c r="N3" s="70" t="s">
        <v>294</v>
      </c>
    </row>
    <row r="4" spans="3:14" s="12" customFormat="1" ht="45.75" customHeight="1" thickBot="1" x14ac:dyDescent="0.3">
      <c r="C4" s="75">
        <v>1</v>
      </c>
      <c r="D4" s="347" t="s">
        <v>223</v>
      </c>
      <c r="E4" s="348"/>
      <c r="F4" s="348"/>
      <c r="G4" s="348"/>
      <c r="H4" s="349"/>
      <c r="I4" s="338"/>
      <c r="J4" s="339"/>
      <c r="K4" s="339"/>
      <c r="L4" s="339"/>
      <c r="M4" s="340"/>
      <c r="N4" s="79" t="s">
        <v>295</v>
      </c>
    </row>
    <row r="5" spans="3:14" s="2" customFormat="1" ht="58.5" customHeight="1" thickBot="1" x14ac:dyDescent="0.3">
      <c r="C5" s="76">
        <v>2</v>
      </c>
      <c r="D5" s="418" t="s">
        <v>322</v>
      </c>
      <c r="E5" s="419"/>
      <c r="F5" s="419"/>
      <c r="G5" s="419"/>
      <c r="H5" s="420"/>
      <c r="I5" s="333" t="s">
        <v>247</v>
      </c>
      <c r="J5" s="334"/>
      <c r="K5" s="334"/>
      <c r="L5" s="334"/>
      <c r="M5" s="335"/>
      <c r="N5" s="79" t="s">
        <v>296</v>
      </c>
    </row>
    <row r="6" spans="3:14" s="2" customFormat="1" ht="85.5" customHeight="1" x14ac:dyDescent="0.25">
      <c r="C6" s="411">
        <v>3</v>
      </c>
      <c r="D6" s="350" t="s">
        <v>216</v>
      </c>
      <c r="E6" s="351"/>
      <c r="F6" s="351"/>
      <c r="G6" s="351"/>
      <c r="H6" s="352"/>
      <c r="I6" s="341" t="s">
        <v>211</v>
      </c>
      <c r="J6" s="342"/>
      <c r="K6" s="342"/>
      <c r="L6" s="342"/>
      <c r="M6" s="343"/>
      <c r="N6" s="390" t="s">
        <v>297</v>
      </c>
    </row>
    <row r="7" spans="3:14" ht="74.25" customHeight="1" thickBot="1" x14ac:dyDescent="0.3">
      <c r="C7" s="412"/>
      <c r="D7" s="415" t="s">
        <v>220</v>
      </c>
      <c r="E7" s="416"/>
      <c r="F7" s="416"/>
      <c r="G7" s="416"/>
      <c r="H7" s="417"/>
      <c r="I7" s="344"/>
      <c r="J7" s="345"/>
      <c r="K7" s="345"/>
      <c r="L7" s="345"/>
      <c r="M7" s="346"/>
      <c r="N7" s="391"/>
    </row>
    <row r="8" spans="3:14" ht="15" customHeight="1" x14ac:dyDescent="0.25">
      <c r="C8" s="356">
        <v>4</v>
      </c>
      <c r="D8" s="368" t="s">
        <v>215</v>
      </c>
      <c r="E8" s="369"/>
      <c r="F8" s="369"/>
      <c r="G8" s="369"/>
      <c r="H8" s="370"/>
      <c r="I8" s="353" t="s">
        <v>70</v>
      </c>
      <c r="J8" s="336" t="s">
        <v>71</v>
      </c>
      <c r="K8" s="336" t="s">
        <v>72</v>
      </c>
      <c r="L8" s="336" t="s">
        <v>73</v>
      </c>
      <c r="M8" s="421"/>
      <c r="N8" s="392"/>
    </row>
    <row r="9" spans="3:14" ht="24" customHeight="1" x14ac:dyDescent="0.25">
      <c r="C9" s="357"/>
      <c r="D9" s="371"/>
      <c r="E9" s="372"/>
      <c r="F9" s="372"/>
      <c r="G9" s="372"/>
      <c r="H9" s="373"/>
      <c r="I9" s="354"/>
      <c r="J9" s="337"/>
      <c r="K9" s="337"/>
      <c r="L9" s="69" t="s">
        <v>213</v>
      </c>
      <c r="M9" s="81" t="s">
        <v>429</v>
      </c>
      <c r="N9" s="393"/>
    </row>
    <row r="10" spans="3:14" ht="24" customHeight="1" x14ac:dyDescent="0.25">
      <c r="C10" s="357"/>
      <c r="D10" s="371"/>
      <c r="E10" s="372"/>
      <c r="F10" s="372"/>
      <c r="G10" s="372"/>
      <c r="H10" s="373"/>
      <c r="I10" s="82">
        <v>1</v>
      </c>
      <c r="J10" s="10" t="s">
        <v>74</v>
      </c>
      <c r="K10" s="10" t="s">
        <v>74</v>
      </c>
      <c r="L10" s="108" t="s">
        <v>75</v>
      </c>
      <c r="M10" s="106" t="s">
        <v>76</v>
      </c>
      <c r="N10" s="393"/>
    </row>
    <row r="11" spans="3:14" ht="57" x14ac:dyDescent="0.25">
      <c r="C11" s="357"/>
      <c r="D11" s="371"/>
      <c r="E11" s="372"/>
      <c r="F11" s="372"/>
      <c r="G11" s="372"/>
      <c r="H11" s="373"/>
      <c r="I11" s="82">
        <v>2</v>
      </c>
      <c r="J11" s="11" t="s">
        <v>74</v>
      </c>
      <c r="K11" s="11" t="s">
        <v>77</v>
      </c>
      <c r="L11" s="109" t="s">
        <v>327</v>
      </c>
      <c r="M11" s="103" t="s">
        <v>324</v>
      </c>
      <c r="N11" s="393"/>
    </row>
    <row r="12" spans="3:14" ht="24" customHeight="1" x14ac:dyDescent="0.25">
      <c r="C12" s="357"/>
      <c r="D12" s="371"/>
      <c r="E12" s="372"/>
      <c r="F12" s="372"/>
      <c r="G12" s="372"/>
      <c r="H12" s="373"/>
      <c r="I12" s="82">
        <v>3</v>
      </c>
      <c r="J12" s="10" t="s">
        <v>77</v>
      </c>
      <c r="K12" s="10" t="s">
        <v>74</v>
      </c>
      <c r="L12" s="109" t="s">
        <v>430</v>
      </c>
      <c r="M12" s="103" t="s">
        <v>325</v>
      </c>
      <c r="N12" s="393"/>
    </row>
    <row r="13" spans="3:14" ht="24" customHeight="1" x14ac:dyDescent="0.25">
      <c r="C13" s="357"/>
      <c r="D13" s="371"/>
      <c r="E13" s="372"/>
      <c r="F13" s="372"/>
      <c r="G13" s="372"/>
      <c r="H13" s="373"/>
      <c r="I13" s="82">
        <v>4</v>
      </c>
      <c r="J13" s="11" t="s">
        <v>77</v>
      </c>
      <c r="K13" s="11" t="s">
        <v>77</v>
      </c>
      <c r="L13" s="110" t="s">
        <v>212</v>
      </c>
      <c r="M13" s="107" t="s">
        <v>78</v>
      </c>
      <c r="N13" s="393"/>
    </row>
    <row r="14" spans="3:14" ht="35.25" thickBot="1" x14ac:dyDescent="0.3">
      <c r="C14" s="358"/>
      <c r="D14" s="374"/>
      <c r="E14" s="375"/>
      <c r="F14" s="375"/>
      <c r="G14" s="375"/>
      <c r="H14" s="376"/>
      <c r="I14" s="83">
        <v>5</v>
      </c>
      <c r="J14" s="73" t="s">
        <v>77</v>
      </c>
      <c r="K14" s="73" t="s">
        <v>77</v>
      </c>
      <c r="L14" s="111" t="s">
        <v>431</v>
      </c>
      <c r="M14" s="104" t="s">
        <v>326</v>
      </c>
      <c r="N14" s="394"/>
    </row>
    <row r="15" spans="3:14" ht="66.75" customHeight="1" thickBot="1" x14ac:dyDescent="0.3">
      <c r="C15" s="77">
        <v>5</v>
      </c>
      <c r="D15" s="377" t="s">
        <v>432</v>
      </c>
      <c r="E15" s="378"/>
      <c r="F15" s="378"/>
      <c r="G15" s="378"/>
      <c r="H15" s="379"/>
      <c r="I15" s="399" t="s">
        <v>298</v>
      </c>
      <c r="J15" s="400"/>
      <c r="K15" s="400"/>
      <c r="L15" s="400"/>
      <c r="M15" s="401"/>
      <c r="N15" s="79" t="s">
        <v>433</v>
      </c>
    </row>
    <row r="16" spans="3:14" ht="26.25" customHeight="1" thickBot="1" x14ac:dyDescent="0.3">
      <c r="C16" s="78">
        <v>6</v>
      </c>
      <c r="D16" s="377" t="s">
        <v>271</v>
      </c>
      <c r="E16" s="378"/>
      <c r="F16" s="378"/>
      <c r="G16" s="378"/>
      <c r="H16" s="379"/>
      <c r="I16" s="338"/>
      <c r="J16" s="339"/>
      <c r="K16" s="339"/>
      <c r="L16" s="339"/>
      <c r="M16" s="340"/>
      <c r="N16" s="79" t="s">
        <v>299</v>
      </c>
    </row>
    <row r="17" spans="3:14" ht="24" customHeight="1" thickBot="1" x14ac:dyDescent="0.3">
      <c r="C17" s="77">
        <v>7</v>
      </c>
      <c r="D17" s="396" t="s">
        <v>300</v>
      </c>
      <c r="E17" s="397"/>
      <c r="F17" s="397"/>
      <c r="G17" s="397"/>
      <c r="H17" s="398"/>
      <c r="I17" s="338"/>
      <c r="J17" s="339"/>
      <c r="K17" s="339"/>
      <c r="L17" s="339"/>
      <c r="M17" s="340"/>
      <c r="N17" s="80" t="s">
        <v>296</v>
      </c>
    </row>
    <row r="18" spans="3:14" ht="24" customHeight="1" x14ac:dyDescent="0.25">
      <c r="C18" s="356">
        <v>8</v>
      </c>
      <c r="D18" s="359" t="s">
        <v>293</v>
      </c>
      <c r="E18" s="360"/>
      <c r="F18" s="360"/>
      <c r="G18" s="360"/>
      <c r="H18" s="361"/>
      <c r="I18" s="402" t="s">
        <v>292</v>
      </c>
      <c r="J18" s="403"/>
      <c r="K18" s="403"/>
      <c r="L18" s="403"/>
      <c r="M18" s="404"/>
      <c r="N18" s="390" t="s">
        <v>295</v>
      </c>
    </row>
    <row r="19" spans="3:14" ht="24" customHeight="1" x14ac:dyDescent="0.25">
      <c r="C19" s="357"/>
      <c r="D19" s="362" t="s">
        <v>273</v>
      </c>
      <c r="E19" s="363"/>
      <c r="F19" s="363"/>
      <c r="G19" s="363"/>
      <c r="H19" s="364"/>
      <c r="I19" s="405"/>
      <c r="J19" s="406"/>
      <c r="K19" s="406"/>
      <c r="L19" s="406"/>
      <c r="M19" s="407"/>
      <c r="N19" s="395"/>
    </row>
    <row r="20" spans="3:14" s="14" customFormat="1" ht="24" customHeight="1" x14ac:dyDescent="0.25">
      <c r="C20" s="357"/>
      <c r="D20" s="365" t="s">
        <v>274</v>
      </c>
      <c r="E20" s="366"/>
      <c r="F20" s="366"/>
      <c r="G20" s="366"/>
      <c r="H20" s="367"/>
      <c r="I20" s="405"/>
      <c r="J20" s="406"/>
      <c r="K20" s="406"/>
      <c r="L20" s="406"/>
      <c r="M20" s="407"/>
      <c r="N20" s="395"/>
    </row>
    <row r="21" spans="3:14" ht="24" customHeight="1" x14ac:dyDescent="0.25">
      <c r="C21" s="357"/>
      <c r="D21" s="386" t="s">
        <v>286</v>
      </c>
      <c r="E21" s="387"/>
      <c r="F21" s="387"/>
      <c r="G21" s="387"/>
      <c r="H21" s="388"/>
      <c r="I21" s="405"/>
      <c r="J21" s="406"/>
      <c r="K21" s="406"/>
      <c r="L21" s="406"/>
      <c r="M21" s="407"/>
      <c r="N21" s="395"/>
    </row>
    <row r="22" spans="3:14" ht="39.75" customHeight="1" x14ac:dyDescent="0.25">
      <c r="C22" s="357"/>
      <c r="D22" s="383" t="s">
        <v>323</v>
      </c>
      <c r="E22" s="384"/>
      <c r="F22" s="384"/>
      <c r="G22" s="384"/>
      <c r="H22" s="385"/>
      <c r="I22" s="405"/>
      <c r="J22" s="406"/>
      <c r="K22" s="406"/>
      <c r="L22" s="406"/>
      <c r="M22" s="407"/>
      <c r="N22" s="395"/>
    </row>
    <row r="23" spans="3:14" ht="15.75" thickBot="1" x14ac:dyDescent="0.3">
      <c r="C23" s="358"/>
      <c r="D23" s="380" t="s">
        <v>275</v>
      </c>
      <c r="E23" s="381"/>
      <c r="F23" s="381"/>
      <c r="G23" s="381"/>
      <c r="H23" s="382"/>
      <c r="I23" s="408"/>
      <c r="J23" s="409"/>
      <c r="K23" s="409"/>
      <c r="L23" s="409"/>
      <c r="M23" s="410"/>
      <c r="N23" s="391"/>
    </row>
    <row r="24" spans="3:14" x14ac:dyDescent="0.25">
      <c r="C24" s="3"/>
      <c r="D24" s="355"/>
      <c r="E24" s="355"/>
      <c r="F24" s="355"/>
      <c r="G24" s="355"/>
      <c r="H24" s="355"/>
    </row>
    <row r="25" spans="3:14" x14ac:dyDescent="0.25">
      <c r="C25" s="3"/>
      <c r="D25" s="355"/>
      <c r="E25" s="355"/>
      <c r="F25" s="355"/>
      <c r="G25" s="355"/>
      <c r="H25" s="355"/>
    </row>
    <row r="26" spans="3:14" x14ac:dyDescent="0.25">
      <c r="C26" s="3"/>
      <c r="D26" s="3"/>
      <c r="E26" s="3"/>
      <c r="F26" s="3"/>
      <c r="G26" s="3"/>
      <c r="H26" s="3"/>
    </row>
    <row r="27" spans="3:14" x14ac:dyDescent="0.25">
      <c r="C27" s="3"/>
      <c r="D27" s="3"/>
      <c r="E27" s="3"/>
      <c r="F27" s="3"/>
      <c r="G27" s="3"/>
      <c r="H27" s="3"/>
    </row>
    <row r="28" spans="3:14" x14ac:dyDescent="0.25">
      <c r="C28" s="3"/>
      <c r="D28" s="3"/>
      <c r="E28" s="3"/>
      <c r="F28" s="3"/>
      <c r="G28" s="3"/>
      <c r="H28" s="3"/>
    </row>
    <row r="29" spans="3:14" x14ac:dyDescent="0.25">
      <c r="C29" s="3"/>
      <c r="D29" s="3"/>
      <c r="E29" s="3"/>
      <c r="F29" s="3"/>
      <c r="G29" s="3"/>
      <c r="H29" s="3"/>
    </row>
    <row r="30" spans="3:14" x14ac:dyDescent="0.25">
      <c r="C30" s="3"/>
      <c r="D30" s="3"/>
      <c r="E30" s="3"/>
      <c r="F30" s="3"/>
      <c r="G30" s="3"/>
      <c r="H30" s="3"/>
    </row>
    <row r="31" spans="3:14" x14ac:dyDescent="0.25">
      <c r="C31" s="3"/>
      <c r="D31" s="3"/>
      <c r="E31" s="3"/>
      <c r="F31" s="3"/>
      <c r="G31" s="3"/>
      <c r="H31" s="3"/>
    </row>
  </sheetData>
  <sheetProtection algorithmName="SHA-512" hashValue="YPChvU1BhMAvFDfbg/XaT7doa2q8FT625VbsWZ5P/qMWk33HOiKM74jQ6F4Ym1tOy4ihTxWziD6er6ajJUiK1w==" saltValue="Eq+vP+1ROu8Q0CkRZ57z8g==" spinCount="100000" sheet="1" objects="1" scenarios="1"/>
  <mergeCells count="36">
    <mergeCell ref="C1:N1"/>
    <mergeCell ref="N6:N7"/>
    <mergeCell ref="N8:N14"/>
    <mergeCell ref="N18:N23"/>
    <mergeCell ref="D17:H17"/>
    <mergeCell ref="I17:M17"/>
    <mergeCell ref="J8:J9"/>
    <mergeCell ref="I15:M15"/>
    <mergeCell ref="I16:M16"/>
    <mergeCell ref="I18:M23"/>
    <mergeCell ref="C6:C7"/>
    <mergeCell ref="D3:H3"/>
    <mergeCell ref="D7:H7"/>
    <mergeCell ref="D5:H5"/>
    <mergeCell ref="L8:M8"/>
    <mergeCell ref="I3:M3"/>
    <mergeCell ref="D24:H24"/>
    <mergeCell ref="C18:C23"/>
    <mergeCell ref="C8:C14"/>
    <mergeCell ref="D25:H25"/>
    <mergeCell ref="D18:H18"/>
    <mergeCell ref="D19:H19"/>
    <mergeCell ref="D20:H20"/>
    <mergeCell ref="D8:H14"/>
    <mergeCell ref="D15:H15"/>
    <mergeCell ref="D16:H16"/>
    <mergeCell ref="D23:H23"/>
    <mergeCell ref="D22:H22"/>
    <mergeCell ref="D21:H21"/>
    <mergeCell ref="I5:M5"/>
    <mergeCell ref="K8:K9"/>
    <mergeCell ref="I4:M4"/>
    <mergeCell ref="I6:M7"/>
    <mergeCell ref="D4:H4"/>
    <mergeCell ref="D6:H6"/>
    <mergeCell ref="I8:I9"/>
  </mergeCells>
  <pageMargins left="0.70866141732283472" right="0.70866141732283472" top="0.74803149606299213" bottom="0.74803149606299213" header="0.31496062992125984" footer="0.31496062992125984"/>
  <pageSetup paperSize="9" scale="61" orientation="landscape" r:id="rId1"/>
  <headerFooter>
    <oddFooter>&amp;CRSQ 02&amp;RRevision 6.0</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AS41"/>
  <sheetViews>
    <sheetView showGridLines="0" workbookViewId="0">
      <selection activeCell="I6" sqref="I6:M7"/>
    </sheetView>
  </sheetViews>
  <sheetFormatPr defaultRowHeight="15" x14ac:dyDescent="0.25"/>
  <cols>
    <col min="1" max="1" width="9.140625" style="192"/>
    <col min="2" max="2" width="30.42578125" style="192" bestFit="1" customWidth="1"/>
    <col min="3" max="3" width="45.28515625" style="192" customWidth="1"/>
    <col min="4" max="6" width="15.7109375" style="192" customWidth="1"/>
    <col min="7" max="7" width="14" style="192" customWidth="1"/>
    <col min="8" max="8" width="15.7109375" style="191" customWidth="1"/>
    <col min="9" max="17" width="9.140625" style="66"/>
    <col min="18" max="27" width="9.140625" style="61"/>
    <col min="28" max="45" width="9.140625" style="191"/>
    <col min="46" max="16384" width="9.140625" style="192"/>
  </cols>
  <sheetData>
    <row r="1" spans="1:10" ht="23.25" x14ac:dyDescent="0.35">
      <c r="A1" s="1"/>
      <c r="B1" s="575" t="s">
        <v>116</v>
      </c>
      <c r="C1" s="575"/>
      <c r="D1" s="575"/>
      <c r="E1" s="575"/>
      <c r="F1" s="575"/>
      <c r="G1" s="575"/>
      <c r="H1" s="575"/>
    </row>
    <row r="2" spans="1:10" ht="29.25" customHeight="1" thickBot="1" x14ac:dyDescent="0.3">
      <c r="A2" s="1"/>
      <c r="B2" s="521" t="s">
        <v>301</v>
      </c>
      <c r="C2" s="521"/>
      <c r="D2" s="521"/>
      <c r="E2" s="521"/>
      <c r="F2" s="521"/>
      <c r="G2" s="521"/>
      <c r="H2" s="61"/>
    </row>
    <row r="3" spans="1:10" ht="15.75" thickBot="1" x14ac:dyDescent="0.3">
      <c r="A3" s="1"/>
      <c r="B3" s="1"/>
      <c r="C3" s="31" t="str">
        <f>IF(' HSSEQ Tab'!M66=6,"Sanctions Issue","")</f>
        <v/>
      </c>
      <c r="D3" s="1"/>
      <c r="E3" s="582" t="str">
        <f ca="1">'MD-GM-Business Development'!E7</f>
        <v>Insufficient time for review</v>
      </c>
      <c r="F3" s="583"/>
      <c r="G3" s="584"/>
      <c r="H3" s="1"/>
    </row>
    <row r="4" spans="1:10" ht="15.75" thickBot="1" x14ac:dyDescent="0.3">
      <c r="A4" s="1"/>
      <c r="B4" s="56" t="s">
        <v>221</v>
      </c>
      <c r="C4" s="31" t="str">
        <f>'For HSSEQ Department'!F2</f>
        <v>Met</v>
      </c>
      <c r="D4" s="1"/>
      <c r="E4" s="585"/>
      <c r="F4" s="586"/>
      <c r="G4" s="587"/>
      <c r="H4" s="61"/>
    </row>
    <row r="5" spans="1:10" ht="15.75" thickBot="1" x14ac:dyDescent="0.3">
      <c r="A5" s="1"/>
      <c r="B5" s="1"/>
      <c r="C5" s="57" t="str">
        <f>IF(C4="Not Met", "Please Review Additional Measures","")</f>
        <v/>
      </c>
      <c r="D5" s="1"/>
      <c r="E5" s="1"/>
      <c r="F5" s="1"/>
      <c r="G5" s="1"/>
      <c r="H5" s="61"/>
    </row>
    <row r="6" spans="1:10" ht="15.75" thickBot="1" x14ac:dyDescent="0.3">
      <c r="A6" s="1"/>
      <c r="B6" s="57" t="s">
        <v>285</v>
      </c>
      <c r="C6" s="31" t="str">
        <f>IF(E15&gt;50%,"Not Met","Met")</f>
        <v>Met</v>
      </c>
      <c r="D6" s="1"/>
      <c r="E6" s="1"/>
      <c r="F6" s="1"/>
      <c r="G6" s="1"/>
      <c r="H6" s="61"/>
    </row>
    <row r="7" spans="1:10" x14ac:dyDescent="0.25">
      <c r="A7" s="1"/>
      <c r="B7" s="1"/>
      <c r="C7" s="1"/>
      <c r="D7" s="1"/>
      <c r="E7" s="58" t="s">
        <v>277</v>
      </c>
      <c r="F7" s="58" t="s">
        <v>203</v>
      </c>
      <c r="G7" s="1"/>
      <c r="H7" s="61"/>
    </row>
    <row r="8" spans="1:10" ht="46.5" thickBot="1" x14ac:dyDescent="0.3">
      <c r="A8" s="1"/>
      <c r="B8" s="1"/>
      <c r="C8" s="1"/>
      <c r="D8" s="1"/>
      <c r="E8" s="59" t="s">
        <v>204</v>
      </c>
      <c r="F8" s="60">
        <f>'MD-GM-Business Development'!H3</f>
        <v>0</v>
      </c>
      <c r="G8" s="65" t="str">
        <f xml:space="preserve"> CONCATENATE("Questions unanswered","    ", 'MD-GM-Business Development'!G67)</f>
        <v>Questions unanswered    9</v>
      </c>
      <c r="H8" s="61"/>
      <c r="I8" s="66">
        <f>'MD-GM-Business Development'!H2</f>
        <v>0</v>
      </c>
      <c r="J8" s="66">
        <v>56</v>
      </c>
    </row>
    <row r="9" spans="1:10" ht="57" customHeight="1" thickBot="1" x14ac:dyDescent="0.3">
      <c r="A9" s="1"/>
      <c r="B9" s="573" t="str">
        <f>IF(I18&gt;0,"","Statement:  This Risk Assessment has been reviewed by the Managing Director / General Manager and the final risk level is such that the regional office is confident that the vessel can be managed efficiently.")</f>
        <v>Statement:  This Risk Assessment has been reviewed by the Managing Director / General Manager and the final risk level is such that the regional office is confident that the vessel can be managed efficiently.</v>
      </c>
      <c r="C9" s="574"/>
      <c r="D9" s="1"/>
      <c r="E9" s="59" t="s">
        <v>9</v>
      </c>
      <c r="F9" s="60">
        <f>'Client Financial Background'!B16</f>
        <v>0</v>
      </c>
      <c r="G9" s="65" t="str">
        <f xml:space="preserve"> CONCATENATE("Questions unanswered","    ",'Client Financial Background'!G11)</f>
        <v>Questions unanswered    5</v>
      </c>
      <c r="H9" s="61"/>
      <c r="I9" s="66">
        <f>'Client Financial Background'!J27</f>
        <v>0</v>
      </c>
      <c r="J9" s="66">
        <v>30</v>
      </c>
    </row>
    <row r="10" spans="1:10" ht="37.5" thickBot="1" x14ac:dyDescent="0.3">
      <c r="A10" s="1"/>
      <c r="B10" s="1"/>
      <c r="C10" s="1"/>
      <c r="D10" s="1"/>
      <c r="E10" s="59" t="s">
        <v>437</v>
      </c>
      <c r="F10" s="60">
        <f>' HSSEQ Tab'!C19</f>
        <v>0</v>
      </c>
      <c r="G10" s="65" t="str">
        <f xml:space="preserve"> CONCATENATE("Questions unanswered","    ", ' HSSEQ Tab'!L57)</f>
        <v>Questions unanswered    10</v>
      </c>
      <c r="H10" s="61"/>
      <c r="I10" s="66">
        <f>' HSSEQ Tab'!M42</f>
        <v>0</v>
      </c>
      <c r="J10" s="66">
        <v>60</v>
      </c>
    </row>
    <row r="11" spans="1:10" ht="37.5" thickBot="1" x14ac:dyDescent="0.3">
      <c r="A11" s="1"/>
      <c r="B11" s="19" t="str">
        <f>IF(I18&gt;0,"","Name: ")</f>
        <v xml:space="preserve">Name: </v>
      </c>
      <c r="C11" s="8"/>
      <c r="D11" s="1"/>
      <c r="E11" s="59" t="s">
        <v>153</v>
      </c>
      <c r="F11" s="60">
        <f>Crewing!C31</f>
        <v>0</v>
      </c>
      <c r="G11" s="65" t="str">
        <f xml:space="preserve"> CONCATENATE("Questions unanswered","    ", Crewing!Q86)</f>
        <v>Questions unanswered    16</v>
      </c>
      <c r="H11" s="61"/>
      <c r="I11" s="66">
        <f>Crewing!R63</f>
        <v>0</v>
      </c>
      <c r="J11" s="66">
        <v>93</v>
      </c>
    </row>
    <row r="12" spans="1:10" ht="25.5" thickBot="1" x14ac:dyDescent="0.3">
      <c r="A12" s="1"/>
      <c r="B12" s="1"/>
      <c r="C12" s="9" t="str">
        <f>IF(I18&gt;0,"","Managing Director / General Manager")</f>
        <v>Managing Director / General Manager</v>
      </c>
      <c r="D12" s="1"/>
      <c r="E12" s="59" t="s">
        <v>17</v>
      </c>
      <c r="F12" s="60">
        <f>'Insurance &amp; Legal'!C16</f>
        <v>0</v>
      </c>
      <c r="G12" s="65" t="str">
        <f xml:space="preserve"> CONCATENATE("Questions unanswered","    ",'Insurance &amp; Legal'!K29)</f>
        <v>Questions unanswered    4</v>
      </c>
      <c r="H12" s="61"/>
      <c r="I12" s="66">
        <f>'Insurance &amp; Legal'!L21</f>
        <v>0</v>
      </c>
      <c r="J12" s="66">
        <v>24</v>
      </c>
    </row>
    <row r="13" spans="1:10" ht="25.5" thickBot="1" x14ac:dyDescent="0.3">
      <c r="A13" s="1"/>
      <c r="B13" s="1"/>
      <c r="C13" s="1"/>
      <c r="D13" s="1"/>
      <c r="E13" s="62" t="s">
        <v>206</v>
      </c>
      <c r="F13" s="63">
        <f>Technical!C19</f>
        <v>0</v>
      </c>
      <c r="G13" s="65" t="str">
        <f xml:space="preserve"> CONCATENATE("Questions unanswered","    ", Technical!J40)</f>
        <v>Questions unanswered    9</v>
      </c>
      <c r="H13" s="61"/>
      <c r="I13" s="66">
        <f>Technical!K26</f>
        <v>0</v>
      </c>
      <c r="J13" s="66">
        <v>48</v>
      </c>
    </row>
    <row r="14" spans="1:10" ht="15.75" thickBot="1" x14ac:dyDescent="0.3">
      <c r="A14" s="1"/>
      <c r="B14" s="18" t="str">
        <f>IF(I18&gt;0,"","Dated:")</f>
        <v>Dated:</v>
      </c>
      <c r="C14" s="17"/>
      <c r="D14" s="1"/>
      <c r="E14" s="591" t="s">
        <v>284</v>
      </c>
      <c r="F14" s="592"/>
      <c r="G14" s="1"/>
      <c r="H14" s="61"/>
      <c r="I14" s="66">
        <f>SUM(I8:I13)</f>
        <v>0</v>
      </c>
      <c r="J14" s="66">
        <f>SUM(J8:J13)</f>
        <v>311</v>
      </c>
    </row>
    <row r="15" spans="1:10" ht="21" customHeight="1" thickBot="1" x14ac:dyDescent="0.3">
      <c r="A15" s="1"/>
      <c r="B15" s="1"/>
      <c r="C15" s="1"/>
      <c r="D15" s="1"/>
      <c r="E15" s="593">
        <f>I14/J14</f>
        <v>0</v>
      </c>
      <c r="F15" s="594"/>
      <c r="G15" s="1"/>
      <c r="H15" s="61"/>
    </row>
    <row r="16" spans="1:10" ht="29.25" customHeight="1" thickBot="1" x14ac:dyDescent="0.3">
      <c r="A16" s="1"/>
      <c r="B16" s="1"/>
      <c r="C16" s="1"/>
      <c r="D16" s="1"/>
      <c r="E16" s="1"/>
      <c r="F16" s="1"/>
      <c r="G16" s="1"/>
      <c r="H16" s="61"/>
      <c r="I16" s="66">
        <f>IF(C4="Not Met",1,0)</f>
        <v>0</v>
      </c>
    </row>
    <row r="17" spans="1:9" x14ac:dyDescent="0.25">
      <c r="A17" s="1"/>
      <c r="B17" s="576" t="str">
        <f>IF('MD-GM-Business Development'!H9=7,"Not acceptable for entry to management","")</f>
        <v/>
      </c>
      <c r="C17" s="577"/>
      <c r="D17" s="577"/>
      <c r="E17" s="577"/>
      <c r="F17" s="578"/>
      <c r="G17" s="1"/>
      <c r="H17" s="61"/>
      <c r="I17" s="66">
        <f>IF(C6="Not Met",1,0)</f>
        <v>0</v>
      </c>
    </row>
    <row r="18" spans="1:9" ht="15.75" thickBot="1" x14ac:dyDescent="0.3">
      <c r="A18" s="1"/>
      <c r="B18" s="579" t="str">
        <f>IF(B17="","",'MD-GM-Business Development'!C26)</f>
        <v/>
      </c>
      <c r="C18" s="580"/>
      <c r="D18" s="580"/>
      <c r="E18" s="580"/>
      <c r="F18" s="581"/>
      <c r="G18" s="1"/>
      <c r="H18" s="61"/>
      <c r="I18" s="66">
        <f>SUM(I16:I17)</f>
        <v>0</v>
      </c>
    </row>
    <row r="19" spans="1:9" ht="15.75" thickBot="1" x14ac:dyDescent="0.3">
      <c r="A19" s="1"/>
      <c r="B19" s="1"/>
      <c r="C19" s="1"/>
      <c r="D19" s="1"/>
      <c r="E19" s="1"/>
      <c r="F19" s="1"/>
      <c r="G19" s="1"/>
      <c r="H19" s="61"/>
    </row>
    <row r="20" spans="1:9" x14ac:dyDescent="0.25">
      <c r="A20" s="1"/>
      <c r="B20" s="567" t="str">
        <f>IF('MD-GM-Business Development'!H23=7,"Not acceptable for entry to management","")</f>
        <v/>
      </c>
      <c r="C20" s="568"/>
      <c r="D20" s="568"/>
      <c r="E20" s="568"/>
      <c r="F20" s="569"/>
      <c r="G20" s="1"/>
      <c r="H20" s="61"/>
    </row>
    <row r="21" spans="1:9" ht="15.75" thickBot="1" x14ac:dyDescent="0.3">
      <c r="A21" s="1"/>
      <c r="B21" s="588" t="str">
        <f>IF(B20="","",'MD-GM-Business Development'!C23)</f>
        <v/>
      </c>
      <c r="C21" s="589"/>
      <c r="D21" s="589"/>
      <c r="E21" s="589"/>
      <c r="F21" s="590"/>
      <c r="G21" s="1"/>
      <c r="H21" s="61"/>
    </row>
    <row r="22" spans="1:9" ht="15.75" thickBot="1" x14ac:dyDescent="0.3">
      <c r="A22" s="1"/>
      <c r="B22" s="1"/>
      <c r="C22" s="1"/>
      <c r="D22" s="1"/>
      <c r="E22" s="1"/>
      <c r="F22" s="1"/>
      <c r="G22" s="1"/>
      <c r="H22" s="61"/>
    </row>
    <row r="23" spans="1:9" x14ac:dyDescent="0.25">
      <c r="A23" s="1"/>
      <c r="B23" s="576" t="str">
        <f>IF('Additional Measures'!I16="","",IF('Additional Measures'!I16="Accepted","","Not accepted for entry to management"))</f>
        <v/>
      </c>
      <c r="C23" s="577"/>
      <c r="D23" s="577"/>
      <c r="E23" s="577"/>
      <c r="F23" s="578"/>
      <c r="G23" s="1"/>
      <c r="H23" s="61"/>
    </row>
    <row r="24" spans="1:9" ht="15.75" thickBot="1" x14ac:dyDescent="0.3">
      <c r="A24" s="1"/>
      <c r="B24" s="579" t="str">
        <f>IF(B23="","",Technical!B11)</f>
        <v/>
      </c>
      <c r="C24" s="580"/>
      <c r="D24" s="580"/>
      <c r="E24" s="580"/>
      <c r="F24" s="581"/>
      <c r="G24" s="1"/>
      <c r="H24" s="61"/>
    </row>
    <row r="25" spans="1:9" ht="15.75" thickBot="1" x14ac:dyDescent="0.3">
      <c r="A25" s="1"/>
      <c r="B25" s="1"/>
      <c r="C25" s="1"/>
      <c r="D25" s="1"/>
      <c r="E25" s="1"/>
      <c r="F25" s="1"/>
      <c r="G25" s="1"/>
      <c r="H25" s="61"/>
    </row>
    <row r="26" spans="1:9" x14ac:dyDescent="0.25">
      <c r="A26" s="1"/>
      <c r="B26" s="567" t="str">
        <f>IF('MD-GM-Business Development'!H31=7,"Not acceptable for entry to management","")</f>
        <v/>
      </c>
      <c r="C26" s="568"/>
      <c r="D26" s="568"/>
      <c r="E26" s="568"/>
      <c r="F26" s="569"/>
      <c r="G26" s="1"/>
      <c r="H26" s="61"/>
    </row>
    <row r="27" spans="1:9" ht="15.75" thickBot="1" x14ac:dyDescent="0.3">
      <c r="A27" s="1"/>
      <c r="B27" s="588" t="str">
        <f>IF(B26="","",'MD-GM-Business Development'!C27)</f>
        <v/>
      </c>
      <c r="C27" s="589"/>
      <c r="D27" s="589"/>
      <c r="E27" s="589"/>
      <c r="F27" s="590"/>
      <c r="G27" s="1"/>
      <c r="H27" s="61"/>
    </row>
    <row r="28" spans="1:9" ht="15.75" thickBot="1" x14ac:dyDescent="0.3">
      <c r="A28" s="1"/>
      <c r="B28" s="1"/>
      <c r="C28" s="1"/>
      <c r="D28" s="1"/>
      <c r="E28" s="1"/>
      <c r="F28" s="1"/>
      <c r="G28" s="1"/>
      <c r="H28" s="61"/>
    </row>
    <row r="29" spans="1:9" x14ac:dyDescent="0.25">
      <c r="A29" s="1"/>
      <c r="B29" s="567" t="str">
        <f>IF(B30="","","Not acceptable for entry to management")</f>
        <v/>
      </c>
      <c r="C29" s="568"/>
      <c r="D29" s="568"/>
      <c r="E29" s="568"/>
      <c r="F29" s="569"/>
      <c r="G29" s="1"/>
      <c r="H29" s="61"/>
    </row>
    <row r="30" spans="1:9" ht="15.75" thickBot="1" x14ac:dyDescent="0.3">
      <c r="A30" s="1"/>
      <c r="B30" s="570" t="str">
        <f>IF('MD-GM-Business Development'!E11="","","Does not meet minimum criteria for age")</f>
        <v/>
      </c>
      <c r="C30" s="571"/>
      <c r="D30" s="571"/>
      <c r="E30" s="571"/>
      <c r="F30" s="572"/>
      <c r="G30" s="1"/>
      <c r="H30" s="61"/>
    </row>
    <row r="31" spans="1:9" x14ac:dyDescent="0.25">
      <c r="A31" s="1"/>
      <c r="B31" s="1"/>
      <c r="C31" s="1"/>
      <c r="D31" s="1"/>
      <c r="E31" s="1"/>
      <c r="F31" s="1"/>
      <c r="G31" s="1"/>
      <c r="H31" s="61"/>
    </row>
    <row r="32" spans="1:9" x14ac:dyDescent="0.25">
      <c r="A32" s="1"/>
      <c r="B32" s="1"/>
      <c r="C32" s="1"/>
      <c r="D32" s="1"/>
      <c r="E32" s="1"/>
      <c r="F32" s="1"/>
      <c r="G32" s="1"/>
      <c r="H32" s="61"/>
    </row>
    <row r="33" spans="1:8" x14ac:dyDescent="0.25">
      <c r="A33" s="1"/>
      <c r="B33" s="1"/>
      <c r="C33" s="1"/>
      <c r="D33" s="1"/>
      <c r="E33" s="1"/>
      <c r="F33" s="1"/>
      <c r="G33" s="1"/>
      <c r="H33" s="61"/>
    </row>
    <row r="34" spans="1:8" x14ac:dyDescent="0.25">
      <c r="A34" s="1"/>
      <c r="B34" s="1"/>
      <c r="C34" s="1"/>
      <c r="D34" s="1"/>
      <c r="E34" s="1"/>
      <c r="F34" s="1"/>
      <c r="G34" s="1"/>
      <c r="H34" s="61"/>
    </row>
    <row r="35" spans="1:8" x14ac:dyDescent="0.25">
      <c r="A35" s="1"/>
      <c r="B35" s="1"/>
      <c r="C35" s="1"/>
      <c r="D35" s="1"/>
      <c r="E35" s="1"/>
      <c r="F35" s="1"/>
      <c r="G35" s="1"/>
      <c r="H35" s="61"/>
    </row>
    <row r="36" spans="1:8" x14ac:dyDescent="0.25">
      <c r="A36" s="1"/>
      <c r="B36" s="1"/>
      <c r="C36" s="1"/>
      <c r="D36" s="1"/>
      <c r="E36" s="1"/>
      <c r="F36" s="1"/>
      <c r="G36" s="1"/>
      <c r="H36" s="61"/>
    </row>
    <row r="37" spans="1:8" x14ac:dyDescent="0.25">
      <c r="A37" s="1"/>
      <c r="B37" s="1"/>
      <c r="C37" s="1"/>
      <c r="D37" s="1"/>
      <c r="E37" s="1"/>
      <c r="F37" s="1"/>
      <c r="G37" s="1"/>
      <c r="H37" s="61"/>
    </row>
    <row r="38" spans="1:8" x14ac:dyDescent="0.25">
      <c r="A38" s="1"/>
      <c r="B38" s="1"/>
      <c r="C38" s="1"/>
      <c r="D38" s="1"/>
      <c r="E38" s="1"/>
      <c r="F38" s="1"/>
      <c r="G38" s="1"/>
      <c r="H38" s="61"/>
    </row>
    <row r="39" spans="1:8" x14ac:dyDescent="0.25">
      <c r="A39" s="1"/>
      <c r="B39" s="1"/>
      <c r="C39" s="1"/>
      <c r="D39" s="1"/>
      <c r="E39" s="1"/>
      <c r="F39" s="1"/>
      <c r="G39" s="1"/>
      <c r="H39" s="61"/>
    </row>
    <row r="40" spans="1:8" x14ac:dyDescent="0.25">
      <c r="A40" s="1"/>
      <c r="B40" s="1"/>
      <c r="C40" s="1"/>
      <c r="D40" s="1"/>
      <c r="E40" s="1"/>
      <c r="F40" s="1"/>
      <c r="G40" s="1"/>
      <c r="H40" s="61"/>
    </row>
    <row r="41" spans="1:8" x14ac:dyDescent="0.25">
      <c r="A41" s="1"/>
      <c r="B41" s="1"/>
      <c r="C41" s="1"/>
      <c r="D41" s="1"/>
      <c r="E41" s="1"/>
      <c r="F41" s="1"/>
      <c r="G41" s="1"/>
      <c r="H41" s="61"/>
    </row>
  </sheetData>
  <sheetProtection algorithmName="SHA-512" hashValue="wRzLCLmooVdGov6nidAM0kJNxDi3B65BDikJt7NNk+AMOTniPPefrMgmA37RRrtfcob2QIhHnnYNFq6nvIw/5w==" saltValue="JRe5aBxpjfAjoNsw4ugHCA==" spinCount="100000" sheet="1" objects="1" scenarios="1"/>
  <mergeCells count="16">
    <mergeCell ref="B29:F29"/>
    <mergeCell ref="B30:F30"/>
    <mergeCell ref="B2:G2"/>
    <mergeCell ref="B9:C9"/>
    <mergeCell ref="B1:H1"/>
    <mergeCell ref="B17:F17"/>
    <mergeCell ref="B18:F18"/>
    <mergeCell ref="E3:G4"/>
    <mergeCell ref="B26:F26"/>
    <mergeCell ref="B27:F27"/>
    <mergeCell ref="E14:F14"/>
    <mergeCell ref="E15:F15"/>
    <mergeCell ref="B20:F20"/>
    <mergeCell ref="B21:F21"/>
    <mergeCell ref="B23:F23"/>
    <mergeCell ref="B24:F24"/>
  </mergeCells>
  <conditionalFormatting sqref="F8:F13">
    <cfRule type="cellIs" dxfId="16" priority="18" operator="greaterThan">
      <formula>0.5</formula>
    </cfRule>
  </conditionalFormatting>
  <conditionalFormatting sqref="B17:F17">
    <cfRule type="cellIs" dxfId="15" priority="15" operator="equal">
      <formula>"Not acceptable for entry to management"</formula>
    </cfRule>
    <cfRule type="cellIs" dxfId="14" priority="16" operator="equal">
      <formula>"""Not acceptable for entry to management"""</formula>
    </cfRule>
  </conditionalFormatting>
  <conditionalFormatting sqref="B20:F20">
    <cfRule type="cellIs" dxfId="13" priority="14" operator="equal">
      <formula>"Not acceptable for entry to management"</formula>
    </cfRule>
  </conditionalFormatting>
  <conditionalFormatting sqref="C4">
    <cfRule type="cellIs" dxfId="12" priority="6" operator="equal">
      <formula>"Met"</formula>
    </cfRule>
    <cfRule type="cellIs" dxfId="11" priority="13" operator="equal">
      <formula>"Not Met"</formula>
    </cfRule>
  </conditionalFormatting>
  <conditionalFormatting sqref="B23:F23">
    <cfRule type="cellIs" dxfId="10" priority="11" operator="equal">
      <formula>"Not acceptable for entry to management"</formula>
    </cfRule>
    <cfRule type="cellIs" dxfId="9" priority="12" operator="equal">
      <formula>"""Not acceptable for entry to management"""</formula>
    </cfRule>
  </conditionalFormatting>
  <conditionalFormatting sqref="B26:F26">
    <cfRule type="cellIs" dxfId="8" priority="10" operator="equal">
      <formula>"Not acceptable for entry to management"</formula>
    </cfRule>
  </conditionalFormatting>
  <conditionalFormatting sqref="E15:F15">
    <cfRule type="cellIs" dxfId="7" priority="9" operator="greaterThan">
      <formula>0.5</formula>
    </cfRule>
  </conditionalFormatting>
  <conditionalFormatting sqref="C6">
    <cfRule type="cellIs" dxfId="6" priority="7" operator="equal">
      <formula>"Met"</formula>
    </cfRule>
    <cfRule type="cellIs" dxfId="5" priority="8" operator="equal">
      <formula>"Not Met"</formula>
    </cfRule>
  </conditionalFormatting>
  <conditionalFormatting sqref="B11:C14">
    <cfRule type="cellIs" dxfId="4" priority="5" operator="equal">
      <formula>""""""</formula>
    </cfRule>
  </conditionalFormatting>
  <conditionalFormatting sqref="E3:G4">
    <cfRule type="cellIs" dxfId="3" priority="4" operator="equal">
      <formula>"Insufficient time for review"</formula>
    </cfRule>
  </conditionalFormatting>
  <conditionalFormatting sqref="B29:F29">
    <cfRule type="cellIs" dxfId="2" priority="3" operator="equal">
      <formula>"Not acceptable for entry to management"</formula>
    </cfRule>
  </conditionalFormatting>
  <conditionalFormatting sqref="C3">
    <cfRule type="cellIs" dxfId="1" priority="1" operator="equal">
      <formula>"Sanctions Issue"</formula>
    </cfRule>
  </conditionalFormatting>
  <pageMargins left="0.70866141732283472" right="0.70866141732283472" top="0.74803149606299213" bottom="0.74803149606299213" header="0.31496062992125984" footer="0.31496062992125984"/>
  <pageSetup paperSize="9" scale="73" orientation="landscape" r:id="rId1"/>
  <headerFooter>
    <oddFooter>&amp;CRSQ 02&amp;RRevision 6.0</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F834DB-DF4B-4C38-89FC-F1B9EAB92F32}">
  <dimension ref="A2:F23"/>
  <sheetViews>
    <sheetView workbookViewId="0">
      <selection activeCell="G31" sqref="G31"/>
    </sheetView>
  </sheetViews>
  <sheetFormatPr defaultRowHeight="15" x14ac:dyDescent="0.25"/>
  <cols>
    <col min="1" max="1" width="74.42578125" style="14" customWidth="1"/>
    <col min="2" max="2" width="65.85546875" style="14" bestFit="1" customWidth="1"/>
    <col min="3" max="16384" width="9.140625" style="14"/>
  </cols>
  <sheetData>
    <row r="2" spans="1:6" x14ac:dyDescent="0.25">
      <c r="A2" s="182" t="str">
        <f>'Minimum Criteria'!B6</f>
        <v>Vessel has not maintained Class with IACS Class Society since new build</v>
      </c>
      <c r="B2" s="183" t="str">
        <f>'Minimum Criteria'!C6</f>
        <v>Vessel in compliance</v>
      </c>
      <c r="C2" s="14">
        <f>IF('Additional Measures'!I6="Not Accepted",6,0)</f>
        <v>0</v>
      </c>
      <c r="E2" s="14">
        <f>SUM(C2:C15)+C18</f>
        <v>0</v>
      </c>
      <c r="F2" s="14" t="str">
        <f>IF(E2&gt;0,"Not Met","Met")</f>
        <v>Met</v>
      </c>
    </row>
    <row r="3" spans="1:6" x14ac:dyDescent="0.25">
      <c r="A3" s="182" t="str">
        <f>'Minimum Criteria'!B7</f>
        <v>P+I insurance not with International Group Club.</v>
      </c>
      <c r="B3" s="183" t="str">
        <f>'Minimum Criteria'!C7</f>
        <v>Vessel in compliance</v>
      </c>
      <c r="C3" s="14">
        <f>IF('Additional Measures'!I7="Not Accepted",6,0)</f>
        <v>0</v>
      </c>
    </row>
    <row r="4" spans="1:6" x14ac:dyDescent="0.25">
      <c r="A4" s="182" t="str">
        <f>'Minimum Criteria'!B8</f>
        <v>Vessel above maximum preferable age:</v>
      </c>
      <c r="B4" s="183" t="str">
        <f>'Minimum Criteria'!C8</f>
        <v>Vessel in compliance</v>
      </c>
      <c r="C4" s="14">
        <f>IF('Additional Measures'!I8="Not Accepted",6,0)</f>
        <v>0</v>
      </c>
    </row>
    <row r="5" spans="1:6" s="4" customFormat="1" ht="26.25" x14ac:dyDescent="0.25">
      <c r="A5" s="183" t="str">
        <f>'Minimum Criteria'!B12</f>
        <v>Poor Port State History: maximum 1 detention in the previous 2 years, maximum 10 defects in same period.</v>
      </c>
      <c r="B5" s="183" t="e">
        <f>'Minimum Criteria'!C12</f>
        <v>#REF!</v>
      </c>
      <c r="C5" s="14">
        <f>IF('Additional Measures'!I9="Not Accepted",6,0)</f>
        <v>0</v>
      </c>
    </row>
    <row r="6" spans="1:6" s="4" customFormat="1" x14ac:dyDescent="0.25">
      <c r="A6" s="183" t="str">
        <f>'Minimum Criteria'!B13</f>
        <v>Vessel  appears on USCG blacklist (previous owner or vessel).</v>
      </c>
      <c r="B6" s="183">
        <f>'Minimum Criteria'!C13</f>
        <v>0</v>
      </c>
      <c r="C6" s="14">
        <f>IF('Additional Measures'!I10="Not Accepted",6,0)</f>
        <v>0</v>
      </c>
    </row>
    <row r="7" spans="1:6" s="4" customFormat="1" x14ac:dyDescent="0.25">
      <c r="A7" s="183" t="str">
        <f>'Minimum Criteria'!B14</f>
        <v>Vessel and/or owner are on any US or other governmental sanctions blacklist.</v>
      </c>
      <c r="B7" s="183">
        <f>'Minimum Criteria'!C14</f>
        <v>0</v>
      </c>
      <c r="C7" s="14">
        <f>IF('Additional Measures'!I11="Not Accepted",6,0)</f>
        <v>0</v>
      </c>
    </row>
    <row r="8" spans="1:6" ht="26.25" x14ac:dyDescent="0.25">
      <c r="A8" s="183" t="str">
        <f>'Minimum Criteria'!B15</f>
        <v xml:space="preserve">A copy of the client’s latest audited accounts and / or a report from a credit risk rating company (e.g. Infospectrum or similar) has not been received. </v>
      </c>
      <c r="B8" s="183">
        <f>'Minimum Criteria'!C15</f>
        <v>0</v>
      </c>
      <c r="C8" s="14">
        <f>IF('Additional Measures'!I12="Not Accepted",6,0)</f>
        <v>0</v>
      </c>
    </row>
    <row r="9" spans="1:6" x14ac:dyDescent="0.25">
      <c r="A9" s="182" t="str">
        <f>'Minimum Criteria'!B16</f>
        <v>The ship’s Flag is on the Paris MOU blacklist.</v>
      </c>
      <c r="B9" s="183">
        <f>'Minimum Criteria'!C16</f>
        <v>0</v>
      </c>
      <c r="C9" s="14">
        <f>IF('Additional Measures'!I13="Not Accepted",6,0)</f>
        <v>0</v>
      </c>
    </row>
    <row r="10" spans="1:6" x14ac:dyDescent="0.25">
      <c r="A10" s="182" t="str">
        <f>'Minimum Criteria'!B17</f>
        <v>Conditions of Class, or Conditions of Authority, exist affecting trading.</v>
      </c>
      <c r="B10" s="183">
        <f>'Minimum Criteria'!C17</f>
        <v>0</v>
      </c>
      <c r="C10" s="14">
        <f>IF('Additional Measures'!I14="Not Accepted",6,0)</f>
        <v>0</v>
      </c>
    </row>
    <row r="11" spans="1:6" x14ac:dyDescent="0.25">
      <c r="A11" s="182" t="str">
        <f>'Minimum Criteria'!B18</f>
        <v>Vessel NOT  crewed through the V.Ships in-house crew management network .</v>
      </c>
      <c r="B11" s="183">
        <f>'Minimum Criteria'!C18</f>
        <v>0</v>
      </c>
      <c r="C11" s="14">
        <f>IF('Additional Measures'!I15="Not Accepted",6,0)</f>
        <v>0</v>
      </c>
    </row>
    <row r="12" spans="1:6" ht="39.75" customHeight="1" x14ac:dyDescent="0.25">
      <c r="A12" s="182" t="str">
        <f>'Minimum Criteria'!B19</f>
        <v>No inspection report by V.Group staff in the last 3 months. (New Builds exempt)</v>
      </c>
      <c r="B12" s="183" t="str">
        <f>'Minimum Criteria'!C19</f>
        <v>Inspection report by V.Group staff in the last 3 months. (New Builds exempt)</v>
      </c>
      <c r="C12" s="14">
        <f>IF('Additional Measures'!I16="Not Accepted",6,0)</f>
        <v>0</v>
      </c>
    </row>
    <row r="13" spans="1:6" x14ac:dyDescent="0.25">
      <c r="A13" s="182" t="str">
        <f>'Minimum Criteria'!B20</f>
        <v>The crewing agreement NOT in line with ITF agreements (Answer "Yes" if not in line).</v>
      </c>
      <c r="B13" s="183">
        <f>'Minimum Criteria'!C20</f>
        <v>0</v>
      </c>
      <c r="C13" s="14">
        <f>IF('Additional Measures'!I17="Not Accepted",6,0)</f>
        <v>0</v>
      </c>
    </row>
    <row r="14" spans="1:6" x14ac:dyDescent="0.25">
      <c r="A14" s="182" t="str">
        <f>'Minimum Criteria'!B21</f>
        <v>Management Agreement NOT under English law. (Answer "Yes" if not under English Law).</v>
      </c>
      <c r="B14" s="183">
        <f>'Minimum Criteria'!C21</f>
        <v>0</v>
      </c>
      <c r="C14" s="14">
        <f>IF('Additional Measures'!I18="Not Accepted",6,0)</f>
        <v>0</v>
      </c>
    </row>
    <row r="15" spans="1:6" ht="26.25" x14ac:dyDescent="0.25">
      <c r="A15" s="183" t="str">
        <f>'Minimum Criteria'!B22</f>
        <v>If the crew are being directly employed by a V.Group company, Form CRW11 must be signed off by the Group Tax Department.</v>
      </c>
      <c r="B15" s="183">
        <f>'Minimum Criteria'!C22</f>
        <v>0</v>
      </c>
      <c r="C15" s="14">
        <f>IF('Additional Measures'!I19="Not Accepted",6,0)</f>
        <v>0</v>
      </c>
    </row>
    <row r="16" spans="1:6" x14ac:dyDescent="0.25">
      <c r="A16" s="182" t="str">
        <f>'MD-GM-Business Development'!C26</f>
        <v>Will the vessel subscribe to On Board Training by Seatec?</v>
      </c>
      <c r="B16" s="182">
        <f>'MD-GM-Business Development'!D26</f>
        <v>0</v>
      </c>
      <c r="C16" s="14">
        <f>IF('MD-GM-Business Development'!D26='MD-GM-Business Development'!G9,6,IF('MD-GM-Business Development'!D26='MD-GM-Business Development'!G8,3,0))</f>
        <v>0</v>
      </c>
    </row>
    <row r="17" spans="1:3" x14ac:dyDescent="0.25">
      <c r="A17" s="182" t="str">
        <f>' HSSEQ Tab'!B10</f>
        <v>5. Flag State Detentions in Past 2 Years (Flag to be consulted)</v>
      </c>
      <c r="B17" s="182">
        <f>' HSSEQ Tab'!C10</f>
        <v>0</v>
      </c>
      <c r="C17" s="14">
        <f>SUM(' HSSEQ Tab'!M61:M63)</f>
        <v>0</v>
      </c>
    </row>
    <row r="18" spans="1:3" x14ac:dyDescent="0.25">
      <c r="A18" s="182" t="str">
        <f>' HSSEQ Tab'!B11</f>
        <v>6. Sanction Check Result (Purpletrac Sanctions report available from Central HSSEQ)</v>
      </c>
      <c r="B18" s="182">
        <f>' HSSEQ Tab'!C11</f>
        <v>0</v>
      </c>
      <c r="C18" s="14">
        <f>SUM(' HSSEQ Tab'!M66)</f>
        <v>0</v>
      </c>
    </row>
    <row r="19" spans="1:3" x14ac:dyDescent="0.25">
      <c r="A19" s="182" t="str">
        <f>' HSSEQ Tab'!B12</f>
        <v>7. Seatec attendance: When will Seatec join the vessel?</v>
      </c>
      <c r="B19" s="182">
        <f>' HSSEQ Tab'!C12</f>
        <v>0</v>
      </c>
      <c r="C19" s="14">
        <f>SUM(' HSSEQ Tab'!M71:M73)</f>
        <v>0</v>
      </c>
    </row>
    <row r="20" spans="1:3" x14ac:dyDescent="0.25">
      <c r="A20" s="182" t="str">
        <f>Technical!B15</f>
        <v>Observers attending Vessel</v>
      </c>
      <c r="B20" s="182">
        <f>Technical!C15</f>
        <v>0</v>
      </c>
      <c r="C20" s="14">
        <f>SUM(Technical!K6:K11)</f>
        <v>0</v>
      </c>
    </row>
    <row r="21" spans="1:3" x14ac:dyDescent="0.25">
      <c r="A21" s="284" t="str">
        <f>Technical!B14</f>
        <v>Pre-purchase inspection result</v>
      </c>
      <c r="B21" s="284">
        <f>Technical!C14</f>
        <v>0</v>
      </c>
      <c r="C21" s="14">
        <f>SUM(Technical!K12:K17)</f>
        <v>0</v>
      </c>
    </row>
    <row r="22" spans="1:3" x14ac:dyDescent="0.25">
      <c r="A22" s="285" t="str">
        <f>' HSSEQ Tab'!B14</f>
        <v xml:space="preserve">9. Last full Env Compliance inspections to latest RSQ21 standard </v>
      </c>
      <c r="B22" s="285">
        <f>' HSSEQ Tab'!C14</f>
        <v>0</v>
      </c>
      <c r="C22" s="286">
        <f>IF(' HSSEQ Tab'!C14=Technical!J24,6,0)</f>
        <v>0</v>
      </c>
    </row>
    <row r="23" spans="1:3" x14ac:dyDescent="0.25">
      <c r="B23" s="14" t="s">
        <v>358</v>
      </c>
      <c r="C23" s="184">
        <f>1-(SUM(C2:C22)/126)</f>
        <v>1</v>
      </c>
    </row>
  </sheetData>
  <sheetProtection algorithmName="SHA-512" hashValue="AQoxlxmfjo1G6O5tNpu/dupNhbdvWldiTqQ3fqE8J6R13Hg6eNezOqHt2i01UueblhL/rlJB/mqrVG5TqMskKQ==" saltValue="7CobqggaWioiBjxfgDDaBQ==" spinCount="100000" sheet="1" objects="1" scenarios="1"/>
  <conditionalFormatting sqref="C23">
    <cfRule type="cellIs" dxfId="0" priority="1" operator="lessThan">
      <formula>0.5</formula>
    </cfRule>
  </conditionalFormatting>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X83"/>
  <sheetViews>
    <sheetView showGridLines="0" zoomScale="85" zoomScaleNormal="85" workbookViewId="0">
      <selection activeCell="I6" sqref="I6:M7"/>
    </sheetView>
  </sheetViews>
  <sheetFormatPr defaultRowHeight="15" x14ac:dyDescent="0.25"/>
  <cols>
    <col min="1" max="2" width="9.140625" style="192"/>
    <col min="3" max="3" width="37.42578125" style="192" bestFit="1" customWidth="1"/>
    <col min="4" max="4" width="56.140625" style="192" customWidth="1"/>
    <col min="5" max="5" width="27.28515625" style="192" customWidth="1"/>
    <col min="6" max="6" width="49" style="191" customWidth="1"/>
    <col min="7" max="7" width="38.5703125" style="61" customWidth="1"/>
    <col min="8" max="15" width="9.140625" style="61"/>
    <col min="16" max="16" width="16.140625" style="61" bestFit="1" customWidth="1"/>
    <col min="17" max="24" width="9.140625" style="61"/>
    <col min="25" max="16384" width="9.140625" style="192"/>
  </cols>
  <sheetData>
    <row r="1" spans="1:16" x14ac:dyDescent="0.25">
      <c r="A1" s="1"/>
      <c r="B1" s="1"/>
      <c r="C1" s="423" t="s">
        <v>313</v>
      </c>
      <c r="D1" s="423"/>
      <c r="E1" s="423"/>
      <c r="F1" s="423"/>
    </row>
    <row r="2" spans="1:16" ht="15.75" thickBot="1" x14ac:dyDescent="0.3">
      <c r="A2" s="1"/>
      <c r="B2" s="1"/>
      <c r="C2" s="1" t="s">
        <v>422</v>
      </c>
      <c r="D2" s="1"/>
      <c r="E2" s="1"/>
      <c r="F2" s="61"/>
      <c r="H2" s="61">
        <f>SUM(H5:H45)</f>
        <v>0</v>
      </c>
    </row>
    <row r="3" spans="1:16" ht="15.75" thickBot="1" x14ac:dyDescent="0.3">
      <c r="A3" s="1"/>
      <c r="B3" s="1"/>
      <c r="C3" s="424" t="s">
        <v>117</v>
      </c>
      <c r="D3" s="425"/>
      <c r="E3" s="61"/>
      <c r="F3" s="269" t="s">
        <v>29</v>
      </c>
      <c r="H3" s="186">
        <f>H2/56</f>
        <v>0</v>
      </c>
    </row>
    <row r="4" spans="1:16" x14ac:dyDescent="0.25">
      <c r="A4" s="1"/>
      <c r="B4" s="1"/>
      <c r="C4" s="29" t="s">
        <v>0</v>
      </c>
      <c r="D4" s="287"/>
      <c r="E4" s="61"/>
      <c r="F4" s="71"/>
      <c r="G4" s="308"/>
      <c r="P4" s="274">
        <f ca="1">NOW()</f>
        <v>44249.453597337961</v>
      </c>
    </row>
    <row r="5" spans="1:16" x14ac:dyDescent="0.25">
      <c r="A5" s="1"/>
      <c r="B5" s="1"/>
      <c r="C5" s="30" t="s">
        <v>6</v>
      </c>
      <c r="D5" s="288"/>
      <c r="E5" s="274">
        <f ca="1">NOW()</f>
        <v>44249.453597337961</v>
      </c>
      <c r="F5" s="61"/>
      <c r="G5" s="66" t="s">
        <v>74</v>
      </c>
      <c r="H5" s="61">
        <f>IF($D$17=G5,I5,0)</f>
        <v>0</v>
      </c>
      <c r="I5" s="61">
        <v>6</v>
      </c>
      <c r="N5" s="61">
        <f>IF(D9="Yes",1,SUM(N7:N31))</f>
        <v>0</v>
      </c>
      <c r="P5" s="275">
        <f ca="1">ABS(P4-D10)</f>
        <v>44249.453597337961</v>
      </c>
    </row>
    <row r="6" spans="1:16" ht="15.75" thickBot="1" x14ac:dyDescent="0.3">
      <c r="A6" s="1"/>
      <c r="B6" s="1"/>
      <c r="C6" s="30" t="s">
        <v>1</v>
      </c>
      <c r="D6" s="288"/>
      <c r="E6" s="113">
        <f ca="1">D7-E5</f>
        <v>-44249.453597337961</v>
      </c>
      <c r="F6" s="61"/>
      <c r="G6" s="66" t="s">
        <v>77</v>
      </c>
      <c r="H6" s="61">
        <f>IF($D$17=G6,I6,0)</f>
        <v>0</v>
      </c>
      <c r="I6" s="61">
        <v>1</v>
      </c>
      <c r="P6" s="61">
        <f ca="1">P5/30</f>
        <v>1474.9817865779321</v>
      </c>
    </row>
    <row r="7" spans="1:16" ht="15.75" thickBot="1" x14ac:dyDescent="0.3">
      <c r="A7" s="1"/>
      <c r="B7" s="1"/>
      <c r="C7" s="30" t="s">
        <v>364</v>
      </c>
      <c r="D7" s="263"/>
      <c r="E7" s="313" t="str">
        <f ca="1">IF(E6&lt;5,"Insufficient time for review","")</f>
        <v>Insufficient time for review</v>
      </c>
      <c r="F7" s="264" t="s">
        <v>272</v>
      </c>
      <c r="G7" s="61" t="s">
        <v>143</v>
      </c>
      <c r="H7" s="270" t="str">
        <f>IF($D$26=G7,I7,"0")</f>
        <v>0</v>
      </c>
      <c r="I7" s="61">
        <v>1</v>
      </c>
      <c r="K7" s="61">
        <v>21</v>
      </c>
      <c r="L7" s="61" t="s">
        <v>224</v>
      </c>
      <c r="M7" s="61">
        <f ca="1">K7-$P$7</f>
        <v>-100.23137971873413</v>
      </c>
      <c r="N7" s="61" t="str">
        <f>IF(L7=$D$8,M7,"")</f>
        <v/>
      </c>
      <c r="P7" s="61">
        <f ca="1">P5/365</f>
        <v>121.23137971873413</v>
      </c>
    </row>
    <row r="8" spans="1:16" ht="15.75" thickBot="1" x14ac:dyDescent="0.3">
      <c r="A8" s="1"/>
      <c r="B8" s="1"/>
      <c r="C8" s="30" t="s">
        <v>2</v>
      </c>
      <c r="D8" s="22"/>
      <c r="E8" s="61"/>
      <c r="F8" s="72"/>
      <c r="G8" s="61" t="s">
        <v>145</v>
      </c>
      <c r="H8" s="270" t="str">
        <f>IF($D$26=G8,I8,"0")</f>
        <v>0</v>
      </c>
      <c r="I8" s="61">
        <v>3</v>
      </c>
      <c r="K8" s="61">
        <v>18</v>
      </c>
      <c r="L8" s="61" t="s">
        <v>225</v>
      </c>
      <c r="M8" s="61">
        <f t="shared" ref="M8:M31" ca="1" si="0">K8-$P$7</f>
        <v>-103.23137971873413</v>
      </c>
      <c r="N8" s="61" t="str">
        <f t="shared" ref="N8:N31" si="1">IF(L8=$D$8,M8,"")</f>
        <v/>
      </c>
      <c r="P8" s="61">
        <f ca="1">IF(D9="Yes","NewBuild",IF(P7&lt;1,P6,P7))</f>
        <v>121.23137971873413</v>
      </c>
    </row>
    <row r="9" spans="1:16" ht="15.75" thickBot="1" x14ac:dyDescent="0.3">
      <c r="A9" s="1"/>
      <c r="B9" s="1"/>
      <c r="C9" s="30" t="s">
        <v>339</v>
      </c>
      <c r="D9" s="23"/>
      <c r="E9" s="112">
        <f>F4</f>
        <v>0</v>
      </c>
      <c r="F9" s="265" t="s">
        <v>92</v>
      </c>
      <c r="G9" s="61" t="s">
        <v>144</v>
      </c>
      <c r="H9" s="270" t="str">
        <f>IF($D$26=G9,I9,"0")</f>
        <v>0</v>
      </c>
      <c r="I9" s="61">
        <v>7</v>
      </c>
      <c r="K9" s="61">
        <v>18</v>
      </c>
      <c r="L9" s="61" t="s">
        <v>226</v>
      </c>
      <c r="M9" s="61">
        <f t="shared" ca="1" si="0"/>
        <v>-103.23137971873413</v>
      </c>
      <c r="N9" s="61" t="str">
        <f t="shared" si="1"/>
        <v/>
      </c>
      <c r="P9" s="61" t="str">
        <f ca="1">IF(P7&lt;1, "months","Years")</f>
        <v>Years</v>
      </c>
    </row>
    <row r="10" spans="1:16" ht="15.75" thickBot="1" x14ac:dyDescent="0.3">
      <c r="A10" s="1"/>
      <c r="B10" s="1"/>
      <c r="C10" s="30" t="str">
        <f>IF(D9="Yes","","Year Built             (mm/yyyy)")</f>
        <v>Year Built             (mm/yyyy)</v>
      </c>
      <c r="D10" s="174"/>
      <c r="E10" s="113">
        <f>D7-E9</f>
        <v>0</v>
      </c>
      <c r="F10" s="72"/>
      <c r="K10" s="61">
        <v>21</v>
      </c>
      <c r="L10" s="61" t="s">
        <v>227</v>
      </c>
      <c r="M10" s="61">
        <f t="shared" ca="1" si="0"/>
        <v>-100.23137971873413</v>
      </c>
      <c r="N10" s="61" t="str">
        <f t="shared" si="1"/>
        <v/>
      </c>
    </row>
    <row r="11" spans="1:16" ht="30" customHeight="1" thickBot="1" x14ac:dyDescent="0.3">
      <c r="A11" s="1"/>
      <c r="B11" s="1"/>
      <c r="C11" s="32" t="str">
        <f>IF(D9="Yes",""," Age of vessel")</f>
        <v xml:space="preserve"> Age of vessel</v>
      </c>
      <c r="D11" s="266" t="str">
        <f ca="1">IF(D9="Yes","",CONCATENATE(INT(P8),"  ",P9))</f>
        <v>121  Years</v>
      </c>
      <c r="E11" s="190" t="str">
        <f>IF(D9="Yes","",IF(N5&lt;0,"Does not meet minimum criteria for age",""))</f>
        <v/>
      </c>
      <c r="F11" s="72"/>
      <c r="K11" s="61">
        <v>21</v>
      </c>
      <c r="L11" s="61" t="s">
        <v>228</v>
      </c>
      <c r="M11" s="61">
        <f t="shared" ca="1" si="0"/>
        <v>-100.23137971873413</v>
      </c>
      <c r="N11" s="61" t="str">
        <f t="shared" si="1"/>
        <v/>
      </c>
    </row>
    <row r="12" spans="1:16" ht="15.75" thickBot="1" x14ac:dyDescent="0.3">
      <c r="A12" s="1"/>
      <c r="B12" s="1"/>
      <c r="C12" s="210" t="s">
        <v>21</v>
      </c>
      <c r="D12" s="23"/>
      <c r="E12" s="273"/>
      <c r="F12" s="72"/>
      <c r="G12" s="61" t="s">
        <v>120</v>
      </c>
      <c r="H12" s="270" t="str">
        <f>IF($D$21=G12,I12,"0")</f>
        <v>0</v>
      </c>
      <c r="I12" s="61">
        <v>6</v>
      </c>
      <c r="K12" s="61">
        <v>18</v>
      </c>
      <c r="L12" s="61" t="s">
        <v>229</v>
      </c>
      <c r="M12" s="61">
        <f t="shared" ca="1" si="0"/>
        <v>-103.23137971873413</v>
      </c>
      <c r="N12" s="61" t="str">
        <f t="shared" si="1"/>
        <v/>
      </c>
    </row>
    <row r="13" spans="1:16" ht="15.75" thickBot="1" x14ac:dyDescent="0.3">
      <c r="A13" s="1"/>
      <c r="B13" s="1"/>
      <c r="C13" s="310" t="s">
        <v>414</v>
      </c>
      <c r="D13" s="309"/>
      <c r="E13" s="190" t="str">
        <f>IF(D14=G37,"Require Equasis information", "")</f>
        <v/>
      </c>
      <c r="F13" s="72"/>
      <c r="G13" s="61" t="s">
        <v>121</v>
      </c>
      <c r="H13" s="270" t="str">
        <f t="shared" ref="H13:H17" si="2">IF($D$21=G13,I13,"0")</f>
        <v>0</v>
      </c>
      <c r="I13" s="61">
        <v>5</v>
      </c>
      <c r="K13" s="61">
        <v>18</v>
      </c>
      <c r="L13" s="61" t="s">
        <v>230</v>
      </c>
      <c r="M13" s="61">
        <f t="shared" ca="1" si="0"/>
        <v>-103.23137971873413</v>
      </c>
      <c r="N13" s="61" t="str">
        <f t="shared" si="1"/>
        <v/>
      </c>
    </row>
    <row r="14" spans="1:16" ht="15.75" thickBot="1" x14ac:dyDescent="0.3">
      <c r="A14" s="1"/>
      <c r="B14" s="1"/>
      <c r="C14" s="207" t="s">
        <v>20</v>
      </c>
      <c r="D14" s="24"/>
      <c r="E14" s="61"/>
      <c r="F14" s="72"/>
      <c r="G14" s="61" t="s">
        <v>122</v>
      </c>
      <c r="H14" s="270" t="str">
        <f t="shared" si="2"/>
        <v>0</v>
      </c>
      <c r="I14" s="61">
        <v>4</v>
      </c>
      <c r="K14" s="61">
        <v>25</v>
      </c>
      <c r="L14" s="61" t="s">
        <v>231</v>
      </c>
      <c r="M14" s="61">
        <f t="shared" ca="1" si="0"/>
        <v>-96.231379718734132</v>
      </c>
      <c r="N14" s="61" t="str">
        <f t="shared" si="1"/>
        <v/>
      </c>
    </row>
    <row r="15" spans="1:16" ht="15.75" thickBot="1" x14ac:dyDescent="0.3">
      <c r="A15" s="1"/>
      <c r="B15" s="1"/>
      <c r="C15" s="431" t="s">
        <v>118</v>
      </c>
      <c r="D15" s="432"/>
      <c r="E15" s="61"/>
      <c r="F15" s="72"/>
      <c r="G15" s="61" t="s">
        <v>123</v>
      </c>
      <c r="H15" s="270" t="str">
        <f t="shared" si="2"/>
        <v>0</v>
      </c>
      <c r="I15" s="61">
        <v>3</v>
      </c>
      <c r="K15" s="61">
        <v>25</v>
      </c>
      <c r="L15" s="61" t="s">
        <v>231</v>
      </c>
      <c r="M15" s="61">
        <f t="shared" ca="1" si="0"/>
        <v>-96.231379718734132</v>
      </c>
      <c r="N15" s="61" t="str">
        <f t="shared" si="1"/>
        <v/>
      </c>
    </row>
    <row r="16" spans="1:16" ht="15.75" thickBot="1" x14ac:dyDescent="0.3">
      <c r="A16" s="1"/>
      <c r="B16" s="1"/>
      <c r="C16" s="35" t="s">
        <v>5</v>
      </c>
      <c r="D16" s="287"/>
      <c r="E16" s="61"/>
      <c r="F16" s="72"/>
      <c r="G16" s="61" t="s">
        <v>124</v>
      </c>
      <c r="H16" s="270" t="str">
        <f t="shared" si="2"/>
        <v>0</v>
      </c>
      <c r="I16" s="61">
        <v>2</v>
      </c>
      <c r="K16" s="61">
        <v>25</v>
      </c>
      <c r="L16" s="61" t="s">
        <v>232</v>
      </c>
      <c r="M16" s="61">
        <f t="shared" ca="1" si="0"/>
        <v>-96.231379718734132</v>
      </c>
      <c r="N16" s="61" t="str">
        <f t="shared" si="1"/>
        <v/>
      </c>
    </row>
    <row r="17" spans="1:14" ht="47.25" customHeight="1" thickBot="1" x14ac:dyDescent="0.3">
      <c r="A17" s="1"/>
      <c r="B17" s="1"/>
      <c r="C17" s="206" t="s">
        <v>8</v>
      </c>
      <c r="D17" s="22"/>
      <c r="E17" s="36" t="str">
        <f>IF(D18="No", "Please create Customer Success Plan before proceeding.", "Attach Copy of Customer Success Plan  to RSQ02 submitted to HSSEQ")</f>
        <v>Attach Copy of Customer Success Plan  to RSQ02 submitted to HSSEQ</v>
      </c>
      <c r="F17" s="72"/>
      <c r="G17" s="61" t="s">
        <v>125</v>
      </c>
      <c r="H17" s="270" t="str">
        <f t="shared" si="2"/>
        <v>0</v>
      </c>
      <c r="I17" s="61">
        <v>1</v>
      </c>
      <c r="K17" s="61">
        <v>18</v>
      </c>
      <c r="L17" s="61" t="s">
        <v>233</v>
      </c>
      <c r="M17" s="61">
        <f t="shared" ca="1" si="0"/>
        <v>-103.23137971873413</v>
      </c>
      <c r="N17" s="61" t="str">
        <f t="shared" si="1"/>
        <v/>
      </c>
    </row>
    <row r="18" spans="1:14" ht="25.5" thickBot="1" x14ac:dyDescent="0.3">
      <c r="A18" s="1"/>
      <c r="B18" s="1"/>
      <c r="C18" s="208" t="s">
        <v>338</v>
      </c>
      <c r="D18" s="22"/>
      <c r="E18" s="1"/>
      <c r="F18" s="61"/>
      <c r="H18" s="270"/>
      <c r="K18" s="61">
        <v>18</v>
      </c>
      <c r="L18" s="61" t="s">
        <v>234</v>
      </c>
      <c r="M18" s="61">
        <f t="shared" ca="1" si="0"/>
        <v>-103.23137971873413</v>
      </c>
      <c r="N18" s="61" t="str">
        <f t="shared" si="1"/>
        <v/>
      </c>
    </row>
    <row r="19" spans="1:14" ht="15.75" thickBot="1" x14ac:dyDescent="0.3">
      <c r="A19" s="1"/>
      <c r="B19" s="1"/>
      <c r="C19" s="433" t="s">
        <v>119</v>
      </c>
      <c r="D19" s="434"/>
      <c r="E19" s="1"/>
      <c r="F19" s="61"/>
      <c r="G19" s="187"/>
      <c r="H19" s="188"/>
      <c r="K19" s="61">
        <v>18</v>
      </c>
      <c r="L19" s="189" t="s">
        <v>235</v>
      </c>
      <c r="M19" s="61">
        <f t="shared" ca="1" si="0"/>
        <v>-103.23137971873413</v>
      </c>
      <c r="N19" s="61" t="str">
        <f t="shared" si="1"/>
        <v/>
      </c>
    </row>
    <row r="20" spans="1:14" x14ac:dyDescent="0.25">
      <c r="A20" s="1"/>
      <c r="B20" s="1"/>
      <c r="C20" s="37" t="s">
        <v>7</v>
      </c>
      <c r="D20" s="21"/>
      <c r="E20" s="428" t="str">
        <f>IF(SUM(H12:H17)&gt;3,"Warning!  An additional risk assessment required reviewing if there is sufficient resources and staff experience to successfully take the vessels into management. ",".")</f>
        <v>.</v>
      </c>
      <c r="F20" s="428"/>
      <c r="G20" s="61" t="s">
        <v>146</v>
      </c>
      <c r="H20" s="270" t="str">
        <f>IF($D$22=G20,I20,"0")</f>
        <v>0</v>
      </c>
      <c r="I20" s="61">
        <v>1</v>
      </c>
      <c r="K20" s="61">
        <v>18</v>
      </c>
      <c r="L20" s="61" t="s">
        <v>236</v>
      </c>
      <c r="M20" s="61">
        <f t="shared" ca="1" si="0"/>
        <v>-103.23137971873413</v>
      </c>
      <c r="N20" s="61" t="str">
        <f t="shared" si="1"/>
        <v/>
      </c>
    </row>
    <row r="21" spans="1:14" ht="59.25" customHeight="1" x14ac:dyDescent="0.25">
      <c r="A21" s="1"/>
      <c r="B21" s="1"/>
      <c r="C21" s="209" t="s">
        <v>3</v>
      </c>
      <c r="D21" s="25"/>
      <c r="E21" s="428"/>
      <c r="F21" s="428"/>
      <c r="G21" s="61" t="s">
        <v>147</v>
      </c>
      <c r="H21" s="270" t="str">
        <f t="shared" ref="H21:H22" si="3">IF($D$22=G21,I21,"0")</f>
        <v>0</v>
      </c>
      <c r="I21" s="61">
        <v>3</v>
      </c>
      <c r="K21" s="61">
        <v>18</v>
      </c>
      <c r="L21" s="61" t="s">
        <v>237</v>
      </c>
      <c r="M21" s="61">
        <f t="shared" ca="1" si="0"/>
        <v>-103.23137971873413</v>
      </c>
      <c r="N21" s="61" t="str">
        <f t="shared" si="1"/>
        <v/>
      </c>
    </row>
    <row r="22" spans="1:14" x14ac:dyDescent="0.25">
      <c r="A22" s="1"/>
      <c r="B22" s="1"/>
      <c r="C22" s="210" t="s">
        <v>15</v>
      </c>
      <c r="D22" s="25"/>
      <c r="E22" s="101" t="str">
        <f>IF(D23="6. Vessel not known - No attendance","Not approved for entry to Management","")</f>
        <v/>
      </c>
      <c r="F22" s="1"/>
      <c r="G22" s="61" t="s">
        <v>148</v>
      </c>
      <c r="H22" s="270" t="str">
        <f t="shared" si="3"/>
        <v>0</v>
      </c>
      <c r="I22" s="61">
        <v>6</v>
      </c>
      <c r="K22" s="61">
        <v>18</v>
      </c>
      <c r="L22" s="61" t="s">
        <v>238</v>
      </c>
      <c r="M22" s="61">
        <f t="shared" ca="1" si="0"/>
        <v>-103.23137971873413</v>
      </c>
      <c r="N22" s="61" t="str">
        <f t="shared" si="1"/>
        <v/>
      </c>
    </row>
    <row r="23" spans="1:14" ht="26.25" x14ac:dyDescent="0.25">
      <c r="A23" s="1"/>
      <c r="B23" s="1"/>
      <c r="C23" s="210" t="s">
        <v>16</v>
      </c>
      <c r="D23" s="25"/>
      <c r="E23" s="1"/>
      <c r="F23" s="61"/>
      <c r="G23" s="187" t="s">
        <v>152</v>
      </c>
      <c r="H23" s="270" t="str">
        <f>IF($D$23=G23,I23,"0")</f>
        <v>0</v>
      </c>
      <c r="I23" s="61">
        <v>7</v>
      </c>
      <c r="K23" s="61">
        <v>18</v>
      </c>
      <c r="L23" s="61" t="s">
        <v>239</v>
      </c>
      <c r="M23" s="61">
        <f t="shared" ca="1" si="0"/>
        <v>-103.23137971873413</v>
      </c>
      <c r="N23" s="61" t="str">
        <f t="shared" si="1"/>
        <v/>
      </c>
    </row>
    <row r="24" spans="1:14" ht="30.75" thickBot="1" x14ac:dyDescent="0.3">
      <c r="A24" s="1"/>
      <c r="B24" s="1"/>
      <c r="C24" s="38" t="s">
        <v>4</v>
      </c>
      <c r="D24" s="26"/>
      <c r="E24" s="1"/>
      <c r="F24" s="435"/>
      <c r="G24" s="190" t="s">
        <v>149</v>
      </c>
      <c r="H24" s="270" t="str">
        <f t="shared" ref="H24:H28" si="4">IF($D$23=G24,I24,"0")</f>
        <v>0</v>
      </c>
      <c r="I24" s="61">
        <v>5</v>
      </c>
      <c r="K24" s="61">
        <v>18</v>
      </c>
      <c r="L24" s="61" t="s">
        <v>240</v>
      </c>
      <c r="M24" s="61">
        <f t="shared" ca="1" si="0"/>
        <v>-103.23137971873413</v>
      </c>
      <c r="N24" s="61" t="str">
        <f t="shared" si="1"/>
        <v/>
      </c>
    </row>
    <row r="25" spans="1:14" ht="30.75" thickBot="1" x14ac:dyDescent="0.3">
      <c r="A25" s="1"/>
      <c r="B25" s="1"/>
      <c r="C25" s="429" t="s">
        <v>251</v>
      </c>
      <c r="D25" s="430"/>
      <c r="E25" s="101" t="str">
        <f>IF(D26="6. No VMS or OBT","Not approved for entry to Management","")</f>
        <v/>
      </c>
      <c r="F25" s="435"/>
      <c r="G25" s="190" t="s">
        <v>150</v>
      </c>
      <c r="H25" s="270" t="str">
        <f t="shared" si="4"/>
        <v>0</v>
      </c>
      <c r="I25" s="61">
        <v>4</v>
      </c>
      <c r="K25" s="61">
        <v>18</v>
      </c>
      <c r="L25" s="61" t="s">
        <v>241</v>
      </c>
      <c r="M25" s="61">
        <f t="shared" ca="1" si="0"/>
        <v>-103.23137971873413</v>
      </c>
      <c r="N25" s="61" t="str">
        <f t="shared" si="1"/>
        <v/>
      </c>
    </row>
    <row r="26" spans="1:14" ht="45" x14ac:dyDescent="0.25">
      <c r="A26" s="1"/>
      <c r="B26" s="1"/>
      <c r="C26" s="211" t="s">
        <v>142</v>
      </c>
      <c r="D26" s="21"/>
      <c r="E26" s="101" t="str">
        <f>IF(D27="6. No implementation","Not approved for entry to Management","")</f>
        <v/>
      </c>
      <c r="F26" s="435"/>
      <c r="G26" s="190" t="s">
        <v>151</v>
      </c>
      <c r="H26" s="270" t="str">
        <f t="shared" si="4"/>
        <v>0</v>
      </c>
      <c r="I26" s="61">
        <v>3</v>
      </c>
      <c r="K26" s="61">
        <v>18</v>
      </c>
      <c r="L26" s="61" t="s">
        <v>242</v>
      </c>
      <c r="M26" s="61">
        <f t="shared" ca="1" si="0"/>
        <v>-103.23137971873413</v>
      </c>
      <c r="N26" s="61" t="str">
        <f t="shared" si="1"/>
        <v/>
      </c>
    </row>
    <row r="27" spans="1:14" ht="45" x14ac:dyDescent="0.25">
      <c r="A27" s="1"/>
      <c r="B27" s="1"/>
      <c r="C27" s="209" t="s">
        <v>210</v>
      </c>
      <c r="D27" s="22"/>
      <c r="E27" s="1"/>
      <c r="F27" s="61"/>
      <c r="G27" s="190" t="s">
        <v>248</v>
      </c>
      <c r="H27" s="270" t="str">
        <f t="shared" si="4"/>
        <v>0</v>
      </c>
      <c r="I27" s="61">
        <v>2</v>
      </c>
      <c r="K27" s="61">
        <v>18</v>
      </c>
      <c r="L27" s="61" t="s">
        <v>243</v>
      </c>
      <c r="M27" s="61">
        <f t="shared" ca="1" si="0"/>
        <v>-103.23137971873413</v>
      </c>
      <c r="N27" s="61" t="str">
        <f t="shared" si="1"/>
        <v/>
      </c>
    </row>
    <row r="28" spans="1:14" ht="46.5" x14ac:dyDescent="0.35">
      <c r="A28" s="1"/>
      <c r="B28" s="1"/>
      <c r="C28" s="267" t="str">
        <f>IF(D26=G9,"Please explain plans to provide training on board",IF(D26="3. Only VMS","Please explain plans to provide training on board",""))</f>
        <v/>
      </c>
      <c r="D28" s="268"/>
      <c r="E28" s="39"/>
      <c r="F28" s="68"/>
      <c r="G28" s="190" t="s">
        <v>249</v>
      </c>
      <c r="H28" s="270" t="str">
        <f t="shared" si="4"/>
        <v>0</v>
      </c>
      <c r="I28" s="61">
        <v>1</v>
      </c>
      <c r="K28" s="61">
        <v>18</v>
      </c>
      <c r="L28" s="61" t="s">
        <v>244</v>
      </c>
      <c r="M28" s="61">
        <f t="shared" ca="1" si="0"/>
        <v>-103.23137971873413</v>
      </c>
      <c r="N28" s="61" t="str">
        <f t="shared" si="1"/>
        <v/>
      </c>
    </row>
    <row r="29" spans="1:14" ht="36" customHeight="1" x14ac:dyDescent="0.25">
      <c r="A29" s="1"/>
      <c r="B29" s="1"/>
      <c r="C29" s="133" t="str">
        <f>IF(Technical!C15="5 = Not available","As there is no observers to join, please attach any recent available reports to the email with RSQ02 to HSSEQ.","")</f>
        <v/>
      </c>
      <c r="D29" s="277"/>
      <c r="E29" s="1"/>
      <c r="F29" s="61"/>
      <c r="G29" s="190" t="s">
        <v>207</v>
      </c>
      <c r="H29" s="270" t="str">
        <f>IF($D$27=G29,I29,"0")</f>
        <v>0</v>
      </c>
      <c r="I29" s="61">
        <v>1</v>
      </c>
      <c r="K29" s="61">
        <v>18</v>
      </c>
      <c r="L29" s="61" t="s">
        <v>245</v>
      </c>
      <c r="M29" s="61">
        <f t="shared" ca="1" si="0"/>
        <v>-103.23137971873413</v>
      </c>
      <c r="N29" s="61" t="str">
        <f t="shared" si="1"/>
        <v/>
      </c>
    </row>
    <row r="30" spans="1:14" ht="39" customHeight="1" thickBot="1" x14ac:dyDescent="0.3">
      <c r="A30" s="1"/>
      <c r="B30" s="1"/>
      <c r="C30" s="1"/>
      <c r="D30" s="1"/>
      <c r="E30" s="1"/>
      <c r="F30" s="61"/>
      <c r="G30" s="190" t="s">
        <v>208</v>
      </c>
      <c r="H30" s="270" t="str">
        <f t="shared" ref="H30:H31" si="5">IF($D$27=G30,I30,"0")</f>
        <v>0</v>
      </c>
      <c r="I30" s="61">
        <v>3</v>
      </c>
      <c r="K30" s="61">
        <v>18</v>
      </c>
      <c r="L30" s="61" t="s">
        <v>246</v>
      </c>
      <c r="M30" s="61">
        <f t="shared" ca="1" si="0"/>
        <v>-103.23137971873413</v>
      </c>
      <c r="N30" s="61" t="str">
        <f t="shared" si="1"/>
        <v/>
      </c>
    </row>
    <row r="31" spans="1:14" ht="48" customHeight="1" thickBot="1" x14ac:dyDescent="0.3">
      <c r="A31" s="1"/>
      <c r="B31" s="1"/>
      <c r="C31" s="426" t="str">
        <f>IF($D$9="Yes","New Build","New Build Section - Not applicable for this vessel")</f>
        <v>New Build Section - Not applicable for this vessel</v>
      </c>
      <c r="D31" s="427"/>
      <c r="E31" s="1"/>
      <c r="F31" s="61"/>
      <c r="G31" s="190" t="s">
        <v>209</v>
      </c>
      <c r="H31" s="270" t="str">
        <f t="shared" si="5"/>
        <v>0</v>
      </c>
      <c r="I31" s="61">
        <v>7</v>
      </c>
      <c r="K31" s="61">
        <v>18</v>
      </c>
      <c r="L31" s="61" t="s">
        <v>84</v>
      </c>
      <c r="M31" s="61">
        <f t="shared" ca="1" si="0"/>
        <v>-103.23137971873413</v>
      </c>
      <c r="N31" s="61" t="str">
        <f t="shared" si="1"/>
        <v/>
      </c>
    </row>
    <row r="32" spans="1:14" ht="33.75" customHeight="1" x14ac:dyDescent="0.25">
      <c r="A32" s="1"/>
      <c r="B32" s="1"/>
      <c r="C32" s="40" t="str">
        <f>IF($D$9="Yes","A firm commitment within the contractual agreement, that a Green Passport is included. (Mandatory for new builds as of December 2018)","")</f>
        <v/>
      </c>
      <c r="D32" s="27"/>
      <c r="E32" s="1"/>
      <c r="F32" s="61"/>
      <c r="G32" s="61" t="s">
        <v>304</v>
      </c>
      <c r="H32" s="270" t="str">
        <f>IF($D$14=G32,I32,"0")</f>
        <v>0</v>
      </c>
      <c r="I32" s="61">
        <v>1</v>
      </c>
    </row>
    <row r="33" spans="1:9" ht="43.5" customHeight="1" x14ac:dyDescent="0.25">
      <c r="A33" s="1"/>
      <c r="B33" s="1"/>
      <c r="C33" s="41" t="str">
        <f>IF($D$9="Yes","That a complete Inventory is included in the new build agreement","")</f>
        <v/>
      </c>
      <c r="D33" s="27"/>
      <c r="E33" s="1"/>
      <c r="F33" s="61"/>
      <c r="G33" s="61" t="s">
        <v>261</v>
      </c>
      <c r="H33" s="270" t="str">
        <f t="shared" ref="H33:H37" si="6">IF($D$14=G33,I33,"0")</f>
        <v>0</v>
      </c>
      <c r="I33" s="61">
        <v>2</v>
      </c>
    </row>
    <row r="34" spans="1:9" ht="34.5" customHeight="1" x14ac:dyDescent="0.25">
      <c r="A34" s="1"/>
      <c r="B34" s="1"/>
      <c r="C34" s="42" t="str">
        <f>IF($D$9="Yes","There is a robust guarantee claim process in place to ensure that defects are dealt with in a timely manner to meet Oil major requirements","")</f>
        <v/>
      </c>
      <c r="D34" s="28"/>
      <c r="E34" s="1"/>
      <c r="F34" s="61"/>
      <c r="G34" s="61" t="s">
        <v>262</v>
      </c>
      <c r="H34" s="270" t="str">
        <f t="shared" si="6"/>
        <v>0</v>
      </c>
      <c r="I34" s="61">
        <v>3</v>
      </c>
    </row>
    <row r="35" spans="1:9" ht="15" customHeight="1" thickBot="1" x14ac:dyDescent="0.3">
      <c r="A35" s="1"/>
      <c r="B35" s="1"/>
      <c r="C35" s="43" t="str">
        <f>IF($D$9="Yes","Does or will the vessel conduct a commercial voyage into EU waters?","")</f>
        <v/>
      </c>
      <c r="D35" s="24"/>
      <c r="E35" s="1"/>
      <c r="F35" s="61"/>
      <c r="G35" s="61" t="s">
        <v>263</v>
      </c>
      <c r="H35" s="270" t="str">
        <f t="shared" si="6"/>
        <v>0</v>
      </c>
      <c r="I35" s="61">
        <v>4</v>
      </c>
    </row>
    <row r="36" spans="1:9" ht="15" customHeight="1" x14ac:dyDescent="0.25">
      <c r="A36" s="1"/>
      <c r="B36" s="1"/>
      <c r="C36" s="1"/>
      <c r="D36" s="1"/>
      <c r="E36" s="1"/>
      <c r="F36" s="61"/>
      <c r="G36" s="61" t="s">
        <v>264</v>
      </c>
      <c r="H36" s="270" t="str">
        <f t="shared" si="6"/>
        <v>0</v>
      </c>
      <c r="I36" s="61">
        <v>5</v>
      </c>
    </row>
    <row r="37" spans="1:9" ht="15" customHeight="1" x14ac:dyDescent="0.25">
      <c r="A37" s="1"/>
      <c r="B37" s="1"/>
      <c r="C37" s="1"/>
      <c r="D37" s="1"/>
      <c r="E37" s="1"/>
      <c r="F37" s="61"/>
      <c r="G37" s="61" t="s">
        <v>265</v>
      </c>
      <c r="H37" s="270" t="str">
        <f t="shared" si="6"/>
        <v>0</v>
      </c>
      <c r="I37" s="61">
        <v>6</v>
      </c>
    </row>
    <row r="38" spans="1:9" x14ac:dyDescent="0.25">
      <c r="A38" s="1"/>
      <c r="B38" s="1"/>
      <c r="C38" s="1"/>
      <c r="D38" s="1"/>
      <c r="E38" s="1"/>
      <c r="F38" s="61"/>
      <c r="G38" s="61" t="s">
        <v>278</v>
      </c>
      <c r="H38" s="270" t="str">
        <f>IF($D$12=G38,I38,"0")</f>
        <v>0</v>
      </c>
      <c r="I38" s="61">
        <v>1</v>
      </c>
    </row>
    <row r="39" spans="1:9" x14ac:dyDescent="0.25">
      <c r="A39" s="1"/>
      <c r="B39" s="1"/>
      <c r="C39" s="1"/>
      <c r="D39" s="1"/>
      <c r="E39" s="1"/>
      <c r="F39" s="61"/>
      <c r="G39" s="61" t="s">
        <v>279</v>
      </c>
      <c r="H39" s="270" t="str">
        <f t="shared" ref="H39:H42" si="7">IF($D$12=G39,I39,"0")</f>
        <v>0</v>
      </c>
      <c r="I39" s="61">
        <v>1</v>
      </c>
    </row>
    <row r="40" spans="1:9" x14ac:dyDescent="0.25">
      <c r="A40" s="1"/>
      <c r="B40" s="1"/>
      <c r="C40" s="1"/>
      <c r="D40" s="1"/>
      <c r="E40" s="1"/>
      <c r="F40" s="61"/>
      <c r="G40" s="61" t="s">
        <v>280</v>
      </c>
      <c r="H40" s="270" t="str">
        <f t="shared" si="7"/>
        <v>0</v>
      </c>
      <c r="I40" s="61">
        <v>2</v>
      </c>
    </row>
    <row r="41" spans="1:9" x14ac:dyDescent="0.25">
      <c r="A41" s="1"/>
      <c r="B41" s="1"/>
      <c r="C41" s="1"/>
      <c r="D41" s="1"/>
      <c r="E41" s="1"/>
      <c r="F41" s="61"/>
      <c r="G41" s="61" t="s">
        <v>281</v>
      </c>
      <c r="H41" s="270" t="str">
        <f t="shared" si="7"/>
        <v>0</v>
      </c>
      <c r="I41" s="61">
        <v>3</v>
      </c>
    </row>
    <row r="42" spans="1:9" x14ac:dyDescent="0.25">
      <c r="A42" s="1"/>
      <c r="B42" s="1"/>
      <c r="C42" s="1"/>
      <c r="D42" s="1"/>
      <c r="E42" s="1"/>
      <c r="F42" s="61"/>
      <c r="G42" s="61" t="s">
        <v>282</v>
      </c>
      <c r="H42" s="270" t="str">
        <f t="shared" si="7"/>
        <v>0</v>
      </c>
      <c r="I42" s="61">
        <v>3</v>
      </c>
    </row>
    <row r="43" spans="1:9" x14ac:dyDescent="0.25">
      <c r="A43" s="1"/>
      <c r="B43" s="1"/>
      <c r="C43" s="1"/>
      <c r="D43" s="1"/>
      <c r="E43" s="1"/>
      <c r="F43" s="61"/>
      <c r="G43" s="61" t="s">
        <v>283</v>
      </c>
      <c r="H43" s="270" t="str">
        <f>IF($D$12=G43,I43,"0")</f>
        <v>0</v>
      </c>
      <c r="I43" s="61">
        <v>5</v>
      </c>
    </row>
    <row r="44" spans="1:9" x14ac:dyDescent="0.25">
      <c r="A44" s="1"/>
      <c r="B44" s="1"/>
      <c r="C44" s="1"/>
      <c r="D44" s="1"/>
      <c r="E44" s="1"/>
      <c r="F44" s="61"/>
      <c r="G44" s="61" t="s">
        <v>74</v>
      </c>
      <c r="H44" s="270" t="str">
        <f>IF($D$18=G44,I44,"0")</f>
        <v>0</v>
      </c>
      <c r="I44" s="61">
        <v>1</v>
      </c>
    </row>
    <row r="45" spans="1:9" x14ac:dyDescent="0.25">
      <c r="A45" s="1"/>
      <c r="B45" s="1"/>
      <c r="C45" s="1"/>
      <c r="D45" s="1"/>
      <c r="E45" s="1"/>
      <c r="F45" s="61"/>
      <c r="G45" s="61" t="s">
        <v>77</v>
      </c>
      <c r="H45" s="270" t="str">
        <f>IF($D$18=G45,I45,"0")</f>
        <v>0</v>
      </c>
      <c r="I45" s="61">
        <v>6</v>
      </c>
    </row>
    <row r="46" spans="1:9" x14ac:dyDescent="0.25">
      <c r="A46" s="1"/>
      <c r="B46" s="1"/>
      <c r="C46" s="1"/>
      <c r="D46" s="1"/>
      <c r="E46" s="64"/>
      <c r="F46" s="64"/>
    </row>
    <row r="47" spans="1:9" x14ac:dyDescent="0.25">
      <c r="C47" s="1"/>
      <c r="D47" s="64"/>
      <c r="E47" s="194"/>
      <c r="F47" s="194"/>
    </row>
    <row r="48" spans="1:9" x14ac:dyDescent="0.25">
      <c r="D48" s="194"/>
      <c r="E48" s="194"/>
      <c r="F48" s="194"/>
    </row>
    <row r="49" spans="4:7" x14ac:dyDescent="0.25">
      <c r="D49" s="194"/>
      <c r="E49" s="194"/>
      <c r="F49" s="194"/>
    </row>
    <row r="50" spans="4:7" ht="62.25" customHeight="1" x14ac:dyDescent="0.25">
      <c r="D50" s="194"/>
      <c r="E50" s="194"/>
      <c r="F50" s="194"/>
    </row>
    <row r="51" spans="4:7" x14ac:dyDescent="0.25">
      <c r="D51" s="194"/>
      <c r="E51" s="194"/>
      <c r="F51" s="194"/>
      <c r="G51" s="61">
        <f>IF(D12="",1,0)</f>
        <v>1</v>
      </c>
    </row>
    <row r="52" spans="4:7" x14ac:dyDescent="0.25">
      <c r="D52" s="194"/>
      <c r="E52" s="194"/>
      <c r="F52" s="194"/>
      <c r="G52" s="61">
        <f t="shared" ref="G52:G65" si="8">IF(D14="",1,0)</f>
        <v>1</v>
      </c>
    </row>
    <row r="53" spans="4:7" x14ac:dyDescent="0.25">
      <c r="D53" s="194"/>
      <c r="E53" s="194"/>
      <c r="F53" s="194"/>
    </row>
    <row r="54" spans="4:7" x14ac:dyDescent="0.25">
      <c r="D54" s="194"/>
      <c r="E54" s="194"/>
      <c r="F54" s="194"/>
    </row>
    <row r="55" spans="4:7" x14ac:dyDescent="0.25">
      <c r="D55" s="194"/>
      <c r="E55" s="194"/>
      <c r="F55" s="194"/>
      <c r="G55" s="61">
        <f t="shared" si="8"/>
        <v>1</v>
      </c>
    </row>
    <row r="56" spans="4:7" x14ac:dyDescent="0.25">
      <c r="D56" s="194"/>
      <c r="E56" s="194"/>
      <c r="F56" s="194"/>
      <c r="G56" s="61">
        <f t="shared" si="8"/>
        <v>1</v>
      </c>
    </row>
    <row r="57" spans="4:7" x14ac:dyDescent="0.25">
      <c r="D57" s="194"/>
      <c r="E57" s="194"/>
      <c r="F57" s="194"/>
    </row>
    <row r="58" spans="4:7" x14ac:dyDescent="0.25">
      <c r="D58" s="194"/>
      <c r="E58" s="194"/>
      <c r="F58" s="194"/>
    </row>
    <row r="59" spans="4:7" x14ac:dyDescent="0.25">
      <c r="D59" s="194"/>
      <c r="E59" s="194"/>
      <c r="F59" s="194"/>
      <c r="G59" s="61">
        <f t="shared" si="8"/>
        <v>1</v>
      </c>
    </row>
    <row r="60" spans="4:7" x14ac:dyDescent="0.25">
      <c r="D60" s="194"/>
      <c r="E60" s="194"/>
      <c r="F60" s="194"/>
      <c r="G60" s="61">
        <f t="shared" si="8"/>
        <v>1</v>
      </c>
    </row>
    <row r="61" spans="4:7" x14ac:dyDescent="0.25">
      <c r="D61" s="194"/>
      <c r="E61" s="194"/>
      <c r="F61" s="194"/>
      <c r="G61" s="61">
        <f t="shared" si="8"/>
        <v>1</v>
      </c>
    </row>
    <row r="62" spans="4:7" x14ac:dyDescent="0.25">
      <c r="D62" s="194"/>
      <c r="E62" s="194"/>
      <c r="F62" s="194"/>
    </row>
    <row r="63" spans="4:7" x14ac:dyDescent="0.25">
      <c r="D63" s="194"/>
      <c r="E63" s="194"/>
      <c r="F63" s="194"/>
    </row>
    <row r="64" spans="4:7" x14ac:dyDescent="0.25">
      <c r="D64" s="194"/>
      <c r="E64" s="194"/>
      <c r="F64" s="194"/>
      <c r="G64" s="61">
        <f t="shared" si="8"/>
        <v>1</v>
      </c>
    </row>
    <row r="65" spans="4:7" x14ac:dyDescent="0.25">
      <c r="D65" s="194"/>
      <c r="E65" s="194"/>
      <c r="F65" s="194"/>
      <c r="G65" s="61">
        <f t="shared" si="8"/>
        <v>1</v>
      </c>
    </row>
    <row r="66" spans="4:7" x14ac:dyDescent="0.25">
      <c r="D66" s="194"/>
    </row>
    <row r="67" spans="4:7" x14ac:dyDescent="0.25">
      <c r="G67" s="61">
        <f>SUM(G51:G65)</f>
        <v>9</v>
      </c>
    </row>
    <row r="80" spans="4:7" x14ac:dyDescent="0.25">
      <c r="G80" s="311" t="s">
        <v>418</v>
      </c>
    </row>
    <row r="81" spans="7:7" x14ac:dyDescent="0.25">
      <c r="G81" s="312" t="s">
        <v>415</v>
      </c>
    </row>
    <row r="82" spans="7:7" x14ac:dyDescent="0.25">
      <c r="G82" s="312" t="s">
        <v>416</v>
      </c>
    </row>
    <row r="83" spans="7:7" x14ac:dyDescent="0.25">
      <c r="G83" s="312" t="s">
        <v>417</v>
      </c>
    </row>
  </sheetData>
  <sheetProtection algorithmName="SHA-512" hashValue="R4eEiGZzso6axiXscJTGle7ANvWsMYY2C3s19sr417Wa/6rc4pJpDfcqEfWJK2kXXFpFGZUcaGvMfezHABgdrQ==" saltValue="vfefUFmTqbhIvyZHhQkQIA==" spinCount="100000" sheet="1" selectLockedCells="1"/>
  <mergeCells count="8">
    <mergeCell ref="C1:F1"/>
    <mergeCell ref="C3:D3"/>
    <mergeCell ref="C31:D31"/>
    <mergeCell ref="E20:F21"/>
    <mergeCell ref="C25:D25"/>
    <mergeCell ref="C15:D15"/>
    <mergeCell ref="C19:D19"/>
    <mergeCell ref="F24:F26"/>
  </mergeCells>
  <conditionalFormatting sqref="E20:F21">
    <cfRule type="cellIs" dxfId="84" priority="4" operator="equal">
      <formula>"As there is no observers to join, please attach available reports to the email with RSQ02 to HSEQ."</formula>
    </cfRule>
    <cfRule type="cellIs" dxfId="83" priority="7" stopIfTrue="1" operator="equal">
      <formula>"Does not meet minimum criteria for age"</formula>
    </cfRule>
    <cfRule type="cellIs" dxfId="82" priority="14" operator="equal">
      <formula>"."</formula>
    </cfRule>
  </conditionalFormatting>
  <conditionalFormatting sqref="E7">
    <cfRule type="cellIs" dxfId="81" priority="11" operator="equal">
      <formula>"Insufficient time for review"</formula>
    </cfRule>
  </conditionalFormatting>
  <conditionalFormatting sqref="E26">
    <cfRule type="cellIs" dxfId="80" priority="10" operator="equal">
      <formula>"Not approved for entry to Management"</formula>
    </cfRule>
  </conditionalFormatting>
  <conditionalFormatting sqref="E25">
    <cfRule type="cellIs" dxfId="79" priority="9" operator="equal">
      <formula>"Not approved for entry to Management"</formula>
    </cfRule>
  </conditionalFormatting>
  <conditionalFormatting sqref="E22">
    <cfRule type="cellIs" dxfId="78" priority="8" operator="equal">
      <formula>"Not approved for entry to Management"</formula>
    </cfRule>
  </conditionalFormatting>
  <conditionalFormatting sqref="E11">
    <cfRule type="cellIs" dxfId="77" priority="6" operator="equal">
      <formula>"Does not meet minimum criteria for age"</formula>
    </cfRule>
  </conditionalFormatting>
  <conditionalFormatting sqref="E13">
    <cfRule type="cellIs" dxfId="76" priority="5" operator="equal">
      <formula>"Require Equasis information"</formula>
    </cfRule>
  </conditionalFormatting>
  <conditionalFormatting sqref="C28">
    <cfRule type="cellIs" dxfId="75" priority="2" operator="equal">
      <formula>"Please explain plans to provide training on board"</formula>
    </cfRule>
  </conditionalFormatting>
  <conditionalFormatting sqref="C29">
    <cfRule type="cellIs" dxfId="74" priority="1" operator="equal">
      <formula>"As there is no observers to join, please attach any recent available reports to the email with RSQ02 to HSEQ."</formula>
    </cfRule>
  </conditionalFormatting>
  <dataValidations count="10">
    <dataValidation type="list" allowBlank="1" showInputMessage="1" showErrorMessage="1" sqref="D26" xr:uid="{00000000-0002-0000-0100-000000000000}">
      <formula1>$G$7:$G$9</formula1>
    </dataValidation>
    <dataValidation type="list" allowBlank="1" showInputMessage="1" showErrorMessage="1" sqref="D21" xr:uid="{00000000-0002-0000-0100-000001000000}">
      <formula1>$G$12:$G$17</formula1>
    </dataValidation>
    <dataValidation type="list" allowBlank="1" showInputMessage="1" showErrorMessage="1" sqref="D22" xr:uid="{00000000-0002-0000-0100-000002000000}">
      <formula1>$G$20:$G$22</formula1>
    </dataValidation>
    <dataValidation type="list" allowBlank="1" showInputMessage="1" showErrorMessage="1" sqref="D23" xr:uid="{00000000-0002-0000-0100-000003000000}">
      <formula1>$G$23:$G$28</formula1>
    </dataValidation>
    <dataValidation type="list" allowBlank="1" showInputMessage="1" showErrorMessage="1" sqref="D27" xr:uid="{00000000-0002-0000-0100-000004000000}">
      <formula1>$G$29:$G$31</formula1>
    </dataValidation>
    <dataValidation type="list" allowBlank="1" showInputMessage="1" showErrorMessage="1" sqref="D8" xr:uid="{00000000-0002-0000-0100-000005000000}">
      <formula1>$L$7:$L$31</formula1>
    </dataValidation>
    <dataValidation type="list" allowBlank="1" showInputMessage="1" showErrorMessage="1" sqref="D14" xr:uid="{00000000-0002-0000-0100-000006000000}">
      <formula1>$G$32:$G$37</formula1>
    </dataValidation>
    <dataValidation type="list" allowBlank="1" showInputMessage="1" showErrorMessage="1" sqref="D9 D17:D18 D32:D35" xr:uid="{00000000-0002-0000-0100-000007000000}">
      <formula1>$G$5:$G$6</formula1>
    </dataValidation>
    <dataValidation type="list" allowBlank="1" showInputMessage="1" showErrorMessage="1" sqref="D12" xr:uid="{00000000-0002-0000-0100-000008000000}">
      <formula1>$G$38:$G$43</formula1>
    </dataValidation>
    <dataValidation type="list" allowBlank="1" showInputMessage="1" showErrorMessage="1" sqref="D13" xr:uid="{49D298D2-7472-42DB-955B-9383F3582B60}">
      <formula1>$G$80:$G$84</formula1>
    </dataValidation>
  </dataValidations>
  <pageMargins left="0.70866141732283472" right="0.70866141732283472" top="0.74803149606299213" bottom="0.74803149606299213" header="0.31496062992125984" footer="0.31496062992125984"/>
  <pageSetup paperSize="9" scale="29" orientation="landscape" r:id="rId1"/>
  <headerFooter>
    <oddFooter>&amp;CRSQ 02&amp;RRevision 6.0</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BP43"/>
  <sheetViews>
    <sheetView showGridLines="0" tabSelected="1" topLeftCell="A8" zoomScale="85" zoomScaleNormal="85" workbookViewId="0">
      <selection activeCell="I6" sqref="I6:M7"/>
    </sheetView>
  </sheetViews>
  <sheetFormatPr defaultRowHeight="12.75" x14ac:dyDescent="0.2"/>
  <cols>
    <col min="1" max="1" width="9.140625" style="214"/>
    <col min="2" max="2" width="42.5703125" style="214" customWidth="1"/>
    <col min="3" max="3" width="20.85546875" style="214" customWidth="1"/>
    <col min="4" max="4" width="30.42578125" style="214" customWidth="1"/>
    <col min="5" max="5" width="38.5703125" style="214" customWidth="1"/>
    <col min="6" max="6" width="38.7109375" style="214" customWidth="1"/>
    <col min="7" max="7" width="16" style="214" customWidth="1"/>
    <col min="8" max="8" width="9.140625" style="214"/>
    <col min="9" max="9" width="10.5703125" style="214" bestFit="1" customWidth="1"/>
    <col min="10" max="10" width="17.140625" style="214" customWidth="1"/>
    <col min="11" max="12" width="9.140625" style="214"/>
    <col min="13" max="14" width="9.140625" style="212"/>
    <col min="15" max="15" width="12.42578125" style="212" customWidth="1"/>
    <col min="16" max="23" width="9.140625" style="212"/>
    <col min="24" max="60" width="9.140625" style="213"/>
    <col min="61" max="68" width="9.140625" style="212"/>
    <col min="69" max="16384" width="9.140625" style="214"/>
  </cols>
  <sheetData>
    <row r="1" spans="1:31" ht="13.5" thickBot="1" x14ac:dyDescent="0.25">
      <c r="A1" s="212"/>
      <c r="B1" s="212"/>
      <c r="C1" s="212"/>
      <c r="D1" s="212"/>
      <c r="E1" s="212"/>
      <c r="F1" s="212"/>
      <c r="G1" s="212"/>
      <c r="H1" s="212"/>
      <c r="I1" s="212"/>
      <c r="J1" s="212"/>
      <c r="K1" s="212"/>
      <c r="L1" s="212"/>
    </row>
    <row r="2" spans="1:31" ht="33.75" customHeight="1" thickBot="1" x14ac:dyDescent="0.25">
      <c r="A2" s="452" t="s">
        <v>314</v>
      </c>
      <c r="B2" s="453"/>
      <c r="C2" s="453"/>
      <c r="D2" s="453"/>
      <c r="E2" s="453"/>
      <c r="F2" s="453"/>
      <c r="G2" s="453"/>
      <c r="H2" s="453"/>
      <c r="I2" s="453"/>
      <c r="J2" s="453"/>
      <c r="K2" s="453"/>
      <c r="L2" s="454"/>
    </row>
    <row r="3" spans="1:31" x14ac:dyDescent="0.2">
      <c r="A3" s="212"/>
      <c r="B3" s="212"/>
      <c r="C3" s="212"/>
      <c r="D3" s="212"/>
      <c r="E3" s="212"/>
      <c r="F3" s="212"/>
      <c r="G3" s="212"/>
      <c r="H3" s="212"/>
      <c r="I3" s="212"/>
      <c r="J3" s="212"/>
      <c r="K3" s="212"/>
      <c r="L3" s="212"/>
    </row>
    <row r="4" spans="1:31" ht="13.5" thickBot="1" x14ac:dyDescent="0.25">
      <c r="A4" s="212"/>
      <c r="B4" s="212"/>
      <c r="C4" s="212"/>
      <c r="D4" s="212"/>
      <c r="E4" s="212"/>
      <c r="F4" s="212"/>
      <c r="G4" s="212"/>
      <c r="H4" s="212"/>
      <c r="I4" s="212"/>
      <c r="J4" s="212"/>
      <c r="K4" s="212"/>
      <c r="L4" s="212"/>
    </row>
    <row r="5" spans="1:31" ht="35.1" customHeight="1" thickBot="1" x14ac:dyDescent="0.25">
      <c r="A5" s="215" t="s">
        <v>30</v>
      </c>
      <c r="B5" s="216" t="s">
        <v>31</v>
      </c>
      <c r="C5" s="217" t="s">
        <v>342</v>
      </c>
      <c r="D5" s="217" t="s">
        <v>32</v>
      </c>
      <c r="E5" s="217" t="s">
        <v>33</v>
      </c>
      <c r="F5" s="217" t="s">
        <v>34</v>
      </c>
      <c r="G5" s="299" t="s">
        <v>35</v>
      </c>
      <c r="H5" s="299" t="s">
        <v>36</v>
      </c>
      <c r="I5" s="217" t="s">
        <v>54</v>
      </c>
      <c r="J5" s="217" t="s">
        <v>218</v>
      </c>
      <c r="K5" s="455" t="s">
        <v>219</v>
      </c>
      <c r="L5" s="456"/>
      <c r="O5" s="449" t="s">
        <v>35</v>
      </c>
      <c r="P5" s="219" t="s">
        <v>36</v>
      </c>
      <c r="Q5" s="220"/>
      <c r="R5" s="220"/>
      <c r="S5" s="220"/>
      <c r="T5" s="220"/>
      <c r="U5" s="220"/>
    </row>
    <row r="6" spans="1:31" ht="25.5" x14ac:dyDescent="0.2">
      <c r="A6" s="221">
        <v>1</v>
      </c>
      <c r="B6" s="222" t="s">
        <v>363</v>
      </c>
      <c r="C6" s="223" t="str">
        <f>IF(Technical!C7=Technical!J5,"Vessel has not maintained Class with IACS Class Society since new Build", "Vessel in compliance")</f>
        <v>Vessel in compliance</v>
      </c>
      <c r="D6" s="224" t="s">
        <v>56</v>
      </c>
      <c r="E6" s="225" t="str">
        <f>C6</f>
        <v>Vessel in compliance</v>
      </c>
      <c r="F6" s="272"/>
      <c r="G6" s="227" t="s">
        <v>53</v>
      </c>
      <c r="H6" s="227" t="s">
        <v>37</v>
      </c>
      <c r="I6" s="223" t="str">
        <f>Z6</f>
        <v>Very Low</v>
      </c>
      <c r="J6" s="223" t="str">
        <f>IF(I6="Medium","Not accepted",IF(I6="Significant","Not accepted",IF(I6="High","Not Accepted",IF(I6="Very High","Not Accepted","Accepted"))))</f>
        <v>Accepted</v>
      </c>
      <c r="K6" s="447" t="str">
        <f>IF(J6="Not accepted", "Additional Measures required", "")</f>
        <v/>
      </c>
      <c r="L6" s="448"/>
      <c r="O6" s="450"/>
      <c r="P6" s="440" t="s">
        <v>37</v>
      </c>
      <c r="Q6" s="440" t="s">
        <v>38</v>
      </c>
      <c r="R6" s="440" t="s">
        <v>39</v>
      </c>
      <c r="S6" s="440" t="s">
        <v>64</v>
      </c>
      <c r="T6" s="440" t="s">
        <v>40</v>
      </c>
      <c r="U6" s="440" t="s">
        <v>41</v>
      </c>
      <c r="X6" s="213">
        <f>IF(G6=$O$8,1,IF(G6=$O$9,2,IF(G6=$O$10,3,IF(G6=$O$11,4,IF(G6=$O$12,5,IF(G6=$O$13,6))))))</f>
        <v>6</v>
      </c>
      <c r="Y6" s="213">
        <f>IF(H6=$V$8,1,IF(H6=$V$9,2,IF(H6=$V$10,3,IF(H6=$V$11,4,IF(H6=$V$12,5,IF(H6=$V$13,6))))))</f>
        <v>1</v>
      </c>
      <c r="Z6" s="213" t="str">
        <f>VLOOKUP(X6,$N$8:$U$13,(Y6+2))</f>
        <v>Very Low</v>
      </c>
      <c r="AA6" s="213">
        <f>IF('Additional Measures'!F6='Minimum Criteria'!$O$8,1,IF('Additional Measures'!F6='Minimum Criteria'!$O$9,2,IF('Additional Measures'!F6='Minimum Criteria'!$O$10,3,IF('Additional Measures'!F6='Minimum Criteria'!$O$11,4,IF('Additional Measures'!F6='Minimum Criteria'!$O$12,5,IF('Additional Measures'!F6='Minimum Criteria'!$O$13,6,6))))))</f>
        <v>6</v>
      </c>
      <c r="AB6" s="213">
        <f>IF('Additional Measures'!G6='Minimum Criteria'!$V$8,1,IF('Additional Measures'!G6='Minimum Criteria'!$V$9,2,IF('Additional Measures'!G6='Minimum Criteria'!$V$10,3,IF('Additional Measures'!G6='Minimum Criteria'!$V$11,4,IF('Additional Measures'!G6='Minimum Criteria'!$V$12,5,IF('Additional Measures'!G6='Minimum Criteria'!$V$13,6,7))))))</f>
        <v>1</v>
      </c>
      <c r="AC6" s="213" t="str">
        <f>VLOOKUP(AA6,$N$8:$U$13,(AB6+2))</f>
        <v>Very Low</v>
      </c>
      <c r="AE6" s="228" t="str">
        <f>B6</f>
        <v>Vessel has not maintained Class with IACS Class Society since new build</v>
      </c>
    </row>
    <row r="7" spans="1:31" ht="54.95" customHeight="1" thickBot="1" x14ac:dyDescent="0.25">
      <c r="A7" s="221">
        <v>2</v>
      </c>
      <c r="B7" s="229" t="s">
        <v>369</v>
      </c>
      <c r="C7" s="223" t="str">
        <f>IF('Insurance &amp; Legal'!O11=6,"Vessel is not compliant","Vessel in compliance")</f>
        <v>Vessel in compliance</v>
      </c>
      <c r="D7" s="230" t="s">
        <v>57</v>
      </c>
      <c r="E7" s="231" t="str">
        <f>C7</f>
        <v>Vessel in compliance</v>
      </c>
      <c r="F7" s="227"/>
      <c r="G7" s="302" t="s">
        <v>53</v>
      </c>
      <c r="H7" s="302" t="s">
        <v>37</v>
      </c>
      <c r="I7" s="223" t="str">
        <f>Z7</f>
        <v>Very Low</v>
      </c>
      <c r="J7" s="223" t="str">
        <f t="shared" ref="J7:J22" si="0">IF(I7="Medium","Not accepted",IF(I7="Significant","Not accepted",IF(I7="High","Not Accepted",IF(I7="Very High","Not Accepted","Accepted"))))</f>
        <v>Accepted</v>
      </c>
      <c r="K7" s="447" t="str">
        <f t="shared" ref="K7:K27" si="1">IF(J7="Not accepted", "Additional Measures required", "")</f>
        <v/>
      </c>
      <c r="L7" s="448"/>
      <c r="O7" s="451"/>
      <c r="P7" s="441"/>
      <c r="Q7" s="441"/>
      <c r="R7" s="441"/>
      <c r="S7" s="441"/>
      <c r="T7" s="441"/>
      <c r="U7" s="441"/>
      <c r="X7" s="213">
        <f t="shared" ref="X7:X27" si="2">IF(G7=$O$8,1,IF(G7=$O$9,2,IF(G7=$O$10,3,IF(G7=$O$11,4,IF(G7=$O$12,5,IF(G7=$O$13,6))))))</f>
        <v>6</v>
      </c>
      <c r="Y7" s="213">
        <f t="shared" ref="Y7:Y27" si="3">IF(H7=$V$8,1,IF(H7=$V$9,2,IF(H7=$V$10,3,IF(H7=$V$11,4,IF(H7=$V$12,5,IF(H7=$V$13,6))))))</f>
        <v>1</v>
      </c>
      <c r="Z7" s="213" t="str">
        <f t="shared" ref="Z7:Z27" si="4">VLOOKUP(X7,$N$8:$U$13,(Y7+2))</f>
        <v>Very Low</v>
      </c>
      <c r="AA7" s="213">
        <f>IF('Additional Measures'!F7='Minimum Criteria'!$O$8,1,IF('Additional Measures'!F7='Minimum Criteria'!$O$9,2,IF('Additional Measures'!F7='Minimum Criteria'!$O$10,3,IF('Additional Measures'!F7='Minimum Criteria'!$O$11,4,IF('Additional Measures'!F7='Minimum Criteria'!$O$12,5,IF('Additional Measures'!F7='Minimum Criteria'!$O$13,6,6))))))</f>
        <v>6</v>
      </c>
      <c r="AB7" s="213">
        <f>IF('Additional Measures'!G7='Minimum Criteria'!$V$8,1,IF('Additional Measures'!G7='Minimum Criteria'!$V$9,2,IF('Additional Measures'!G7='Minimum Criteria'!$V$10,3,IF('Additional Measures'!G7='Minimum Criteria'!$V$11,4,IF('Additional Measures'!G7='Minimum Criteria'!$V$12,5,IF('Additional Measures'!G7='Minimum Criteria'!$V$13,6,7))))))</f>
        <v>1</v>
      </c>
      <c r="AC7" s="213" t="str">
        <f t="shared" ref="AC7:AC27" si="5">VLOOKUP(AA7,$N$8:$U$13,(AB7+2))</f>
        <v>Very Low</v>
      </c>
      <c r="AE7" s="228" t="s">
        <v>343</v>
      </c>
    </row>
    <row r="8" spans="1:31" ht="54.95" customHeight="1" thickBot="1" x14ac:dyDescent="0.25">
      <c r="A8" s="221">
        <v>3</v>
      </c>
      <c r="B8" s="232" t="s">
        <v>370</v>
      </c>
      <c r="C8" s="457" t="str">
        <f>IF(E8="Does not meet minimum criteria for Age", "Vessel does not meet minimum criteria for age","Vessel in compliance")</f>
        <v>Vessel in compliance</v>
      </c>
      <c r="D8" s="442" t="s">
        <v>58</v>
      </c>
      <c r="E8" s="444" t="str">
        <f>IF('MD-GM-Business Development'!N5&lt;0,"Does not meet minimum criteria for age","Vessel is within required age groups")</f>
        <v>Vessel is within required age groups</v>
      </c>
      <c r="F8" s="445"/>
      <c r="G8" s="446" t="s">
        <v>53</v>
      </c>
      <c r="H8" s="446" t="s">
        <v>37</v>
      </c>
      <c r="I8" s="447" t="str">
        <f>Z8</f>
        <v>Very Low</v>
      </c>
      <c r="J8" s="447" t="str">
        <f t="shared" si="0"/>
        <v>Accepted</v>
      </c>
      <c r="K8" s="447" t="str">
        <f t="shared" si="1"/>
        <v/>
      </c>
      <c r="L8" s="448"/>
      <c r="N8" s="213">
        <v>1</v>
      </c>
      <c r="O8" s="233" t="s">
        <v>42</v>
      </c>
      <c r="P8" s="234" t="s">
        <v>43</v>
      </c>
      <c r="Q8" s="234" t="s">
        <v>43</v>
      </c>
      <c r="R8" s="235" t="s">
        <v>44</v>
      </c>
      <c r="S8" s="236" t="s">
        <v>45</v>
      </c>
      <c r="T8" s="237" t="s">
        <v>46</v>
      </c>
      <c r="U8" s="237" t="s">
        <v>46</v>
      </c>
      <c r="V8" s="213" t="str">
        <f>P6</f>
        <v>Minor</v>
      </c>
      <c r="X8" s="213">
        <f t="shared" si="2"/>
        <v>6</v>
      </c>
      <c r="Y8" s="213">
        <f t="shared" si="3"/>
        <v>1</v>
      </c>
      <c r="Z8" s="213" t="str">
        <f t="shared" si="4"/>
        <v>Very Low</v>
      </c>
      <c r="AA8" s="213">
        <f>IF('Additional Measures'!F8='Minimum Criteria'!$O$8,1,IF('Additional Measures'!F8='Minimum Criteria'!$O$9,2,IF('Additional Measures'!F8='Minimum Criteria'!$O$10,3,IF('Additional Measures'!F8='Minimum Criteria'!$O$11,4,IF('Additional Measures'!F8='Minimum Criteria'!$O$12,5,IF('Additional Measures'!F8='Minimum Criteria'!$O$13,6,6))))))</f>
        <v>6</v>
      </c>
      <c r="AB8" s="213">
        <f>IF('Additional Measures'!G8='Minimum Criteria'!$V$8,1,IF('Additional Measures'!G8='Minimum Criteria'!$V$9,2,IF('Additional Measures'!G8='Minimum Criteria'!$V$10,3,IF('Additional Measures'!G8='Minimum Criteria'!$V$11,4,IF('Additional Measures'!G8='Minimum Criteria'!$V$12,5,IF('Additional Measures'!G8='Minimum Criteria'!$V$13,6,6))))))</f>
        <v>1</v>
      </c>
      <c r="AC8" s="213" t="str">
        <f>VLOOKUP((AA8),$N$8:$U$13,(AB8+2))</f>
        <v>Very Low</v>
      </c>
      <c r="AE8" s="228" t="str">
        <f>B7</f>
        <v>P+I insurance not with International Group Club.</v>
      </c>
    </row>
    <row r="9" spans="1:31" ht="54.95" customHeight="1" thickBot="1" x14ac:dyDescent="0.25">
      <c r="A9" s="221">
        <v>4</v>
      </c>
      <c r="B9" s="238" t="s">
        <v>25</v>
      </c>
      <c r="C9" s="457"/>
      <c r="D9" s="443"/>
      <c r="E9" s="444"/>
      <c r="F9" s="445"/>
      <c r="G9" s="446"/>
      <c r="H9" s="446"/>
      <c r="I9" s="447"/>
      <c r="J9" s="447"/>
      <c r="K9" s="447"/>
      <c r="L9" s="448"/>
      <c r="N9" s="213">
        <v>2</v>
      </c>
      <c r="O9" s="233" t="s">
        <v>47</v>
      </c>
      <c r="P9" s="234" t="s">
        <v>43</v>
      </c>
      <c r="Q9" s="234" t="s">
        <v>43</v>
      </c>
      <c r="R9" s="235" t="s">
        <v>44</v>
      </c>
      <c r="S9" s="236" t="s">
        <v>45</v>
      </c>
      <c r="T9" s="236" t="s">
        <v>45</v>
      </c>
      <c r="U9" s="237" t="s">
        <v>46</v>
      </c>
      <c r="V9" s="213" t="str">
        <f>Q6</f>
        <v>Moderate</v>
      </c>
      <c r="AE9" s="213" t="str">
        <f>AE7</f>
        <v>Not True</v>
      </c>
    </row>
    <row r="10" spans="1:31" ht="54.95" customHeight="1" thickBot="1" x14ac:dyDescent="0.25">
      <c r="A10" s="221">
        <v>5</v>
      </c>
      <c r="B10" s="238" t="s">
        <v>26</v>
      </c>
      <c r="C10" s="457"/>
      <c r="D10" s="443"/>
      <c r="E10" s="444"/>
      <c r="F10" s="445"/>
      <c r="G10" s="446"/>
      <c r="H10" s="446"/>
      <c r="I10" s="447"/>
      <c r="J10" s="447"/>
      <c r="K10" s="447"/>
      <c r="L10" s="448"/>
      <c r="N10" s="213">
        <v>3</v>
      </c>
      <c r="O10" s="233" t="s">
        <v>48</v>
      </c>
      <c r="P10" s="239" t="s">
        <v>49</v>
      </c>
      <c r="Q10" s="234" t="s">
        <v>43</v>
      </c>
      <c r="R10" s="235" t="s">
        <v>44</v>
      </c>
      <c r="S10" s="235" t="s">
        <v>44</v>
      </c>
      <c r="T10" s="236" t="s">
        <v>45</v>
      </c>
      <c r="U10" s="236" t="s">
        <v>45</v>
      </c>
      <c r="V10" s="213" t="str">
        <f>R6</f>
        <v>Severe</v>
      </c>
      <c r="AE10" s="213" t="s">
        <v>74</v>
      </c>
    </row>
    <row r="11" spans="1:31" ht="54.95" customHeight="1" thickBot="1" x14ac:dyDescent="0.25">
      <c r="A11" s="221">
        <v>6</v>
      </c>
      <c r="B11" s="238" t="s">
        <v>27</v>
      </c>
      <c r="C11" s="457"/>
      <c r="D11" s="443"/>
      <c r="E11" s="444"/>
      <c r="F11" s="445"/>
      <c r="G11" s="446"/>
      <c r="H11" s="446"/>
      <c r="I11" s="447"/>
      <c r="J11" s="447"/>
      <c r="K11" s="447"/>
      <c r="L11" s="448"/>
      <c r="N11" s="213">
        <v>4</v>
      </c>
      <c r="O11" s="233" t="s">
        <v>50</v>
      </c>
      <c r="P11" s="239" t="s">
        <v>49</v>
      </c>
      <c r="Q11" s="234" t="s">
        <v>43</v>
      </c>
      <c r="R11" s="234" t="s">
        <v>43</v>
      </c>
      <c r="S11" s="235" t="s">
        <v>44</v>
      </c>
      <c r="T11" s="235" t="s">
        <v>44</v>
      </c>
      <c r="U11" s="235" t="s">
        <v>44</v>
      </c>
      <c r="V11" s="213" t="str">
        <f>S6</f>
        <v>Very Severe</v>
      </c>
      <c r="AE11" s="213" t="s">
        <v>344</v>
      </c>
    </row>
    <row r="12" spans="1:31" ht="54.95" customHeight="1" thickBot="1" x14ac:dyDescent="0.25">
      <c r="A12" s="221">
        <v>7</v>
      </c>
      <c r="B12" s="240" t="s">
        <v>371</v>
      </c>
      <c r="C12" s="241" t="e">
        <f>IF('[1] HSSEQ Tab'!I7&gt;1,"Poor PSC Record",IF('[1] HSSEQ Tab'!I8&gt;2,"Poor PSC Record","PSC Record acceptable"))</f>
        <v>#REF!</v>
      </c>
      <c r="D12" s="230" t="s">
        <v>59</v>
      </c>
      <c r="E12" s="231" t="e">
        <f>C12</f>
        <v>#REF!</v>
      </c>
      <c r="F12" s="227"/>
      <c r="G12" s="227" t="s">
        <v>53</v>
      </c>
      <c r="H12" s="227" t="s">
        <v>37</v>
      </c>
      <c r="I12" s="223" t="str">
        <f t="shared" ref="I12:I22" si="6">Z12</f>
        <v>Very Low</v>
      </c>
      <c r="J12" s="223" t="str">
        <f t="shared" si="0"/>
        <v>Accepted</v>
      </c>
      <c r="K12" s="447" t="str">
        <f t="shared" si="1"/>
        <v/>
      </c>
      <c r="L12" s="448"/>
      <c r="N12" s="213">
        <v>5</v>
      </c>
      <c r="O12" s="233" t="s">
        <v>51</v>
      </c>
      <c r="P12" s="242" t="s">
        <v>52</v>
      </c>
      <c r="Q12" s="239" t="s">
        <v>49</v>
      </c>
      <c r="R12" s="234" t="s">
        <v>43</v>
      </c>
      <c r="S12" s="234" t="s">
        <v>43</v>
      </c>
      <c r="T12" s="234" t="s">
        <v>43</v>
      </c>
      <c r="U12" s="234" t="s">
        <v>43</v>
      </c>
      <c r="V12" s="213" t="str">
        <f>T6</f>
        <v>Major</v>
      </c>
      <c r="X12" s="213">
        <f t="shared" si="2"/>
        <v>6</v>
      </c>
      <c r="Y12" s="213">
        <f t="shared" si="3"/>
        <v>1</v>
      </c>
      <c r="Z12" s="213" t="str">
        <f t="shared" si="4"/>
        <v>Very Low</v>
      </c>
      <c r="AA12" s="213">
        <f>IF('Additional Measures'!F9='Minimum Criteria'!$O$8,1,IF('Additional Measures'!F12='Minimum Criteria'!$O$9,2,IF('Additional Measures'!F12='Minimum Criteria'!$O$10,3,IF('Additional Measures'!F12='Minimum Criteria'!$O$11,4,IF('Additional Measures'!F12='Minimum Criteria'!$O$12,5,IF('Additional Measures'!F12='Minimum Criteria'!$O$13,6,6))))))</f>
        <v>6</v>
      </c>
      <c r="AB12" s="213">
        <f>IF('Additional Measures'!G9='Minimum Criteria'!$V$8,1,IF('Additional Measures'!G12='Minimum Criteria'!$V$9,2,IF('Additional Measures'!G12='Minimum Criteria'!$V$10,3,IF('Additional Measures'!G12='Minimum Criteria'!$V$11,4,IF('Additional Measures'!G12='Minimum Criteria'!$V$12,5,IF('Additional Measures'!G12='Minimum Criteria'!$V$13,6,6))))))</f>
        <v>1</v>
      </c>
      <c r="AC12" s="213" t="str">
        <f t="shared" si="5"/>
        <v>Very Low</v>
      </c>
      <c r="AE12" s="213" t="s">
        <v>345</v>
      </c>
    </row>
    <row r="13" spans="1:31" ht="54.95" customHeight="1" thickBot="1" x14ac:dyDescent="0.25">
      <c r="A13" s="221">
        <v>8</v>
      </c>
      <c r="B13" s="222" t="s">
        <v>372</v>
      </c>
      <c r="C13" s="243"/>
      <c r="D13" s="224" t="s">
        <v>59</v>
      </c>
      <c r="E13" s="225" t="str">
        <f>IF(C13=AE11,"Vessel  does not appear on USCG blacklist (previous owner or vessel).", "Vessel is not compliant")</f>
        <v>Vessel is not compliant</v>
      </c>
      <c r="F13" s="226"/>
      <c r="G13" s="302" t="s">
        <v>53</v>
      </c>
      <c r="H13" s="302" t="s">
        <v>37</v>
      </c>
      <c r="I13" s="223" t="str">
        <f t="shared" si="6"/>
        <v>Very Low</v>
      </c>
      <c r="J13" s="223" t="str">
        <f t="shared" si="0"/>
        <v>Accepted</v>
      </c>
      <c r="K13" s="447" t="str">
        <f t="shared" si="1"/>
        <v/>
      </c>
      <c r="L13" s="448"/>
      <c r="N13" s="213">
        <v>6</v>
      </c>
      <c r="O13" s="233" t="s">
        <v>53</v>
      </c>
      <c r="P13" s="242" t="s">
        <v>52</v>
      </c>
      <c r="Q13" s="242" t="s">
        <v>52</v>
      </c>
      <c r="R13" s="239" t="s">
        <v>49</v>
      </c>
      <c r="S13" s="239" t="s">
        <v>49</v>
      </c>
      <c r="T13" s="239" t="s">
        <v>49</v>
      </c>
      <c r="U13" s="234" t="s">
        <v>43</v>
      </c>
      <c r="V13" s="213" t="str">
        <f>U6</f>
        <v>Critical</v>
      </c>
      <c r="X13" s="213">
        <f t="shared" si="2"/>
        <v>6</v>
      </c>
      <c r="Y13" s="213">
        <f t="shared" si="3"/>
        <v>1</v>
      </c>
      <c r="Z13" s="213" t="str">
        <f t="shared" si="4"/>
        <v>Very Low</v>
      </c>
      <c r="AA13" s="213">
        <f>IF('Additional Measures'!F10='Minimum Criteria'!$O$8,1,IF('Additional Measures'!F13='Minimum Criteria'!$O$9,2,IF('Additional Measures'!F13='Minimum Criteria'!$O$10,3,IF('Additional Measures'!F13='Minimum Criteria'!$O$11,4,IF('Additional Measures'!F13='Minimum Criteria'!$O$12,5,IF('Additional Measures'!F13='Minimum Criteria'!$O$13,6,6))))))</f>
        <v>6</v>
      </c>
      <c r="AB13" s="213">
        <f>IF('Additional Measures'!G10='Minimum Criteria'!$V$8,1,IF('Additional Measures'!G13='Minimum Criteria'!$V$9,2,IF('Additional Measures'!G13='Minimum Criteria'!$V$10,3,IF('Additional Measures'!G13='Minimum Criteria'!$V$11,4,IF('Additional Measures'!G13='Minimum Criteria'!$V$12,5,IF('Additional Measures'!G13='Minimum Criteria'!$V$13,6,6))))))</f>
        <v>1</v>
      </c>
      <c r="AC13" s="213" t="str">
        <f t="shared" si="5"/>
        <v>Very Low</v>
      </c>
      <c r="AE13" s="213" t="s">
        <v>346</v>
      </c>
    </row>
    <row r="14" spans="1:31" ht="54.95" customHeight="1" x14ac:dyDescent="0.2">
      <c r="A14" s="221">
        <v>9</v>
      </c>
      <c r="B14" s="229" t="s">
        <v>373</v>
      </c>
      <c r="C14" s="243"/>
      <c r="D14" s="230" t="s">
        <v>59</v>
      </c>
      <c r="E14" s="231" t="str">
        <f>IF(C14=AE11,"Vessel and/or owner are NOT on any US or other governmental sanctions blacklist.","Vessel is not compliant")</f>
        <v>Vessel is not compliant</v>
      </c>
      <c r="F14" s="227"/>
      <c r="G14" s="302" t="s">
        <v>53</v>
      </c>
      <c r="H14" s="302" t="s">
        <v>37</v>
      </c>
      <c r="I14" s="223" t="str">
        <f t="shared" si="6"/>
        <v>Very Low</v>
      </c>
      <c r="J14" s="223" t="str">
        <f t="shared" si="0"/>
        <v>Accepted</v>
      </c>
      <c r="K14" s="447" t="str">
        <f t="shared" si="1"/>
        <v/>
      </c>
      <c r="L14" s="448"/>
      <c r="X14" s="213">
        <f t="shared" si="2"/>
        <v>6</v>
      </c>
      <c r="Y14" s="213">
        <f t="shared" si="3"/>
        <v>1</v>
      </c>
      <c r="Z14" s="213" t="str">
        <f t="shared" si="4"/>
        <v>Very Low</v>
      </c>
      <c r="AA14" s="213">
        <f>IF('Additional Measures'!F11='Minimum Criteria'!$O$8,1,IF('Additional Measures'!F14='Minimum Criteria'!$O$9,2,IF('Additional Measures'!F14='Minimum Criteria'!$O$10,3,IF('Additional Measures'!F14='Minimum Criteria'!$O$11,4,IF('Additional Measures'!F14='Minimum Criteria'!$O$12,5,IF('Additional Measures'!F14='Minimum Criteria'!$O$13,6,6))))))</f>
        <v>6</v>
      </c>
      <c r="AB14" s="213">
        <f>IF('Additional Measures'!G11='Minimum Criteria'!$V$8,1,IF('Additional Measures'!G14='Minimum Criteria'!$V$9,2,IF('Additional Measures'!G14='Minimum Criteria'!$V$10,3,IF('Additional Measures'!G14='Minimum Criteria'!$V$11,4,IF('Additional Measures'!G14='Minimum Criteria'!$V$12,5,IF('Additional Measures'!G14='Minimum Criteria'!$V$13,6,6))))))</f>
        <v>1</v>
      </c>
      <c r="AC14" s="213" t="str">
        <f t="shared" si="5"/>
        <v>Very Low</v>
      </c>
    </row>
    <row r="15" spans="1:31" ht="54.95" customHeight="1" x14ac:dyDescent="0.2">
      <c r="A15" s="221">
        <v>10</v>
      </c>
      <c r="B15" s="222" t="s">
        <v>374</v>
      </c>
      <c r="C15" s="243"/>
      <c r="D15" s="244" t="s">
        <v>55</v>
      </c>
      <c r="E15" s="225" t="str">
        <f>IF(C15="Account Audits have not been received","Vessel is not compliant","A copy of the client’s latest audited accounts and / or a report from a credit risk rating company (e.g. Infospectrum or similar) has  been received. ")</f>
        <v xml:space="preserve">A copy of the client’s latest audited accounts and / or a report from a credit risk rating company (e.g. Infospectrum or similar) has  been received. </v>
      </c>
      <c r="F15" s="226"/>
      <c r="G15" s="302" t="s">
        <v>53</v>
      </c>
      <c r="H15" s="302" t="s">
        <v>37</v>
      </c>
      <c r="I15" s="223" t="str">
        <f t="shared" si="6"/>
        <v>Very Low</v>
      </c>
      <c r="J15" s="223" t="str">
        <f t="shared" si="0"/>
        <v>Accepted</v>
      </c>
      <c r="K15" s="447" t="str">
        <f t="shared" si="1"/>
        <v/>
      </c>
      <c r="L15" s="448"/>
      <c r="X15" s="213">
        <f t="shared" si="2"/>
        <v>6</v>
      </c>
      <c r="Y15" s="213">
        <f t="shared" si="3"/>
        <v>1</v>
      </c>
      <c r="Z15" s="213" t="str">
        <f t="shared" si="4"/>
        <v>Very Low</v>
      </c>
      <c r="AA15" s="213">
        <f>IF('Additional Measures'!F12='Minimum Criteria'!$O$8,1,IF('Additional Measures'!F15='Minimum Criteria'!$O$9,2,IF('Additional Measures'!F15='Minimum Criteria'!$O$10,3,IF('Additional Measures'!F15='Minimum Criteria'!$O$11,4,IF('Additional Measures'!F15='Minimum Criteria'!$O$12,5,IF('Additional Measures'!F15='Minimum Criteria'!$O$13,6,6))))))</f>
        <v>6</v>
      </c>
      <c r="AB15" s="213">
        <f>IF('Additional Measures'!G12='Minimum Criteria'!$V$8,1,IF('Additional Measures'!G15='Minimum Criteria'!$V$9,2,IF('Additional Measures'!G15='Minimum Criteria'!$V$10,3,IF('Additional Measures'!G15='Minimum Criteria'!$V$11,4,IF('Additional Measures'!G15='Minimum Criteria'!$V$12,5,IF('Additional Measures'!G15='Minimum Criteria'!$V$13,6,6))))))</f>
        <v>1</v>
      </c>
      <c r="AC15" s="213" t="str">
        <f t="shared" si="5"/>
        <v>Very Low</v>
      </c>
    </row>
    <row r="16" spans="1:31" ht="54.95" customHeight="1" x14ac:dyDescent="0.2">
      <c r="A16" s="221">
        <v>11</v>
      </c>
      <c r="B16" s="33" t="s">
        <v>375</v>
      </c>
      <c r="C16" s="243"/>
      <c r="D16" s="230" t="s">
        <v>59</v>
      </c>
      <c r="E16" s="231" t="str">
        <f>IF(C16="Yes","Vessel is not compliant","Not on Paris MOU Blacklist")</f>
        <v>Not on Paris MOU Blacklist</v>
      </c>
      <c r="F16" s="271"/>
      <c r="G16" s="302" t="s">
        <v>53</v>
      </c>
      <c r="H16" s="302" t="s">
        <v>37</v>
      </c>
      <c r="I16" s="223" t="str">
        <f t="shared" si="6"/>
        <v>Very Low</v>
      </c>
      <c r="J16" s="223" t="str">
        <f t="shared" si="0"/>
        <v>Accepted</v>
      </c>
      <c r="K16" s="447" t="str">
        <f t="shared" si="1"/>
        <v/>
      </c>
      <c r="L16" s="448"/>
      <c r="X16" s="213">
        <f t="shared" si="2"/>
        <v>6</v>
      </c>
      <c r="Y16" s="213">
        <f t="shared" si="3"/>
        <v>1</v>
      </c>
      <c r="Z16" s="213" t="str">
        <f t="shared" si="4"/>
        <v>Very Low</v>
      </c>
      <c r="AA16" s="213">
        <f>IF('Additional Measures'!F13='Minimum Criteria'!$O$8,1,IF('Additional Measures'!F16='Minimum Criteria'!$O$9,2,IF('Additional Measures'!F16='Minimum Criteria'!$O$10,3,IF('Additional Measures'!F16='Minimum Criteria'!$O$11,4,IF('Additional Measures'!F16='Minimum Criteria'!$O$12,5,IF('Additional Measures'!F16='Minimum Criteria'!$O$13,6,6))))))</f>
        <v>6</v>
      </c>
      <c r="AB16" s="213">
        <f>IF('Additional Measures'!G13='Minimum Criteria'!$V$8,1,IF('Additional Measures'!G16='Minimum Criteria'!$V$9,2,IF('Additional Measures'!G16='Minimum Criteria'!$V$10,3,IF('Additional Measures'!G16='Minimum Criteria'!$V$11,4,IF('Additional Measures'!G16='Minimum Criteria'!$V$12,5,IF('Additional Measures'!G16='Minimum Criteria'!$V$13,6,6))))))</f>
        <v>1</v>
      </c>
      <c r="AC16" s="213" t="str">
        <f t="shared" si="5"/>
        <v>Very Low</v>
      </c>
    </row>
    <row r="17" spans="1:29" ht="54.95" customHeight="1" x14ac:dyDescent="0.2">
      <c r="A17" s="221">
        <v>12</v>
      </c>
      <c r="B17" s="222" t="s">
        <v>376</v>
      </c>
      <c r="C17" s="243"/>
      <c r="D17" s="224" t="s">
        <v>59</v>
      </c>
      <c r="E17" s="225" t="str">
        <f>IF(C17="Yes","Vessel is not compliant","No Conditions of Class, or Conditions of Authority, in place affecting trading.")</f>
        <v>No Conditions of Class, or Conditions of Authority, in place affecting trading.</v>
      </c>
      <c r="F17" s="226"/>
      <c r="G17" s="302" t="s">
        <v>53</v>
      </c>
      <c r="H17" s="302" t="s">
        <v>37</v>
      </c>
      <c r="I17" s="223" t="str">
        <f t="shared" si="6"/>
        <v>Very Low</v>
      </c>
      <c r="J17" s="223" t="str">
        <f t="shared" si="0"/>
        <v>Accepted</v>
      </c>
      <c r="K17" s="447" t="str">
        <f t="shared" si="1"/>
        <v/>
      </c>
      <c r="L17" s="448"/>
      <c r="X17" s="213">
        <f t="shared" si="2"/>
        <v>6</v>
      </c>
      <c r="Y17" s="213">
        <f t="shared" si="3"/>
        <v>1</v>
      </c>
      <c r="Z17" s="213" t="str">
        <f t="shared" si="4"/>
        <v>Very Low</v>
      </c>
      <c r="AA17" s="213">
        <f>IF('Additional Measures'!F14='Minimum Criteria'!$O$8,1,IF('Additional Measures'!F17='Minimum Criteria'!$O$9,2,IF('Additional Measures'!F17='Minimum Criteria'!$O$10,3,IF('Additional Measures'!F17='Minimum Criteria'!$O$11,4,IF('Additional Measures'!F17='Minimum Criteria'!$O$12,5,IF('Additional Measures'!F17='Minimum Criteria'!$O$13,6,6))))))</f>
        <v>6</v>
      </c>
      <c r="AB17" s="213">
        <f>IF('Additional Measures'!G14='Minimum Criteria'!$V$8,1,IF('Additional Measures'!G17='Minimum Criteria'!$V$9,2,IF('Additional Measures'!G17='Minimum Criteria'!$V$10,3,IF('Additional Measures'!G17='Minimum Criteria'!$V$11,4,IF('Additional Measures'!G17='Minimum Criteria'!$V$12,5,IF('Additional Measures'!G17='Minimum Criteria'!$V$13,6,6))))))</f>
        <v>1</v>
      </c>
      <c r="AC17" s="213" t="str">
        <f t="shared" si="5"/>
        <v>Very Low</v>
      </c>
    </row>
    <row r="18" spans="1:29" ht="54.95" customHeight="1" x14ac:dyDescent="0.2">
      <c r="A18" s="221">
        <v>13</v>
      </c>
      <c r="B18" s="229" t="s">
        <v>377</v>
      </c>
      <c r="C18" s="243"/>
      <c r="D18" s="230" t="s">
        <v>60</v>
      </c>
      <c r="E18" s="231" t="str">
        <f>IF(C18="Yes", "Vessel is not compliant","There is specific authorisation from the Crew Management, Crew Director or a Group Director.")</f>
        <v>There is specific authorisation from the Crew Management, Crew Director or a Group Director.</v>
      </c>
      <c r="F18" s="227"/>
      <c r="G18" s="302" t="s">
        <v>53</v>
      </c>
      <c r="H18" s="302" t="s">
        <v>37</v>
      </c>
      <c r="I18" s="223" t="str">
        <f t="shared" si="6"/>
        <v>Very Low</v>
      </c>
      <c r="J18" s="223" t="str">
        <f t="shared" si="0"/>
        <v>Accepted</v>
      </c>
      <c r="K18" s="447" t="str">
        <f t="shared" si="1"/>
        <v/>
      </c>
      <c r="L18" s="448"/>
      <c r="X18" s="213">
        <f t="shared" si="2"/>
        <v>6</v>
      </c>
      <c r="Y18" s="213">
        <f t="shared" si="3"/>
        <v>1</v>
      </c>
      <c r="Z18" s="213" t="str">
        <f t="shared" si="4"/>
        <v>Very Low</v>
      </c>
      <c r="AA18" s="213">
        <f>IF('Additional Measures'!F15='Minimum Criteria'!$O$8,1,IF('Additional Measures'!F18='Minimum Criteria'!$O$9,2,IF('Additional Measures'!F18='Minimum Criteria'!$O$10,3,IF('Additional Measures'!F18='Minimum Criteria'!$O$11,4,IF('Additional Measures'!F18='Minimum Criteria'!$O$12,5,IF('Additional Measures'!F18='Minimum Criteria'!$O$13,6,6))))))</f>
        <v>6</v>
      </c>
      <c r="AB18" s="213">
        <f>IF('Additional Measures'!G15='Minimum Criteria'!$V$8,1,IF('Additional Measures'!G18='Minimum Criteria'!$V$9,2,IF('Additional Measures'!G18='Minimum Criteria'!$V$10,3,IF('Additional Measures'!G18='Minimum Criteria'!$V$11,4,IF('Additional Measures'!G18='Minimum Criteria'!$V$12,5,IF('Additional Measures'!G18='Minimum Criteria'!$V$13,6,6))))))</f>
        <v>1</v>
      </c>
      <c r="AC18" s="213" t="str">
        <f t="shared" si="5"/>
        <v>Very Low</v>
      </c>
    </row>
    <row r="19" spans="1:29" ht="116.25" customHeight="1" x14ac:dyDescent="0.2">
      <c r="A19" s="221">
        <v>14</v>
      </c>
      <c r="B19" s="222" t="s">
        <v>378</v>
      </c>
      <c r="C19" s="223" t="str">
        <f>IF(Technical!C11="6 = No", "No inspection report by V.Group staff in the last 3 months ", "Inspection report by V.Group staff in the last 3 months. (New Builds exempt)")</f>
        <v>Inspection report by V.Group staff in the last 3 months. (New Builds exempt)</v>
      </c>
      <c r="D19" s="224" t="s">
        <v>61</v>
      </c>
      <c r="E19" s="225" t="str">
        <f>IF(Technical!C11="6 = No", "No inspection report by V.Group staff in the last 3 months - Vessel not acceptable for entry to Management. A waiver will be required from the Group Director.", "Inspection report by V.Group staff in the last 3 months. (New Builds exempt)")</f>
        <v>Inspection report by V.Group staff in the last 3 months. (New Builds exempt)</v>
      </c>
      <c r="F19" s="226"/>
      <c r="G19" s="302" t="s">
        <v>53</v>
      </c>
      <c r="H19" s="302" t="s">
        <v>37</v>
      </c>
      <c r="I19" s="223" t="str">
        <f t="shared" si="6"/>
        <v>Very Low</v>
      </c>
      <c r="J19" s="223" t="str">
        <f t="shared" si="0"/>
        <v>Accepted</v>
      </c>
      <c r="K19" s="447" t="str">
        <f t="shared" si="1"/>
        <v/>
      </c>
      <c r="L19" s="448"/>
      <c r="X19" s="213">
        <f t="shared" si="2"/>
        <v>6</v>
      </c>
      <c r="Y19" s="213">
        <f t="shared" si="3"/>
        <v>1</v>
      </c>
      <c r="Z19" s="213" t="str">
        <f t="shared" si="4"/>
        <v>Very Low</v>
      </c>
      <c r="AA19" s="213">
        <f>IF('Additional Measures'!F16='Minimum Criteria'!$O$8,1,IF('Additional Measures'!F19='Minimum Criteria'!$O$9,2,IF('Additional Measures'!F19='Minimum Criteria'!$O$10,3,IF('Additional Measures'!F19='Minimum Criteria'!$O$11,4,IF('Additional Measures'!F19='Minimum Criteria'!$O$12,5,IF('Additional Measures'!F19='Minimum Criteria'!$O$13,6,6))))))</f>
        <v>6</v>
      </c>
      <c r="AB19" s="213">
        <f>IF('Additional Measures'!G16='Minimum Criteria'!$V$8,1,IF('Additional Measures'!G19='Minimum Criteria'!$V$9,2,IF('Additional Measures'!G19='Minimum Criteria'!$V$10,3,IF('Additional Measures'!G19='Minimum Criteria'!$V$11,4,IF('Additional Measures'!G19='Minimum Criteria'!$V$12,5,IF('Additional Measures'!G19='Minimum Criteria'!$V$13,6,6))))))</f>
        <v>1</v>
      </c>
      <c r="AC19" s="213" t="str">
        <f t="shared" si="5"/>
        <v>Very Low</v>
      </c>
    </row>
    <row r="20" spans="1:29" ht="54.95" customHeight="1" x14ac:dyDescent="0.2">
      <c r="A20" s="221">
        <v>15</v>
      </c>
      <c r="B20" s="229" t="s">
        <v>379</v>
      </c>
      <c r="C20" s="243"/>
      <c r="D20" s="230" t="s">
        <v>62</v>
      </c>
      <c r="E20" s="231" t="str">
        <f>IF(C20="Yes","Vessel is not compliant","Crewing agreement In line with ITF agreements")</f>
        <v>Crewing agreement In line with ITF agreements</v>
      </c>
      <c r="F20" s="227"/>
      <c r="G20" s="302" t="s">
        <v>53</v>
      </c>
      <c r="H20" s="302" t="s">
        <v>37</v>
      </c>
      <c r="I20" s="223" t="str">
        <f t="shared" si="6"/>
        <v>Very Low</v>
      </c>
      <c r="J20" s="223" t="str">
        <f t="shared" si="0"/>
        <v>Accepted</v>
      </c>
      <c r="K20" s="447" t="str">
        <f t="shared" si="1"/>
        <v/>
      </c>
      <c r="L20" s="448"/>
      <c r="X20" s="213">
        <f t="shared" si="2"/>
        <v>6</v>
      </c>
      <c r="Y20" s="213">
        <f t="shared" si="3"/>
        <v>1</v>
      </c>
      <c r="Z20" s="213" t="str">
        <f t="shared" si="4"/>
        <v>Very Low</v>
      </c>
      <c r="AA20" s="213">
        <f>IF('Additional Measures'!F17='Minimum Criteria'!$O$8,1,IF('Additional Measures'!F20='Minimum Criteria'!$O$9,2,IF('Additional Measures'!F20='Minimum Criteria'!$O$10,3,IF('Additional Measures'!F20='Minimum Criteria'!$O$11,4,IF('Additional Measures'!F20='Minimum Criteria'!$O$12,5,IF('Additional Measures'!F20='Minimum Criteria'!$O$13,6,6))))))</f>
        <v>6</v>
      </c>
      <c r="AB20" s="213">
        <f>IF('Additional Measures'!G17='Minimum Criteria'!$V$8,1,IF('Additional Measures'!G20='Minimum Criteria'!$V$9,2,IF('Additional Measures'!G20='Minimum Criteria'!$V$10,3,IF('Additional Measures'!G20='Minimum Criteria'!$V$11,4,IF('Additional Measures'!G20='Minimum Criteria'!$V$12,5,IF('Additional Measures'!G20='Minimum Criteria'!$V$13,6,6))))))</f>
        <v>1</v>
      </c>
      <c r="AC20" s="213" t="str">
        <f t="shared" si="5"/>
        <v>Very Low</v>
      </c>
    </row>
    <row r="21" spans="1:29" ht="54.95" customHeight="1" x14ac:dyDescent="0.2">
      <c r="A21" s="221">
        <v>16</v>
      </c>
      <c r="B21" s="222" t="s">
        <v>380</v>
      </c>
      <c r="C21" s="243"/>
      <c r="D21" s="224" t="s">
        <v>63</v>
      </c>
      <c r="E21" s="225" t="str">
        <f>IF(C20="Yes", "Vessel is not compliant","Management Agreement under English Law")</f>
        <v>Management Agreement under English Law</v>
      </c>
      <c r="F21" s="226"/>
      <c r="G21" s="302" t="s">
        <v>53</v>
      </c>
      <c r="H21" s="302" t="s">
        <v>37</v>
      </c>
      <c r="I21" s="223" t="str">
        <f t="shared" si="6"/>
        <v>Very Low</v>
      </c>
      <c r="J21" s="223" t="str">
        <f t="shared" si="0"/>
        <v>Accepted</v>
      </c>
      <c r="K21" s="447" t="str">
        <f t="shared" si="1"/>
        <v/>
      </c>
      <c r="L21" s="448"/>
      <c r="X21" s="213">
        <f t="shared" si="2"/>
        <v>6</v>
      </c>
      <c r="Y21" s="213">
        <f t="shared" si="3"/>
        <v>1</v>
      </c>
      <c r="Z21" s="213" t="str">
        <f t="shared" si="4"/>
        <v>Very Low</v>
      </c>
      <c r="AA21" s="213">
        <f>IF('Additional Measures'!F18='Minimum Criteria'!$O$8,1,IF('Additional Measures'!F21='Minimum Criteria'!$O$9,2,IF('Additional Measures'!F21='Minimum Criteria'!$O$10,3,IF('Additional Measures'!F21='Minimum Criteria'!$O$11,4,IF('Additional Measures'!F21='Minimum Criteria'!$O$12,5,IF('Additional Measures'!F21='Minimum Criteria'!$O$13,6,6))))))</f>
        <v>6</v>
      </c>
      <c r="AB21" s="213">
        <f>IF('Additional Measures'!G18='Minimum Criteria'!$V$8,1,IF('Additional Measures'!G21='Minimum Criteria'!$V$9,2,IF('Additional Measures'!G21='Minimum Criteria'!$V$10,3,IF('Additional Measures'!G21='Minimum Criteria'!$V$11,4,IF('Additional Measures'!G21='Minimum Criteria'!$V$12,5,IF('Additional Measures'!G21='Minimum Criteria'!$V$13,6,6))))))</f>
        <v>1</v>
      </c>
      <c r="AC21" s="213" t="str">
        <f t="shared" si="5"/>
        <v>Very Low</v>
      </c>
    </row>
    <row r="22" spans="1:29" ht="54.95" customHeight="1" thickBot="1" x14ac:dyDescent="0.25">
      <c r="A22" s="245">
        <v>17</v>
      </c>
      <c r="B22" s="246" t="s">
        <v>28</v>
      </c>
      <c r="C22" s="247"/>
      <c r="D22" s="248"/>
      <c r="E22" s="249" t="str">
        <f>IF(C22="Yes", "Form CRW11 must be signed off by the Group Tax Department", "Crew not directly employed.")</f>
        <v>Crew not directly employed.</v>
      </c>
      <c r="F22" s="250"/>
      <c r="G22" s="302" t="s">
        <v>53</v>
      </c>
      <c r="H22" s="302" t="s">
        <v>37</v>
      </c>
      <c r="I22" s="248" t="str">
        <f t="shared" si="6"/>
        <v>Very Low</v>
      </c>
      <c r="J22" s="248" t="str">
        <f t="shared" si="0"/>
        <v>Accepted</v>
      </c>
      <c r="K22" s="461" t="str">
        <f t="shared" si="1"/>
        <v/>
      </c>
      <c r="L22" s="462"/>
      <c r="X22" s="213">
        <f t="shared" si="2"/>
        <v>6</v>
      </c>
      <c r="Y22" s="213">
        <f t="shared" si="3"/>
        <v>1</v>
      </c>
      <c r="Z22" s="213" t="str">
        <f t="shared" si="4"/>
        <v>Very Low</v>
      </c>
      <c r="AA22" s="213">
        <f>IF('Additional Measures'!F19='Minimum Criteria'!$O$8,1,IF('Additional Measures'!F22='Minimum Criteria'!$O$9,2,IF('Additional Measures'!F22='Minimum Criteria'!$O$10,3,IF('Additional Measures'!F22='Minimum Criteria'!$O$11,4,IF('Additional Measures'!F22='Minimum Criteria'!$O$12,5,IF('Additional Measures'!F22='Minimum Criteria'!$O$13,6,6))))))</f>
        <v>6</v>
      </c>
      <c r="AB22" s="213">
        <f>IF('Additional Measures'!G19='Minimum Criteria'!$V$8,1,IF('Additional Measures'!G22='Minimum Criteria'!$V$9,2,IF('Additional Measures'!G22='Minimum Criteria'!$V$10,3,IF('Additional Measures'!G22='Minimum Criteria'!$V$11,4,IF('Additional Measures'!G22='Minimum Criteria'!$V$12,5,IF('Additional Measures'!G22='Minimum Criteria'!$V$13,6,6))))))</f>
        <v>1</v>
      </c>
      <c r="AC22" s="213" t="str">
        <f t="shared" si="5"/>
        <v>Very Low</v>
      </c>
    </row>
    <row r="23" spans="1:29" ht="54.95" customHeight="1" x14ac:dyDescent="0.2">
      <c r="A23" s="212"/>
      <c r="B23" s="212"/>
      <c r="C23" s="212"/>
      <c r="D23" s="212"/>
      <c r="E23" s="251"/>
      <c r="F23" s="251"/>
      <c r="G23" s="251"/>
      <c r="H23" s="251"/>
      <c r="I23" s="251"/>
      <c r="J23" s="251"/>
      <c r="K23" s="251"/>
      <c r="L23" s="251"/>
    </row>
    <row r="24" spans="1:29" ht="54.95" customHeight="1" thickBot="1" x14ac:dyDescent="0.25">
      <c r="A24" s="212"/>
      <c r="B24" s="252" t="str">
        <f>IF('MD-GM-Business Development'!$D$9="Yes","New Build Only","")</f>
        <v/>
      </c>
      <c r="C24" s="252"/>
      <c r="D24" s="212"/>
      <c r="E24" s="251"/>
      <c r="F24" s="251"/>
      <c r="G24" s="251"/>
      <c r="H24" s="251"/>
      <c r="I24" s="251"/>
      <c r="J24" s="251"/>
      <c r="K24" s="251"/>
      <c r="L24" s="251"/>
    </row>
    <row r="25" spans="1:29" ht="54.95" customHeight="1" thickBot="1" x14ac:dyDescent="0.25">
      <c r="A25" s="216" t="s">
        <v>30</v>
      </c>
      <c r="B25" s="253" t="s">
        <v>31</v>
      </c>
      <c r="C25" s="253"/>
      <c r="D25" s="217" t="s">
        <v>32</v>
      </c>
      <c r="E25" s="217" t="s">
        <v>33</v>
      </c>
      <c r="F25" s="217" t="s">
        <v>34</v>
      </c>
      <c r="G25" s="218" t="s">
        <v>35</v>
      </c>
      <c r="H25" s="254" t="s">
        <v>36</v>
      </c>
      <c r="I25" s="254" t="s">
        <v>54</v>
      </c>
      <c r="J25" s="255" t="s">
        <v>218</v>
      </c>
      <c r="K25" s="438" t="s">
        <v>219</v>
      </c>
      <c r="L25" s="439"/>
    </row>
    <row r="26" spans="1:29" ht="76.5" customHeight="1" x14ac:dyDescent="0.2">
      <c r="A26" s="216">
        <v>1</v>
      </c>
      <c r="B26" s="45" t="str">
        <f>IF('MD-GM-Business Development'!$D$9="Yes","A firm commitment within the contractual agreement, that a Green Passport is NOT included. (Mandatory for new builds as of December 2018)","")</f>
        <v/>
      </c>
      <c r="C26" s="45"/>
      <c r="D26" s="45"/>
      <c r="E26" s="256"/>
      <c r="F26" s="256"/>
      <c r="G26" s="302" t="s">
        <v>53</v>
      </c>
      <c r="H26" s="302" t="s">
        <v>37</v>
      </c>
      <c r="I26" s="257" t="str">
        <f>Z26</f>
        <v>Very Low</v>
      </c>
      <c r="J26" s="257" t="str">
        <f t="shared" ref="J26:J27" si="7">IF(I26="Medium","Not accepted",IF(I26="Significant","Not accepted",IF(I26="High","Not Accepted",IF(I26="Very High","Not Accepted","Accepted"))))</f>
        <v>Accepted</v>
      </c>
      <c r="K26" s="458" t="str">
        <f t="shared" si="1"/>
        <v/>
      </c>
      <c r="L26" s="459"/>
      <c r="X26" s="213">
        <f t="shared" si="2"/>
        <v>6</v>
      </c>
      <c r="Y26" s="213">
        <f t="shared" si="3"/>
        <v>1</v>
      </c>
      <c r="Z26" s="213" t="str">
        <f t="shared" si="4"/>
        <v>Very Low</v>
      </c>
      <c r="AA26" s="213">
        <f>IF('Additional Measures'!F23='Minimum Criteria'!$O$8,1,IF('Additional Measures'!F26='Minimum Criteria'!$O$9,2,IF('Additional Measures'!F26='Minimum Criteria'!$O$10,3,IF('Additional Measures'!F26='Minimum Criteria'!$O$11,4,IF('Additional Measures'!F26='Minimum Criteria'!$O$12,5,IF('Additional Measures'!F26='Minimum Criteria'!$O$13,6,6))))))</f>
        <v>6</v>
      </c>
      <c r="AB26" s="213">
        <f>IF('Additional Measures'!G23='Minimum Criteria'!$V$8,1,IF('Additional Measures'!G26='Minimum Criteria'!$V$9,2,IF('Additional Measures'!G26='Minimum Criteria'!$V$10,3,IF('Additional Measures'!G26='Minimum Criteria'!$V$11,4,IF('Additional Measures'!G26='Minimum Criteria'!$V$12,5,IF('Additional Measures'!G26='Minimum Criteria'!$V$13,6,6))))))</f>
        <v>6</v>
      </c>
      <c r="AC26" s="213" t="str">
        <f t="shared" si="5"/>
        <v>Medium</v>
      </c>
    </row>
    <row r="27" spans="1:29" ht="54.95" customHeight="1" x14ac:dyDescent="0.2">
      <c r="A27" s="258">
        <v>2</v>
      </c>
      <c r="B27" s="67" t="str">
        <f>IF('MD-GM-Business Development'!$D$9="Yes","NO complete Inventory is included in the new build agreement","")</f>
        <v/>
      </c>
      <c r="C27" s="67"/>
      <c r="D27" s="67"/>
      <c r="E27" s="227"/>
      <c r="F27" s="227"/>
      <c r="G27" s="302" t="s">
        <v>53</v>
      </c>
      <c r="H27" s="302" t="s">
        <v>37</v>
      </c>
      <c r="I27" s="223" t="str">
        <f>Z27</f>
        <v>Very Low</v>
      </c>
      <c r="J27" s="223" t="str">
        <f t="shared" si="7"/>
        <v>Accepted</v>
      </c>
      <c r="K27" s="446" t="str">
        <f t="shared" si="1"/>
        <v/>
      </c>
      <c r="L27" s="460"/>
      <c r="X27" s="213">
        <f t="shared" si="2"/>
        <v>6</v>
      </c>
      <c r="Y27" s="213">
        <f t="shared" si="3"/>
        <v>1</v>
      </c>
      <c r="Z27" s="213" t="str">
        <f t="shared" si="4"/>
        <v>Very Low</v>
      </c>
      <c r="AA27" s="213">
        <f>IF('Additional Measures'!F24='Minimum Criteria'!$O$8,1,IF('Additional Measures'!F27='Minimum Criteria'!$O$9,2,IF('Additional Measures'!F27='Minimum Criteria'!$O$10,3,IF('Additional Measures'!F27='Minimum Criteria'!$O$11,4,IF('Additional Measures'!F27='Minimum Criteria'!$O$12,5,IF('Additional Measures'!F27='Minimum Criteria'!$O$13,6,6))))))</f>
        <v>6</v>
      </c>
      <c r="AB27" s="213">
        <f>IF('Additional Measures'!G24='Minimum Criteria'!$V$8,1,IF('Additional Measures'!G27='Minimum Criteria'!$V$9,2,IF('Additional Measures'!G27='Minimum Criteria'!$V$10,3,IF('Additional Measures'!G27='Minimum Criteria'!$V$11,4,IF('Additional Measures'!G27='Minimum Criteria'!$V$12,5,IF('Additional Measures'!G27='Minimum Criteria'!$V$13,6,6))))))</f>
        <v>6</v>
      </c>
      <c r="AC27" s="213" t="str">
        <f t="shared" si="5"/>
        <v>Medium</v>
      </c>
    </row>
    <row r="28" spans="1:29" ht="66.75" customHeight="1" thickBot="1" x14ac:dyDescent="0.25">
      <c r="A28" s="259">
        <v>3</v>
      </c>
      <c r="B28" s="46" t="str">
        <f>IF('MD-GM-Business Development'!$D$9="Yes","There is NO  robust guarantee claim process in place to ensure that defects are dealt with in a timely manner to meet Oil major requirements","")</f>
        <v/>
      </c>
      <c r="C28" s="46"/>
      <c r="D28" s="46"/>
      <c r="E28" s="250"/>
      <c r="F28" s="250"/>
      <c r="G28" s="302" t="s">
        <v>53</v>
      </c>
      <c r="H28" s="302" t="s">
        <v>37</v>
      </c>
      <c r="I28" s="248" t="str">
        <f>Z28</f>
        <v>Very Low</v>
      </c>
      <c r="J28" s="248" t="str">
        <f t="shared" ref="J28" si="8">IF(I28="Medium","Not accepted",IF(I28="Significant","Not accepted",IF(I28="High","Not Accepted",IF(I28="Very High","Not Accepted","Accepted"))))</f>
        <v>Accepted</v>
      </c>
      <c r="K28" s="436" t="str">
        <f t="shared" ref="K28" si="9">IF(J28="Not accepted", "Additional Measures required", "")</f>
        <v/>
      </c>
      <c r="L28" s="437"/>
      <c r="X28" s="213">
        <f t="shared" ref="X28" si="10">IF(G28=$O$8,1,IF(G28=$O$9,2,IF(G28=$O$10,3,IF(G28=$O$11,4,IF(G28=$O$12,5,IF(G28=$O$13,6))))))</f>
        <v>6</v>
      </c>
      <c r="Y28" s="213">
        <f t="shared" ref="Y28" si="11">IF(H28=$V$8,1,IF(H28=$V$9,2,IF(H28=$V$10,3,IF(H28=$V$11,4,IF(H28=$V$12,5,IF(H28=$V$13,6))))))</f>
        <v>1</v>
      </c>
      <c r="Z28" s="213" t="str">
        <f t="shared" ref="Z28" si="12">VLOOKUP(X28,$N$8:$U$13,(Y28+2))</f>
        <v>Very Low</v>
      </c>
      <c r="AA28" s="213">
        <f>IF('Additional Measures'!F25='Minimum Criteria'!$O$8,1,IF('Additional Measures'!F28='Minimum Criteria'!$O$9,2,IF('Additional Measures'!F28='Minimum Criteria'!$O$10,3,IF('Additional Measures'!F28='Minimum Criteria'!$O$11,4,IF('Additional Measures'!F28='Minimum Criteria'!$O$12,5,IF('Additional Measures'!F28='Minimum Criteria'!$O$13,6,6))))))</f>
        <v>6</v>
      </c>
      <c r="AB28" s="213">
        <f>IF('Additional Measures'!G25='Minimum Criteria'!$V$8,1,IF('Additional Measures'!G28='Minimum Criteria'!$V$9,2,IF('Additional Measures'!G28='Minimum Criteria'!$V$10,3,IF('Additional Measures'!G28='Minimum Criteria'!$V$11,4,IF('Additional Measures'!G28='Minimum Criteria'!$V$12,5,IF('Additional Measures'!G28='Minimum Criteria'!$V$13,6,6))))))</f>
        <v>6</v>
      </c>
      <c r="AC28" s="213" t="str">
        <f t="shared" ref="AC28" si="13">VLOOKUP(AA28,$N$8:$U$13,(AB28+2))</f>
        <v>Medium</v>
      </c>
    </row>
    <row r="29" spans="1:29" x14ac:dyDescent="0.2">
      <c r="A29" s="212"/>
      <c r="B29" s="212"/>
      <c r="C29" s="212"/>
      <c r="D29" s="212"/>
      <c r="E29" s="212"/>
      <c r="F29" s="212"/>
      <c r="G29" s="212"/>
      <c r="H29" s="212"/>
      <c r="I29" s="212"/>
      <c r="J29" s="212"/>
      <c r="K29" s="212"/>
      <c r="L29" s="212"/>
    </row>
    <row r="30" spans="1:29" x14ac:dyDescent="0.2">
      <c r="A30" s="212"/>
      <c r="B30" s="212"/>
      <c r="C30" s="212"/>
      <c r="D30" s="212"/>
      <c r="E30" s="212"/>
      <c r="F30" s="212"/>
      <c r="G30" s="212"/>
      <c r="H30" s="212"/>
      <c r="I30" s="212"/>
      <c r="J30" s="212"/>
      <c r="K30" s="212"/>
      <c r="L30" s="212"/>
    </row>
    <row r="31" spans="1:29" x14ac:dyDescent="0.2">
      <c r="A31" s="212"/>
      <c r="B31" s="212"/>
      <c r="C31" s="212"/>
      <c r="D31" s="212"/>
      <c r="E31" s="212"/>
      <c r="F31" s="212"/>
      <c r="G31" s="212"/>
      <c r="H31" s="212"/>
      <c r="I31" s="212"/>
      <c r="J31" s="212"/>
      <c r="K31" s="212"/>
      <c r="L31" s="212"/>
    </row>
    <row r="32" spans="1:29" x14ac:dyDescent="0.2">
      <c r="A32" s="212"/>
      <c r="B32" s="212"/>
      <c r="C32" s="212"/>
      <c r="D32" s="212"/>
      <c r="E32" s="212"/>
      <c r="F32" s="212"/>
      <c r="G32" s="212"/>
      <c r="H32" s="212"/>
      <c r="I32" s="212"/>
      <c r="J32" s="212"/>
      <c r="K32" s="212"/>
      <c r="L32" s="212"/>
    </row>
    <row r="33" spans="1:12" x14ac:dyDescent="0.2">
      <c r="A33" s="212"/>
      <c r="B33" s="212"/>
      <c r="C33" s="212"/>
      <c r="D33" s="212"/>
      <c r="E33" s="212"/>
      <c r="F33" s="212"/>
      <c r="G33" s="212"/>
      <c r="H33" s="212"/>
      <c r="I33" s="212"/>
      <c r="J33" s="212"/>
      <c r="K33" s="212"/>
      <c r="L33" s="212"/>
    </row>
    <row r="34" spans="1:12" x14ac:dyDescent="0.2">
      <c r="A34" s="212"/>
      <c r="B34" s="212"/>
      <c r="C34" s="212"/>
      <c r="D34" s="212"/>
      <c r="E34" s="212"/>
      <c r="F34" s="212"/>
      <c r="G34" s="212"/>
      <c r="H34" s="212"/>
      <c r="I34" s="212"/>
      <c r="J34" s="212"/>
      <c r="K34" s="212"/>
      <c r="L34" s="212"/>
    </row>
    <row r="35" spans="1:12" x14ac:dyDescent="0.2">
      <c r="A35" s="212"/>
      <c r="B35" s="212"/>
      <c r="C35" s="212"/>
      <c r="D35" s="212"/>
      <c r="E35" s="212"/>
      <c r="F35" s="212"/>
      <c r="G35" s="212"/>
      <c r="H35" s="212"/>
      <c r="I35" s="212"/>
      <c r="J35" s="212"/>
      <c r="K35" s="212"/>
      <c r="L35" s="212"/>
    </row>
    <row r="36" spans="1:12" x14ac:dyDescent="0.2">
      <c r="A36" s="212"/>
      <c r="B36" s="212"/>
      <c r="C36" s="212"/>
      <c r="D36" s="212"/>
      <c r="E36" s="212"/>
      <c r="F36" s="212"/>
      <c r="G36" s="212"/>
      <c r="H36" s="212"/>
      <c r="I36" s="212"/>
      <c r="J36" s="212"/>
      <c r="K36" s="212"/>
      <c r="L36" s="212"/>
    </row>
    <row r="37" spans="1:12" x14ac:dyDescent="0.2">
      <c r="A37" s="212"/>
      <c r="B37" s="212"/>
      <c r="C37" s="212"/>
      <c r="D37" s="212"/>
      <c r="E37" s="212"/>
      <c r="F37" s="212"/>
      <c r="G37" s="212"/>
      <c r="H37" s="212"/>
      <c r="I37" s="212"/>
      <c r="J37" s="212"/>
      <c r="K37" s="212"/>
      <c r="L37" s="212"/>
    </row>
    <row r="38" spans="1:12" x14ac:dyDescent="0.2">
      <c r="A38" s="212"/>
      <c r="B38" s="212"/>
      <c r="C38" s="212"/>
      <c r="D38" s="212"/>
      <c r="E38" s="212"/>
      <c r="F38" s="212"/>
      <c r="G38" s="212"/>
      <c r="H38" s="212"/>
      <c r="I38" s="212"/>
      <c r="J38" s="212"/>
      <c r="K38" s="212"/>
      <c r="L38" s="212"/>
    </row>
    <row r="39" spans="1:12" x14ac:dyDescent="0.2">
      <c r="A39" s="212"/>
      <c r="B39" s="212"/>
      <c r="C39" s="212"/>
      <c r="D39" s="212"/>
      <c r="E39" s="212"/>
      <c r="F39" s="212"/>
      <c r="G39" s="212"/>
      <c r="H39" s="212"/>
      <c r="I39" s="212"/>
      <c r="J39" s="212"/>
      <c r="K39" s="212"/>
      <c r="L39" s="212"/>
    </row>
    <row r="40" spans="1:12" x14ac:dyDescent="0.2">
      <c r="A40" s="212"/>
      <c r="B40" s="212"/>
      <c r="C40" s="212"/>
      <c r="D40" s="212"/>
      <c r="E40" s="212"/>
      <c r="F40" s="212"/>
      <c r="G40" s="212"/>
      <c r="H40" s="212"/>
      <c r="I40" s="212"/>
      <c r="J40" s="212"/>
      <c r="K40" s="212"/>
      <c r="L40" s="212"/>
    </row>
    <row r="41" spans="1:12" x14ac:dyDescent="0.2">
      <c r="A41" s="212"/>
      <c r="B41" s="212"/>
      <c r="C41" s="212"/>
      <c r="D41" s="212"/>
      <c r="E41" s="212"/>
      <c r="F41" s="212"/>
      <c r="G41" s="212"/>
      <c r="H41" s="212"/>
      <c r="I41" s="212"/>
      <c r="J41" s="212"/>
      <c r="K41" s="212"/>
      <c r="L41" s="212"/>
    </row>
    <row r="42" spans="1:12" x14ac:dyDescent="0.2">
      <c r="A42" s="212"/>
      <c r="B42" s="212"/>
      <c r="C42" s="212"/>
      <c r="D42" s="212"/>
      <c r="E42" s="212"/>
      <c r="F42" s="212"/>
      <c r="G42" s="212"/>
      <c r="H42" s="212"/>
      <c r="I42" s="212"/>
      <c r="J42" s="212"/>
      <c r="K42" s="212"/>
      <c r="L42" s="212"/>
    </row>
    <row r="43" spans="1:12" x14ac:dyDescent="0.2">
      <c r="A43" s="212"/>
      <c r="B43" s="212"/>
      <c r="C43" s="212"/>
      <c r="D43" s="212"/>
      <c r="E43" s="212"/>
      <c r="F43" s="212"/>
      <c r="G43" s="212"/>
      <c r="H43" s="212"/>
      <c r="I43" s="212"/>
      <c r="J43" s="212"/>
      <c r="K43" s="212"/>
      <c r="L43" s="212"/>
    </row>
  </sheetData>
  <sheetProtection algorithmName="SHA-512" hashValue="4Kdg/nnh8633nEXNEoaxBtLMb8KP2FSd03Beqt64psTJbaQDqFfZ3yvBruCTBFdmNSco+vZEYKan2IwAzhUNCg==" saltValue="3jHMmMb4eIRu8jGJ7nvkiQ==" spinCount="100000" sheet="1" selectLockedCells="1"/>
  <mergeCells count="35">
    <mergeCell ref="K17:L17"/>
    <mergeCell ref="K18:L18"/>
    <mergeCell ref="K12:L12"/>
    <mergeCell ref="K13:L13"/>
    <mergeCell ref="K14:L14"/>
    <mergeCell ref="K15:L15"/>
    <mergeCell ref="K16:L16"/>
    <mergeCell ref="K26:L26"/>
    <mergeCell ref="K27:L27"/>
    <mergeCell ref="K19:L19"/>
    <mergeCell ref="K20:L20"/>
    <mergeCell ref="K21:L21"/>
    <mergeCell ref="K22:L22"/>
    <mergeCell ref="P6:P7"/>
    <mergeCell ref="Q6:Q7"/>
    <mergeCell ref="A2:L2"/>
    <mergeCell ref="K8:L11"/>
    <mergeCell ref="K5:L5"/>
    <mergeCell ref="C8:C11"/>
    <mergeCell ref="K28:L28"/>
    <mergeCell ref="K25:L25"/>
    <mergeCell ref="U6:U7"/>
    <mergeCell ref="D8:D11"/>
    <mergeCell ref="E8:E11"/>
    <mergeCell ref="F8:F11"/>
    <mergeCell ref="G8:G11"/>
    <mergeCell ref="H8:H11"/>
    <mergeCell ref="I8:I11"/>
    <mergeCell ref="J8:J11"/>
    <mergeCell ref="R6:R7"/>
    <mergeCell ref="K6:L6"/>
    <mergeCell ref="K7:L7"/>
    <mergeCell ref="S6:S7"/>
    <mergeCell ref="T6:T7"/>
    <mergeCell ref="O5:O7"/>
  </mergeCells>
  <conditionalFormatting sqref="J6">
    <cfRule type="cellIs" dxfId="73" priority="18" operator="equal">
      <formula>"Not accepted"</formula>
    </cfRule>
  </conditionalFormatting>
  <conditionalFormatting sqref="J7:J22">
    <cfRule type="cellIs" dxfId="72" priority="17" operator="equal">
      <formula>"Not Accepted"</formula>
    </cfRule>
  </conditionalFormatting>
  <conditionalFormatting sqref="J26:J28">
    <cfRule type="cellIs" dxfId="71" priority="16" operator="equal">
      <formula>"Not Accepted"</formula>
    </cfRule>
  </conditionalFormatting>
  <conditionalFormatting sqref="C19">
    <cfRule type="cellIs" dxfId="70" priority="1" operator="equal">
      <formula>"No inspection report by V.Group staff in the last 3 months "</formula>
    </cfRule>
    <cfRule type="cellIs" dxfId="69" priority="2" operator="equal">
      <formula>"No inspection report by V.Group staff in the last 3 months"</formula>
    </cfRule>
    <cfRule type="cellIs" dxfId="68" priority="15" operator="equal">
      <formula>"No inspection report by V.Group staff in the last 3 months - Vessel not acceptable for entry to Management. A waiver will be required from the Group Director."</formula>
    </cfRule>
  </conditionalFormatting>
  <conditionalFormatting sqref="D8:D11">
    <cfRule type="cellIs" dxfId="67" priority="13" operator="equal">
      <formula>"P+I insurance not with International Group Club."</formula>
    </cfRule>
  </conditionalFormatting>
  <conditionalFormatting sqref="C8:C11">
    <cfRule type="cellIs" dxfId="66" priority="11" operator="equal">
      <formula>"Vessel does not meet minimum criteria for age"</formula>
    </cfRule>
  </conditionalFormatting>
  <conditionalFormatting sqref="C12">
    <cfRule type="cellIs" dxfId="65" priority="10" operator="equal">
      <formula>"Poor PSC Record"</formula>
    </cfRule>
  </conditionalFormatting>
  <conditionalFormatting sqref="C13">
    <cfRule type="cellIs" dxfId="64" priority="9" operator="equal">
      <formula>"Yes"</formula>
    </cfRule>
  </conditionalFormatting>
  <conditionalFormatting sqref="C14">
    <cfRule type="cellIs" dxfId="63" priority="8" operator="equal">
      <formula>"Yes"</formula>
    </cfRule>
  </conditionalFormatting>
  <conditionalFormatting sqref="C15">
    <cfRule type="cellIs" dxfId="62" priority="7" operator="equal">
      <formula>"Account Audits have not been received"</formula>
    </cfRule>
  </conditionalFormatting>
  <conditionalFormatting sqref="C16:C18">
    <cfRule type="cellIs" dxfId="61" priority="6" operator="equal">
      <formula>"Yes"</formula>
    </cfRule>
  </conditionalFormatting>
  <conditionalFormatting sqref="C20:C22">
    <cfRule type="cellIs" dxfId="60" priority="5" operator="equal">
      <formula>"Yes"</formula>
    </cfRule>
  </conditionalFormatting>
  <conditionalFormatting sqref="C6">
    <cfRule type="cellIs" dxfId="59" priority="4" operator="equal">
      <formula>"Vessel has not maintained Class with IACS Class Society since new Build"</formula>
    </cfRule>
  </conditionalFormatting>
  <conditionalFormatting sqref="C7">
    <cfRule type="cellIs" dxfId="58" priority="3" operator="equal">
      <formula>"Vessel is not compliant"</formula>
    </cfRule>
  </conditionalFormatting>
  <dataValidations count="4">
    <dataValidation type="list" allowBlank="1" showInputMessage="1" showErrorMessage="1" sqref="G12:G22 G6:G8 G26:G28" xr:uid="{00000000-0002-0000-0200-000000000000}">
      <formula1>$O$8:$O$13</formula1>
    </dataValidation>
    <dataValidation type="list" allowBlank="1" showInputMessage="1" showErrorMessage="1" sqref="H6:H22 H26:H28" xr:uid="{00000000-0002-0000-0200-000001000000}">
      <formula1>$V$8:$V$13</formula1>
    </dataValidation>
    <dataValidation type="list" allowBlank="1" showInputMessage="1" showErrorMessage="1" sqref="C20:C22 C16:C18 C13:C14" xr:uid="{7B523642-3FA7-4D1C-9188-95251542F83F}">
      <formula1>$AE$10:$AE$11</formula1>
    </dataValidation>
    <dataValidation type="list" allowBlank="1" showInputMessage="1" showErrorMessage="1" sqref="C15" xr:uid="{AFCE1054-60AE-4933-8824-80A09EC2BAEB}">
      <formula1>$AE$12:$AE$13</formula1>
    </dataValidation>
  </dataValidations>
  <pageMargins left="0.70866141732283472" right="0.70866141732283472" top="0.74803149606299213" bottom="0.74803149606299213" header="0.31496062992125984" footer="0.31496062992125984"/>
  <pageSetup paperSize="9" scale="27" orientation="landscape" r:id="rId1"/>
  <headerFooter>
    <oddFooter>&amp;CRSQ 02&amp;RRevision 6.0</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L42"/>
  <sheetViews>
    <sheetView showGridLines="0" topLeftCell="A22" workbookViewId="0">
      <selection activeCell="I6" sqref="I6:M7"/>
    </sheetView>
  </sheetViews>
  <sheetFormatPr defaultRowHeight="12" x14ac:dyDescent="0.2"/>
  <cols>
    <col min="1" max="1" width="44.140625" style="114" customWidth="1"/>
    <col min="2" max="2" width="14.7109375" style="114" customWidth="1"/>
    <col min="3" max="3" width="51.42578125" style="114" customWidth="1"/>
    <col min="4" max="4" width="14.7109375" style="114" customWidth="1"/>
    <col min="5" max="5" width="14.140625" style="114" customWidth="1"/>
    <col min="6" max="8" width="9.140625" style="114"/>
    <col min="9" max="9" width="17.5703125" style="114" customWidth="1"/>
    <col min="10" max="16384" width="9.140625" style="114"/>
  </cols>
  <sheetData>
    <row r="1" spans="1:11" ht="12.75" thickBot="1" x14ac:dyDescent="0.25">
      <c r="A1" s="119"/>
    </row>
    <row r="2" spans="1:11" ht="12.75" thickBot="1" x14ac:dyDescent="0.25">
      <c r="A2" s="464" t="s">
        <v>315</v>
      </c>
      <c r="B2" s="465"/>
      <c r="C2" s="465"/>
      <c r="D2" s="465"/>
      <c r="E2" s="465"/>
      <c r="F2" s="465"/>
      <c r="G2" s="465"/>
      <c r="H2" s="465"/>
      <c r="I2" s="465"/>
      <c r="J2" s="465"/>
      <c r="K2" s="466"/>
    </row>
    <row r="4" spans="1:11" ht="12.75" thickBot="1" x14ac:dyDescent="0.25"/>
    <row r="5" spans="1:11" ht="24.75" thickBot="1" x14ac:dyDescent="0.25">
      <c r="A5" s="120"/>
      <c r="B5" s="116" t="s">
        <v>276</v>
      </c>
      <c r="C5" s="117" t="s">
        <v>65</v>
      </c>
      <c r="D5" s="117" t="s">
        <v>66</v>
      </c>
      <c r="E5" s="117" t="s">
        <v>67</v>
      </c>
      <c r="F5" s="118" t="s">
        <v>68</v>
      </c>
      <c r="G5" s="118" t="s">
        <v>69</v>
      </c>
      <c r="H5" s="118" t="s">
        <v>54</v>
      </c>
      <c r="I5" s="118" t="s">
        <v>217</v>
      </c>
    </row>
    <row r="6" spans="1:11" ht="40.5" customHeight="1" x14ac:dyDescent="0.2">
      <c r="A6" s="5" t="str">
        <f>IF(B6="Accepted","",'Minimum Criteria'!B6)</f>
        <v/>
      </c>
      <c r="B6" s="127" t="str">
        <f>'Minimum Criteria'!J6</f>
        <v>Accepted</v>
      </c>
      <c r="C6" s="121"/>
      <c r="D6" s="122"/>
      <c r="E6" s="122"/>
      <c r="F6" s="44" t="s">
        <v>53</v>
      </c>
      <c r="G6" s="44" t="s">
        <v>37</v>
      </c>
      <c r="H6" s="314" t="str">
        <f>IF(B6="Accepted","",'Minimum Criteria'!AC6)</f>
        <v/>
      </c>
      <c r="I6" s="315" t="str">
        <f t="shared" ref="I6:I8" si="0">IF(B6="Accepted","",IF(H6="Medium","Not accepted",IF(H6="Significant","Not accepted",IF(H6="High","Not Accepted",IF(H6="Very High","Not Accepted","Accepted")))))</f>
        <v/>
      </c>
    </row>
    <row r="7" spans="1:11" ht="45" customHeight="1" x14ac:dyDescent="0.2">
      <c r="A7" s="6" t="str">
        <f>IF(B7="Accepted","",'Minimum Criteria'!B7)</f>
        <v/>
      </c>
      <c r="B7" s="132" t="str">
        <f>'Minimum Criteria'!J7</f>
        <v>Accepted</v>
      </c>
      <c r="C7" s="123"/>
      <c r="D7" s="124"/>
      <c r="E7" s="124"/>
      <c r="F7" s="44" t="s">
        <v>53</v>
      </c>
      <c r="G7" s="44" t="s">
        <v>37</v>
      </c>
      <c r="H7" s="314" t="str">
        <f>IF(B7="Accepted","",'Minimum Criteria'!AC7)</f>
        <v/>
      </c>
      <c r="I7" s="315" t="str">
        <f t="shared" si="0"/>
        <v/>
      </c>
    </row>
    <row r="8" spans="1:11" ht="45" customHeight="1" x14ac:dyDescent="0.2">
      <c r="A8" s="6" t="str">
        <f>IF(B8="Accepted","",'Minimum Criteria'!B8)</f>
        <v/>
      </c>
      <c r="B8" s="132" t="str">
        <f>'Minimum Criteria'!J8</f>
        <v>Accepted</v>
      </c>
      <c r="C8" s="123"/>
      <c r="D8" s="124"/>
      <c r="E8" s="124"/>
      <c r="F8" s="44" t="s">
        <v>53</v>
      </c>
      <c r="G8" s="44" t="s">
        <v>37</v>
      </c>
      <c r="H8" s="314" t="str">
        <f>IF(B8="Accepted","",'Minimum Criteria'!AC8)</f>
        <v/>
      </c>
      <c r="I8" s="315" t="str">
        <f t="shared" si="0"/>
        <v/>
      </c>
    </row>
    <row r="9" spans="1:11" ht="45" customHeight="1" x14ac:dyDescent="0.2">
      <c r="A9" s="6" t="str">
        <f>IF(B9="Accepted","",'Minimum Criteria'!B12)</f>
        <v/>
      </c>
      <c r="B9" s="132" t="str">
        <f>'Minimum Criteria'!J12</f>
        <v>Accepted</v>
      </c>
      <c r="C9" s="123"/>
      <c r="D9" s="124"/>
      <c r="E9" s="124"/>
      <c r="F9" s="44" t="s">
        <v>53</v>
      </c>
      <c r="G9" s="44" t="s">
        <v>37</v>
      </c>
      <c r="H9" s="314" t="str">
        <f>IF(B9="Accepted","",'Minimum Criteria'!AC12)</f>
        <v/>
      </c>
      <c r="I9" s="315" t="str">
        <f t="shared" ref="I9:I24" si="1">IF(B9="Accepted","",IF(H9="Medium","Not accepted",IF(H9="Significant","Not accepted",IF(H9="High","Not Accepted",IF(H9="Very High","Not Accepted","Accepted")))))</f>
        <v/>
      </c>
    </row>
    <row r="10" spans="1:11" ht="45" customHeight="1" x14ac:dyDescent="0.2">
      <c r="A10" s="6" t="str">
        <f>IF(B10="Accepted","",'Minimum Criteria'!B13)</f>
        <v/>
      </c>
      <c r="B10" s="132" t="str">
        <f>'Minimum Criteria'!J13</f>
        <v>Accepted</v>
      </c>
      <c r="C10" s="123"/>
      <c r="D10" s="124"/>
      <c r="E10" s="124"/>
      <c r="F10" s="44" t="s">
        <v>53</v>
      </c>
      <c r="G10" s="44" t="s">
        <v>37</v>
      </c>
      <c r="H10" s="314" t="str">
        <f>IF(B10="Accepted","",'Minimum Criteria'!AC13)</f>
        <v/>
      </c>
      <c r="I10" s="315" t="str">
        <f t="shared" si="1"/>
        <v/>
      </c>
    </row>
    <row r="11" spans="1:11" ht="45" customHeight="1" x14ac:dyDescent="0.2">
      <c r="A11" s="6" t="str">
        <f>IF(B11="Accepted","",'Minimum Criteria'!B14)</f>
        <v/>
      </c>
      <c r="B11" s="132" t="str">
        <f>'Minimum Criteria'!J14</f>
        <v>Accepted</v>
      </c>
      <c r="C11" s="123"/>
      <c r="D11" s="124"/>
      <c r="E11" s="124"/>
      <c r="F11" s="44" t="s">
        <v>53</v>
      </c>
      <c r="G11" s="44" t="s">
        <v>37</v>
      </c>
      <c r="H11" s="314" t="str">
        <f>IF(B11="Accepted","",'Minimum Criteria'!AC14)</f>
        <v/>
      </c>
      <c r="I11" s="315" t="str">
        <f t="shared" si="1"/>
        <v/>
      </c>
    </row>
    <row r="12" spans="1:11" ht="45" customHeight="1" x14ac:dyDescent="0.2">
      <c r="A12" s="6" t="str">
        <f>IF(B12="Accepted","",'Minimum Criteria'!B15)</f>
        <v/>
      </c>
      <c r="B12" s="132" t="str">
        <f>'Minimum Criteria'!J15</f>
        <v>Accepted</v>
      </c>
      <c r="C12" s="123"/>
      <c r="D12" s="124"/>
      <c r="E12" s="124"/>
      <c r="F12" s="44" t="s">
        <v>53</v>
      </c>
      <c r="G12" s="44" t="s">
        <v>37</v>
      </c>
      <c r="H12" s="314" t="str">
        <f>IF(B12="Accepted","",'Minimum Criteria'!AC15)</f>
        <v/>
      </c>
      <c r="I12" s="315" t="str">
        <f t="shared" si="1"/>
        <v/>
      </c>
    </row>
    <row r="13" spans="1:11" ht="45" customHeight="1" x14ac:dyDescent="0.2">
      <c r="A13" s="6" t="str">
        <f>IF(B13="Accepted","",'Minimum Criteria'!B16)</f>
        <v/>
      </c>
      <c r="B13" s="132" t="str">
        <f>'Minimum Criteria'!J16</f>
        <v>Accepted</v>
      </c>
      <c r="C13" s="123"/>
      <c r="D13" s="124"/>
      <c r="E13" s="124"/>
      <c r="F13" s="44" t="s">
        <v>53</v>
      </c>
      <c r="G13" s="44" t="s">
        <v>37</v>
      </c>
      <c r="H13" s="314" t="str">
        <f>IF(B13="Accepted","",'Minimum Criteria'!AC16)</f>
        <v/>
      </c>
      <c r="I13" s="315" t="str">
        <f t="shared" si="1"/>
        <v/>
      </c>
    </row>
    <row r="14" spans="1:11" ht="45" customHeight="1" x14ac:dyDescent="0.2">
      <c r="A14" s="6" t="str">
        <f>IF(B14="Accepted","",'Minimum Criteria'!B17)</f>
        <v/>
      </c>
      <c r="B14" s="132" t="str">
        <f>'Minimum Criteria'!J17</f>
        <v>Accepted</v>
      </c>
      <c r="C14" s="123"/>
      <c r="D14" s="124"/>
      <c r="E14" s="124"/>
      <c r="F14" s="44" t="s">
        <v>53</v>
      </c>
      <c r="G14" s="44" t="s">
        <v>37</v>
      </c>
      <c r="H14" s="314" t="str">
        <f>IF(B14="Accepted","",'Minimum Criteria'!AC17)</f>
        <v/>
      </c>
      <c r="I14" s="315" t="str">
        <f t="shared" si="1"/>
        <v/>
      </c>
    </row>
    <row r="15" spans="1:11" ht="45" customHeight="1" x14ac:dyDescent="0.2">
      <c r="A15" s="6" t="str">
        <f>IF(B15="Accepted","",'Minimum Criteria'!B18)</f>
        <v/>
      </c>
      <c r="B15" s="132" t="str">
        <f>'Minimum Criteria'!J18</f>
        <v>Accepted</v>
      </c>
      <c r="C15" s="123"/>
      <c r="D15" s="124"/>
      <c r="E15" s="276"/>
      <c r="F15" s="44" t="s">
        <v>53</v>
      </c>
      <c r="G15" s="44" t="s">
        <v>37</v>
      </c>
      <c r="H15" s="314" t="str">
        <f>IF(B15="Accepted","",'Minimum Criteria'!AC18)</f>
        <v/>
      </c>
      <c r="I15" s="315" t="str">
        <f t="shared" si="1"/>
        <v/>
      </c>
    </row>
    <row r="16" spans="1:11" ht="45" customHeight="1" x14ac:dyDescent="0.2">
      <c r="A16" s="6" t="str">
        <f>IF(B16="Accepted","",'Minimum Criteria'!B19)</f>
        <v/>
      </c>
      <c r="B16" s="132" t="str">
        <f>'Minimum Criteria'!J19</f>
        <v>Accepted</v>
      </c>
      <c r="C16" s="123"/>
      <c r="D16" s="124"/>
      <c r="E16" s="276"/>
      <c r="F16" s="44" t="s">
        <v>53</v>
      </c>
      <c r="G16" s="44" t="s">
        <v>37</v>
      </c>
      <c r="H16" s="314" t="str">
        <f>IF(B16="Accepted","",'Minimum Criteria'!AC19)</f>
        <v/>
      </c>
      <c r="I16" s="315" t="str">
        <f t="shared" si="1"/>
        <v/>
      </c>
    </row>
    <row r="17" spans="1:12" ht="45" customHeight="1" x14ac:dyDescent="0.2">
      <c r="A17" s="6" t="str">
        <f>IF(B17="Accepted","",'Minimum Criteria'!B20)</f>
        <v/>
      </c>
      <c r="B17" s="132" t="str">
        <f>'Minimum Criteria'!J20</f>
        <v>Accepted</v>
      </c>
      <c r="C17" s="123"/>
      <c r="D17" s="124"/>
      <c r="E17" s="124"/>
      <c r="F17" s="44" t="s">
        <v>53</v>
      </c>
      <c r="G17" s="44" t="s">
        <v>37</v>
      </c>
      <c r="H17" s="314" t="str">
        <f>IF(B17="Accepted","",'Minimum Criteria'!AC20)</f>
        <v/>
      </c>
      <c r="I17" s="315" t="str">
        <f t="shared" si="1"/>
        <v/>
      </c>
    </row>
    <row r="18" spans="1:12" ht="45" customHeight="1" x14ac:dyDescent="0.2">
      <c r="A18" s="6" t="str">
        <f>IF(B18="Accepted","",'Minimum Criteria'!B21)</f>
        <v/>
      </c>
      <c r="B18" s="132" t="str">
        <f>'Minimum Criteria'!J21</f>
        <v>Accepted</v>
      </c>
      <c r="C18" s="123"/>
      <c r="D18" s="124"/>
      <c r="E18" s="124"/>
      <c r="F18" s="44" t="s">
        <v>53</v>
      </c>
      <c r="G18" s="44" t="s">
        <v>37</v>
      </c>
      <c r="H18" s="314" t="str">
        <f>IF(B18="Accepted","",'Minimum Criteria'!AC21)</f>
        <v/>
      </c>
      <c r="I18" s="315" t="str">
        <f t="shared" si="1"/>
        <v/>
      </c>
    </row>
    <row r="19" spans="1:12" ht="45" customHeight="1" thickBot="1" x14ac:dyDescent="0.25">
      <c r="A19" s="7" t="str">
        <f>IF(B19="Accepted","",'Minimum Criteria'!B22)</f>
        <v/>
      </c>
      <c r="B19" s="137" t="str">
        <f>'Minimum Criteria'!J22</f>
        <v>Accepted</v>
      </c>
      <c r="C19" s="125"/>
      <c r="D19" s="126"/>
      <c r="E19" s="126"/>
      <c r="F19" s="324" t="s">
        <v>53</v>
      </c>
      <c r="G19" s="324" t="s">
        <v>37</v>
      </c>
      <c r="H19" s="316" t="str">
        <f>IF(B19="Accepted","",'Minimum Criteria'!AC22)</f>
        <v/>
      </c>
      <c r="I19" s="317" t="str">
        <f t="shared" si="1"/>
        <v/>
      </c>
    </row>
    <row r="20" spans="1:12" x14ac:dyDescent="0.2">
      <c r="A20" s="322"/>
    </row>
    <row r="21" spans="1:12" x14ac:dyDescent="0.2">
      <c r="A21" s="323" t="str">
        <f>'Minimum Criteria'!B24</f>
        <v/>
      </c>
    </row>
    <row r="22" spans="1:12" ht="12.75" thickBot="1" x14ac:dyDescent="0.25">
      <c r="A22" s="322"/>
    </row>
    <row r="23" spans="1:12" ht="45" customHeight="1" x14ac:dyDescent="0.2">
      <c r="A23" s="84" t="str">
        <f>IF(B23="Accepted","",'Minimum Criteria'!B26)</f>
        <v/>
      </c>
      <c r="B23" s="127" t="str">
        <f>'Minimum Criteria'!J26</f>
        <v>Accepted</v>
      </c>
      <c r="C23" s="128"/>
      <c r="D23" s="128"/>
      <c r="E23" s="128"/>
      <c r="F23" s="129"/>
      <c r="G23" s="129"/>
      <c r="H23" s="130" t="str">
        <f>IF(B23="Accepted","",'Minimum Criteria'!AC26)</f>
        <v/>
      </c>
      <c r="I23" s="131" t="str">
        <f t="shared" si="1"/>
        <v/>
      </c>
    </row>
    <row r="24" spans="1:12" ht="45" customHeight="1" x14ac:dyDescent="0.2">
      <c r="A24" s="85" t="str">
        <f>IF(B24="Accepted","",'Minimum Criteria'!B27)</f>
        <v/>
      </c>
      <c r="B24" s="132" t="str">
        <f>'Minimum Criteria'!J27</f>
        <v>Accepted</v>
      </c>
      <c r="C24" s="133"/>
      <c r="D24" s="133"/>
      <c r="E24" s="133"/>
      <c r="F24" s="134"/>
      <c r="G24" s="134"/>
      <c r="H24" s="135" t="str">
        <f>IF(B24="Accepted","",'Minimum Criteria'!AC27)</f>
        <v/>
      </c>
      <c r="I24" s="136" t="str">
        <f t="shared" si="1"/>
        <v/>
      </c>
    </row>
    <row r="25" spans="1:12" ht="54" customHeight="1" thickBot="1" x14ac:dyDescent="0.25">
      <c r="A25" s="86" t="str">
        <f>IF(B25="Accepted","",'Minimum Criteria'!B28)</f>
        <v/>
      </c>
      <c r="B25" s="137" t="str">
        <f>'Minimum Criteria'!J28</f>
        <v>Accepted</v>
      </c>
      <c r="C25" s="138"/>
      <c r="D25" s="138"/>
      <c r="E25" s="138"/>
      <c r="F25" s="139"/>
      <c r="G25" s="139"/>
      <c r="H25" s="140" t="str">
        <f>IF(B25="Accepted","",'Minimum Criteria'!AC28)</f>
        <v/>
      </c>
      <c r="I25" s="141" t="str">
        <f t="shared" ref="I25" si="2">IF(B25="Accepted","",IF(H25="Medium","Not accepted",IF(H25="Significant","Not accepted",IF(H25="High","Not Accepted",IF(H25="Very High","Not Accepted","Accepted")))))</f>
        <v/>
      </c>
    </row>
    <row r="26" spans="1:12" x14ac:dyDescent="0.2">
      <c r="C26" s="169"/>
      <c r="D26" s="169"/>
      <c r="E26" s="169"/>
      <c r="F26" s="169"/>
      <c r="G26" s="169"/>
      <c r="H26" s="169"/>
      <c r="I26" s="115"/>
      <c r="J26" s="169"/>
      <c r="K26" s="169"/>
    </row>
    <row r="27" spans="1:12" s="115" customFormat="1" x14ac:dyDescent="0.2">
      <c r="B27" s="115">
        <f>COUNTIF(B6:B25,"Not accepted")</f>
        <v>0</v>
      </c>
      <c r="F27" s="463"/>
      <c r="G27" s="463"/>
      <c r="H27" s="463"/>
      <c r="I27" s="115">
        <f>COUNTIF(I6:I25,"Not accepted")</f>
        <v>0</v>
      </c>
      <c r="J27" s="175"/>
      <c r="K27" s="175"/>
      <c r="L27" s="175"/>
    </row>
    <row r="28" spans="1:12" s="115" customFormat="1" x14ac:dyDescent="0.2">
      <c r="F28" s="463"/>
      <c r="G28" s="463"/>
      <c r="H28" s="463"/>
      <c r="J28" s="175"/>
      <c r="K28" s="175"/>
      <c r="L28" s="175"/>
    </row>
    <row r="29" spans="1:12" s="115" customFormat="1" x14ac:dyDescent="0.2">
      <c r="F29" s="175"/>
      <c r="G29" s="175"/>
      <c r="H29" s="175"/>
      <c r="I29" s="115">
        <f>SUM(I27)</f>
        <v>0</v>
      </c>
      <c r="J29" s="175"/>
      <c r="K29" s="175"/>
      <c r="L29" s="175"/>
    </row>
    <row r="30" spans="1:12" s="115" customFormat="1" x14ac:dyDescent="0.2">
      <c r="F30" s="175"/>
      <c r="G30" s="175"/>
      <c r="H30" s="175"/>
      <c r="I30" s="115" t="str">
        <f>IF(I29&gt;0,"Not Met","Met")</f>
        <v>Met</v>
      </c>
      <c r="J30" s="175"/>
      <c r="K30" s="175"/>
      <c r="L30" s="175"/>
    </row>
    <row r="31" spans="1:12" x14ac:dyDescent="0.2">
      <c r="B31" s="115"/>
      <c r="C31" s="169"/>
      <c r="D31" s="169"/>
      <c r="E31" s="169"/>
      <c r="F31" s="175"/>
      <c r="G31" s="175"/>
      <c r="H31" s="175"/>
      <c r="I31" s="115"/>
      <c r="J31" s="175"/>
      <c r="K31" s="175"/>
      <c r="L31" s="175"/>
    </row>
    <row r="32" spans="1:12" x14ac:dyDescent="0.2">
      <c r="C32" s="169"/>
      <c r="D32" s="169"/>
      <c r="E32" s="169"/>
      <c r="F32" s="175"/>
      <c r="G32" s="175"/>
      <c r="H32" s="175"/>
      <c r="I32" s="175"/>
      <c r="J32" s="175"/>
      <c r="K32" s="175"/>
      <c r="L32" s="175"/>
    </row>
    <row r="33" spans="3:12" x14ac:dyDescent="0.2">
      <c r="C33" s="169"/>
      <c r="D33" s="169"/>
      <c r="E33" s="169"/>
      <c r="F33" s="175"/>
      <c r="G33" s="175"/>
      <c r="H33" s="175"/>
      <c r="I33" s="175"/>
      <c r="J33" s="175"/>
      <c r="K33" s="175"/>
      <c r="L33" s="175"/>
    </row>
    <row r="34" spans="3:12" x14ac:dyDescent="0.2">
      <c r="C34" s="169"/>
      <c r="D34" s="169"/>
      <c r="E34" s="169"/>
      <c r="F34" s="169"/>
      <c r="G34" s="169"/>
      <c r="H34" s="169"/>
      <c r="I34" s="169"/>
      <c r="J34" s="169"/>
      <c r="K34" s="169"/>
    </row>
    <row r="35" spans="3:12" x14ac:dyDescent="0.2">
      <c r="C35" s="169"/>
      <c r="D35" s="169"/>
      <c r="E35" s="169"/>
      <c r="F35" s="169"/>
      <c r="G35" s="169"/>
      <c r="H35" s="169"/>
      <c r="I35" s="169"/>
      <c r="J35" s="169"/>
      <c r="K35" s="169"/>
    </row>
    <row r="36" spans="3:12" x14ac:dyDescent="0.2">
      <c r="C36" s="169"/>
      <c r="D36" s="169"/>
      <c r="E36" s="169"/>
      <c r="F36" s="169"/>
      <c r="G36" s="169"/>
      <c r="H36" s="169"/>
      <c r="I36" s="169"/>
      <c r="J36" s="169"/>
      <c r="K36" s="169"/>
    </row>
    <row r="37" spans="3:12" x14ac:dyDescent="0.2">
      <c r="C37" s="169"/>
      <c r="D37" s="169"/>
      <c r="E37" s="169"/>
      <c r="F37" s="169"/>
      <c r="G37" s="169"/>
      <c r="H37" s="169"/>
      <c r="I37" s="169"/>
      <c r="J37" s="169"/>
      <c r="K37" s="169"/>
    </row>
    <row r="38" spans="3:12" x14ac:dyDescent="0.2">
      <c r="C38" s="169"/>
      <c r="D38" s="169"/>
      <c r="E38" s="169"/>
      <c r="F38" s="169"/>
      <c r="G38" s="169"/>
      <c r="H38" s="169"/>
      <c r="I38" s="169"/>
      <c r="J38" s="169"/>
      <c r="K38" s="169"/>
    </row>
    <row r="39" spans="3:12" x14ac:dyDescent="0.2">
      <c r="C39" s="169"/>
      <c r="D39" s="169"/>
      <c r="E39" s="169"/>
      <c r="F39" s="169"/>
      <c r="G39" s="169"/>
      <c r="H39" s="169"/>
      <c r="I39" s="169"/>
      <c r="J39" s="169"/>
      <c r="K39" s="169"/>
    </row>
    <row r="40" spans="3:12" x14ac:dyDescent="0.2">
      <c r="C40" s="169"/>
      <c r="D40" s="169"/>
      <c r="E40" s="169"/>
      <c r="F40" s="169"/>
      <c r="G40" s="169"/>
      <c r="H40" s="169"/>
      <c r="I40" s="169"/>
      <c r="J40" s="169"/>
      <c r="K40" s="169"/>
    </row>
    <row r="41" spans="3:12" x14ac:dyDescent="0.2">
      <c r="C41" s="169"/>
      <c r="D41" s="169"/>
      <c r="E41" s="169"/>
      <c r="F41" s="169"/>
      <c r="G41" s="169"/>
      <c r="H41" s="169"/>
      <c r="I41" s="169"/>
      <c r="J41" s="169"/>
      <c r="K41" s="169"/>
    </row>
    <row r="42" spans="3:12" x14ac:dyDescent="0.2">
      <c r="C42" s="169"/>
      <c r="D42" s="169"/>
      <c r="E42" s="169"/>
      <c r="F42" s="169"/>
      <c r="G42" s="169"/>
      <c r="H42" s="169"/>
      <c r="I42" s="169"/>
      <c r="J42" s="169"/>
      <c r="K42" s="169"/>
    </row>
  </sheetData>
  <sheetProtection algorithmName="SHA-512" hashValue="fAAwtefXyc+D1kQ31Z3Kq3Try59iVFtUZeRarWTWympYKtTZBBvYLotv8jqVXgrl09UR5bqEHGs51ljceOayPg==" saltValue="up8AiO0pED5xJpa5+H6NpQ==" spinCount="100000" sheet="1" objects="1" scenarios="1"/>
  <mergeCells count="3">
    <mergeCell ref="F27:H27"/>
    <mergeCell ref="F28:H28"/>
    <mergeCell ref="A2:K2"/>
  </mergeCells>
  <conditionalFormatting sqref="I6:I19 I23:I25">
    <cfRule type="cellIs" dxfId="57" priority="1" operator="equal">
      <formula>"Not Accepted"</formula>
    </cfRule>
  </conditionalFormatting>
  <pageMargins left="0.70866141732283472" right="0.70866141732283472" top="0.74803149606299213" bottom="0.74803149606299213" header="0.31496062992125984" footer="0.31496062992125984"/>
  <pageSetup paperSize="9" scale="53" orientation="landscape" r:id="rId1"/>
  <headerFooter>
    <oddFooter>&amp;CRSQ 02&amp;RRevision 6.0</oddFooter>
  </headerFooter>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300-000000000000}">
          <x14:formula1>
            <xm:f>'Minimum Criteria'!$O$8:$O$13</xm:f>
          </x14:formula1>
          <xm:sqref>F23:F25 F6:F19</xm:sqref>
        </x14:dataValidation>
        <x14:dataValidation type="list" allowBlank="1" showInputMessage="1" showErrorMessage="1" xr:uid="{00000000-0002-0000-0300-000001000000}">
          <x14:formula1>
            <xm:f>'Minimum Criteria'!$V$8:$V$13</xm:f>
          </x14:formula1>
          <xm:sqref>G23:G25 G6:G19</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AD238"/>
  <sheetViews>
    <sheetView zoomScaleNormal="100" workbookViewId="0">
      <selection activeCell="I6" sqref="I6:M7"/>
    </sheetView>
  </sheetViews>
  <sheetFormatPr defaultRowHeight="12" x14ac:dyDescent="0.2"/>
  <cols>
    <col min="1" max="1" width="51" style="119" customWidth="1"/>
    <col min="2" max="2" width="49.85546875" style="119" customWidth="1"/>
    <col min="3" max="3" width="20" style="119" customWidth="1"/>
    <col min="4" max="4" width="17.7109375" style="119" customWidth="1"/>
    <col min="5" max="5" width="42.42578125" style="119" customWidth="1"/>
    <col min="6" max="6" width="34.42578125" style="142" customWidth="1"/>
    <col min="7" max="8" width="9.140625" style="142"/>
    <col min="9" max="9" width="54.28515625" style="142" customWidth="1"/>
    <col min="10" max="10" width="9.140625" style="143"/>
    <col min="11" max="19" width="9.140625" style="142"/>
    <col min="20" max="28" width="9.140625" style="100"/>
    <col min="29" max="29" width="9.140625" style="196"/>
    <col min="30" max="30" width="9.140625" style="195"/>
    <col min="31" max="16384" width="9.140625" style="119"/>
  </cols>
  <sheetData>
    <row r="1" spans="1:11" x14ac:dyDescent="0.2">
      <c r="A1" s="467" t="s">
        <v>9</v>
      </c>
      <c r="B1" s="467"/>
      <c r="C1" s="467"/>
      <c r="D1" s="467"/>
      <c r="E1" s="467"/>
    </row>
    <row r="2" spans="1:11" ht="12.75" thickBot="1" x14ac:dyDescent="0.25">
      <c r="A2" s="144"/>
      <c r="B2" s="144"/>
      <c r="C2" s="144"/>
      <c r="D2" s="144"/>
      <c r="E2" s="144"/>
      <c r="I2" s="142" t="s">
        <v>328</v>
      </c>
      <c r="J2" s="143" t="str">
        <f>IF($B$6=I2,K2,"0")</f>
        <v>0</v>
      </c>
      <c r="K2" s="142">
        <v>1</v>
      </c>
    </row>
    <row r="3" spans="1:11" x14ac:dyDescent="0.2">
      <c r="A3" s="468" t="s">
        <v>9</v>
      </c>
      <c r="B3" s="474" t="s">
        <v>10</v>
      </c>
      <c r="C3" s="485" t="s">
        <v>115</v>
      </c>
      <c r="D3" s="486"/>
      <c r="E3" s="487"/>
      <c r="I3" s="142" t="s">
        <v>316</v>
      </c>
      <c r="J3" s="143" t="str">
        <f>IF($B$6=I3,K3,"0")</f>
        <v>0</v>
      </c>
      <c r="K3" s="142">
        <v>2</v>
      </c>
    </row>
    <row r="4" spans="1:11" x14ac:dyDescent="0.2">
      <c r="A4" s="469"/>
      <c r="B4" s="475"/>
      <c r="C4" s="488"/>
      <c r="D4" s="489"/>
      <c r="E4" s="490"/>
      <c r="I4" s="142" t="s">
        <v>93</v>
      </c>
      <c r="J4" s="143" t="str">
        <f>IF($B$6=I4,K4,"0")</f>
        <v>0</v>
      </c>
      <c r="K4" s="142">
        <v>3</v>
      </c>
    </row>
    <row r="5" spans="1:11" ht="36.75" customHeight="1" thickBot="1" x14ac:dyDescent="0.25">
      <c r="A5" s="470"/>
      <c r="B5" s="476"/>
      <c r="C5" s="491"/>
      <c r="D5" s="492"/>
      <c r="E5" s="493"/>
      <c r="I5" s="142" t="s">
        <v>95</v>
      </c>
      <c r="J5" s="143" t="str">
        <f>IF($B$6=I4,K5,"0")</f>
        <v>0</v>
      </c>
      <c r="K5" s="142">
        <v>4</v>
      </c>
    </row>
    <row r="6" spans="1:11" ht="50.1" customHeight="1" x14ac:dyDescent="0.2">
      <c r="A6" s="88" t="s">
        <v>11</v>
      </c>
      <c r="B6" s="47"/>
      <c r="C6" s="494"/>
      <c r="D6" s="495"/>
      <c r="E6" s="496"/>
      <c r="F6" s="295" t="str">
        <f>IF(B6=I6,"Obtain credit rating report  from the Master Data Management team (masterdatamanagementms@vships.com)","")</f>
        <v/>
      </c>
      <c r="G6" s="142">
        <f>IF(B6="",1,0)</f>
        <v>1</v>
      </c>
      <c r="I6" s="142" t="s">
        <v>94</v>
      </c>
      <c r="J6" s="143" t="str">
        <f>IF($B$6=I5,K6,"0")</f>
        <v>0</v>
      </c>
      <c r="K6" s="142">
        <v>5</v>
      </c>
    </row>
    <row r="7" spans="1:11" ht="50.1" customHeight="1" x14ac:dyDescent="0.2">
      <c r="A7" s="15" t="s">
        <v>337</v>
      </c>
      <c r="B7" s="48"/>
      <c r="C7" s="479"/>
      <c r="D7" s="480"/>
      <c r="E7" s="481"/>
      <c r="G7" s="142">
        <f t="shared" ref="G7" si="0">IF(B7="",1,0)</f>
        <v>1</v>
      </c>
      <c r="J7" s="143" t="str">
        <f>IF($B$6=I6,K7,"0")</f>
        <v>0</v>
      </c>
      <c r="K7" s="142">
        <v>6</v>
      </c>
    </row>
    <row r="8" spans="1:11" ht="27" customHeight="1" x14ac:dyDescent="0.2">
      <c r="A8" s="500" t="s">
        <v>412</v>
      </c>
      <c r="B8" s="502"/>
      <c r="C8" s="296" t="s">
        <v>410</v>
      </c>
      <c r="D8" s="297" t="s">
        <v>411</v>
      </c>
      <c r="E8" s="298" t="s">
        <v>219</v>
      </c>
      <c r="G8" s="142">
        <f>IF(B8="",1,0)</f>
        <v>1</v>
      </c>
      <c r="I8" s="142" t="s">
        <v>98</v>
      </c>
      <c r="J8" s="143" t="str">
        <f>IF($B$7=I8,K8,"0")</f>
        <v>0</v>
      </c>
      <c r="K8" s="142">
        <v>1</v>
      </c>
    </row>
    <row r="9" spans="1:11" ht="50.1" customHeight="1" x14ac:dyDescent="0.2">
      <c r="A9" s="501"/>
      <c r="B9" s="503"/>
      <c r="C9" s="292"/>
      <c r="D9" s="293"/>
      <c r="E9" s="294"/>
      <c r="G9" s="142">
        <f>IF(B10="",1,0)</f>
        <v>1</v>
      </c>
      <c r="I9" s="142" t="s">
        <v>97</v>
      </c>
      <c r="J9" s="143" t="str">
        <f t="shared" ref="J9" si="1">IF($B$7=I9,K9,"0")</f>
        <v>0</v>
      </c>
      <c r="K9" s="142">
        <v>3</v>
      </c>
    </row>
    <row r="10" spans="1:11" ht="50.1" customHeight="1" x14ac:dyDescent="0.2">
      <c r="A10" s="15" t="s">
        <v>413</v>
      </c>
      <c r="B10" s="48"/>
      <c r="C10" s="479"/>
      <c r="D10" s="480"/>
      <c r="E10" s="481"/>
      <c r="G10" s="142">
        <f>IF(B11="",1,0)</f>
        <v>1</v>
      </c>
      <c r="I10" s="142" t="s">
        <v>96</v>
      </c>
      <c r="J10" s="143" t="str">
        <f>IF($B$7=I10,K10,"0")</f>
        <v>0</v>
      </c>
      <c r="K10" s="142">
        <v>6</v>
      </c>
    </row>
    <row r="11" spans="1:11" ht="50.1" customHeight="1" thickBot="1" x14ac:dyDescent="0.25">
      <c r="A11" s="89" t="s">
        <v>408</v>
      </c>
      <c r="B11" s="90"/>
      <c r="C11" s="471"/>
      <c r="D11" s="472"/>
      <c r="E11" s="473"/>
      <c r="G11" s="142">
        <f>SUM(G6:G10)</f>
        <v>5</v>
      </c>
      <c r="I11" s="142" t="s">
        <v>99</v>
      </c>
      <c r="J11" s="143" t="str">
        <f>IF(B10=I11,K11,"0")</f>
        <v>0</v>
      </c>
      <c r="K11" s="142">
        <v>1</v>
      </c>
    </row>
    <row r="12" spans="1:11" ht="50.1" customHeight="1" thickBot="1" x14ac:dyDescent="0.25">
      <c r="A12" s="87" t="s">
        <v>409</v>
      </c>
      <c r="B12" s="497"/>
      <c r="C12" s="498"/>
      <c r="D12" s="498"/>
      <c r="E12" s="499"/>
      <c r="I12" s="142" t="s">
        <v>100</v>
      </c>
      <c r="J12" s="143" t="str">
        <f>IF(B10=I12,K12,"0")</f>
        <v>0</v>
      </c>
      <c r="K12" s="142">
        <v>2</v>
      </c>
    </row>
    <row r="13" spans="1:11" ht="50.1" customHeight="1" x14ac:dyDescent="0.2">
      <c r="A13" s="16" t="s">
        <v>12</v>
      </c>
      <c r="B13" s="199"/>
      <c r="C13" s="482"/>
      <c r="D13" s="483"/>
      <c r="E13" s="484"/>
      <c r="I13" s="142" t="s">
        <v>111</v>
      </c>
      <c r="J13" s="143" t="str">
        <f>IF(B10=I13,K13,"0")</f>
        <v>0</v>
      </c>
      <c r="K13" s="142">
        <v>3</v>
      </c>
    </row>
    <row r="14" spans="1:11" ht="50.1" customHeight="1" x14ac:dyDescent="0.2">
      <c r="A14" s="193"/>
      <c r="B14" s="48"/>
      <c r="C14" s="479"/>
      <c r="D14" s="480"/>
      <c r="E14" s="481"/>
      <c r="I14" s="142" t="s">
        <v>110</v>
      </c>
      <c r="J14" s="143" t="str">
        <f>IF(B10=I14,K14,"0")</f>
        <v>0</v>
      </c>
      <c r="K14" s="142">
        <v>6</v>
      </c>
    </row>
    <row r="15" spans="1:11" ht="50.1" customHeight="1" thickBot="1" x14ac:dyDescent="0.25">
      <c r="A15" s="198"/>
      <c r="B15" s="90"/>
      <c r="C15" s="471"/>
      <c r="D15" s="472"/>
      <c r="E15" s="473"/>
      <c r="I15" s="142" t="s">
        <v>305</v>
      </c>
      <c r="J15" s="143" t="str">
        <f t="shared" ref="J15:J20" si="2">IF($B$8=I15,K15,"0")</f>
        <v>0</v>
      </c>
      <c r="K15" s="142">
        <v>1</v>
      </c>
    </row>
    <row r="16" spans="1:11" ht="12.75" thickBot="1" x14ac:dyDescent="0.25">
      <c r="A16" s="145" t="s">
        <v>114</v>
      </c>
      <c r="B16" s="146">
        <f>J28</f>
        <v>0</v>
      </c>
      <c r="C16" s="477" t="str">
        <f>IF(B16&lt;50%, "Approved", "Not Approved")</f>
        <v>Approved</v>
      </c>
      <c r="D16" s="477"/>
      <c r="E16" s="478"/>
      <c r="I16" s="142" t="s">
        <v>101</v>
      </c>
      <c r="J16" s="143" t="str">
        <f t="shared" si="2"/>
        <v>0</v>
      </c>
      <c r="K16" s="142">
        <v>2</v>
      </c>
    </row>
    <row r="17" spans="1:11" x14ac:dyDescent="0.2">
      <c r="A17" s="144"/>
      <c r="B17" s="144"/>
      <c r="C17" s="144"/>
      <c r="D17" s="144"/>
      <c r="E17" s="144"/>
      <c r="I17" s="142" t="s">
        <v>102</v>
      </c>
      <c r="J17" s="143" t="str">
        <f t="shared" si="2"/>
        <v>0</v>
      </c>
      <c r="K17" s="142">
        <v>3</v>
      </c>
    </row>
    <row r="18" spans="1:11" x14ac:dyDescent="0.2">
      <c r="A18" s="144"/>
      <c r="B18" s="144"/>
      <c r="C18" s="144"/>
      <c r="D18" s="144"/>
      <c r="E18" s="144"/>
      <c r="I18" s="142" t="s">
        <v>103</v>
      </c>
      <c r="J18" s="143" t="str">
        <f t="shared" si="2"/>
        <v>0</v>
      </c>
      <c r="K18" s="142">
        <v>4</v>
      </c>
    </row>
    <row r="19" spans="1:11" x14ac:dyDescent="0.2">
      <c r="A19" s="144"/>
      <c r="B19" s="144"/>
      <c r="C19" s="144"/>
      <c r="D19" s="144"/>
      <c r="E19" s="144"/>
      <c r="I19" s="142" t="s">
        <v>104</v>
      </c>
      <c r="J19" s="143" t="str">
        <f t="shared" si="2"/>
        <v>0</v>
      </c>
      <c r="K19" s="142">
        <v>5</v>
      </c>
    </row>
    <row r="20" spans="1:11" x14ac:dyDescent="0.2">
      <c r="A20" s="144"/>
      <c r="B20" s="144"/>
      <c r="C20" s="144"/>
      <c r="D20" s="144"/>
      <c r="E20" s="144"/>
      <c r="I20" s="142" t="s">
        <v>105</v>
      </c>
      <c r="J20" s="143" t="str">
        <f t="shared" si="2"/>
        <v>0</v>
      </c>
      <c r="K20" s="142">
        <v>6</v>
      </c>
    </row>
    <row r="21" spans="1:11" x14ac:dyDescent="0.2">
      <c r="A21" s="144"/>
      <c r="B21" s="144"/>
      <c r="C21" s="144"/>
      <c r="D21" s="144"/>
      <c r="E21" s="144"/>
      <c r="I21" s="142" t="s">
        <v>106</v>
      </c>
      <c r="J21" s="143" t="str">
        <f>IF($B$11=I21,K21,"0")</f>
        <v>0</v>
      </c>
      <c r="K21" s="142">
        <v>1</v>
      </c>
    </row>
    <row r="22" spans="1:11" x14ac:dyDescent="0.2">
      <c r="A22" s="144"/>
      <c r="B22" s="144"/>
      <c r="C22" s="144"/>
      <c r="D22" s="144"/>
      <c r="E22" s="144"/>
      <c r="I22" s="142" t="s">
        <v>107</v>
      </c>
      <c r="J22" s="143" t="str">
        <f t="shared" ref="J22:J25" si="3">IF($B$11=I22,K22,"0")</f>
        <v>0</v>
      </c>
      <c r="K22" s="142">
        <v>2</v>
      </c>
    </row>
    <row r="23" spans="1:11" x14ac:dyDescent="0.2">
      <c r="A23" s="144"/>
      <c r="B23" s="144"/>
      <c r="C23" s="144"/>
      <c r="D23" s="144"/>
      <c r="E23" s="144"/>
      <c r="I23" s="142" t="s">
        <v>108</v>
      </c>
      <c r="J23" s="143" t="str">
        <f t="shared" si="3"/>
        <v>0</v>
      </c>
      <c r="K23" s="142">
        <v>3</v>
      </c>
    </row>
    <row r="24" spans="1:11" x14ac:dyDescent="0.2">
      <c r="A24" s="144"/>
      <c r="B24" s="144"/>
      <c r="C24" s="144"/>
      <c r="D24" s="144"/>
      <c r="E24" s="144"/>
      <c r="I24" s="142" t="s">
        <v>109</v>
      </c>
      <c r="J24" s="143" t="str">
        <f t="shared" si="3"/>
        <v>0</v>
      </c>
      <c r="K24" s="142">
        <v>4</v>
      </c>
    </row>
    <row r="25" spans="1:11" x14ac:dyDescent="0.2">
      <c r="A25" s="144"/>
      <c r="B25" s="144"/>
      <c r="C25" s="144"/>
      <c r="D25" s="144"/>
      <c r="E25" s="144"/>
      <c r="I25" s="142" t="s">
        <v>112</v>
      </c>
      <c r="J25" s="143" t="str">
        <f t="shared" si="3"/>
        <v>0</v>
      </c>
      <c r="K25" s="142">
        <v>6</v>
      </c>
    </row>
    <row r="26" spans="1:11" x14ac:dyDescent="0.2">
      <c r="A26" s="144"/>
      <c r="B26" s="144"/>
      <c r="C26" s="144"/>
      <c r="D26" s="144"/>
      <c r="E26" s="144"/>
    </row>
    <row r="27" spans="1:11" x14ac:dyDescent="0.2">
      <c r="A27" s="144"/>
      <c r="B27" s="144"/>
      <c r="C27" s="144"/>
      <c r="D27" s="142"/>
      <c r="E27" s="144"/>
      <c r="J27" s="143">
        <f>SUM(J2:J25)</f>
        <v>0</v>
      </c>
    </row>
    <row r="28" spans="1:11" x14ac:dyDescent="0.2">
      <c r="A28" s="144"/>
      <c r="B28" s="144"/>
      <c r="C28" s="144"/>
      <c r="D28" s="144"/>
      <c r="E28" s="144"/>
      <c r="I28" s="142" t="s">
        <v>113</v>
      </c>
      <c r="J28" s="147">
        <f>J27/30</f>
        <v>0</v>
      </c>
    </row>
    <row r="29" spans="1:11" x14ac:dyDescent="0.2">
      <c r="A29" s="144"/>
      <c r="B29" s="144"/>
      <c r="C29" s="144"/>
      <c r="D29" s="144"/>
      <c r="E29" s="144"/>
    </row>
    <row r="30" spans="1:11" x14ac:dyDescent="0.2">
      <c r="A30" s="144"/>
      <c r="B30" s="144"/>
      <c r="C30" s="144"/>
      <c r="D30" s="144"/>
      <c r="E30" s="144"/>
    </row>
    <row r="31" spans="1:11" x14ac:dyDescent="0.2">
      <c r="A31" s="144"/>
      <c r="B31" s="144"/>
      <c r="C31" s="144"/>
      <c r="D31" s="144"/>
      <c r="E31" s="144"/>
      <c r="I31" s="142">
        <f>IF(B6="",1,0)</f>
        <v>1</v>
      </c>
    </row>
    <row r="32" spans="1:11" x14ac:dyDescent="0.2">
      <c r="A32" s="144"/>
      <c r="B32" s="144"/>
      <c r="C32" s="144"/>
      <c r="D32" s="144"/>
      <c r="E32" s="144"/>
      <c r="I32" s="142">
        <f t="shared" ref="I32" si="4">IF(B7="",1,0)</f>
        <v>1</v>
      </c>
    </row>
    <row r="33" spans="1:5" x14ac:dyDescent="0.2">
      <c r="A33" s="144"/>
      <c r="B33" s="144"/>
      <c r="C33" s="144"/>
      <c r="D33" s="144"/>
      <c r="E33" s="144"/>
    </row>
    <row r="34" spans="1:5" x14ac:dyDescent="0.2">
      <c r="A34" s="144"/>
      <c r="B34" s="144"/>
      <c r="C34" s="144"/>
      <c r="D34" s="144"/>
      <c r="E34" s="144"/>
    </row>
    <row r="35" spans="1:5" x14ac:dyDescent="0.2">
      <c r="A35" s="144"/>
      <c r="B35" s="144"/>
      <c r="C35" s="144"/>
      <c r="D35" s="144"/>
      <c r="E35" s="144"/>
    </row>
    <row r="36" spans="1:5" x14ac:dyDescent="0.2">
      <c r="A36" s="144"/>
      <c r="B36" s="144"/>
      <c r="C36" s="144"/>
      <c r="D36" s="144"/>
      <c r="E36" s="144"/>
    </row>
    <row r="37" spans="1:5" x14ac:dyDescent="0.2">
      <c r="A37" s="144"/>
      <c r="B37" s="144"/>
      <c r="C37" s="144"/>
      <c r="D37" s="144"/>
      <c r="E37" s="144"/>
    </row>
    <row r="38" spans="1:5" x14ac:dyDescent="0.2">
      <c r="A38" s="144"/>
      <c r="B38" s="144"/>
      <c r="C38" s="144"/>
      <c r="D38" s="144"/>
      <c r="E38" s="144"/>
    </row>
    <row r="39" spans="1:5" x14ac:dyDescent="0.2">
      <c r="A39" s="144"/>
      <c r="B39" s="144"/>
      <c r="C39" s="144"/>
      <c r="D39" s="144"/>
      <c r="E39" s="144"/>
    </row>
    <row r="40" spans="1:5" x14ac:dyDescent="0.2">
      <c r="A40" s="144"/>
      <c r="B40" s="144"/>
      <c r="C40" s="144"/>
      <c r="D40" s="144"/>
      <c r="E40" s="144"/>
    </row>
    <row r="41" spans="1:5" x14ac:dyDescent="0.2">
      <c r="A41" s="144"/>
      <c r="B41" s="144"/>
      <c r="C41" s="144"/>
      <c r="D41" s="144"/>
      <c r="E41" s="144"/>
    </row>
    <row r="42" spans="1:5" x14ac:dyDescent="0.2">
      <c r="A42" s="144"/>
      <c r="B42" s="144"/>
      <c r="C42" s="144"/>
      <c r="D42" s="144"/>
      <c r="E42" s="144"/>
    </row>
    <row r="43" spans="1:5" x14ac:dyDescent="0.2">
      <c r="A43" s="144"/>
      <c r="B43" s="144"/>
      <c r="C43" s="144"/>
      <c r="D43" s="144"/>
      <c r="E43" s="144"/>
    </row>
    <row r="44" spans="1:5" x14ac:dyDescent="0.2">
      <c r="A44" s="144"/>
      <c r="B44" s="144"/>
      <c r="C44" s="144"/>
      <c r="D44" s="144"/>
      <c r="E44" s="144"/>
    </row>
    <row r="45" spans="1:5" x14ac:dyDescent="0.2">
      <c r="A45" s="144"/>
      <c r="B45" s="144"/>
      <c r="C45" s="144"/>
      <c r="D45" s="144"/>
      <c r="E45" s="144"/>
    </row>
    <row r="46" spans="1:5" x14ac:dyDescent="0.2">
      <c r="A46" s="144"/>
      <c r="B46" s="144"/>
      <c r="C46" s="144"/>
      <c r="D46" s="144"/>
      <c r="E46" s="144"/>
    </row>
    <row r="47" spans="1:5" x14ac:dyDescent="0.2">
      <c r="A47" s="144"/>
      <c r="B47" s="144"/>
      <c r="C47" s="144"/>
      <c r="D47" s="144"/>
      <c r="E47" s="144"/>
    </row>
    <row r="48" spans="1:5" x14ac:dyDescent="0.2">
      <c r="A48" s="144"/>
      <c r="B48" s="144"/>
      <c r="C48" s="144"/>
      <c r="D48" s="144"/>
      <c r="E48" s="144"/>
    </row>
    <row r="49" spans="1:5" x14ac:dyDescent="0.2">
      <c r="A49" s="144"/>
      <c r="B49" s="144"/>
      <c r="C49" s="144"/>
      <c r="D49" s="144"/>
      <c r="E49" s="144"/>
    </row>
    <row r="50" spans="1:5" x14ac:dyDescent="0.2">
      <c r="A50" s="144"/>
      <c r="B50" s="144"/>
      <c r="C50" s="144"/>
      <c r="D50" s="144"/>
      <c r="E50" s="144"/>
    </row>
    <row r="51" spans="1:5" x14ac:dyDescent="0.2">
      <c r="A51" s="144"/>
      <c r="B51" s="144"/>
      <c r="C51" s="144"/>
      <c r="D51" s="144"/>
      <c r="E51" s="144"/>
    </row>
    <row r="52" spans="1:5" x14ac:dyDescent="0.2">
      <c r="A52" s="144"/>
      <c r="B52" s="144"/>
      <c r="C52" s="144"/>
      <c r="D52" s="144"/>
      <c r="E52" s="144"/>
    </row>
    <row r="53" spans="1:5" x14ac:dyDescent="0.2">
      <c r="A53" s="144"/>
      <c r="B53" s="144"/>
      <c r="C53" s="144"/>
      <c r="D53" s="144"/>
      <c r="E53" s="144"/>
    </row>
    <row r="54" spans="1:5" x14ac:dyDescent="0.2">
      <c r="A54" s="144"/>
      <c r="B54" s="144"/>
      <c r="C54" s="144"/>
      <c r="D54" s="144"/>
      <c r="E54" s="144"/>
    </row>
    <row r="55" spans="1:5" x14ac:dyDescent="0.2">
      <c r="A55" s="144"/>
      <c r="B55" s="144"/>
      <c r="C55" s="144"/>
      <c r="D55" s="144"/>
      <c r="E55" s="144"/>
    </row>
    <row r="56" spans="1:5" x14ac:dyDescent="0.2">
      <c r="A56" s="144"/>
      <c r="B56" s="144"/>
      <c r="C56" s="144"/>
      <c r="D56" s="144"/>
      <c r="E56" s="144"/>
    </row>
    <row r="57" spans="1:5" x14ac:dyDescent="0.2">
      <c r="A57" s="144"/>
      <c r="B57" s="144"/>
      <c r="C57" s="144"/>
      <c r="D57" s="144"/>
      <c r="E57" s="144"/>
    </row>
    <row r="58" spans="1:5" x14ac:dyDescent="0.2">
      <c r="A58" s="144"/>
      <c r="B58" s="144"/>
      <c r="C58" s="144"/>
      <c r="D58" s="144"/>
      <c r="E58" s="144"/>
    </row>
    <row r="59" spans="1:5" x14ac:dyDescent="0.2">
      <c r="A59" s="144"/>
      <c r="B59" s="144"/>
      <c r="C59" s="144"/>
      <c r="D59" s="144"/>
      <c r="E59" s="144"/>
    </row>
    <row r="60" spans="1:5" x14ac:dyDescent="0.2">
      <c r="A60" s="144"/>
      <c r="B60" s="144"/>
      <c r="C60" s="144"/>
      <c r="D60" s="144"/>
      <c r="E60" s="144"/>
    </row>
    <row r="61" spans="1:5" x14ac:dyDescent="0.2">
      <c r="A61" s="144"/>
      <c r="B61" s="144"/>
      <c r="C61" s="144"/>
      <c r="D61" s="144"/>
      <c r="E61" s="144"/>
    </row>
    <row r="62" spans="1:5" x14ac:dyDescent="0.2">
      <c r="A62" s="144"/>
      <c r="B62" s="144"/>
      <c r="C62" s="144"/>
      <c r="D62" s="144"/>
      <c r="E62" s="144"/>
    </row>
    <row r="63" spans="1:5" x14ac:dyDescent="0.2">
      <c r="A63" s="144"/>
      <c r="B63" s="144"/>
      <c r="C63" s="144"/>
      <c r="D63" s="144"/>
      <c r="E63" s="144"/>
    </row>
    <row r="64" spans="1:5" x14ac:dyDescent="0.2">
      <c r="A64" s="144"/>
      <c r="B64" s="144"/>
      <c r="C64" s="144"/>
      <c r="D64" s="144"/>
      <c r="E64" s="144"/>
    </row>
    <row r="65" spans="1:5" x14ac:dyDescent="0.2">
      <c r="A65" s="144"/>
      <c r="B65" s="144"/>
      <c r="C65" s="144"/>
      <c r="D65" s="144"/>
      <c r="E65" s="144"/>
    </row>
    <row r="66" spans="1:5" x14ac:dyDescent="0.2">
      <c r="A66" s="144"/>
      <c r="B66" s="144"/>
      <c r="C66" s="144"/>
      <c r="D66" s="144"/>
      <c r="E66" s="144"/>
    </row>
    <row r="67" spans="1:5" x14ac:dyDescent="0.2">
      <c r="A67" s="144"/>
      <c r="B67" s="144"/>
      <c r="C67" s="144"/>
      <c r="D67" s="144"/>
      <c r="E67" s="144"/>
    </row>
    <row r="68" spans="1:5" x14ac:dyDescent="0.2">
      <c r="A68" s="144"/>
      <c r="B68" s="144"/>
      <c r="C68" s="144"/>
      <c r="D68" s="144"/>
      <c r="E68" s="144"/>
    </row>
    <row r="69" spans="1:5" x14ac:dyDescent="0.2">
      <c r="A69" s="144"/>
      <c r="B69" s="144"/>
      <c r="C69" s="144"/>
      <c r="D69" s="144"/>
      <c r="E69" s="144"/>
    </row>
    <row r="70" spans="1:5" x14ac:dyDescent="0.2">
      <c r="A70" s="144"/>
      <c r="B70" s="144"/>
      <c r="C70" s="144"/>
      <c r="D70" s="144"/>
      <c r="E70" s="144"/>
    </row>
    <row r="71" spans="1:5" x14ac:dyDescent="0.2">
      <c r="A71" s="144"/>
      <c r="B71" s="144"/>
      <c r="C71" s="144"/>
      <c r="D71" s="144"/>
      <c r="E71" s="144"/>
    </row>
    <row r="72" spans="1:5" x14ac:dyDescent="0.2">
      <c r="A72" s="144"/>
      <c r="B72" s="144"/>
      <c r="C72" s="144"/>
      <c r="D72" s="144"/>
      <c r="E72" s="144"/>
    </row>
    <row r="73" spans="1:5" x14ac:dyDescent="0.2">
      <c r="A73" s="144"/>
      <c r="B73" s="144"/>
      <c r="C73" s="144"/>
      <c r="D73" s="144"/>
      <c r="E73" s="144"/>
    </row>
    <row r="74" spans="1:5" x14ac:dyDescent="0.2">
      <c r="A74" s="144"/>
      <c r="B74" s="144"/>
      <c r="C74" s="144"/>
      <c r="D74" s="144"/>
      <c r="E74" s="144"/>
    </row>
    <row r="75" spans="1:5" x14ac:dyDescent="0.2">
      <c r="A75" s="144"/>
      <c r="B75" s="144"/>
      <c r="C75" s="144"/>
      <c r="D75" s="144"/>
      <c r="E75" s="144"/>
    </row>
    <row r="76" spans="1:5" x14ac:dyDescent="0.2">
      <c r="A76" s="144"/>
      <c r="B76" s="144"/>
      <c r="C76" s="144"/>
      <c r="D76" s="144"/>
      <c r="E76" s="144"/>
    </row>
    <row r="77" spans="1:5" x14ac:dyDescent="0.2">
      <c r="A77" s="144"/>
      <c r="B77" s="144"/>
      <c r="C77" s="144"/>
      <c r="D77" s="144"/>
      <c r="E77" s="144"/>
    </row>
    <row r="78" spans="1:5" x14ac:dyDescent="0.2">
      <c r="A78" s="144"/>
      <c r="B78" s="144"/>
      <c r="C78" s="144"/>
      <c r="D78" s="144"/>
      <c r="E78" s="144"/>
    </row>
    <row r="79" spans="1:5" x14ac:dyDescent="0.2">
      <c r="A79" s="144"/>
      <c r="B79" s="144"/>
      <c r="C79" s="144"/>
      <c r="D79" s="144"/>
      <c r="E79" s="144"/>
    </row>
    <row r="80" spans="1:5" x14ac:dyDescent="0.2">
      <c r="A80" s="144"/>
      <c r="B80" s="144"/>
      <c r="C80" s="144"/>
      <c r="D80" s="144"/>
      <c r="E80" s="144"/>
    </row>
    <row r="81" spans="1:5" x14ac:dyDescent="0.2">
      <c r="A81" s="144"/>
      <c r="B81" s="144"/>
      <c r="C81" s="144"/>
      <c r="D81" s="144"/>
      <c r="E81" s="144"/>
    </row>
    <row r="82" spans="1:5" x14ac:dyDescent="0.2">
      <c r="A82" s="144"/>
      <c r="B82" s="144"/>
      <c r="C82" s="144"/>
      <c r="D82" s="144"/>
      <c r="E82" s="144"/>
    </row>
    <row r="83" spans="1:5" x14ac:dyDescent="0.2">
      <c r="A83" s="144"/>
      <c r="B83" s="144"/>
      <c r="C83" s="144"/>
      <c r="D83" s="144"/>
      <c r="E83" s="144"/>
    </row>
    <row r="84" spans="1:5" x14ac:dyDescent="0.2">
      <c r="A84" s="144"/>
      <c r="B84" s="144"/>
      <c r="C84" s="144"/>
      <c r="D84" s="144"/>
      <c r="E84" s="144"/>
    </row>
    <row r="85" spans="1:5" x14ac:dyDescent="0.2">
      <c r="A85" s="144"/>
      <c r="B85" s="144"/>
      <c r="C85" s="144"/>
      <c r="D85" s="144"/>
      <c r="E85" s="144"/>
    </row>
    <row r="86" spans="1:5" x14ac:dyDescent="0.2">
      <c r="A86" s="144"/>
      <c r="B86" s="144"/>
      <c r="C86" s="144"/>
      <c r="D86" s="144"/>
      <c r="E86" s="144"/>
    </row>
    <row r="87" spans="1:5" x14ac:dyDescent="0.2">
      <c r="A87" s="144"/>
      <c r="B87" s="144"/>
      <c r="C87" s="144"/>
      <c r="D87" s="144"/>
      <c r="E87" s="144"/>
    </row>
    <row r="88" spans="1:5" x14ac:dyDescent="0.2">
      <c r="A88" s="144"/>
      <c r="B88" s="144"/>
      <c r="C88" s="144"/>
      <c r="D88" s="144"/>
      <c r="E88" s="144"/>
    </row>
    <row r="89" spans="1:5" x14ac:dyDescent="0.2">
      <c r="A89" s="144"/>
      <c r="B89" s="144"/>
      <c r="C89" s="144"/>
      <c r="D89" s="144"/>
      <c r="E89" s="144"/>
    </row>
    <row r="90" spans="1:5" x14ac:dyDescent="0.2">
      <c r="A90" s="144"/>
      <c r="B90" s="144"/>
      <c r="C90" s="144"/>
      <c r="D90" s="144"/>
      <c r="E90" s="144"/>
    </row>
    <row r="91" spans="1:5" x14ac:dyDescent="0.2">
      <c r="A91" s="144"/>
      <c r="B91" s="144"/>
      <c r="C91" s="144"/>
      <c r="D91" s="144"/>
      <c r="E91" s="144"/>
    </row>
    <row r="92" spans="1:5" x14ac:dyDescent="0.2">
      <c r="A92" s="144"/>
      <c r="B92" s="144"/>
      <c r="C92" s="144"/>
      <c r="D92" s="144"/>
      <c r="E92" s="144"/>
    </row>
    <row r="93" spans="1:5" x14ac:dyDescent="0.2">
      <c r="A93" s="144"/>
      <c r="B93" s="144"/>
      <c r="C93" s="144"/>
      <c r="D93" s="144"/>
      <c r="E93" s="144"/>
    </row>
    <row r="94" spans="1:5" x14ac:dyDescent="0.2">
      <c r="A94" s="144"/>
      <c r="B94" s="144"/>
      <c r="C94" s="144"/>
      <c r="D94" s="144"/>
      <c r="E94" s="144"/>
    </row>
    <row r="95" spans="1:5" x14ac:dyDescent="0.2">
      <c r="A95" s="144"/>
      <c r="B95" s="144"/>
      <c r="C95" s="144"/>
      <c r="D95" s="144"/>
      <c r="E95" s="144"/>
    </row>
    <row r="96" spans="1:5" x14ac:dyDescent="0.2">
      <c r="A96" s="144"/>
      <c r="B96" s="144"/>
      <c r="C96" s="144"/>
      <c r="D96" s="144"/>
      <c r="E96" s="144"/>
    </row>
    <row r="97" spans="1:5" x14ac:dyDescent="0.2">
      <c r="A97" s="144"/>
      <c r="B97" s="144"/>
      <c r="C97" s="144"/>
      <c r="D97" s="144"/>
      <c r="E97" s="144"/>
    </row>
    <row r="98" spans="1:5" x14ac:dyDescent="0.2">
      <c r="A98" s="144"/>
      <c r="B98" s="144"/>
      <c r="C98" s="144"/>
      <c r="D98" s="144"/>
      <c r="E98" s="144"/>
    </row>
    <row r="99" spans="1:5" x14ac:dyDescent="0.2">
      <c r="A99" s="144"/>
      <c r="B99" s="144"/>
      <c r="C99" s="144"/>
      <c r="D99" s="144"/>
      <c r="E99" s="144"/>
    </row>
    <row r="100" spans="1:5" x14ac:dyDescent="0.2">
      <c r="A100" s="144"/>
      <c r="B100" s="144"/>
      <c r="C100" s="144"/>
      <c r="D100" s="144"/>
      <c r="E100" s="144"/>
    </row>
    <row r="101" spans="1:5" x14ac:dyDescent="0.2">
      <c r="A101" s="144"/>
      <c r="B101" s="144"/>
      <c r="C101" s="144"/>
      <c r="D101" s="144"/>
      <c r="E101" s="144"/>
    </row>
    <row r="102" spans="1:5" x14ac:dyDescent="0.2">
      <c r="A102" s="144"/>
      <c r="B102" s="144"/>
      <c r="C102" s="144"/>
      <c r="D102" s="144"/>
      <c r="E102" s="144"/>
    </row>
    <row r="103" spans="1:5" x14ac:dyDescent="0.2">
      <c r="A103" s="144"/>
      <c r="B103" s="144"/>
      <c r="C103" s="144"/>
      <c r="D103" s="144"/>
      <c r="E103" s="144"/>
    </row>
    <row r="104" spans="1:5" x14ac:dyDescent="0.2">
      <c r="A104" s="144"/>
      <c r="B104" s="144"/>
      <c r="C104" s="144"/>
      <c r="D104" s="144"/>
      <c r="E104" s="144"/>
    </row>
    <row r="105" spans="1:5" x14ac:dyDescent="0.2">
      <c r="A105" s="144"/>
      <c r="B105" s="144"/>
      <c r="C105" s="144"/>
      <c r="D105" s="144"/>
      <c r="E105" s="144"/>
    </row>
    <row r="106" spans="1:5" x14ac:dyDescent="0.2">
      <c r="A106" s="144"/>
      <c r="B106" s="144"/>
      <c r="C106" s="144"/>
      <c r="D106" s="144"/>
      <c r="E106" s="144"/>
    </row>
    <row r="107" spans="1:5" x14ac:dyDescent="0.2">
      <c r="A107" s="144"/>
      <c r="B107" s="144"/>
      <c r="C107" s="144"/>
      <c r="D107" s="144"/>
      <c r="E107" s="144"/>
    </row>
    <row r="108" spans="1:5" x14ac:dyDescent="0.2">
      <c r="A108" s="144"/>
      <c r="B108" s="144"/>
      <c r="C108" s="144"/>
      <c r="D108" s="144"/>
      <c r="E108" s="144"/>
    </row>
    <row r="109" spans="1:5" x14ac:dyDescent="0.2">
      <c r="A109" s="144"/>
      <c r="B109" s="144"/>
      <c r="C109" s="144"/>
      <c r="D109" s="144"/>
      <c r="E109" s="144"/>
    </row>
    <row r="110" spans="1:5" x14ac:dyDescent="0.2">
      <c r="A110" s="144"/>
      <c r="B110" s="144"/>
      <c r="C110" s="144"/>
      <c r="D110" s="144"/>
      <c r="E110" s="144"/>
    </row>
    <row r="111" spans="1:5" x14ac:dyDescent="0.2">
      <c r="A111" s="144"/>
      <c r="B111" s="144"/>
      <c r="C111" s="144"/>
      <c r="D111" s="144"/>
      <c r="E111" s="144"/>
    </row>
    <row r="112" spans="1:5" x14ac:dyDescent="0.2">
      <c r="A112" s="144"/>
      <c r="B112" s="144"/>
      <c r="C112" s="144"/>
      <c r="D112" s="144"/>
      <c r="E112" s="144"/>
    </row>
    <row r="113" spans="1:5" x14ac:dyDescent="0.2">
      <c r="A113" s="144"/>
      <c r="B113" s="144"/>
      <c r="C113" s="144"/>
      <c r="D113" s="144"/>
      <c r="E113" s="144"/>
    </row>
    <row r="114" spans="1:5" x14ac:dyDescent="0.2">
      <c r="A114" s="144"/>
      <c r="B114" s="144"/>
      <c r="C114" s="144"/>
      <c r="D114" s="144"/>
      <c r="E114" s="144"/>
    </row>
    <row r="115" spans="1:5" x14ac:dyDescent="0.2">
      <c r="A115" s="144"/>
      <c r="B115" s="144"/>
      <c r="C115" s="144"/>
      <c r="D115" s="144"/>
      <c r="E115" s="144"/>
    </row>
    <row r="116" spans="1:5" x14ac:dyDescent="0.2">
      <c r="A116" s="144"/>
      <c r="B116" s="144"/>
      <c r="C116" s="144"/>
      <c r="D116" s="144"/>
      <c r="E116" s="144"/>
    </row>
    <row r="117" spans="1:5" x14ac:dyDescent="0.2">
      <c r="A117" s="144"/>
      <c r="B117" s="144"/>
      <c r="C117" s="144"/>
      <c r="D117" s="144"/>
      <c r="E117" s="144"/>
    </row>
    <row r="118" spans="1:5" x14ac:dyDescent="0.2">
      <c r="A118" s="144"/>
      <c r="B118" s="144"/>
      <c r="C118" s="144"/>
      <c r="D118" s="144"/>
      <c r="E118" s="144"/>
    </row>
    <row r="119" spans="1:5" x14ac:dyDescent="0.2">
      <c r="A119" s="144"/>
      <c r="B119" s="144"/>
      <c r="C119" s="144"/>
      <c r="D119" s="144"/>
      <c r="E119" s="144"/>
    </row>
    <row r="120" spans="1:5" x14ac:dyDescent="0.2">
      <c r="A120" s="144"/>
      <c r="B120" s="144"/>
      <c r="C120" s="144"/>
      <c r="D120" s="144"/>
      <c r="E120" s="144"/>
    </row>
    <row r="121" spans="1:5" x14ac:dyDescent="0.2">
      <c r="A121" s="144"/>
      <c r="B121" s="144"/>
      <c r="C121" s="144"/>
      <c r="D121" s="144"/>
      <c r="E121" s="144"/>
    </row>
    <row r="122" spans="1:5" x14ac:dyDescent="0.2">
      <c r="A122" s="144"/>
      <c r="B122" s="144"/>
      <c r="C122" s="144"/>
      <c r="D122" s="144"/>
      <c r="E122" s="144"/>
    </row>
    <row r="123" spans="1:5" x14ac:dyDescent="0.2">
      <c r="A123" s="144"/>
      <c r="B123" s="144"/>
      <c r="C123" s="144"/>
      <c r="D123" s="144"/>
      <c r="E123" s="144"/>
    </row>
    <row r="124" spans="1:5" x14ac:dyDescent="0.2">
      <c r="A124" s="144"/>
      <c r="B124" s="144"/>
      <c r="C124" s="144"/>
      <c r="D124" s="144"/>
      <c r="E124" s="144"/>
    </row>
    <row r="125" spans="1:5" x14ac:dyDescent="0.2">
      <c r="A125" s="144"/>
      <c r="B125" s="144"/>
      <c r="C125" s="144"/>
      <c r="D125" s="144"/>
      <c r="E125" s="144"/>
    </row>
    <row r="126" spans="1:5" x14ac:dyDescent="0.2">
      <c r="A126" s="144"/>
      <c r="B126" s="144"/>
      <c r="C126" s="144"/>
      <c r="D126" s="144"/>
      <c r="E126" s="144"/>
    </row>
    <row r="127" spans="1:5" x14ac:dyDescent="0.2">
      <c r="A127" s="144"/>
      <c r="B127" s="144"/>
      <c r="C127" s="144"/>
      <c r="D127" s="144"/>
      <c r="E127" s="144"/>
    </row>
    <row r="128" spans="1:5" x14ac:dyDescent="0.2">
      <c r="A128" s="144"/>
      <c r="B128" s="144"/>
      <c r="C128" s="144"/>
      <c r="D128" s="144"/>
      <c r="E128" s="144"/>
    </row>
    <row r="129" spans="1:5" x14ac:dyDescent="0.2">
      <c r="A129" s="144"/>
      <c r="B129" s="144"/>
      <c r="C129" s="144"/>
      <c r="D129" s="144"/>
      <c r="E129" s="144"/>
    </row>
    <row r="130" spans="1:5" x14ac:dyDescent="0.2">
      <c r="A130" s="144"/>
      <c r="B130" s="144"/>
      <c r="C130" s="144"/>
      <c r="D130" s="144"/>
      <c r="E130" s="144"/>
    </row>
    <row r="131" spans="1:5" x14ac:dyDescent="0.2">
      <c r="A131" s="144"/>
      <c r="B131" s="144"/>
      <c r="C131" s="144"/>
      <c r="D131" s="144"/>
      <c r="E131" s="144"/>
    </row>
    <row r="132" spans="1:5" x14ac:dyDescent="0.2">
      <c r="A132" s="144"/>
      <c r="B132" s="144"/>
      <c r="C132" s="144"/>
      <c r="D132" s="144"/>
      <c r="E132" s="144"/>
    </row>
    <row r="133" spans="1:5" x14ac:dyDescent="0.2">
      <c r="A133" s="144"/>
      <c r="B133" s="144"/>
      <c r="C133" s="144"/>
      <c r="D133" s="144"/>
      <c r="E133" s="144"/>
    </row>
    <row r="134" spans="1:5" x14ac:dyDescent="0.2">
      <c r="A134" s="144"/>
      <c r="B134" s="144"/>
      <c r="C134" s="144"/>
      <c r="D134" s="144"/>
      <c r="E134" s="144"/>
    </row>
    <row r="135" spans="1:5" x14ac:dyDescent="0.2">
      <c r="A135" s="144"/>
      <c r="B135" s="144"/>
      <c r="C135" s="144"/>
      <c r="D135" s="144"/>
      <c r="E135" s="144"/>
    </row>
    <row r="136" spans="1:5" x14ac:dyDescent="0.2">
      <c r="A136" s="144"/>
      <c r="B136" s="144"/>
      <c r="C136" s="144"/>
      <c r="D136" s="144"/>
      <c r="E136" s="144"/>
    </row>
    <row r="137" spans="1:5" x14ac:dyDescent="0.2">
      <c r="A137" s="144"/>
      <c r="B137" s="144"/>
      <c r="C137" s="144"/>
      <c r="D137" s="144"/>
      <c r="E137" s="144"/>
    </row>
    <row r="138" spans="1:5" x14ac:dyDescent="0.2">
      <c r="A138" s="144"/>
      <c r="B138" s="144"/>
      <c r="C138" s="144"/>
      <c r="D138" s="144"/>
      <c r="E138" s="144"/>
    </row>
    <row r="139" spans="1:5" x14ac:dyDescent="0.2">
      <c r="A139" s="144"/>
      <c r="B139" s="144"/>
      <c r="C139" s="144"/>
      <c r="D139" s="144"/>
      <c r="E139" s="144"/>
    </row>
    <row r="140" spans="1:5" x14ac:dyDescent="0.2">
      <c r="A140" s="144"/>
      <c r="B140" s="144"/>
      <c r="C140" s="144"/>
      <c r="D140" s="144"/>
      <c r="E140" s="144"/>
    </row>
    <row r="141" spans="1:5" x14ac:dyDescent="0.2">
      <c r="A141" s="144"/>
      <c r="B141" s="144"/>
      <c r="C141" s="144"/>
      <c r="D141" s="144"/>
      <c r="E141" s="144"/>
    </row>
    <row r="142" spans="1:5" x14ac:dyDescent="0.2">
      <c r="A142" s="144"/>
      <c r="B142" s="144"/>
      <c r="C142" s="144"/>
      <c r="D142" s="144"/>
      <c r="E142" s="144"/>
    </row>
    <row r="143" spans="1:5" x14ac:dyDescent="0.2">
      <c r="A143" s="144"/>
      <c r="B143" s="144"/>
      <c r="C143" s="144"/>
      <c r="D143" s="144"/>
      <c r="E143" s="144"/>
    </row>
    <row r="144" spans="1:5" x14ac:dyDescent="0.2">
      <c r="A144" s="144"/>
      <c r="B144" s="144"/>
      <c r="C144" s="144"/>
      <c r="D144" s="144"/>
      <c r="E144" s="144"/>
    </row>
    <row r="145" spans="1:5" x14ac:dyDescent="0.2">
      <c r="A145" s="144"/>
      <c r="B145" s="144"/>
      <c r="C145" s="144"/>
      <c r="D145" s="144"/>
      <c r="E145" s="144"/>
    </row>
    <row r="146" spans="1:5" x14ac:dyDescent="0.2">
      <c r="A146" s="144"/>
      <c r="B146" s="144"/>
      <c r="C146" s="144"/>
      <c r="D146" s="144"/>
      <c r="E146" s="144"/>
    </row>
    <row r="147" spans="1:5" x14ac:dyDescent="0.2">
      <c r="A147" s="144"/>
      <c r="B147" s="144"/>
      <c r="C147" s="144"/>
      <c r="D147" s="144"/>
      <c r="E147" s="144"/>
    </row>
    <row r="148" spans="1:5" x14ac:dyDescent="0.2">
      <c r="A148" s="144"/>
      <c r="B148" s="144"/>
      <c r="C148" s="144"/>
      <c r="D148" s="144"/>
      <c r="E148" s="144"/>
    </row>
    <row r="149" spans="1:5" x14ac:dyDescent="0.2">
      <c r="A149" s="144"/>
      <c r="B149" s="144"/>
      <c r="C149" s="144"/>
      <c r="D149" s="144"/>
      <c r="E149" s="144"/>
    </row>
    <row r="150" spans="1:5" x14ac:dyDescent="0.2">
      <c r="A150" s="144"/>
      <c r="B150" s="144"/>
      <c r="C150" s="144"/>
      <c r="D150" s="144"/>
      <c r="E150" s="144"/>
    </row>
    <row r="151" spans="1:5" x14ac:dyDescent="0.2">
      <c r="A151" s="144"/>
      <c r="B151" s="144"/>
      <c r="C151" s="144"/>
      <c r="D151" s="144"/>
      <c r="E151" s="144"/>
    </row>
    <row r="152" spans="1:5" x14ac:dyDescent="0.2">
      <c r="A152" s="144"/>
      <c r="B152" s="144"/>
      <c r="C152" s="144"/>
      <c r="D152" s="144"/>
      <c r="E152" s="144"/>
    </row>
    <row r="153" spans="1:5" x14ac:dyDescent="0.2">
      <c r="A153" s="144"/>
      <c r="B153" s="144"/>
      <c r="C153" s="144"/>
      <c r="D153" s="144"/>
      <c r="E153" s="144"/>
    </row>
    <row r="154" spans="1:5" x14ac:dyDescent="0.2">
      <c r="A154" s="144"/>
      <c r="B154" s="144"/>
      <c r="C154" s="144"/>
      <c r="D154" s="144"/>
      <c r="E154" s="144"/>
    </row>
    <row r="155" spans="1:5" x14ac:dyDescent="0.2">
      <c r="A155" s="144"/>
      <c r="B155" s="144"/>
      <c r="C155" s="144"/>
      <c r="D155" s="144"/>
      <c r="E155" s="144"/>
    </row>
    <row r="156" spans="1:5" x14ac:dyDescent="0.2">
      <c r="A156" s="144"/>
      <c r="B156" s="144"/>
      <c r="C156" s="144"/>
      <c r="D156" s="144"/>
      <c r="E156" s="144"/>
    </row>
    <row r="157" spans="1:5" x14ac:dyDescent="0.2">
      <c r="A157" s="144"/>
      <c r="B157" s="144"/>
      <c r="C157" s="144"/>
      <c r="D157" s="144"/>
      <c r="E157" s="144"/>
    </row>
    <row r="158" spans="1:5" x14ac:dyDescent="0.2">
      <c r="A158" s="144"/>
      <c r="B158" s="144"/>
      <c r="C158" s="144"/>
      <c r="D158" s="144"/>
      <c r="E158" s="144"/>
    </row>
    <row r="159" spans="1:5" x14ac:dyDescent="0.2">
      <c r="A159" s="144"/>
      <c r="B159" s="144"/>
      <c r="C159" s="144"/>
      <c r="D159" s="144"/>
      <c r="E159" s="144"/>
    </row>
    <row r="160" spans="1:5" x14ac:dyDescent="0.2">
      <c r="A160" s="144"/>
      <c r="B160" s="144"/>
      <c r="C160" s="144"/>
      <c r="D160" s="144"/>
      <c r="E160" s="144"/>
    </row>
    <row r="161" spans="1:5" x14ac:dyDescent="0.2">
      <c r="A161" s="144"/>
      <c r="B161" s="144"/>
      <c r="C161" s="144"/>
      <c r="D161" s="144"/>
      <c r="E161" s="144"/>
    </row>
    <row r="162" spans="1:5" x14ac:dyDescent="0.2">
      <c r="A162" s="144"/>
      <c r="B162" s="144"/>
      <c r="C162" s="144"/>
      <c r="D162" s="144"/>
      <c r="E162" s="144"/>
    </row>
    <row r="163" spans="1:5" x14ac:dyDescent="0.2">
      <c r="A163" s="144"/>
      <c r="B163" s="144"/>
      <c r="C163" s="144"/>
      <c r="D163" s="144"/>
      <c r="E163" s="144"/>
    </row>
    <row r="164" spans="1:5" x14ac:dyDescent="0.2">
      <c r="A164" s="144"/>
      <c r="B164" s="144"/>
      <c r="C164" s="144"/>
      <c r="D164" s="144"/>
      <c r="E164" s="144"/>
    </row>
    <row r="165" spans="1:5" x14ac:dyDescent="0.2">
      <c r="A165" s="144"/>
      <c r="B165" s="144"/>
      <c r="C165" s="144"/>
      <c r="D165" s="144"/>
      <c r="E165" s="144"/>
    </row>
    <row r="166" spans="1:5" x14ac:dyDescent="0.2">
      <c r="A166" s="144"/>
      <c r="B166" s="144"/>
      <c r="C166" s="144"/>
      <c r="D166" s="144"/>
      <c r="E166" s="144"/>
    </row>
    <row r="167" spans="1:5" x14ac:dyDescent="0.2">
      <c r="A167" s="144"/>
      <c r="B167" s="144"/>
      <c r="C167" s="144"/>
      <c r="D167" s="144"/>
      <c r="E167" s="144"/>
    </row>
    <row r="168" spans="1:5" x14ac:dyDescent="0.2">
      <c r="A168" s="144"/>
      <c r="B168" s="144"/>
      <c r="C168" s="144"/>
      <c r="D168" s="144"/>
      <c r="E168" s="144"/>
    </row>
    <row r="169" spans="1:5" x14ac:dyDescent="0.2">
      <c r="A169" s="144"/>
      <c r="B169" s="144"/>
      <c r="C169" s="144"/>
      <c r="D169" s="144"/>
      <c r="E169" s="144"/>
    </row>
    <row r="170" spans="1:5" x14ac:dyDescent="0.2">
      <c r="A170" s="144"/>
      <c r="B170" s="144"/>
      <c r="C170" s="144"/>
      <c r="D170" s="144"/>
      <c r="E170" s="144"/>
    </row>
    <row r="171" spans="1:5" x14ac:dyDescent="0.2">
      <c r="A171" s="144"/>
      <c r="B171" s="144"/>
      <c r="C171" s="144"/>
      <c r="D171" s="144"/>
      <c r="E171" s="144"/>
    </row>
    <row r="172" spans="1:5" x14ac:dyDescent="0.2">
      <c r="A172" s="144"/>
      <c r="B172" s="144"/>
      <c r="C172" s="144"/>
      <c r="D172" s="144"/>
      <c r="E172" s="144"/>
    </row>
    <row r="173" spans="1:5" x14ac:dyDescent="0.2">
      <c r="A173" s="144"/>
      <c r="B173" s="144"/>
      <c r="C173" s="144"/>
      <c r="D173" s="144"/>
      <c r="E173" s="144"/>
    </row>
    <row r="174" spans="1:5" x14ac:dyDescent="0.2">
      <c r="A174" s="144"/>
      <c r="B174" s="144"/>
      <c r="C174" s="144"/>
      <c r="D174" s="144"/>
      <c r="E174" s="144"/>
    </row>
    <row r="175" spans="1:5" x14ac:dyDescent="0.2">
      <c r="A175" s="144"/>
      <c r="B175" s="144"/>
      <c r="C175" s="144"/>
      <c r="D175" s="144"/>
      <c r="E175" s="144"/>
    </row>
    <row r="176" spans="1:5" x14ac:dyDescent="0.2">
      <c r="A176" s="144"/>
      <c r="B176" s="144"/>
      <c r="C176" s="144"/>
      <c r="D176" s="144"/>
      <c r="E176" s="144"/>
    </row>
    <row r="177" spans="1:5" x14ac:dyDescent="0.2">
      <c r="A177" s="144"/>
      <c r="B177" s="144"/>
      <c r="C177" s="144"/>
      <c r="D177" s="144"/>
      <c r="E177" s="144"/>
    </row>
    <row r="178" spans="1:5" x14ac:dyDescent="0.2">
      <c r="A178" s="144"/>
      <c r="B178" s="144"/>
      <c r="C178" s="144"/>
      <c r="D178" s="144"/>
      <c r="E178" s="144"/>
    </row>
    <row r="179" spans="1:5" x14ac:dyDescent="0.2">
      <c r="A179" s="144"/>
      <c r="B179" s="144"/>
      <c r="C179" s="144"/>
      <c r="D179" s="144"/>
      <c r="E179" s="144"/>
    </row>
    <row r="180" spans="1:5" x14ac:dyDescent="0.2">
      <c r="A180" s="144"/>
      <c r="B180" s="144"/>
      <c r="C180" s="144"/>
      <c r="D180" s="144"/>
      <c r="E180" s="144"/>
    </row>
    <row r="181" spans="1:5" x14ac:dyDescent="0.2">
      <c r="A181" s="144"/>
      <c r="B181" s="144"/>
      <c r="C181" s="144"/>
      <c r="D181" s="144"/>
      <c r="E181" s="144"/>
    </row>
    <row r="182" spans="1:5" x14ac:dyDescent="0.2">
      <c r="A182" s="144"/>
      <c r="B182" s="144"/>
      <c r="C182" s="144"/>
      <c r="D182" s="144"/>
      <c r="E182" s="144"/>
    </row>
    <row r="183" spans="1:5" x14ac:dyDescent="0.2">
      <c r="A183" s="144"/>
      <c r="B183" s="144"/>
      <c r="C183" s="144"/>
      <c r="D183" s="144"/>
      <c r="E183" s="144"/>
    </row>
    <row r="184" spans="1:5" x14ac:dyDescent="0.2">
      <c r="A184" s="144"/>
      <c r="B184" s="144"/>
      <c r="C184" s="144"/>
      <c r="D184" s="144"/>
      <c r="E184" s="144"/>
    </row>
    <row r="185" spans="1:5" x14ac:dyDescent="0.2">
      <c r="A185" s="144"/>
      <c r="B185" s="144"/>
      <c r="C185" s="144"/>
      <c r="D185" s="144"/>
      <c r="E185" s="144"/>
    </row>
    <row r="186" spans="1:5" x14ac:dyDescent="0.2">
      <c r="A186" s="144"/>
      <c r="B186" s="144"/>
      <c r="C186" s="144"/>
      <c r="D186" s="144"/>
      <c r="E186" s="144"/>
    </row>
    <row r="187" spans="1:5" x14ac:dyDescent="0.2">
      <c r="A187" s="144"/>
      <c r="B187" s="144"/>
      <c r="C187" s="144"/>
      <c r="D187" s="144"/>
      <c r="E187" s="144"/>
    </row>
    <row r="188" spans="1:5" x14ac:dyDescent="0.2">
      <c r="A188" s="144"/>
      <c r="B188" s="144"/>
      <c r="C188" s="144"/>
      <c r="D188" s="144"/>
      <c r="E188" s="144"/>
    </row>
    <row r="189" spans="1:5" x14ac:dyDescent="0.2">
      <c r="A189" s="144"/>
      <c r="B189" s="144"/>
      <c r="C189" s="144"/>
      <c r="D189" s="144"/>
      <c r="E189" s="144"/>
    </row>
    <row r="190" spans="1:5" x14ac:dyDescent="0.2">
      <c r="A190" s="144"/>
      <c r="B190" s="144"/>
      <c r="C190" s="144"/>
      <c r="D190" s="144"/>
      <c r="E190" s="144"/>
    </row>
    <row r="191" spans="1:5" x14ac:dyDescent="0.2">
      <c r="A191" s="144"/>
      <c r="B191" s="144"/>
      <c r="C191" s="144"/>
      <c r="D191" s="144"/>
      <c r="E191" s="144"/>
    </row>
    <row r="192" spans="1:5" x14ac:dyDescent="0.2">
      <c r="A192" s="144"/>
      <c r="B192" s="144"/>
      <c r="C192" s="144"/>
      <c r="D192" s="144"/>
      <c r="E192" s="144"/>
    </row>
    <row r="193" spans="1:5" x14ac:dyDescent="0.2">
      <c r="A193" s="144"/>
      <c r="B193" s="144"/>
      <c r="C193" s="144"/>
      <c r="D193" s="144"/>
      <c r="E193" s="144"/>
    </row>
    <row r="194" spans="1:5" x14ac:dyDescent="0.2">
      <c r="A194" s="144"/>
      <c r="B194" s="144"/>
      <c r="C194" s="144"/>
      <c r="D194" s="144"/>
      <c r="E194" s="144"/>
    </row>
    <row r="195" spans="1:5" x14ac:dyDescent="0.2">
      <c r="A195" s="144"/>
      <c r="B195" s="144"/>
      <c r="C195" s="144"/>
      <c r="D195" s="144"/>
      <c r="E195" s="144"/>
    </row>
    <row r="196" spans="1:5" x14ac:dyDescent="0.2">
      <c r="A196" s="144"/>
      <c r="B196" s="144"/>
      <c r="C196" s="144"/>
      <c r="D196" s="144"/>
      <c r="E196" s="144"/>
    </row>
    <row r="197" spans="1:5" x14ac:dyDescent="0.2">
      <c r="A197" s="144"/>
      <c r="B197" s="144"/>
      <c r="C197" s="144"/>
      <c r="D197" s="144"/>
      <c r="E197" s="144"/>
    </row>
    <row r="198" spans="1:5" x14ac:dyDescent="0.2">
      <c r="A198" s="144"/>
      <c r="B198" s="144"/>
      <c r="C198" s="144"/>
      <c r="D198" s="144"/>
      <c r="E198" s="144"/>
    </row>
    <row r="199" spans="1:5" x14ac:dyDescent="0.2">
      <c r="A199" s="144"/>
      <c r="B199" s="144"/>
      <c r="C199" s="144"/>
      <c r="D199" s="144"/>
      <c r="E199" s="144"/>
    </row>
    <row r="200" spans="1:5" x14ac:dyDescent="0.2">
      <c r="A200" s="144"/>
      <c r="B200" s="144"/>
      <c r="C200" s="144"/>
      <c r="D200" s="144"/>
      <c r="E200" s="144"/>
    </row>
    <row r="201" spans="1:5" x14ac:dyDescent="0.2">
      <c r="A201" s="144"/>
      <c r="B201" s="144"/>
      <c r="C201" s="144"/>
      <c r="D201" s="144"/>
      <c r="E201" s="144"/>
    </row>
    <row r="202" spans="1:5" x14ac:dyDescent="0.2">
      <c r="A202" s="144"/>
      <c r="B202" s="144"/>
      <c r="C202" s="144"/>
      <c r="D202" s="144"/>
      <c r="E202" s="144"/>
    </row>
    <row r="203" spans="1:5" x14ac:dyDescent="0.2">
      <c r="A203" s="144"/>
      <c r="B203" s="144"/>
      <c r="C203" s="144"/>
      <c r="D203" s="144"/>
      <c r="E203" s="144"/>
    </row>
    <row r="204" spans="1:5" x14ac:dyDescent="0.2">
      <c r="A204" s="144"/>
      <c r="B204" s="144"/>
      <c r="C204" s="144"/>
      <c r="D204" s="144"/>
      <c r="E204" s="144"/>
    </row>
    <row r="205" spans="1:5" x14ac:dyDescent="0.2">
      <c r="A205" s="144"/>
      <c r="B205" s="144"/>
      <c r="C205" s="144"/>
      <c r="D205" s="144"/>
      <c r="E205" s="144"/>
    </row>
    <row r="206" spans="1:5" x14ac:dyDescent="0.2">
      <c r="A206" s="144"/>
      <c r="B206" s="144"/>
      <c r="C206" s="144"/>
      <c r="D206" s="144"/>
      <c r="E206" s="144"/>
    </row>
    <row r="207" spans="1:5" x14ac:dyDescent="0.2">
      <c r="A207" s="144"/>
      <c r="B207" s="144"/>
      <c r="C207" s="144"/>
      <c r="D207" s="144"/>
      <c r="E207" s="144"/>
    </row>
    <row r="208" spans="1:5" x14ac:dyDescent="0.2">
      <c r="A208" s="144"/>
      <c r="B208" s="144"/>
      <c r="C208" s="144"/>
      <c r="D208" s="144"/>
      <c r="E208" s="144"/>
    </row>
    <row r="209" spans="1:5" x14ac:dyDescent="0.2">
      <c r="A209" s="144"/>
      <c r="B209" s="144"/>
      <c r="C209" s="144"/>
      <c r="D209" s="144"/>
      <c r="E209" s="144"/>
    </row>
    <row r="210" spans="1:5" x14ac:dyDescent="0.2">
      <c r="A210" s="144"/>
      <c r="B210" s="144"/>
      <c r="C210" s="144"/>
      <c r="D210" s="144"/>
      <c r="E210" s="144"/>
    </row>
    <row r="211" spans="1:5" x14ac:dyDescent="0.2">
      <c r="A211" s="144"/>
      <c r="B211" s="144"/>
      <c r="C211" s="144"/>
      <c r="D211" s="144"/>
      <c r="E211" s="144"/>
    </row>
    <row r="212" spans="1:5" x14ac:dyDescent="0.2">
      <c r="A212" s="144"/>
      <c r="B212" s="144"/>
      <c r="C212" s="144"/>
      <c r="D212" s="144"/>
      <c r="E212" s="144"/>
    </row>
    <row r="213" spans="1:5" x14ac:dyDescent="0.2">
      <c r="A213" s="144"/>
      <c r="B213" s="144"/>
      <c r="C213" s="144"/>
      <c r="D213" s="144"/>
      <c r="E213" s="144"/>
    </row>
    <row r="214" spans="1:5" x14ac:dyDescent="0.2">
      <c r="A214" s="144"/>
      <c r="B214" s="144"/>
      <c r="C214" s="144"/>
      <c r="D214" s="144"/>
      <c r="E214" s="144"/>
    </row>
    <row r="215" spans="1:5" x14ac:dyDescent="0.2">
      <c r="A215" s="144"/>
      <c r="B215" s="144"/>
      <c r="C215" s="144"/>
      <c r="D215" s="144"/>
      <c r="E215" s="144"/>
    </row>
    <row r="216" spans="1:5" x14ac:dyDescent="0.2">
      <c r="A216" s="144"/>
      <c r="B216" s="144"/>
      <c r="C216" s="144"/>
      <c r="D216" s="144"/>
      <c r="E216" s="144"/>
    </row>
    <row r="217" spans="1:5" x14ac:dyDescent="0.2">
      <c r="A217" s="144"/>
      <c r="B217" s="144"/>
      <c r="C217" s="144"/>
      <c r="D217" s="144"/>
      <c r="E217" s="144"/>
    </row>
    <row r="218" spans="1:5" x14ac:dyDescent="0.2">
      <c r="A218" s="144"/>
      <c r="B218" s="144"/>
      <c r="C218" s="144"/>
      <c r="D218" s="144"/>
      <c r="E218" s="144"/>
    </row>
    <row r="219" spans="1:5" x14ac:dyDescent="0.2">
      <c r="A219" s="144"/>
      <c r="B219" s="144"/>
      <c r="C219" s="144"/>
      <c r="D219" s="144"/>
      <c r="E219" s="144"/>
    </row>
    <row r="220" spans="1:5" x14ac:dyDescent="0.2">
      <c r="A220" s="144"/>
      <c r="B220" s="144"/>
      <c r="C220" s="144"/>
      <c r="D220" s="144"/>
      <c r="E220" s="144"/>
    </row>
    <row r="221" spans="1:5" x14ac:dyDescent="0.2">
      <c r="A221" s="144"/>
      <c r="B221" s="144"/>
      <c r="C221" s="144"/>
      <c r="D221" s="144"/>
      <c r="E221" s="144"/>
    </row>
    <row r="222" spans="1:5" x14ac:dyDescent="0.2">
      <c r="A222" s="144"/>
      <c r="B222" s="144"/>
      <c r="C222" s="144"/>
      <c r="D222" s="144"/>
      <c r="E222" s="144"/>
    </row>
    <row r="223" spans="1:5" x14ac:dyDescent="0.2">
      <c r="A223" s="144"/>
      <c r="B223" s="144"/>
      <c r="C223" s="144"/>
      <c r="D223" s="144"/>
      <c r="E223" s="144"/>
    </row>
    <row r="224" spans="1:5" x14ac:dyDescent="0.2">
      <c r="A224" s="144"/>
      <c r="B224" s="144"/>
      <c r="C224" s="144"/>
      <c r="D224" s="144"/>
      <c r="E224" s="144"/>
    </row>
    <row r="225" spans="1:5" x14ac:dyDescent="0.2">
      <c r="A225" s="144"/>
      <c r="B225" s="144"/>
      <c r="C225" s="144"/>
      <c r="D225" s="144"/>
      <c r="E225" s="144"/>
    </row>
    <row r="226" spans="1:5" x14ac:dyDescent="0.2">
      <c r="A226" s="144"/>
      <c r="B226" s="144"/>
      <c r="C226" s="144"/>
      <c r="D226" s="144"/>
      <c r="E226" s="144"/>
    </row>
    <row r="227" spans="1:5" x14ac:dyDescent="0.2">
      <c r="A227" s="144"/>
      <c r="B227" s="144"/>
      <c r="C227" s="144"/>
      <c r="D227" s="144"/>
      <c r="E227" s="144"/>
    </row>
    <row r="228" spans="1:5" x14ac:dyDescent="0.2">
      <c r="A228" s="144"/>
      <c r="B228" s="144"/>
      <c r="C228" s="144"/>
      <c r="D228" s="144"/>
      <c r="E228" s="144"/>
    </row>
    <row r="229" spans="1:5" x14ac:dyDescent="0.2">
      <c r="A229" s="144"/>
      <c r="B229" s="144"/>
      <c r="C229" s="144"/>
      <c r="D229" s="144"/>
      <c r="E229" s="144"/>
    </row>
    <row r="230" spans="1:5" x14ac:dyDescent="0.2">
      <c r="A230" s="144"/>
      <c r="B230" s="144"/>
      <c r="C230" s="144"/>
      <c r="D230" s="144"/>
      <c r="E230" s="144"/>
    </row>
    <row r="231" spans="1:5" x14ac:dyDescent="0.2">
      <c r="A231" s="144"/>
      <c r="B231" s="144"/>
      <c r="C231" s="144"/>
      <c r="D231" s="144"/>
      <c r="E231" s="144"/>
    </row>
    <row r="232" spans="1:5" x14ac:dyDescent="0.2">
      <c r="A232" s="144"/>
      <c r="B232" s="144"/>
      <c r="C232" s="144"/>
      <c r="D232" s="144"/>
      <c r="E232" s="144"/>
    </row>
    <row r="233" spans="1:5" x14ac:dyDescent="0.2">
      <c r="A233" s="144"/>
      <c r="B233" s="144"/>
      <c r="C233" s="144"/>
      <c r="D233" s="144"/>
      <c r="E233" s="144"/>
    </row>
    <row r="234" spans="1:5" x14ac:dyDescent="0.2">
      <c r="A234" s="144"/>
      <c r="B234" s="144"/>
      <c r="C234" s="144"/>
      <c r="D234" s="144"/>
      <c r="E234" s="144"/>
    </row>
    <row r="235" spans="1:5" x14ac:dyDescent="0.2">
      <c r="A235" s="144"/>
      <c r="B235" s="144"/>
      <c r="C235" s="144"/>
      <c r="D235" s="144"/>
      <c r="E235" s="144"/>
    </row>
    <row r="236" spans="1:5" x14ac:dyDescent="0.2">
      <c r="A236" s="144"/>
      <c r="B236" s="144"/>
      <c r="C236" s="144"/>
      <c r="D236" s="144"/>
      <c r="E236" s="144"/>
    </row>
    <row r="237" spans="1:5" x14ac:dyDescent="0.2">
      <c r="A237" s="144"/>
      <c r="B237" s="144"/>
      <c r="C237" s="144"/>
      <c r="D237" s="144"/>
      <c r="E237" s="144"/>
    </row>
    <row r="238" spans="1:5" x14ac:dyDescent="0.2">
      <c r="A238" s="144"/>
      <c r="B238" s="144"/>
      <c r="C238" s="144"/>
      <c r="D238" s="144"/>
      <c r="E238" s="144"/>
    </row>
  </sheetData>
  <sheetProtection algorithmName="SHA-512" hashValue="uSWZZPXhysh+VJjgNYw09OXQndbSFNGlOn3TLlxHezLDgGjim4mJI3XCmn1oEj4C35kQP/qyMgYlFH7Qaa/0Vw==" saltValue="Tb+qdq4VJSxyaVYXbwe04A==" spinCount="100000" sheet="1" objects="1" scenarios="1"/>
  <mergeCells count="15">
    <mergeCell ref="A1:E1"/>
    <mergeCell ref="A3:A5"/>
    <mergeCell ref="C15:E15"/>
    <mergeCell ref="B3:B5"/>
    <mergeCell ref="C16:E16"/>
    <mergeCell ref="C10:E10"/>
    <mergeCell ref="C11:E11"/>
    <mergeCell ref="C13:E13"/>
    <mergeCell ref="C14:E14"/>
    <mergeCell ref="C3:E5"/>
    <mergeCell ref="C6:E6"/>
    <mergeCell ref="C7:E7"/>
    <mergeCell ref="B12:E12"/>
    <mergeCell ref="A8:A9"/>
    <mergeCell ref="B8:B9"/>
  </mergeCells>
  <conditionalFormatting sqref="C16:E16">
    <cfRule type="cellIs" dxfId="56" priority="2" operator="equal">
      <formula>"Approved"</formula>
    </cfRule>
  </conditionalFormatting>
  <conditionalFormatting sqref="C6:E6">
    <cfRule type="cellIs" dxfId="55" priority="1" operator="equal">
      <formula>"6. No"</formula>
    </cfRule>
  </conditionalFormatting>
  <dataValidations count="5">
    <dataValidation type="list" allowBlank="1" showInputMessage="1" showErrorMessage="1" sqref="B10" xr:uid="{00000000-0002-0000-0400-000002000000}">
      <formula1>$I$11:$I$14</formula1>
    </dataValidation>
    <dataValidation type="list" allowBlank="1" showInputMessage="1" showErrorMessage="1" sqref="B11" xr:uid="{00000000-0002-0000-0400-000003000000}">
      <formula1>$I$21:$I$25</formula1>
    </dataValidation>
    <dataValidation type="list" allowBlank="1" showInputMessage="1" showErrorMessage="1" sqref="B7" xr:uid="{00000000-0002-0000-0400-000004000000}">
      <formula1>$I$8:$I$10</formula1>
    </dataValidation>
    <dataValidation type="list" allowBlank="1" showInputMessage="1" showErrorMessage="1" sqref="B8:B9" xr:uid="{CC1B2D60-E2AD-4BC0-AA5A-7A38651A9DFD}">
      <formula1>$I$15:$I$20</formula1>
    </dataValidation>
    <dataValidation type="list" allowBlank="1" showInputMessage="1" showErrorMessage="1" sqref="B6" xr:uid="{00000000-0002-0000-0400-000000000000}">
      <formula1>$I$2:$I$6</formula1>
    </dataValidation>
  </dataValidations>
  <pageMargins left="0.70866141732283472" right="0.70866141732283472" top="0.74803149606299213" bottom="0.74803149606299213" header="0.31496062992125984" footer="0.31496062992125984"/>
  <pageSetup paperSize="9" scale="43" orientation="landscape" r:id="rId1"/>
  <headerFooter>
    <oddFooter>&amp;CRSQ 02&amp;RRevision 6.0</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AO144"/>
  <sheetViews>
    <sheetView showGridLines="0" zoomScale="115" zoomScaleNormal="115" workbookViewId="0">
      <selection activeCell="I6" sqref="I6:M7"/>
    </sheetView>
  </sheetViews>
  <sheetFormatPr defaultRowHeight="12" x14ac:dyDescent="0.2"/>
  <cols>
    <col min="1" max="1" width="9.140625" style="119" customWidth="1"/>
    <col min="2" max="2" width="29.85546875" style="119" bestFit="1" customWidth="1"/>
    <col min="3" max="3" width="42.28515625" style="119" customWidth="1"/>
    <col min="4" max="4" width="18.28515625" style="119" customWidth="1"/>
    <col min="5" max="5" width="9.140625" style="119"/>
    <col min="6" max="6" width="27.140625" style="119" customWidth="1"/>
    <col min="7" max="7" width="7.7109375" style="119" customWidth="1"/>
    <col min="8" max="8" width="21.42578125" style="119" customWidth="1"/>
    <col min="9" max="9" width="13" style="119" customWidth="1"/>
    <col min="10" max="10" width="11.42578125" style="119" customWidth="1"/>
    <col min="11" max="11" width="9.140625" style="142"/>
    <col min="12" max="12" width="17" style="142" bestFit="1" customWidth="1"/>
    <col min="13" max="13" width="21.42578125" style="142" bestFit="1" customWidth="1"/>
    <col min="14" max="23" width="9.140625" style="142"/>
    <col min="24" max="37" width="9.140625" style="100"/>
    <col min="38" max="41" width="9.140625" style="195"/>
    <col min="42" max="16384" width="9.140625" style="119"/>
  </cols>
  <sheetData>
    <row r="1" spans="1:14" x14ac:dyDescent="0.2">
      <c r="A1" s="144"/>
      <c r="B1" s="467" t="s">
        <v>434</v>
      </c>
      <c r="C1" s="467"/>
      <c r="D1" s="467"/>
      <c r="E1" s="467"/>
      <c r="F1" s="467"/>
      <c r="G1" s="467"/>
      <c r="H1" s="467"/>
      <c r="I1" s="467"/>
      <c r="J1" s="467"/>
    </row>
    <row r="2" spans="1:14" ht="12.75" thickBot="1" x14ac:dyDescent="0.25">
      <c r="A2" s="144"/>
      <c r="B2" s="144"/>
      <c r="C2" s="144"/>
      <c r="D2" s="144"/>
      <c r="E2" s="144"/>
      <c r="F2" s="144"/>
      <c r="G2" s="144"/>
      <c r="H2" s="144"/>
      <c r="I2" s="144"/>
      <c r="J2" s="144"/>
    </row>
    <row r="3" spans="1:14" ht="36" x14ac:dyDescent="0.2">
      <c r="A3" s="144"/>
      <c r="B3" s="468" t="s">
        <v>434</v>
      </c>
      <c r="C3" s="474" t="s">
        <v>10</v>
      </c>
      <c r="D3" s="485" t="s">
        <v>115</v>
      </c>
      <c r="E3" s="486"/>
      <c r="F3" s="487"/>
      <c r="G3" s="144"/>
      <c r="H3" s="467" t="s">
        <v>86</v>
      </c>
      <c r="I3" s="467"/>
      <c r="J3" s="467"/>
      <c r="L3" s="142" t="s">
        <v>423</v>
      </c>
      <c r="M3" s="142">
        <v>1</v>
      </c>
      <c r="N3" s="142">
        <f>IF($C$7=L3,1,0)</f>
        <v>0</v>
      </c>
    </row>
    <row r="4" spans="1:14" ht="24.75" thickBot="1" x14ac:dyDescent="0.25">
      <c r="A4" s="144"/>
      <c r="B4" s="469"/>
      <c r="C4" s="475"/>
      <c r="D4" s="488"/>
      <c r="E4" s="489"/>
      <c r="F4" s="490"/>
      <c r="G4" s="144"/>
      <c r="H4" s="148" t="s">
        <v>87</v>
      </c>
      <c r="I4" s="144"/>
      <c r="J4" s="144"/>
      <c r="L4" s="142" t="s">
        <v>424</v>
      </c>
      <c r="M4" s="142">
        <v>3</v>
      </c>
      <c r="N4" s="142">
        <f>IF($C$7=L4,3,0)</f>
        <v>0</v>
      </c>
    </row>
    <row r="5" spans="1:14" ht="24.75" thickBot="1" x14ac:dyDescent="0.25">
      <c r="A5" s="144"/>
      <c r="B5" s="469"/>
      <c r="C5" s="475"/>
      <c r="D5" s="488"/>
      <c r="E5" s="489"/>
      <c r="F5" s="490"/>
      <c r="G5" s="144"/>
      <c r="H5" s="92" t="s">
        <v>88</v>
      </c>
      <c r="I5" s="93"/>
      <c r="J5" s="94"/>
      <c r="L5" s="142" t="s">
        <v>425</v>
      </c>
      <c r="M5" s="142">
        <v>4</v>
      </c>
      <c r="N5" s="142">
        <f>IF($C$7=L5,4,0)</f>
        <v>0</v>
      </c>
    </row>
    <row r="6" spans="1:14" ht="24" x14ac:dyDescent="0.2">
      <c r="A6" s="144"/>
      <c r="B6" s="278" t="s">
        <v>252</v>
      </c>
      <c r="C6" s="327" t="str">
        <f>IF(L13="","",VLOOKUP(L13,M11:N13,2))</f>
        <v/>
      </c>
      <c r="D6" s="514"/>
      <c r="E6" s="514"/>
      <c r="F6" s="515"/>
      <c r="G6" s="144"/>
      <c r="H6" s="291" t="s">
        <v>89</v>
      </c>
      <c r="I6" s="330"/>
      <c r="J6" s="95"/>
      <c r="L6" s="142" t="s">
        <v>426</v>
      </c>
      <c r="M6" s="142">
        <v>6</v>
      </c>
      <c r="N6" s="142">
        <f>IF($C$7=L6,6,0)</f>
        <v>0</v>
      </c>
    </row>
    <row r="7" spans="1:14" ht="36" x14ac:dyDescent="0.2">
      <c r="A7" s="144"/>
      <c r="B7" s="279" t="s">
        <v>435</v>
      </c>
      <c r="C7" s="326"/>
      <c r="D7" s="516"/>
      <c r="E7" s="517"/>
      <c r="F7" s="332" t="str">
        <f>IF(C7=L6,"Possible sanction breach : Consider stop job","")</f>
        <v/>
      </c>
      <c r="G7" s="144"/>
      <c r="H7" s="291" t="s">
        <v>90</v>
      </c>
      <c r="I7" s="330"/>
      <c r="J7" s="96" t="str">
        <f>IF(I7&gt;1,"Warning!","")</f>
        <v/>
      </c>
      <c r="K7" s="142">
        <f>IF(J7="",0,6)</f>
        <v>0</v>
      </c>
      <c r="N7" s="142">
        <f>SUM(N3:N6)</f>
        <v>0</v>
      </c>
    </row>
    <row r="8" spans="1:14" ht="12.75" thickBot="1" x14ac:dyDescent="0.25">
      <c r="A8" s="144"/>
      <c r="B8" s="91" t="s">
        <v>253</v>
      </c>
      <c r="C8" s="326"/>
      <c r="D8" s="508"/>
      <c r="E8" s="508"/>
      <c r="F8" s="509"/>
      <c r="G8" s="144"/>
      <c r="H8" s="97" t="s">
        <v>91</v>
      </c>
      <c r="I8" s="98">
        <f>IFERROR(I6/I5,0)</f>
        <v>0</v>
      </c>
      <c r="J8" s="99" t="str">
        <f>IF(I8="","",IF(I6&gt;10,"Warning!",""))</f>
        <v/>
      </c>
      <c r="K8" s="142">
        <f>IF(J8="",0,6)</f>
        <v>0</v>
      </c>
    </row>
    <row r="9" spans="1:14" ht="24.75" thickBot="1" x14ac:dyDescent="0.25">
      <c r="A9" s="144"/>
      <c r="B9" s="91" t="s">
        <v>254</v>
      </c>
      <c r="C9" s="326"/>
      <c r="D9" s="508"/>
      <c r="E9" s="508"/>
      <c r="F9" s="509"/>
      <c r="G9" s="144"/>
      <c r="H9" s="148" t="s">
        <v>384</v>
      </c>
      <c r="I9" s="144"/>
      <c r="J9" s="144"/>
    </row>
    <row r="10" spans="1:14" ht="24" x14ac:dyDescent="0.2">
      <c r="A10" s="144"/>
      <c r="B10" s="91" t="s">
        <v>347</v>
      </c>
      <c r="C10" s="289"/>
      <c r="D10" s="508"/>
      <c r="E10" s="508"/>
      <c r="F10" s="509"/>
      <c r="G10" s="144"/>
      <c r="H10" s="92" t="s">
        <v>88</v>
      </c>
      <c r="I10" s="93"/>
      <c r="J10" s="94"/>
    </row>
    <row r="11" spans="1:14" ht="39.75" customHeight="1" x14ac:dyDescent="0.2">
      <c r="A11" s="144"/>
      <c r="B11" s="91" t="s">
        <v>428</v>
      </c>
      <c r="C11" s="328"/>
      <c r="D11" s="508"/>
      <c r="E11" s="508"/>
      <c r="F11" s="509"/>
      <c r="G11" s="144"/>
      <c r="H11" s="291" t="s">
        <v>89</v>
      </c>
      <c r="I11" s="330"/>
      <c r="J11" s="95"/>
      <c r="M11" s="142">
        <v>1</v>
      </c>
      <c r="N11" s="142" t="s">
        <v>306</v>
      </c>
    </row>
    <row r="12" spans="1:14" ht="39" customHeight="1" x14ac:dyDescent="0.2">
      <c r="A12" s="144"/>
      <c r="B12" s="91" t="s">
        <v>340</v>
      </c>
      <c r="C12" s="328"/>
      <c r="D12" s="508"/>
      <c r="E12" s="508"/>
      <c r="F12" s="509"/>
      <c r="G12" s="144"/>
      <c r="H12" s="291" t="s">
        <v>90</v>
      </c>
      <c r="I12" s="330"/>
      <c r="J12" s="96" t="str">
        <f>IF(I12&gt;1,"Warning!","")</f>
        <v/>
      </c>
      <c r="M12" s="142">
        <v>3</v>
      </c>
      <c r="N12" s="142" t="s">
        <v>126</v>
      </c>
    </row>
    <row r="13" spans="1:14" ht="50.1" customHeight="1" thickBot="1" x14ac:dyDescent="0.25">
      <c r="A13" s="144"/>
      <c r="B13" s="91" t="s">
        <v>357</v>
      </c>
      <c r="C13" s="328"/>
      <c r="D13" s="508"/>
      <c r="E13" s="508"/>
      <c r="F13" s="509"/>
      <c r="G13" s="144"/>
      <c r="H13" s="97" t="s">
        <v>91</v>
      </c>
      <c r="I13" s="98">
        <f>IFERROR(I11/I10,0)</f>
        <v>0</v>
      </c>
      <c r="J13" s="99" t="str">
        <f>IF(I13="","",IF(I13&gt;2,"Warning!",""))</f>
        <v/>
      </c>
      <c r="L13" s="290" t="str">
        <f>IF(I10="","",IF(I13&lt;I15,1,IF(I13&gt;(I15*2),6,3)))</f>
        <v/>
      </c>
      <c r="M13" s="142">
        <v>6</v>
      </c>
      <c r="N13" s="142" t="s">
        <v>127</v>
      </c>
    </row>
    <row r="14" spans="1:14" ht="50.1" customHeight="1" thickBot="1" x14ac:dyDescent="0.25">
      <c r="A14" s="144"/>
      <c r="B14" s="283" t="s">
        <v>367</v>
      </c>
      <c r="C14" s="280"/>
      <c r="D14" s="510"/>
      <c r="E14" s="510"/>
      <c r="F14" s="511"/>
      <c r="G14" s="144"/>
      <c r="H14" s="318" t="s">
        <v>419</v>
      </c>
      <c r="I14" s="319">
        <v>0.67</v>
      </c>
      <c r="J14" s="100"/>
    </row>
    <row r="15" spans="1:14" ht="12.75" thickBot="1" x14ac:dyDescent="0.25">
      <c r="A15" s="144"/>
      <c r="B15" s="181" t="s">
        <v>12</v>
      </c>
      <c r="C15" s="329"/>
      <c r="D15" s="512"/>
      <c r="E15" s="512"/>
      <c r="F15" s="513"/>
      <c r="G15" s="144"/>
      <c r="H15" s="320" t="s">
        <v>385</v>
      </c>
      <c r="I15" s="321">
        <v>0.93</v>
      </c>
      <c r="J15" s="100"/>
    </row>
    <row r="16" spans="1:14" ht="12.75" thickBot="1" x14ac:dyDescent="0.25">
      <c r="A16" s="144"/>
      <c r="B16" s="283" t="s">
        <v>365</v>
      </c>
      <c r="C16" s="149"/>
      <c r="D16" s="504"/>
      <c r="E16" s="505"/>
      <c r="F16" s="506"/>
      <c r="G16" s="144"/>
      <c r="H16" s="100"/>
      <c r="I16" s="100"/>
      <c r="J16" s="100"/>
    </row>
    <row r="17" spans="1:14" x14ac:dyDescent="0.2">
      <c r="A17" s="144"/>
      <c r="B17" s="150"/>
      <c r="C17" s="326"/>
      <c r="D17" s="480"/>
      <c r="E17" s="480"/>
      <c r="F17" s="481"/>
      <c r="G17" s="144"/>
      <c r="H17" s="100"/>
      <c r="I17" s="170"/>
      <c r="J17" s="170"/>
    </row>
    <row r="18" spans="1:14" ht="12.75" thickBot="1" x14ac:dyDescent="0.25">
      <c r="A18" s="144"/>
      <c r="B18" s="151"/>
      <c r="C18" s="325"/>
      <c r="D18" s="472"/>
      <c r="E18" s="472"/>
      <c r="F18" s="473"/>
      <c r="G18" s="144"/>
      <c r="H18" s="100"/>
      <c r="I18" s="170"/>
      <c r="J18" s="170"/>
      <c r="L18" s="142" t="s">
        <v>368</v>
      </c>
      <c r="M18" s="281">
        <f>IF(C14="",0,IF(C14=Technical!J23,1,6))</f>
        <v>0</v>
      </c>
    </row>
    <row r="19" spans="1:14" x14ac:dyDescent="0.2">
      <c r="A19" s="144"/>
      <c r="B19" s="152" t="s">
        <v>114</v>
      </c>
      <c r="C19" s="153">
        <f>K44</f>
        <v>0</v>
      </c>
      <c r="D19" s="507" t="str">
        <f>IF(C19&lt;50%, "Approved", "Not Approved")</f>
        <v>Approved</v>
      </c>
      <c r="E19" s="507"/>
      <c r="F19" s="507"/>
      <c r="G19" s="144"/>
      <c r="H19" s="100"/>
      <c r="I19" s="170"/>
      <c r="J19" s="170"/>
    </row>
    <row r="20" spans="1:14" x14ac:dyDescent="0.2">
      <c r="A20" s="144"/>
      <c r="B20" s="144"/>
      <c r="C20" s="144"/>
      <c r="D20" s="144"/>
      <c r="E20" s="144"/>
      <c r="F20" s="144"/>
      <c r="G20" s="170"/>
      <c r="H20" s="100"/>
      <c r="I20" s="170"/>
      <c r="J20" s="170"/>
      <c r="M20" s="143"/>
    </row>
    <row r="21" spans="1:14" x14ac:dyDescent="0.2">
      <c r="A21" s="144"/>
      <c r="B21" s="144"/>
      <c r="C21" s="144"/>
      <c r="D21" s="144"/>
      <c r="E21" s="144"/>
      <c r="F21" s="144"/>
      <c r="G21" s="144"/>
      <c r="H21" s="100"/>
      <c r="I21" s="170"/>
      <c r="J21" s="170"/>
      <c r="L21" s="142" t="s">
        <v>128</v>
      </c>
      <c r="M21" s="143">
        <f>K7</f>
        <v>0</v>
      </c>
      <c r="N21" s="142">
        <f>K7</f>
        <v>0</v>
      </c>
    </row>
    <row r="22" spans="1:14" ht="24.75" thickBot="1" x14ac:dyDescent="0.25">
      <c r="A22" s="144"/>
      <c r="B22" s="144"/>
      <c r="C22" s="144"/>
      <c r="D22" s="144"/>
      <c r="E22" s="144"/>
      <c r="F22" s="144"/>
      <c r="G22" s="144"/>
      <c r="H22" s="100"/>
      <c r="I22" s="170"/>
      <c r="J22" s="170"/>
      <c r="L22" s="142" t="s">
        <v>129</v>
      </c>
      <c r="M22" s="143">
        <f>K8</f>
        <v>0</v>
      </c>
      <c r="N22" s="142">
        <f>K8</f>
        <v>0</v>
      </c>
    </row>
    <row r="23" spans="1:14" ht="24.75" thickBot="1" x14ac:dyDescent="0.25">
      <c r="A23" s="144"/>
      <c r="B23" s="144"/>
      <c r="C23" s="144"/>
      <c r="D23" s="144"/>
      <c r="E23" s="144"/>
      <c r="F23" s="282" t="s">
        <v>79</v>
      </c>
      <c r="G23" s="144"/>
      <c r="H23" s="100"/>
      <c r="I23" s="170"/>
      <c r="J23" s="170"/>
      <c r="L23" s="142" t="s">
        <v>306</v>
      </c>
      <c r="M23" s="143" t="str">
        <f>IF($C$6=L23,N23,"0")</f>
        <v>0</v>
      </c>
      <c r="N23" s="142">
        <v>1</v>
      </c>
    </row>
    <row r="24" spans="1:14" x14ac:dyDescent="0.2">
      <c r="A24" s="144"/>
      <c r="B24" s="144"/>
      <c r="C24" s="144"/>
      <c r="D24" s="144"/>
      <c r="E24" s="144"/>
      <c r="F24" s="200" t="s">
        <v>80</v>
      </c>
      <c r="G24" s="144"/>
      <c r="H24" s="100"/>
      <c r="I24" s="170"/>
      <c r="J24" s="170"/>
      <c r="L24" s="142" t="s">
        <v>126</v>
      </c>
      <c r="M24" s="143" t="str">
        <f t="shared" ref="M24:M25" si="0">IF($C$6=L24,N24,"0")</f>
        <v>0</v>
      </c>
      <c r="N24" s="142">
        <v>3</v>
      </c>
    </row>
    <row r="25" spans="1:14" x14ac:dyDescent="0.2">
      <c r="A25" s="144"/>
      <c r="B25" s="144"/>
      <c r="C25" s="144"/>
      <c r="D25" s="144"/>
      <c r="E25" s="144"/>
      <c r="F25" s="201" t="s">
        <v>81</v>
      </c>
      <c r="G25" s="144"/>
      <c r="H25" s="100"/>
      <c r="I25" s="170"/>
      <c r="J25" s="170"/>
      <c r="L25" s="142" t="s">
        <v>127</v>
      </c>
      <c r="M25" s="143" t="str">
        <f t="shared" si="0"/>
        <v>0</v>
      </c>
      <c r="N25" s="142">
        <v>6</v>
      </c>
    </row>
    <row r="26" spans="1:14" x14ac:dyDescent="0.2">
      <c r="A26" s="144"/>
      <c r="B26" s="144"/>
      <c r="C26" s="144"/>
      <c r="D26" s="144"/>
      <c r="E26" s="144"/>
      <c r="F26" s="201" t="s">
        <v>82</v>
      </c>
      <c r="G26" s="144"/>
      <c r="H26" s="100"/>
      <c r="I26" s="170"/>
      <c r="J26" s="170"/>
      <c r="L26" s="260" t="s">
        <v>427</v>
      </c>
      <c r="M26" s="143">
        <f>N7</f>
        <v>0</v>
      </c>
    </row>
    <row r="27" spans="1:14" x14ac:dyDescent="0.2">
      <c r="A27" s="144"/>
      <c r="B27" s="144"/>
      <c r="C27" s="144"/>
      <c r="D27" s="144"/>
      <c r="E27" s="144"/>
      <c r="F27" s="201" t="s">
        <v>83</v>
      </c>
      <c r="G27" s="144"/>
      <c r="H27" s="100"/>
      <c r="I27" s="170"/>
      <c r="J27" s="170"/>
      <c r="L27" s="260"/>
      <c r="M27" s="143">
        <f t="shared" ref="M27:M28" si="1">IF($C$7=L27,N27,"0")</f>
        <v>0</v>
      </c>
    </row>
    <row r="28" spans="1:14" x14ac:dyDescent="0.2">
      <c r="A28" s="144"/>
      <c r="B28" s="144"/>
      <c r="C28" s="144"/>
      <c r="D28" s="144"/>
      <c r="E28" s="144"/>
      <c r="F28" s="202" t="s">
        <v>85</v>
      </c>
      <c r="G28" s="144"/>
      <c r="H28" s="100"/>
      <c r="I28" s="170"/>
      <c r="J28" s="170"/>
      <c r="L28" s="260"/>
      <c r="M28" s="143">
        <f t="shared" si="1"/>
        <v>0</v>
      </c>
    </row>
    <row r="29" spans="1:14" x14ac:dyDescent="0.2">
      <c r="A29" s="144"/>
      <c r="B29" s="144"/>
      <c r="C29" s="144"/>
      <c r="D29" s="144"/>
      <c r="E29" s="144"/>
      <c r="F29" s="203"/>
      <c r="G29" s="144"/>
      <c r="H29" s="100"/>
      <c r="I29" s="170"/>
      <c r="J29" s="170"/>
      <c r="L29" s="260" t="s">
        <v>130</v>
      </c>
      <c r="M29" s="143" t="str">
        <f>IF($C$8=L29,N29,"0")</f>
        <v>0</v>
      </c>
      <c r="N29" s="142">
        <v>1</v>
      </c>
    </row>
    <row r="30" spans="1:14" ht="12.75" thickBot="1" x14ac:dyDescent="0.25">
      <c r="A30" s="144"/>
      <c r="B30" s="144"/>
      <c r="C30" s="144"/>
      <c r="D30" s="144"/>
      <c r="E30" s="144"/>
      <c r="F30" s="204"/>
      <c r="G30" s="144"/>
      <c r="H30" s="100"/>
      <c r="I30" s="170"/>
      <c r="J30" s="170"/>
      <c r="L30" s="260" t="s">
        <v>131</v>
      </c>
      <c r="M30" s="143" t="str">
        <f t="shared" ref="M30:M32" si="2">IF($C$8=L30,N30,"0")</f>
        <v>0</v>
      </c>
      <c r="N30" s="142">
        <v>2</v>
      </c>
    </row>
    <row r="31" spans="1:14" x14ac:dyDescent="0.2">
      <c r="A31" s="144"/>
      <c r="B31" s="144"/>
      <c r="C31" s="144"/>
      <c r="D31" s="144"/>
      <c r="E31" s="144"/>
      <c r="G31" s="144"/>
      <c r="H31" s="100"/>
      <c r="I31" s="170"/>
      <c r="J31" s="170"/>
      <c r="L31" s="260" t="s">
        <v>133</v>
      </c>
      <c r="M31" s="143" t="str">
        <f t="shared" si="2"/>
        <v>0</v>
      </c>
      <c r="N31" s="142">
        <v>4</v>
      </c>
    </row>
    <row r="32" spans="1:14" x14ac:dyDescent="0.2">
      <c r="A32" s="144"/>
      <c r="B32" s="144"/>
      <c r="C32" s="144"/>
      <c r="D32" s="144"/>
      <c r="E32" s="144"/>
      <c r="F32" s="144"/>
      <c r="G32" s="144"/>
      <c r="H32" s="100"/>
      <c r="I32" s="170"/>
      <c r="J32" s="170"/>
      <c r="L32" s="260" t="s">
        <v>132</v>
      </c>
      <c r="M32" s="143" t="str">
        <f t="shared" si="2"/>
        <v>0</v>
      </c>
      <c r="N32" s="142">
        <v>6</v>
      </c>
    </row>
    <row r="33" spans="1:14" x14ac:dyDescent="0.2">
      <c r="A33" s="144"/>
      <c r="B33" s="144"/>
      <c r="C33" s="144"/>
      <c r="D33" s="144"/>
      <c r="E33" s="144"/>
      <c r="F33" s="144"/>
      <c r="G33" s="144"/>
      <c r="H33" s="100"/>
      <c r="I33" s="170"/>
      <c r="J33" s="170"/>
      <c r="L33" s="260" t="s">
        <v>139</v>
      </c>
      <c r="M33" s="143" t="str">
        <f>IF($C$9=L33,N33,"0")</f>
        <v>0</v>
      </c>
      <c r="N33" s="142">
        <v>1</v>
      </c>
    </row>
    <row r="34" spans="1:14" ht="36" x14ac:dyDescent="0.2">
      <c r="A34" s="144"/>
      <c r="B34" s="144"/>
      <c r="C34" s="144"/>
      <c r="D34" s="144"/>
      <c r="E34" s="144"/>
      <c r="F34" s="144"/>
      <c r="G34" s="144"/>
      <c r="H34" s="100"/>
      <c r="I34" s="170"/>
      <c r="J34" s="170"/>
      <c r="L34" s="142" t="s">
        <v>134</v>
      </c>
      <c r="M34" s="143" t="str">
        <f t="shared" ref="M34:M38" si="3">IF($C$9=L34,N34,"0")</f>
        <v>0</v>
      </c>
      <c r="N34" s="142">
        <v>2</v>
      </c>
    </row>
    <row r="35" spans="1:14" ht="36" x14ac:dyDescent="0.2">
      <c r="A35" s="144"/>
      <c r="B35" s="144"/>
      <c r="C35" s="144"/>
      <c r="D35" s="144"/>
      <c r="E35" s="144"/>
      <c r="F35" s="144"/>
      <c r="G35" s="144"/>
      <c r="H35" s="100"/>
      <c r="I35" s="170"/>
      <c r="J35" s="170"/>
      <c r="L35" s="142" t="s">
        <v>135</v>
      </c>
      <c r="M35" s="143" t="str">
        <f t="shared" si="3"/>
        <v>0</v>
      </c>
      <c r="N35" s="142">
        <v>3</v>
      </c>
    </row>
    <row r="36" spans="1:14" ht="36" x14ac:dyDescent="0.2">
      <c r="H36" s="195"/>
      <c r="I36" s="196"/>
      <c r="J36" s="196"/>
      <c r="L36" s="142" t="s">
        <v>136</v>
      </c>
      <c r="M36" s="143" t="str">
        <f t="shared" si="3"/>
        <v>0</v>
      </c>
      <c r="N36" s="142">
        <v>4</v>
      </c>
    </row>
    <row r="37" spans="1:14" ht="24" x14ac:dyDescent="0.2">
      <c r="B37" s="331"/>
      <c r="H37" s="195"/>
      <c r="I37" s="196"/>
      <c r="J37" s="196"/>
      <c r="L37" s="142" t="s">
        <v>137</v>
      </c>
      <c r="M37" s="143" t="str">
        <f t="shared" si="3"/>
        <v>0</v>
      </c>
      <c r="N37" s="142">
        <v>5</v>
      </c>
    </row>
    <row r="38" spans="1:14" ht="24" x14ac:dyDescent="0.2">
      <c r="B38" s="331"/>
      <c r="H38" s="195"/>
      <c r="I38" s="196"/>
      <c r="J38" s="196"/>
      <c r="L38" s="142" t="s">
        <v>138</v>
      </c>
      <c r="M38" s="143" t="str">
        <f t="shared" si="3"/>
        <v>0</v>
      </c>
      <c r="N38" s="142">
        <v>6</v>
      </c>
    </row>
    <row r="39" spans="1:14" ht="24" x14ac:dyDescent="0.2">
      <c r="B39" s="331"/>
      <c r="H39" s="195"/>
      <c r="I39" s="196"/>
      <c r="J39" s="196"/>
      <c r="L39" s="142" t="s">
        <v>307</v>
      </c>
      <c r="M39" s="143" t="str">
        <f>IF($C$13=L39,N39,"0")</f>
        <v>0</v>
      </c>
      <c r="N39" s="142">
        <v>1</v>
      </c>
    </row>
    <row r="40" spans="1:14" x14ac:dyDescent="0.2">
      <c r="B40" s="331"/>
      <c r="H40" s="195"/>
      <c r="I40" s="196"/>
      <c r="J40" s="195"/>
      <c r="L40" s="142" t="s">
        <v>141</v>
      </c>
      <c r="M40" s="143" t="str">
        <f>IF($C$13=L40,N40,"0")</f>
        <v>0</v>
      </c>
      <c r="N40" s="142">
        <v>6</v>
      </c>
    </row>
    <row r="41" spans="1:14" x14ac:dyDescent="0.2">
      <c r="H41" s="195"/>
      <c r="I41" s="196"/>
      <c r="J41" s="195"/>
    </row>
    <row r="42" spans="1:14" x14ac:dyDescent="0.2">
      <c r="H42" s="195"/>
      <c r="I42" s="196"/>
      <c r="J42" s="195"/>
      <c r="M42" s="143">
        <f>SUM(M21:M40)+SUM(M61:M73)+M18</f>
        <v>0</v>
      </c>
    </row>
    <row r="43" spans="1:14" x14ac:dyDescent="0.2">
      <c r="H43" s="195"/>
      <c r="I43" s="196"/>
      <c r="J43" s="195"/>
    </row>
    <row r="44" spans="1:14" x14ac:dyDescent="0.2">
      <c r="H44" s="195"/>
      <c r="I44" s="196"/>
      <c r="J44" s="195" t="s">
        <v>203</v>
      </c>
      <c r="K44" s="261">
        <f>M42/66</f>
        <v>0</v>
      </c>
    </row>
    <row r="45" spans="1:14" x14ac:dyDescent="0.2">
      <c r="C45" s="331"/>
      <c r="H45" s="195"/>
      <c r="I45" s="196"/>
      <c r="J45" s="195"/>
    </row>
    <row r="46" spans="1:14" x14ac:dyDescent="0.2">
      <c r="B46" s="331"/>
      <c r="C46" s="331"/>
      <c r="H46" s="195"/>
      <c r="I46" s="196"/>
      <c r="J46" s="196"/>
      <c r="L46" s="142">
        <f>IF(I7="",1,0)</f>
        <v>1</v>
      </c>
    </row>
    <row r="47" spans="1:14" x14ac:dyDescent="0.2">
      <c r="C47" s="331"/>
      <c r="H47" s="195"/>
      <c r="I47" s="196"/>
      <c r="J47" s="196"/>
      <c r="L47" s="142">
        <f t="shared" ref="L47" si="4">IF(I8="",1,0)</f>
        <v>0</v>
      </c>
    </row>
    <row r="48" spans="1:14" x14ac:dyDescent="0.2">
      <c r="H48" s="195"/>
      <c r="I48" s="196"/>
      <c r="J48" s="196"/>
      <c r="L48" s="142">
        <f>IF(C14="",1,0)</f>
        <v>1</v>
      </c>
    </row>
    <row r="49" spans="8:13" x14ac:dyDescent="0.2">
      <c r="H49" s="195"/>
      <c r="I49" s="196"/>
      <c r="J49" s="196"/>
      <c r="L49" s="142">
        <f>IF(C6="",1,0)</f>
        <v>1</v>
      </c>
    </row>
    <row r="50" spans="8:13" x14ac:dyDescent="0.2">
      <c r="H50" s="195"/>
      <c r="I50" s="196"/>
      <c r="J50" s="196"/>
      <c r="L50" s="142">
        <f t="shared" ref="L50:L56" si="5">IF(C7="",1,0)</f>
        <v>1</v>
      </c>
    </row>
    <row r="51" spans="8:13" x14ac:dyDescent="0.2">
      <c r="H51" s="195"/>
      <c r="I51" s="196"/>
      <c r="J51" s="196"/>
      <c r="L51" s="142">
        <f t="shared" si="5"/>
        <v>1</v>
      </c>
    </row>
    <row r="52" spans="8:13" x14ac:dyDescent="0.2">
      <c r="H52" s="195"/>
      <c r="I52" s="196"/>
      <c r="J52" s="196"/>
      <c r="L52" s="142">
        <f t="shared" si="5"/>
        <v>1</v>
      </c>
    </row>
    <row r="53" spans="8:13" x14ac:dyDescent="0.2">
      <c r="H53" s="195"/>
      <c r="I53" s="196"/>
      <c r="J53" s="196"/>
      <c r="L53" s="142">
        <f t="shared" si="5"/>
        <v>1</v>
      </c>
    </row>
    <row r="54" spans="8:13" x14ac:dyDescent="0.2">
      <c r="H54" s="195"/>
      <c r="I54" s="196"/>
      <c r="J54" s="196"/>
      <c r="L54" s="142">
        <f t="shared" si="5"/>
        <v>1</v>
      </c>
    </row>
    <row r="55" spans="8:13" x14ac:dyDescent="0.2">
      <c r="H55" s="195"/>
      <c r="I55" s="196"/>
      <c r="J55" s="196"/>
      <c r="L55" s="142">
        <f t="shared" si="5"/>
        <v>1</v>
      </c>
    </row>
    <row r="56" spans="8:13" x14ac:dyDescent="0.2">
      <c r="H56" s="195"/>
      <c r="I56" s="196"/>
      <c r="J56" s="196"/>
      <c r="L56" s="142">
        <f t="shared" si="5"/>
        <v>1</v>
      </c>
    </row>
    <row r="57" spans="8:13" x14ac:dyDescent="0.2">
      <c r="H57" s="195"/>
      <c r="I57" s="196"/>
      <c r="J57" s="196"/>
      <c r="L57" s="142">
        <f>SUM(L46:L56)</f>
        <v>10</v>
      </c>
    </row>
    <row r="58" spans="8:13" x14ac:dyDescent="0.2">
      <c r="H58" s="195"/>
      <c r="I58" s="196"/>
      <c r="J58" s="196"/>
    </row>
    <row r="59" spans="8:13" x14ac:dyDescent="0.2">
      <c r="H59" s="195"/>
      <c r="I59" s="196"/>
      <c r="J59" s="196"/>
    </row>
    <row r="60" spans="8:13" ht="24" x14ac:dyDescent="0.2">
      <c r="H60" s="195"/>
      <c r="I60" s="196"/>
      <c r="J60" s="196"/>
      <c r="L60" s="142" t="s">
        <v>348</v>
      </c>
    </row>
    <row r="61" spans="8:13" x14ac:dyDescent="0.2">
      <c r="H61" s="195"/>
      <c r="I61" s="196"/>
      <c r="J61" s="196"/>
      <c r="L61" s="142" t="s">
        <v>349</v>
      </c>
      <c r="M61" s="142">
        <f>IF($C$10=L61,1,0)</f>
        <v>0</v>
      </c>
    </row>
    <row r="62" spans="8:13" x14ac:dyDescent="0.2">
      <c r="H62" s="195"/>
      <c r="I62" s="196"/>
      <c r="J62" s="196"/>
      <c r="L62" s="142" t="s">
        <v>350</v>
      </c>
      <c r="M62" s="142">
        <f>IF($C$10=L62,3,0)</f>
        <v>0</v>
      </c>
    </row>
    <row r="63" spans="8:13" x14ac:dyDescent="0.2">
      <c r="H63" s="195"/>
      <c r="I63" s="196"/>
      <c r="J63" s="196"/>
      <c r="L63" s="142" t="s">
        <v>351</v>
      </c>
      <c r="M63" s="142">
        <f>IF($C$10=L63,6,0)</f>
        <v>0</v>
      </c>
    </row>
    <row r="64" spans="8:13" x14ac:dyDescent="0.2">
      <c r="H64" s="195"/>
      <c r="I64" s="196"/>
      <c r="J64" s="196"/>
    </row>
    <row r="65" spans="8:13" x14ac:dyDescent="0.2">
      <c r="H65" s="195"/>
      <c r="I65" s="196"/>
      <c r="J65" s="196"/>
      <c r="L65" s="142" t="s">
        <v>352</v>
      </c>
    </row>
    <row r="66" spans="8:13" x14ac:dyDescent="0.2">
      <c r="H66" s="195"/>
      <c r="I66" s="196"/>
      <c r="J66" s="196"/>
      <c r="L66" s="142" t="s">
        <v>353</v>
      </c>
      <c r="M66" s="142">
        <f>IF(C11="",0,IF(C11=L66,0,6))</f>
        <v>0</v>
      </c>
    </row>
    <row r="67" spans="8:13" x14ac:dyDescent="0.2">
      <c r="H67" s="195"/>
      <c r="I67" s="196"/>
      <c r="J67" s="196"/>
      <c r="L67" s="142" t="s">
        <v>354</v>
      </c>
    </row>
    <row r="68" spans="8:13" x14ac:dyDescent="0.2">
      <c r="H68" s="195"/>
      <c r="I68" s="196"/>
      <c r="J68" s="196"/>
    </row>
    <row r="69" spans="8:13" x14ac:dyDescent="0.2">
      <c r="H69" s="195"/>
      <c r="I69" s="196"/>
      <c r="J69" s="196"/>
      <c r="L69" s="142" t="s">
        <v>355</v>
      </c>
    </row>
    <row r="70" spans="8:13" x14ac:dyDescent="0.2">
      <c r="H70" s="195"/>
      <c r="I70" s="196"/>
      <c r="J70" s="196"/>
      <c r="L70" s="142" t="s">
        <v>356</v>
      </c>
      <c r="M70" s="142">
        <f>IF($C$12=L70,1,0)</f>
        <v>0</v>
      </c>
    </row>
    <row r="71" spans="8:13" ht="24" x14ac:dyDescent="0.2">
      <c r="H71" s="195"/>
      <c r="I71" s="196"/>
      <c r="J71" s="196"/>
      <c r="L71" s="142" t="s">
        <v>381</v>
      </c>
      <c r="M71" s="142">
        <f>IF($C$12=L71,2,0)</f>
        <v>0</v>
      </c>
    </row>
    <row r="72" spans="8:13" ht="24" x14ac:dyDescent="0.2">
      <c r="H72" s="195"/>
      <c r="I72" s="196"/>
      <c r="J72" s="196"/>
      <c r="L72" s="142" t="s">
        <v>382</v>
      </c>
      <c r="M72" s="142">
        <f>IF($C$12=L72,3,0)</f>
        <v>0</v>
      </c>
    </row>
    <row r="73" spans="8:13" x14ac:dyDescent="0.2">
      <c r="H73" s="195"/>
      <c r="I73" s="196"/>
      <c r="J73" s="196"/>
      <c r="L73" s="142" t="s">
        <v>383</v>
      </c>
      <c r="M73" s="142">
        <f>IF($C$12=L73,6,0)</f>
        <v>0</v>
      </c>
    </row>
    <row r="74" spans="8:13" x14ac:dyDescent="0.2">
      <c r="H74" s="195"/>
      <c r="I74" s="196"/>
      <c r="J74" s="196"/>
    </row>
    <row r="75" spans="8:13" x14ac:dyDescent="0.2">
      <c r="H75" s="195"/>
      <c r="I75" s="196"/>
      <c r="J75" s="196"/>
    </row>
    <row r="76" spans="8:13" x14ac:dyDescent="0.2">
      <c r="H76" s="195"/>
      <c r="I76" s="196"/>
      <c r="J76" s="196"/>
    </row>
    <row r="77" spans="8:13" x14ac:dyDescent="0.2">
      <c r="H77" s="195"/>
      <c r="I77" s="196"/>
      <c r="J77" s="196"/>
    </row>
    <row r="78" spans="8:13" x14ac:dyDescent="0.2">
      <c r="H78" s="195"/>
      <c r="I78" s="196"/>
      <c r="J78" s="196"/>
    </row>
    <row r="79" spans="8:13" x14ac:dyDescent="0.2">
      <c r="H79" s="195"/>
      <c r="I79" s="196"/>
      <c r="J79" s="196"/>
    </row>
    <row r="80" spans="8:13" x14ac:dyDescent="0.2">
      <c r="H80" s="195"/>
      <c r="I80" s="196"/>
      <c r="J80" s="196"/>
    </row>
    <row r="81" spans="8:10" x14ac:dyDescent="0.2">
      <c r="H81" s="195"/>
      <c r="I81" s="196"/>
      <c r="J81" s="196"/>
    </row>
    <row r="82" spans="8:10" x14ac:dyDescent="0.2">
      <c r="H82" s="195"/>
      <c r="I82" s="196"/>
      <c r="J82" s="196"/>
    </row>
    <row r="83" spans="8:10" x14ac:dyDescent="0.2">
      <c r="H83" s="195"/>
      <c r="I83" s="196"/>
      <c r="J83" s="196"/>
    </row>
    <row r="84" spans="8:10" x14ac:dyDescent="0.2">
      <c r="H84" s="195"/>
      <c r="I84" s="196"/>
      <c r="J84" s="196"/>
    </row>
    <row r="85" spans="8:10" x14ac:dyDescent="0.2">
      <c r="H85" s="195"/>
      <c r="I85" s="196"/>
      <c r="J85" s="196"/>
    </row>
    <row r="86" spans="8:10" x14ac:dyDescent="0.2">
      <c r="H86" s="195"/>
      <c r="I86" s="196"/>
      <c r="J86" s="196"/>
    </row>
    <row r="87" spans="8:10" x14ac:dyDescent="0.2">
      <c r="H87" s="195"/>
      <c r="I87" s="196"/>
      <c r="J87" s="196"/>
    </row>
    <row r="88" spans="8:10" x14ac:dyDescent="0.2">
      <c r="H88" s="195"/>
      <c r="I88" s="196"/>
      <c r="J88" s="196"/>
    </row>
    <row r="89" spans="8:10" x14ac:dyDescent="0.2">
      <c r="H89" s="195"/>
      <c r="I89" s="196"/>
      <c r="J89" s="196"/>
    </row>
    <row r="90" spans="8:10" x14ac:dyDescent="0.2">
      <c r="H90" s="195"/>
      <c r="I90" s="196"/>
      <c r="J90" s="196"/>
    </row>
    <row r="91" spans="8:10" x14ac:dyDescent="0.2">
      <c r="H91" s="195"/>
      <c r="I91" s="196"/>
      <c r="J91" s="196"/>
    </row>
    <row r="92" spans="8:10" x14ac:dyDescent="0.2">
      <c r="H92" s="195"/>
      <c r="I92" s="196"/>
      <c r="J92" s="196"/>
    </row>
    <row r="93" spans="8:10" x14ac:dyDescent="0.2">
      <c r="H93" s="195"/>
      <c r="I93" s="196"/>
      <c r="J93" s="196"/>
    </row>
    <row r="94" spans="8:10" x14ac:dyDescent="0.2">
      <c r="H94" s="195"/>
      <c r="I94" s="196"/>
      <c r="J94" s="196"/>
    </row>
    <row r="95" spans="8:10" x14ac:dyDescent="0.2">
      <c r="H95" s="195"/>
      <c r="I95" s="196"/>
      <c r="J95" s="196"/>
    </row>
    <row r="96" spans="8:10" x14ac:dyDescent="0.2">
      <c r="H96" s="195"/>
      <c r="I96" s="196"/>
      <c r="J96" s="196"/>
    </row>
    <row r="97" spans="8:10" x14ac:dyDescent="0.2">
      <c r="H97" s="195"/>
      <c r="I97" s="196"/>
      <c r="J97" s="196"/>
    </row>
    <row r="98" spans="8:10" x14ac:dyDescent="0.2">
      <c r="H98" s="195"/>
      <c r="I98" s="196"/>
      <c r="J98" s="196"/>
    </row>
    <row r="99" spans="8:10" x14ac:dyDescent="0.2">
      <c r="H99" s="195"/>
      <c r="I99" s="196"/>
      <c r="J99" s="196"/>
    </row>
    <row r="100" spans="8:10" x14ac:dyDescent="0.2">
      <c r="H100" s="195"/>
      <c r="I100" s="196"/>
      <c r="J100" s="196"/>
    </row>
    <row r="101" spans="8:10" x14ac:dyDescent="0.2">
      <c r="H101" s="195"/>
      <c r="I101" s="196"/>
      <c r="J101" s="196"/>
    </row>
    <row r="102" spans="8:10" x14ac:dyDescent="0.2">
      <c r="H102" s="195"/>
      <c r="I102" s="196"/>
      <c r="J102" s="196"/>
    </row>
    <row r="103" spans="8:10" x14ac:dyDescent="0.2">
      <c r="H103" s="195"/>
      <c r="I103" s="196"/>
      <c r="J103" s="196"/>
    </row>
    <row r="104" spans="8:10" x14ac:dyDescent="0.2">
      <c r="H104" s="195"/>
      <c r="I104" s="196"/>
      <c r="J104" s="196"/>
    </row>
    <row r="105" spans="8:10" x14ac:dyDescent="0.2">
      <c r="H105" s="195"/>
      <c r="I105" s="196"/>
      <c r="J105" s="196"/>
    </row>
    <row r="106" spans="8:10" x14ac:dyDescent="0.2">
      <c r="H106" s="195"/>
      <c r="I106" s="196"/>
      <c r="J106" s="196"/>
    </row>
    <row r="107" spans="8:10" x14ac:dyDescent="0.2">
      <c r="H107" s="195"/>
      <c r="I107" s="196"/>
      <c r="J107" s="196"/>
    </row>
    <row r="108" spans="8:10" x14ac:dyDescent="0.2">
      <c r="H108" s="195"/>
      <c r="I108" s="196"/>
      <c r="J108" s="196"/>
    </row>
    <row r="109" spans="8:10" x14ac:dyDescent="0.2">
      <c r="H109" s="195"/>
      <c r="I109" s="196"/>
      <c r="J109" s="196"/>
    </row>
    <row r="110" spans="8:10" x14ac:dyDescent="0.2">
      <c r="H110" s="195"/>
      <c r="I110" s="196"/>
      <c r="J110" s="196"/>
    </row>
    <row r="111" spans="8:10" x14ac:dyDescent="0.2">
      <c r="H111" s="195"/>
      <c r="I111" s="196"/>
      <c r="J111" s="196"/>
    </row>
    <row r="112" spans="8:10" x14ac:dyDescent="0.2">
      <c r="H112" s="195"/>
      <c r="I112" s="196"/>
      <c r="J112" s="196"/>
    </row>
    <row r="113" spans="8:10" x14ac:dyDescent="0.2">
      <c r="H113" s="195"/>
      <c r="I113" s="196"/>
      <c r="J113" s="196"/>
    </row>
    <row r="114" spans="8:10" x14ac:dyDescent="0.2">
      <c r="H114" s="195"/>
      <c r="I114" s="196"/>
      <c r="J114" s="196"/>
    </row>
    <row r="115" spans="8:10" x14ac:dyDescent="0.2">
      <c r="H115" s="195"/>
      <c r="I115" s="196"/>
      <c r="J115" s="196"/>
    </row>
    <row r="116" spans="8:10" x14ac:dyDescent="0.2">
      <c r="H116" s="195"/>
      <c r="I116" s="196"/>
      <c r="J116" s="196"/>
    </row>
    <row r="117" spans="8:10" x14ac:dyDescent="0.2">
      <c r="H117" s="195"/>
      <c r="I117" s="195"/>
      <c r="J117" s="195"/>
    </row>
    <row r="118" spans="8:10" x14ac:dyDescent="0.2">
      <c r="H118" s="195"/>
      <c r="I118" s="195"/>
      <c r="J118" s="195"/>
    </row>
    <row r="119" spans="8:10" x14ac:dyDescent="0.2">
      <c r="H119" s="195"/>
      <c r="I119" s="195"/>
      <c r="J119" s="195"/>
    </row>
    <row r="120" spans="8:10" x14ac:dyDescent="0.2">
      <c r="H120" s="195"/>
      <c r="I120" s="195"/>
      <c r="J120" s="195"/>
    </row>
    <row r="121" spans="8:10" x14ac:dyDescent="0.2">
      <c r="H121" s="195"/>
      <c r="I121" s="195"/>
      <c r="J121" s="195"/>
    </row>
    <row r="122" spans="8:10" x14ac:dyDescent="0.2">
      <c r="H122" s="195"/>
      <c r="I122" s="195"/>
      <c r="J122" s="195"/>
    </row>
    <row r="123" spans="8:10" x14ac:dyDescent="0.2">
      <c r="H123" s="195"/>
      <c r="I123" s="195"/>
      <c r="J123" s="195"/>
    </row>
    <row r="124" spans="8:10" x14ac:dyDescent="0.2">
      <c r="H124" s="195"/>
      <c r="I124" s="195"/>
      <c r="J124" s="195"/>
    </row>
    <row r="125" spans="8:10" x14ac:dyDescent="0.2">
      <c r="H125" s="195"/>
      <c r="I125" s="195"/>
      <c r="J125" s="195"/>
    </row>
    <row r="126" spans="8:10" x14ac:dyDescent="0.2">
      <c r="H126" s="195"/>
      <c r="I126" s="195"/>
      <c r="J126" s="195"/>
    </row>
    <row r="127" spans="8:10" x14ac:dyDescent="0.2">
      <c r="H127" s="195"/>
      <c r="I127" s="195"/>
      <c r="J127" s="195"/>
    </row>
    <row r="128" spans="8:10" x14ac:dyDescent="0.2">
      <c r="H128" s="195"/>
      <c r="I128" s="195"/>
      <c r="J128" s="195"/>
    </row>
    <row r="129" spans="8:10" x14ac:dyDescent="0.2">
      <c r="H129" s="195"/>
      <c r="I129" s="195"/>
      <c r="J129" s="195"/>
    </row>
    <row r="130" spans="8:10" x14ac:dyDescent="0.2">
      <c r="H130" s="195"/>
      <c r="I130" s="195"/>
      <c r="J130" s="195"/>
    </row>
    <row r="131" spans="8:10" x14ac:dyDescent="0.2">
      <c r="H131" s="195"/>
      <c r="I131" s="195"/>
      <c r="J131" s="195"/>
    </row>
    <row r="132" spans="8:10" x14ac:dyDescent="0.2">
      <c r="H132" s="195"/>
      <c r="I132" s="195"/>
      <c r="J132" s="195"/>
    </row>
    <row r="133" spans="8:10" x14ac:dyDescent="0.2">
      <c r="H133" s="195"/>
      <c r="I133" s="195"/>
      <c r="J133" s="195"/>
    </row>
    <row r="134" spans="8:10" x14ac:dyDescent="0.2">
      <c r="H134" s="195"/>
      <c r="I134" s="195"/>
      <c r="J134" s="195"/>
    </row>
    <row r="135" spans="8:10" x14ac:dyDescent="0.2">
      <c r="H135" s="195"/>
      <c r="I135" s="195"/>
      <c r="J135" s="195"/>
    </row>
    <row r="136" spans="8:10" x14ac:dyDescent="0.2">
      <c r="H136" s="195"/>
      <c r="I136" s="195"/>
      <c r="J136" s="195"/>
    </row>
    <row r="137" spans="8:10" x14ac:dyDescent="0.2">
      <c r="H137" s="195"/>
      <c r="I137" s="195"/>
      <c r="J137" s="195"/>
    </row>
    <row r="138" spans="8:10" x14ac:dyDescent="0.2">
      <c r="H138" s="195"/>
      <c r="I138" s="195"/>
      <c r="J138" s="195"/>
    </row>
    <row r="139" spans="8:10" x14ac:dyDescent="0.2">
      <c r="H139" s="195"/>
      <c r="I139" s="195"/>
      <c r="J139" s="195"/>
    </row>
    <row r="140" spans="8:10" x14ac:dyDescent="0.2">
      <c r="H140" s="195"/>
      <c r="I140" s="195"/>
      <c r="J140" s="195"/>
    </row>
    <row r="141" spans="8:10" x14ac:dyDescent="0.2">
      <c r="H141" s="195"/>
      <c r="I141" s="195"/>
      <c r="J141" s="195"/>
    </row>
    <row r="142" spans="8:10" x14ac:dyDescent="0.2">
      <c r="H142" s="195"/>
      <c r="I142" s="195"/>
      <c r="J142" s="195"/>
    </row>
    <row r="143" spans="8:10" x14ac:dyDescent="0.2">
      <c r="H143" s="195"/>
      <c r="I143" s="195"/>
      <c r="J143" s="195"/>
    </row>
    <row r="144" spans="8:10" x14ac:dyDescent="0.2">
      <c r="H144" s="195"/>
      <c r="I144" s="195"/>
      <c r="J144" s="195"/>
    </row>
  </sheetData>
  <sheetProtection algorithmName="SHA-512" hashValue="zLhRkxHL3LoTINKN3zZvqc1Nc4k6cvpchkW+YUqccQ/zocmXA+Ltrtyxm1LzaZMKdGUYH5uK6V1iOqod4EflFQ==" saltValue="GoklFGJS7247Tj/7Ar5Zfg==" spinCount="100000" sheet="1" objects="1" scenarios="1"/>
  <mergeCells count="19">
    <mergeCell ref="B1:J1"/>
    <mergeCell ref="H3:J3"/>
    <mergeCell ref="D8:F8"/>
    <mergeCell ref="B3:B5"/>
    <mergeCell ref="C3:C5"/>
    <mergeCell ref="D3:F5"/>
    <mergeCell ref="D6:F6"/>
    <mergeCell ref="D7:E7"/>
    <mergeCell ref="D16:F16"/>
    <mergeCell ref="D19:F19"/>
    <mergeCell ref="D9:F9"/>
    <mergeCell ref="D14:F14"/>
    <mergeCell ref="D15:F15"/>
    <mergeCell ref="D17:F17"/>
    <mergeCell ref="D18:F18"/>
    <mergeCell ref="D10:F10"/>
    <mergeCell ref="D11:F11"/>
    <mergeCell ref="D12:F12"/>
    <mergeCell ref="D13:F13"/>
  </mergeCells>
  <conditionalFormatting sqref="J7">
    <cfRule type="cellIs" dxfId="54" priority="10" operator="equal">
      <formula>"Warning!"</formula>
    </cfRule>
  </conditionalFormatting>
  <conditionalFormatting sqref="J8">
    <cfRule type="cellIs" dxfId="53" priority="9" operator="equal">
      <formula>"Warning!"</formula>
    </cfRule>
  </conditionalFormatting>
  <conditionalFormatting sqref="D19:F19">
    <cfRule type="cellIs" dxfId="52" priority="5" operator="equal">
      <formula>"Approved"</formula>
    </cfRule>
  </conditionalFormatting>
  <conditionalFormatting sqref="J12">
    <cfRule type="cellIs" dxfId="51" priority="3" operator="equal">
      <formula>"Warning!"</formula>
    </cfRule>
  </conditionalFormatting>
  <conditionalFormatting sqref="J13">
    <cfRule type="cellIs" dxfId="50" priority="2" operator="equal">
      <formula>"Warning!"</formula>
    </cfRule>
  </conditionalFormatting>
  <conditionalFormatting sqref="F7">
    <cfRule type="containsText" dxfId="49" priority="1" operator="containsText" text="possible">
      <formula>NOT(ISERROR(SEARCH("possible",F7)))</formula>
    </cfRule>
  </conditionalFormatting>
  <dataValidations count="7">
    <dataValidation type="list" allowBlank="1" showInputMessage="1" showErrorMessage="1" sqref="C7" xr:uid="{00000000-0002-0000-0500-000001000000}">
      <formula1>$L$3:$L$6</formula1>
    </dataValidation>
    <dataValidation type="list" allowBlank="1" showInputMessage="1" showErrorMessage="1" sqref="C8" xr:uid="{00000000-0002-0000-0500-000002000000}">
      <formula1>$L$29:$L$32</formula1>
    </dataValidation>
    <dataValidation type="list" allowBlank="1" showInputMessage="1" showErrorMessage="1" sqref="C9" xr:uid="{00000000-0002-0000-0500-000003000000}">
      <formula1>$L$33:$L$38</formula1>
    </dataValidation>
    <dataValidation type="list" allowBlank="1" showInputMessage="1" showErrorMessage="1" sqref="C13" xr:uid="{00000000-0002-0000-0500-000004000000}">
      <formula1>$L$39:$L$40</formula1>
    </dataValidation>
    <dataValidation type="list" allowBlank="1" showInputMessage="1" showErrorMessage="1" sqref="C10" xr:uid="{4AE63638-20C5-49ED-B0BE-04D8975ECA22}">
      <formula1>$L$61:$L$63</formula1>
    </dataValidation>
    <dataValidation type="list" allowBlank="1" showInputMessage="1" showErrorMessage="1" sqref="C11" xr:uid="{7812AAD7-7E1F-41A0-9E17-95B68041E71C}">
      <formula1>$L$66:$L$67</formula1>
    </dataValidation>
    <dataValidation type="list" allowBlank="1" showInputMessage="1" showErrorMessage="1" sqref="C12" xr:uid="{EFB616C5-0260-49ED-81EE-946C478C9E8F}">
      <formula1>$L$70:$L$73</formula1>
    </dataValidation>
  </dataValidations>
  <hyperlinks>
    <hyperlink ref="F24" r:id="rId1" xr:uid="{00000000-0004-0000-0500-000000000000}"/>
    <hyperlink ref="F25" r:id="rId2" xr:uid="{00000000-0004-0000-0500-000001000000}"/>
    <hyperlink ref="F26" r:id="rId3" xr:uid="{00000000-0004-0000-0500-000002000000}"/>
    <hyperlink ref="F28" r:id="rId4" xr:uid="{00000000-0004-0000-0500-000003000000}"/>
    <hyperlink ref="F27" r:id="rId5" xr:uid="{00000000-0004-0000-0500-000004000000}"/>
  </hyperlinks>
  <pageMargins left="0.70866141732283472" right="0.70866141732283472" top="0.74803149606299213" bottom="0.74803149606299213" header="0.31496062992125984" footer="0.31496062992125984"/>
  <pageSetup paperSize="9" scale="37" orientation="landscape" r:id="rId6"/>
  <headerFooter>
    <oddFooter>&amp;CRSQ 02&amp;RRevision 6.0</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45F70D41-9CE5-493B-86DD-DC348F4C14B7}">
          <x14:formula1>
            <xm:f>Technical!$J$23:$J$24</xm:f>
          </x14:formula1>
          <xm:sqref>C14</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AS102"/>
  <sheetViews>
    <sheetView showGridLines="0" topLeftCell="A13" zoomScaleNormal="100" workbookViewId="0">
      <selection activeCell="I6" sqref="I6:M7"/>
    </sheetView>
  </sheetViews>
  <sheetFormatPr defaultRowHeight="12" x14ac:dyDescent="0.2"/>
  <cols>
    <col min="1" max="1" width="9.140625" style="119"/>
    <col min="2" max="2" width="42.5703125" style="119" customWidth="1"/>
    <col min="3" max="3" width="41.5703125" style="119" customWidth="1"/>
    <col min="4" max="4" width="49" style="119" customWidth="1"/>
    <col min="5" max="5" width="12.85546875" style="119" customWidth="1"/>
    <col min="6" max="6" width="17" style="119" customWidth="1"/>
    <col min="7" max="10" width="9.140625" style="156"/>
    <col min="11" max="11" width="11.7109375" style="142" customWidth="1"/>
    <col min="12" max="15" width="9.140625" style="260"/>
    <col min="16" max="16" width="18.7109375" style="260" customWidth="1"/>
    <col min="17" max="17" width="53.28515625" style="260" customWidth="1"/>
    <col min="18" max="20" width="9.140625" style="260"/>
    <col min="21" max="21" width="16.42578125" style="260" customWidth="1"/>
    <col min="22" max="23" width="9.140625" style="260"/>
    <col min="24" max="24" width="19.42578125" style="260" customWidth="1"/>
    <col min="25" max="40" width="9.140625" style="260"/>
    <col min="41" max="43" width="9.140625" style="142"/>
    <col min="44" max="44" width="9.140625" style="100"/>
    <col min="45" max="45" width="9.140625" style="144"/>
    <col min="46" max="16384" width="9.140625" style="119"/>
  </cols>
  <sheetData>
    <row r="1" spans="1:25" x14ac:dyDescent="0.2">
      <c r="A1" s="144"/>
      <c r="B1" s="467" t="s">
        <v>153</v>
      </c>
      <c r="C1" s="467"/>
      <c r="D1" s="467"/>
      <c r="E1" s="467"/>
      <c r="F1" s="467"/>
    </row>
    <row r="2" spans="1:25" x14ac:dyDescent="0.2">
      <c r="A2" s="144"/>
      <c r="B2" s="144"/>
      <c r="C2" s="144"/>
      <c r="D2" s="144"/>
      <c r="E2" s="144"/>
      <c r="F2" s="144"/>
    </row>
    <row r="3" spans="1:25" ht="12.75" thickBot="1" x14ac:dyDescent="0.25">
      <c r="A3" s="144"/>
      <c r="B3" s="144"/>
      <c r="C3" s="144"/>
      <c r="D3" s="144"/>
      <c r="E3" s="144"/>
      <c r="F3" s="144"/>
    </row>
    <row r="4" spans="1:25" ht="15" customHeight="1" x14ac:dyDescent="0.2">
      <c r="A4" s="144"/>
      <c r="B4" s="468" t="s">
        <v>153</v>
      </c>
      <c r="C4" s="474" t="s">
        <v>14</v>
      </c>
      <c r="D4" s="485" t="s">
        <v>115</v>
      </c>
      <c r="E4" s="486"/>
      <c r="F4" s="487"/>
      <c r="K4" s="142" t="s">
        <v>155</v>
      </c>
      <c r="Q4" s="260" t="s">
        <v>303</v>
      </c>
    </row>
    <row r="5" spans="1:25" ht="24" x14ac:dyDescent="0.2">
      <c r="A5" s="144"/>
      <c r="B5" s="469"/>
      <c r="C5" s="475"/>
      <c r="D5" s="488"/>
      <c r="E5" s="489"/>
      <c r="F5" s="490"/>
      <c r="K5" s="142" t="s">
        <v>13</v>
      </c>
      <c r="P5" s="518">
        <v>25</v>
      </c>
      <c r="Q5" s="260" t="s">
        <v>77</v>
      </c>
    </row>
    <row r="6" spans="1:25" ht="12.75" thickBot="1" x14ac:dyDescent="0.25">
      <c r="A6" s="144"/>
      <c r="B6" s="470"/>
      <c r="C6" s="476"/>
      <c r="D6" s="491"/>
      <c r="E6" s="492"/>
      <c r="F6" s="493"/>
      <c r="P6" s="518"/>
      <c r="Q6" s="260" t="s">
        <v>74</v>
      </c>
      <c r="R6" s="305">
        <f>IF(C18="No",6,0)</f>
        <v>0</v>
      </c>
      <c r="X6" s="260" t="s">
        <v>330</v>
      </c>
      <c r="Y6" s="260">
        <f>SUM(R7:R11)</f>
        <v>0</v>
      </c>
    </row>
    <row r="7" spans="1:25" ht="62.25" customHeight="1" x14ac:dyDescent="0.2">
      <c r="A7" s="144"/>
      <c r="B7" s="49" t="s">
        <v>291</v>
      </c>
      <c r="C7" s="514" t="s">
        <v>74</v>
      </c>
      <c r="D7" s="514"/>
      <c r="E7" s="514"/>
      <c r="F7" s="515"/>
      <c r="G7" s="520" t="str">
        <f>IF($C$7="Yes",P28,K4)</f>
        <v>Not Applicable</v>
      </c>
      <c r="H7" s="521"/>
      <c r="I7" s="521"/>
      <c r="J7" s="521"/>
      <c r="K7" s="521"/>
      <c r="P7" s="519" t="s">
        <v>330</v>
      </c>
      <c r="Q7" s="260" t="s">
        <v>156</v>
      </c>
      <c r="R7" s="305" t="str">
        <f>IF($C$8=Q7,S7,"0")</f>
        <v>0</v>
      </c>
      <c r="S7" s="260">
        <v>1</v>
      </c>
      <c r="X7" s="260" t="s">
        <v>331</v>
      </c>
      <c r="Y7" s="260">
        <f>SUM(R12:R14)</f>
        <v>0</v>
      </c>
    </row>
    <row r="8" spans="1:25" ht="50.1" customHeight="1" thickBot="1" x14ac:dyDescent="0.25">
      <c r="A8" s="144"/>
      <c r="B8" s="50" t="str">
        <f>IF(C7="Yes","Does the client require to approve appointment?","")</f>
        <v>Does the client require to approve appointment?</v>
      </c>
      <c r="C8" s="52"/>
      <c r="D8" s="522"/>
      <c r="E8" s="523"/>
      <c r="F8" s="524"/>
      <c r="G8" s="520"/>
      <c r="H8" s="521"/>
      <c r="I8" s="521"/>
      <c r="J8" s="521"/>
      <c r="K8" s="521"/>
      <c r="P8" s="519"/>
      <c r="Q8" s="260" t="s">
        <v>157</v>
      </c>
      <c r="R8" s="305" t="str">
        <f t="shared" ref="R8:R11" si="0">IF($C$8=Q8,S8,"0")</f>
        <v>0</v>
      </c>
      <c r="S8" s="260">
        <v>3</v>
      </c>
      <c r="X8" s="260" t="s">
        <v>335</v>
      </c>
      <c r="Y8" s="260">
        <f>SUM(R19:R23)</f>
        <v>0</v>
      </c>
    </row>
    <row r="9" spans="1:25" ht="50.1" customHeight="1" x14ac:dyDescent="0.2">
      <c r="A9" s="144"/>
      <c r="B9" s="51" t="str">
        <f>IF(C7="Yes","Fleet approval of manning level (proposed crew list to be attached)","")</f>
        <v>Fleet approval of manning level (proposed crew list to be attached)</v>
      </c>
      <c r="C9" s="53"/>
      <c r="D9" s="525"/>
      <c r="E9" s="526"/>
      <c r="F9" s="527"/>
      <c r="G9" s="528" t="s">
        <v>290</v>
      </c>
      <c r="H9" s="528"/>
      <c r="I9" s="528"/>
      <c r="J9" s="528"/>
      <c r="K9" s="529"/>
      <c r="P9" s="519"/>
      <c r="Q9" s="260" t="s">
        <v>158</v>
      </c>
      <c r="R9" s="305" t="str">
        <f t="shared" si="0"/>
        <v>0</v>
      </c>
      <c r="S9" s="260">
        <v>4</v>
      </c>
      <c r="X9" s="260" t="s">
        <v>336</v>
      </c>
      <c r="Y9" s="260">
        <f>SUM(R24:R28)</f>
        <v>0</v>
      </c>
    </row>
    <row r="10" spans="1:25" ht="50.1" customHeight="1" x14ac:dyDescent="0.2">
      <c r="A10" s="144"/>
      <c r="B10" s="51" t="str">
        <f>IF(C7="Yes","Experienced ship type-specific crew availability","")</f>
        <v>Experienced ship type-specific crew availability</v>
      </c>
      <c r="C10" s="53"/>
      <c r="D10" s="525"/>
      <c r="E10" s="526"/>
      <c r="F10" s="527"/>
      <c r="G10" s="530" t="s">
        <v>302</v>
      </c>
      <c r="H10" s="530"/>
      <c r="I10" s="530"/>
      <c r="J10" s="530"/>
      <c r="K10" s="531"/>
      <c r="P10" s="519"/>
      <c r="Q10" s="260" t="s">
        <v>159</v>
      </c>
      <c r="R10" s="305" t="str">
        <f t="shared" si="0"/>
        <v>0</v>
      </c>
      <c r="S10" s="260">
        <v>5</v>
      </c>
      <c r="X10" s="260" t="s">
        <v>390</v>
      </c>
      <c r="Y10" s="260">
        <f>SUM(R29:R33)</f>
        <v>0</v>
      </c>
    </row>
    <row r="11" spans="1:25" ht="50.1" customHeight="1" x14ac:dyDescent="0.2">
      <c r="A11" s="144"/>
      <c r="B11" s="51" t="str">
        <f>IF(C7="Yes","Timescale available for crewing","")</f>
        <v>Timescale available for crewing</v>
      </c>
      <c r="C11" s="53"/>
      <c r="D11" s="525"/>
      <c r="E11" s="526"/>
      <c r="F11" s="527"/>
      <c r="G11" s="530"/>
      <c r="H11" s="530"/>
      <c r="I11" s="530"/>
      <c r="J11" s="530"/>
      <c r="K11" s="531"/>
      <c r="P11" s="519"/>
      <c r="Q11" s="260" t="s">
        <v>160</v>
      </c>
      <c r="R11" s="305" t="str">
        <f t="shared" si="0"/>
        <v>0</v>
      </c>
      <c r="S11" s="260">
        <v>6</v>
      </c>
      <c r="X11" s="260" t="s">
        <v>391</v>
      </c>
      <c r="Y11" s="260">
        <f>SUM(R34:R35)</f>
        <v>0</v>
      </c>
    </row>
    <row r="12" spans="1:25" ht="50.1" customHeight="1" x14ac:dyDescent="0.2">
      <c r="A12" s="144"/>
      <c r="B12" s="51" t="str">
        <f>IF(C7="Yes","Crew budget","")</f>
        <v>Crew budget</v>
      </c>
      <c r="C12" s="53"/>
      <c r="D12" s="525"/>
      <c r="E12" s="526"/>
      <c r="F12" s="527"/>
      <c r="G12" s="530"/>
      <c r="H12" s="530"/>
      <c r="I12" s="530"/>
      <c r="J12" s="530"/>
      <c r="K12" s="531"/>
      <c r="P12" s="519" t="s">
        <v>331</v>
      </c>
      <c r="Q12" s="260" t="s">
        <v>161</v>
      </c>
      <c r="R12" s="305" t="str">
        <f>IF($C$9=Q12,S12,"0")</f>
        <v>0</v>
      </c>
      <c r="S12" s="260">
        <v>1</v>
      </c>
      <c r="X12" s="260" t="s">
        <v>392</v>
      </c>
      <c r="Y12" s="260">
        <f>SUM(R49:R51)</f>
        <v>0</v>
      </c>
    </row>
    <row r="13" spans="1:25" ht="50.1" customHeight="1" x14ac:dyDescent="0.2">
      <c r="A13" s="144"/>
      <c r="B13" s="51" t="str">
        <f>IF(C7="Yes","Crew Budget Preparation","")</f>
        <v>Crew Budget Preparation</v>
      </c>
      <c r="C13" s="53"/>
      <c r="D13" s="525"/>
      <c r="E13" s="526"/>
      <c r="F13" s="527"/>
      <c r="G13" s="530"/>
      <c r="H13" s="530"/>
      <c r="I13" s="530"/>
      <c r="J13" s="530"/>
      <c r="K13" s="531"/>
      <c r="P13" s="519"/>
      <c r="Q13" s="260" t="s">
        <v>162</v>
      </c>
      <c r="R13" s="305" t="str">
        <f>IF($C$9=Q13,S13,"0")</f>
        <v>0</v>
      </c>
      <c r="S13" s="260">
        <v>3</v>
      </c>
      <c r="X13" s="260" t="s">
        <v>332</v>
      </c>
      <c r="Y13" s="260">
        <f>SUM(R36:R40)</f>
        <v>0</v>
      </c>
    </row>
    <row r="14" spans="1:25" ht="50.1" customHeight="1" thickBot="1" x14ac:dyDescent="0.25">
      <c r="A14" s="144"/>
      <c r="B14" s="51" t="str">
        <f>IF(C7="Yes","Appointed officers in compliance with V.Ships CRW 23a - Training Matrix","")</f>
        <v>Appointed officers in compliance with V.Ships CRW 23a - Training Matrix</v>
      </c>
      <c r="C14" s="53"/>
      <c r="D14" s="534" t="s">
        <v>420</v>
      </c>
      <c r="E14" s="535"/>
      <c r="F14" s="536"/>
      <c r="G14" s="532"/>
      <c r="H14" s="532"/>
      <c r="I14" s="532"/>
      <c r="J14" s="532"/>
      <c r="K14" s="533"/>
      <c r="P14" s="519"/>
      <c r="Q14" s="260" t="s">
        <v>401</v>
      </c>
      <c r="R14" s="305" t="str">
        <f>IF($C$9=Q14,S14,"0")</f>
        <v>0</v>
      </c>
      <c r="S14" s="260">
        <v>6</v>
      </c>
      <c r="X14" s="260" t="s">
        <v>333</v>
      </c>
      <c r="Y14" s="260">
        <f>SUM(V36:V38)</f>
        <v>0</v>
      </c>
    </row>
    <row r="15" spans="1:25" ht="50.1" customHeight="1" x14ac:dyDescent="0.2">
      <c r="A15" s="144"/>
      <c r="B15" s="51" t="str">
        <f>IF(C7="Yes","Appointed officers in compliance with V.Ships CRW 25 - Officer Appointment Matrix","")</f>
        <v>Appointed officers in compliance with V.Ships CRW 25 - Officer Appointment Matrix</v>
      </c>
      <c r="C15" s="53"/>
      <c r="D15" s="534" t="s">
        <v>421</v>
      </c>
      <c r="E15" s="535"/>
      <c r="F15" s="536"/>
      <c r="G15" s="301"/>
      <c r="H15" s="301"/>
      <c r="I15" s="301"/>
      <c r="J15" s="301"/>
      <c r="K15" s="262"/>
      <c r="P15" s="260" t="s">
        <v>332</v>
      </c>
      <c r="R15" s="305"/>
      <c r="X15" s="260" t="s">
        <v>334</v>
      </c>
      <c r="Y15" s="260">
        <f>SUM(R41:R43)</f>
        <v>0</v>
      </c>
    </row>
    <row r="16" spans="1:25" ht="50.1" customHeight="1" x14ac:dyDescent="0.2">
      <c r="A16" s="144"/>
      <c r="B16" s="51" t="str">
        <f>IF(C7="Yes","Appointed officers in compliance with V.Ships  CRW 26 - Officer Experience Matrix","")</f>
        <v>Appointed officers in compliance with V.Ships  CRW 26 - Officer Experience Matrix</v>
      </c>
      <c r="C16" s="53"/>
      <c r="D16" s="534" t="s">
        <v>420</v>
      </c>
      <c r="E16" s="535"/>
      <c r="F16" s="536"/>
      <c r="G16" s="301"/>
      <c r="H16" s="301"/>
      <c r="I16" s="301"/>
      <c r="J16" s="301"/>
      <c r="K16" s="262"/>
      <c r="P16" s="260" t="s">
        <v>333</v>
      </c>
      <c r="R16" s="305"/>
      <c r="X16" s="260" t="s">
        <v>393</v>
      </c>
      <c r="Y16" s="260">
        <f>R15</f>
        <v>0</v>
      </c>
    </row>
    <row r="17" spans="1:25" ht="50.1" customHeight="1" x14ac:dyDescent="0.2">
      <c r="A17" s="144"/>
      <c r="B17" s="51" t="str">
        <f>IF(C7="Yes","Appointed officers in compliance with Industry Experience Matrices including Tanker / Oil Major matrices.","")</f>
        <v>Appointed officers in compliance with Industry Experience Matrices including Tanker / Oil Major matrices.</v>
      </c>
      <c r="C17" s="53"/>
      <c r="D17" s="534" t="s">
        <v>421</v>
      </c>
      <c r="E17" s="535"/>
      <c r="F17" s="536"/>
      <c r="G17" s="301"/>
      <c r="H17" s="301"/>
      <c r="I17" s="301"/>
      <c r="J17" s="301"/>
      <c r="K17" s="262"/>
      <c r="P17" s="260" t="s">
        <v>334</v>
      </c>
      <c r="R17" s="305"/>
      <c r="X17" s="260" t="s">
        <v>394</v>
      </c>
      <c r="Y17" s="260">
        <f>R16</f>
        <v>0</v>
      </c>
    </row>
    <row r="18" spans="1:25" ht="50.1" customHeight="1" x14ac:dyDescent="0.2">
      <c r="A18" s="144"/>
      <c r="B18" s="51" t="str">
        <f>IF(C7="Yes","Crew Agreement Arrangements in place?","")</f>
        <v>Crew Agreement Arrangements in place?</v>
      </c>
      <c r="C18" s="53"/>
      <c r="D18" s="525"/>
      <c r="E18" s="526"/>
      <c r="F18" s="527"/>
      <c r="X18" s="260" t="s">
        <v>395</v>
      </c>
      <c r="Y18" s="260">
        <f>R17</f>
        <v>0</v>
      </c>
    </row>
    <row r="19" spans="1:25" ht="155.25" customHeight="1" x14ac:dyDescent="0.2">
      <c r="A19" s="144"/>
      <c r="B19" s="51" t="str">
        <f>IF(C7="Yes","Senior Officers to visit Fleet Cell in Managing Office?","")</f>
        <v>Senior Officers to visit Fleet Cell in Managing Office?</v>
      </c>
      <c r="C19" s="53"/>
      <c r="D19" s="539" t="s">
        <v>436</v>
      </c>
      <c r="E19" s="540"/>
      <c r="F19" s="541"/>
      <c r="P19" s="518" t="s">
        <v>335</v>
      </c>
      <c r="Q19" s="260" t="s">
        <v>386</v>
      </c>
      <c r="R19" s="305" t="str">
        <f>IF($C$10=Q19,S19,"0")</f>
        <v>0</v>
      </c>
      <c r="S19" s="260">
        <v>1</v>
      </c>
      <c r="X19" s="260" t="s">
        <v>396</v>
      </c>
      <c r="Y19" s="260">
        <f>R6</f>
        <v>0</v>
      </c>
    </row>
    <row r="20" spans="1:25" ht="50.1" customHeight="1" x14ac:dyDescent="0.2">
      <c r="A20" s="144"/>
      <c r="B20" s="51" t="str">
        <f>IF(C7="Yes","Is Crew Supplier MLC certified?","")</f>
        <v>Is Crew Supplier MLC certified?</v>
      </c>
      <c r="C20" s="53"/>
      <c r="D20" s="525"/>
      <c r="E20" s="526"/>
      <c r="F20" s="527"/>
      <c r="P20" s="518"/>
      <c r="Q20" s="260" t="s">
        <v>387</v>
      </c>
      <c r="R20" s="305" t="str">
        <f t="shared" ref="R20:R23" si="1">IF($C$10=Q20,S20,"0")</f>
        <v>0</v>
      </c>
      <c r="S20" s="260">
        <v>2</v>
      </c>
      <c r="X20" s="260" t="s">
        <v>397</v>
      </c>
      <c r="Y20" s="260">
        <f>SUM(R97:R102)</f>
        <v>0</v>
      </c>
    </row>
    <row r="21" spans="1:25" ht="50.1" customHeight="1" x14ac:dyDescent="0.2">
      <c r="A21" s="144"/>
      <c r="B21" s="51" t="str">
        <f>IF(C7="Yes","Budget includes V.Ships cadet berths","")</f>
        <v>Budget includes V.Ships cadet berths</v>
      </c>
      <c r="C21" s="53"/>
      <c r="D21" s="525"/>
      <c r="E21" s="526"/>
      <c r="F21" s="527"/>
      <c r="P21" s="518"/>
      <c r="Q21" s="260" t="s">
        <v>163</v>
      </c>
      <c r="R21" s="305" t="str">
        <f t="shared" si="1"/>
        <v>0</v>
      </c>
      <c r="S21" s="260">
        <v>3</v>
      </c>
      <c r="X21" s="260" t="s">
        <v>398</v>
      </c>
      <c r="Y21" s="260">
        <f>SUM(R52:R55)</f>
        <v>0</v>
      </c>
    </row>
    <row r="22" spans="1:25" ht="156.75" customHeight="1" x14ac:dyDescent="0.2">
      <c r="A22" s="144"/>
      <c r="B22" s="51" t="str">
        <f>IF(C7="Yes","Are all officers certificate of competency issued  through their national administration?","")</f>
        <v>Are all officers certificate of competency issued  through their national administration?</v>
      </c>
      <c r="C22" s="53"/>
      <c r="D22" s="537"/>
      <c r="E22" s="537"/>
      <c r="F22" s="538"/>
      <c r="P22" s="518"/>
      <c r="Q22" s="260" t="s">
        <v>164</v>
      </c>
      <c r="R22" s="305" t="str">
        <f t="shared" si="1"/>
        <v>0</v>
      </c>
      <c r="S22" s="260">
        <v>4</v>
      </c>
      <c r="X22" s="260" t="s">
        <v>399</v>
      </c>
      <c r="Y22" s="260">
        <f>SUM(R56:R59)</f>
        <v>0</v>
      </c>
    </row>
    <row r="23" spans="1:25" ht="67.5" customHeight="1" thickBot="1" x14ac:dyDescent="0.25">
      <c r="A23" s="144"/>
      <c r="B23" s="55" t="str">
        <f>IF(C7="Yes","Pre-Observers (adequate period / cooperation)","")</f>
        <v>Pre-Observers (adequate period / cooperation)</v>
      </c>
      <c r="C23" s="124"/>
      <c r="D23" s="546"/>
      <c r="E23" s="546"/>
      <c r="F23" s="547"/>
      <c r="P23" s="518"/>
      <c r="Q23" s="260" t="s">
        <v>201</v>
      </c>
      <c r="R23" s="305" t="str">
        <f t="shared" si="1"/>
        <v>0</v>
      </c>
      <c r="S23" s="260">
        <v>5</v>
      </c>
      <c r="X23" s="260" t="s">
        <v>400</v>
      </c>
      <c r="Y23" s="260">
        <f>SUM(R60:R61)</f>
        <v>0</v>
      </c>
    </row>
    <row r="24" spans="1:25" ht="50.1" customHeight="1" thickBot="1" x14ac:dyDescent="0.25">
      <c r="A24" s="144"/>
      <c r="B24" s="157" t="s">
        <v>12</v>
      </c>
      <c r="C24" s="105"/>
      <c r="D24" s="542"/>
      <c r="E24" s="543"/>
      <c r="F24" s="544"/>
      <c r="N24" s="518" t="s">
        <v>336</v>
      </c>
      <c r="Q24" s="260" t="s">
        <v>165</v>
      </c>
      <c r="R24" s="305" t="str">
        <f>IF($C$11=Q24,S24,"0")</f>
        <v>0</v>
      </c>
      <c r="S24" s="260">
        <v>1</v>
      </c>
      <c r="Y24" s="260">
        <f>SUM(Y6:Y23)</f>
        <v>0</v>
      </c>
    </row>
    <row r="25" spans="1:25" ht="50.1" customHeight="1" x14ac:dyDescent="0.2">
      <c r="A25" s="144"/>
      <c r="B25" s="304"/>
      <c r="C25" s="304"/>
      <c r="D25" s="545"/>
      <c r="E25" s="545"/>
      <c r="F25" s="545"/>
      <c r="N25" s="518"/>
      <c r="Q25" s="260" t="s">
        <v>166</v>
      </c>
      <c r="R25" s="305" t="str">
        <f t="shared" ref="R25:R28" si="2">IF($C$11=Q25,S25,"0")</f>
        <v>0</v>
      </c>
      <c r="S25" s="260">
        <v>2</v>
      </c>
    </row>
    <row r="26" spans="1:25" ht="49.5" customHeight="1" x14ac:dyDescent="0.2">
      <c r="A26" s="144"/>
      <c r="B26" s="124"/>
      <c r="C26" s="124"/>
      <c r="D26" s="546"/>
      <c r="E26" s="546"/>
      <c r="F26" s="546"/>
      <c r="N26" s="518"/>
      <c r="Q26" s="260" t="s">
        <v>167</v>
      </c>
      <c r="R26" s="305" t="str">
        <f t="shared" si="2"/>
        <v>0</v>
      </c>
      <c r="S26" s="260">
        <v>3</v>
      </c>
    </row>
    <row r="27" spans="1:25" ht="36" customHeight="1" x14ac:dyDescent="0.2">
      <c r="A27" s="144"/>
      <c r="B27" s="303"/>
      <c r="C27" s="300"/>
      <c r="D27" s="537"/>
      <c r="E27" s="537"/>
      <c r="F27" s="537"/>
      <c r="N27" s="518"/>
      <c r="P27" s="260" t="s">
        <v>154</v>
      </c>
      <c r="Q27" s="260" t="s">
        <v>168</v>
      </c>
      <c r="R27" s="305" t="str">
        <f t="shared" si="2"/>
        <v>0</v>
      </c>
      <c r="S27" s="260">
        <v>4</v>
      </c>
    </row>
    <row r="28" spans="1:25" ht="57" customHeight="1" x14ac:dyDescent="0.2">
      <c r="A28" s="144"/>
      <c r="B28" s="303"/>
      <c r="C28" s="300"/>
      <c r="D28" s="525"/>
      <c r="E28" s="526"/>
      <c r="F28" s="548"/>
      <c r="N28" s="518"/>
      <c r="P28" s="260" t="s">
        <v>154</v>
      </c>
      <c r="Q28" s="260" t="s">
        <v>169</v>
      </c>
      <c r="R28" s="305" t="str">
        <f t="shared" si="2"/>
        <v>0</v>
      </c>
      <c r="S28" s="260">
        <v>5</v>
      </c>
    </row>
    <row r="29" spans="1:25" ht="50.1" customHeight="1" x14ac:dyDescent="0.2">
      <c r="A29" s="144"/>
      <c r="B29" s="303"/>
      <c r="C29" s="300"/>
      <c r="D29" s="537"/>
      <c r="E29" s="537"/>
      <c r="F29" s="537"/>
      <c r="N29" s="518">
        <v>12</v>
      </c>
      <c r="P29" s="260" t="s">
        <v>154</v>
      </c>
      <c r="Q29" s="260" t="s">
        <v>170</v>
      </c>
      <c r="R29" s="305" t="str">
        <f>IF($C$12=Q29,S29,"0")</f>
        <v>0</v>
      </c>
      <c r="S29" s="260">
        <v>1</v>
      </c>
    </row>
    <row r="30" spans="1:25" ht="50.1" customHeight="1" x14ac:dyDescent="0.2">
      <c r="A30" s="144"/>
      <c r="B30" s="303"/>
      <c r="C30" s="300"/>
      <c r="D30" s="537"/>
      <c r="E30" s="537"/>
      <c r="F30" s="537"/>
      <c r="N30" s="518"/>
      <c r="P30" s="260" t="s">
        <v>154</v>
      </c>
      <c r="Q30" s="260" t="s">
        <v>171</v>
      </c>
      <c r="R30" s="305" t="str">
        <f t="shared" ref="R30:R33" si="3">IF($C$12=Q30,S30,"0")</f>
        <v>0</v>
      </c>
      <c r="S30" s="260">
        <v>2</v>
      </c>
    </row>
    <row r="31" spans="1:25" ht="24.75" thickBot="1" x14ac:dyDescent="0.25">
      <c r="A31" s="144"/>
      <c r="B31" s="145" t="s">
        <v>203</v>
      </c>
      <c r="C31" s="146">
        <f>R65</f>
        <v>0</v>
      </c>
      <c r="D31" s="477" t="str">
        <f>IF(C31&lt;50%, "Approved", "Not Approved")</f>
        <v>Approved</v>
      </c>
      <c r="E31" s="477"/>
      <c r="F31" s="478"/>
      <c r="N31" s="518"/>
      <c r="P31" s="260" t="s">
        <v>154</v>
      </c>
      <c r="Q31" s="306" t="s">
        <v>172</v>
      </c>
      <c r="R31" s="305" t="str">
        <f t="shared" si="3"/>
        <v>0</v>
      </c>
      <c r="S31" s="260">
        <v>3</v>
      </c>
    </row>
    <row r="32" spans="1:25" ht="24" x14ac:dyDescent="0.2">
      <c r="A32" s="144"/>
      <c r="B32" s="144"/>
      <c r="C32" s="144"/>
      <c r="D32" s="144"/>
      <c r="E32" s="144"/>
      <c r="F32" s="144"/>
      <c r="N32" s="518"/>
      <c r="P32" s="260" t="s">
        <v>154</v>
      </c>
      <c r="Q32" s="306" t="s">
        <v>173</v>
      </c>
      <c r="R32" s="305" t="str">
        <f t="shared" si="3"/>
        <v>0</v>
      </c>
      <c r="S32" s="260">
        <v>4</v>
      </c>
    </row>
    <row r="33" spans="1:25" x14ac:dyDescent="0.2">
      <c r="A33" s="144"/>
      <c r="B33" s="144"/>
      <c r="C33" s="144"/>
      <c r="D33" s="144"/>
      <c r="E33" s="144"/>
      <c r="F33" s="144"/>
      <c r="N33" s="518"/>
      <c r="P33" s="260" t="s">
        <v>154</v>
      </c>
      <c r="Q33" s="306" t="s">
        <v>174</v>
      </c>
      <c r="R33" s="305" t="str">
        <f t="shared" si="3"/>
        <v>0</v>
      </c>
      <c r="S33" s="260">
        <v>5</v>
      </c>
    </row>
    <row r="34" spans="1:25" x14ac:dyDescent="0.2">
      <c r="A34" s="144"/>
      <c r="B34" s="144"/>
      <c r="C34" s="144"/>
      <c r="D34" s="144"/>
      <c r="E34" s="144"/>
      <c r="F34" s="144"/>
      <c r="N34" s="518">
        <v>13</v>
      </c>
      <c r="P34" s="260" t="s">
        <v>154</v>
      </c>
      <c r="Q34" s="306" t="s">
        <v>175</v>
      </c>
      <c r="R34" s="305" t="str">
        <f>IF($C$13=Q34,S34,"0")</f>
        <v>0</v>
      </c>
      <c r="S34" s="260">
        <v>1</v>
      </c>
    </row>
    <row r="35" spans="1:25" x14ac:dyDescent="0.2">
      <c r="A35" s="144"/>
      <c r="B35" s="144"/>
      <c r="C35" s="144"/>
      <c r="D35" s="144"/>
      <c r="E35" s="144"/>
      <c r="F35" s="144"/>
      <c r="N35" s="518"/>
      <c r="P35" s="260" t="s">
        <v>154</v>
      </c>
      <c r="Q35" s="306" t="s">
        <v>176</v>
      </c>
      <c r="R35" s="305" t="str">
        <f>IF($C$13=Q35,S35,"0")</f>
        <v>0</v>
      </c>
      <c r="S35" s="260">
        <v>3</v>
      </c>
    </row>
    <row r="36" spans="1:25" ht="24" x14ac:dyDescent="0.2">
      <c r="A36" s="144"/>
      <c r="B36" s="144"/>
      <c r="C36" s="144"/>
      <c r="D36" s="144"/>
      <c r="E36" s="144"/>
      <c r="F36" s="144"/>
      <c r="N36" s="518">
        <v>14</v>
      </c>
      <c r="P36" s="260" t="s">
        <v>154</v>
      </c>
      <c r="Q36" s="306" t="s">
        <v>177</v>
      </c>
      <c r="R36" s="305" t="str">
        <f>IF(C15=Q36,S36,"0")</f>
        <v>0</v>
      </c>
      <c r="S36" s="260">
        <v>1</v>
      </c>
      <c r="U36" s="306" t="s">
        <v>177</v>
      </c>
      <c r="V36" s="305" t="str">
        <f>IF(C16=U36,W36,"0")</f>
        <v>0</v>
      </c>
      <c r="W36" s="260">
        <v>1</v>
      </c>
      <c r="X36" s="306"/>
      <c r="Y36" s="305"/>
    </row>
    <row r="37" spans="1:25" ht="36" x14ac:dyDescent="0.2">
      <c r="A37" s="144"/>
      <c r="B37" s="144"/>
      <c r="C37" s="144"/>
      <c r="D37" s="144"/>
      <c r="E37" s="144"/>
      <c r="F37" s="144"/>
      <c r="N37" s="518"/>
      <c r="P37" s="260" t="s">
        <v>154</v>
      </c>
      <c r="Q37" s="306"/>
      <c r="R37" s="305"/>
      <c r="U37" s="306" t="s">
        <v>388</v>
      </c>
      <c r="V37" s="305" t="str">
        <f>IF(C16=U37,W37,"0")</f>
        <v>0</v>
      </c>
      <c r="W37" s="260">
        <v>3</v>
      </c>
      <c r="X37" s="306"/>
      <c r="Y37" s="305"/>
    </row>
    <row r="38" spans="1:25" x14ac:dyDescent="0.2">
      <c r="A38" s="144"/>
      <c r="B38" s="144"/>
      <c r="C38" s="144"/>
      <c r="D38" s="144"/>
      <c r="E38" s="144"/>
      <c r="F38" s="144"/>
      <c r="N38" s="518"/>
      <c r="P38" s="260" t="s">
        <v>154</v>
      </c>
      <c r="Q38" s="306" t="s">
        <v>388</v>
      </c>
      <c r="R38" s="305" t="str">
        <f>IF(C15=Q38,S38,"0")</f>
        <v>0</v>
      </c>
      <c r="S38" s="260">
        <v>3</v>
      </c>
      <c r="U38" s="306" t="s">
        <v>389</v>
      </c>
      <c r="V38" s="305" t="str">
        <f>IF(C16=U38,W38,"0")</f>
        <v>0</v>
      </c>
      <c r="W38" s="260">
        <v>6</v>
      </c>
      <c r="X38" s="306"/>
      <c r="Y38" s="305"/>
    </row>
    <row r="39" spans="1:25" x14ac:dyDescent="0.2">
      <c r="A39" s="144"/>
      <c r="B39" s="144"/>
      <c r="C39" s="144"/>
      <c r="D39" s="144"/>
      <c r="E39" s="144"/>
      <c r="F39" s="144"/>
      <c r="N39" s="518"/>
      <c r="P39" s="260" t="s">
        <v>154</v>
      </c>
      <c r="Q39" s="306"/>
      <c r="R39" s="305"/>
      <c r="U39" s="306"/>
    </row>
    <row r="40" spans="1:25" x14ac:dyDescent="0.2">
      <c r="A40" s="144"/>
      <c r="B40" s="144"/>
      <c r="C40" s="144"/>
      <c r="D40" s="144"/>
      <c r="E40" s="144"/>
      <c r="F40" s="144"/>
      <c r="N40" s="518"/>
      <c r="P40" s="260" t="s">
        <v>154</v>
      </c>
      <c r="Q40" s="306" t="s">
        <v>389</v>
      </c>
      <c r="R40" s="305" t="str">
        <f>IF(C15=Q40,S40,"0")</f>
        <v>0</v>
      </c>
      <c r="S40" s="260">
        <v>6</v>
      </c>
    </row>
    <row r="41" spans="1:25" x14ac:dyDescent="0.2">
      <c r="A41" s="144"/>
      <c r="B41" s="144"/>
      <c r="C41" s="144"/>
      <c r="D41" s="144"/>
      <c r="E41" s="144"/>
      <c r="F41" s="144"/>
      <c r="N41" s="518">
        <v>18</v>
      </c>
      <c r="P41" s="260" t="s">
        <v>154</v>
      </c>
      <c r="Q41" s="306" t="s">
        <v>178</v>
      </c>
      <c r="R41" s="305" t="str">
        <f>IF(C17=Q41,S41,"0")</f>
        <v>0</v>
      </c>
      <c r="S41" s="260">
        <v>1</v>
      </c>
    </row>
    <row r="42" spans="1:25" x14ac:dyDescent="0.2">
      <c r="A42" s="144"/>
      <c r="B42" s="144"/>
      <c r="C42" s="144"/>
      <c r="D42" s="144"/>
      <c r="E42" s="144"/>
      <c r="F42" s="144"/>
      <c r="N42" s="518"/>
      <c r="Q42" s="306" t="s">
        <v>179</v>
      </c>
      <c r="R42" s="305" t="str">
        <f>IF(C17=Q42,S42,"0")</f>
        <v>0</v>
      </c>
      <c r="S42" s="260">
        <v>3</v>
      </c>
    </row>
    <row r="43" spans="1:25" x14ac:dyDescent="0.2">
      <c r="A43" s="144"/>
      <c r="B43" s="144"/>
      <c r="C43" s="144"/>
      <c r="D43" s="144"/>
      <c r="E43" s="144"/>
      <c r="F43" s="144"/>
      <c r="N43" s="518"/>
      <c r="Q43" s="260" t="s">
        <v>403</v>
      </c>
      <c r="R43" s="305" t="str">
        <f>IF(C17=Q43,S43,"0")</f>
        <v>0</v>
      </c>
      <c r="S43" s="260">
        <v>6</v>
      </c>
    </row>
    <row r="44" spans="1:25" x14ac:dyDescent="0.2">
      <c r="A44" s="144"/>
      <c r="B44" s="144"/>
      <c r="C44" s="144"/>
      <c r="D44" s="144"/>
      <c r="E44" s="144"/>
      <c r="F44" s="144"/>
      <c r="N44" s="518">
        <v>19</v>
      </c>
      <c r="Q44" s="260" t="s">
        <v>180</v>
      </c>
      <c r="R44" s="305" t="str">
        <f>IF($C$23=Q44,S44,"0")</f>
        <v>0</v>
      </c>
      <c r="S44" s="260">
        <v>1</v>
      </c>
    </row>
    <row r="45" spans="1:25" x14ac:dyDescent="0.2">
      <c r="A45" s="144"/>
      <c r="B45" s="144"/>
      <c r="C45" s="144"/>
      <c r="D45" s="144"/>
      <c r="E45" s="144"/>
      <c r="F45" s="144"/>
      <c r="N45" s="518"/>
      <c r="Q45" s="260" t="s">
        <v>181</v>
      </c>
      <c r="R45" s="305" t="str">
        <f>IF($C$23=Q45,S45,"0")</f>
        <v>0</v>
      </c>
      <c r="S45" s="260">
        <v>2</v>
      </c>
    </row>
    <row r="46" spans="1:25" ht="24" x14ac:dyDescent="0.2">
      <c r="A46" s="144"/>
      <c r="B46" s="144"/>
      <c r="C46" s="144"/>
      <c r="D46" s="144"/>
      <c r="E46" s="144"/>
      <c r="F46" s="144"/>
      <c r="N46" s="518"/>
      <c r="Q46" s="260" t="s">
        <v>182</v>
      </c>
      <c r="R46" s="305" t="str">
        <f>IF($C$23=Q46,S46,"0")</f>
        <v>0</v>
      </c>
      <c r="S46" s="260">
        <v>3</v>
      </c>
    </row>
    <row r="47" spans="1:25" ht="44.25" customHeight="1" x14ac:dyDescent="0.2">
      <c r="A47" s="144"/>
      <c r="B47" s="144"/>
      <c r="C47" s="144"/>
      <c r="D47" s="144"/>
      <c r="E47" s="144"/>
      <c r="F47" s="144"/>
      <c r="N47" s="518"/>
      <c r="Q47" s="260" t="s">
        <v>183</v>
      </c>
      <c r="R47" s="305" t="str">
        <f>IF($C$23=Q47,S47,"0")</f>
        <v>0</v>
      </c>
      <c r="S47" s="260">
        <v>4</v>
      </c>
    </row>
    <row r="48" spans="1:25" ht="67.5" customHeight="1" x14ac:dyDescent="0.2">
      <c r="A48" s="144"/>
      <c r="B48" s="144"/>
      <c r="C48" s="144"/>
      <c r="D48" s="144"/>
      <c r="E48" s="144"/>
      <c r="F48" s="144"/>
      <c r="N48" s="518"/>
      <c r="Q48" s="260" t="s">
        <v>184</v>
      </c>
      <c r="R48" s="305" t="str">
        <f>IF($C$23=Q48,S48,"0")</f>
        <v>0</v>
      </c>
      <c r="S48" s="260">
        <v>5</v>
      </c>
    </row>
    <row r="49" spans="1:19" ht="46.5" customHeight="1" x14ac:dyDescent="0.2">
      <c r="A49" s="144"/>
      <c r="B49" s="144"/>
      <c r="C49" s="144"/>
      <c r="D49" s="144"/>
      <c r="E49" s="144"/>
      <c r="F49" s="144"/>
      <c r="N49" s="518">
        <v>20</v>
      </c>
      <c r="Q49" s="260" t="s">
        <v>185</v>
      </c>
      <c r="R49" s="305" t="str">
        <f>IF($C$14=Q49,S49,"0")</f>
        <v>0</v>
      </c>
      <c r="S49" s="260">
        <v>1</v>
      </c>
    </row>
    <row r="50" spans="1:19" ht="30.75" customHeight="1" x14ac:dyDescent="0.2">
      <c r="A50" s="144"/>
      <c r="B50" s="144"/>
      <c r="C50" s="144"/>
      <c r="D50" s="144"/>
      <c r="E50" s="144"/>
      <c r="F50" s="144"/>
      <c r="N50" s="518"/>
      <c r="Q50" s="260" t="s">
        <v>186</v>
      </c>
      <c r="R50" s="305" t="str">
        <f>IF($C$14=Q50,S50,"0")</f>
        <v>0</v>
      </c>
      <c r="S50" s="260">
        <v>3</v>
      </c>
    </row>
    <row r="51" spans="1:19" ht="28.5" customHeight="1" x14ac:dyDescent="0.2">
      <c r="A51" s="144"/>
      <c r="B51" s="144"/>
      <c r="C51" s="144"/>
      <c r="D51" s="144"/>
      <c r="E51" s="144"/>
      <c r="F51" s="144"/>
      <c r="N51" s="518"/>
      <c r="Q51" s="260" t="s">
        <v>402</v>
      </c>
      <c r="R51" s="305" t="str">
        <f>IF($C$14=Q51,S51,"0")</f>
        <v>0</v>
      </c>
      <c r="S51" s="260">
        <v>6</v>
      </c>
    </row>
    <row r="52" spans="1:19" ht="25.5" customHeight="1" x14ac:dyDescent="0.2">
      <c r="A52" s="144"/>
      <c r="B52" s="144"/>
      <c r="C52" s="144"/>
      <c r="D52" s="144"/>
      <c r="E52" s="144"/>
      <c r="F52" s="144"/>
      <c r="N52" s="518">
        <v>21</v>
      </c>
      <c r="Q52" s="260" t="s">
        <v>187</v>
      </c>
      <c r="R52" s="305" t="str">
        <f>IF($C$20=Q52,S52,"0")</f>
        <v>0</v>
      </c>
      <c r="S52" s="260">
        <v>1</v>
      </c>
    </row>
    <row r="53" spans="1:19" ht="29.25" customHeight="1" x14ac:dyDescent="0.2">
      <c r="A53" s="144"/>
      <c r="B53" s="144"/>
      <c r="C53" s="144"/>
      <c r="D53" s="144"/>
      <c r="E53" s="144"/>
      <c r="F53" s="144"/>
      <c r="N53" s="518"/>
      <c r="Q53" s="260" t="s">
        <v>188</v>
      </c>
      <c r="R53" s="305" t="str">
        <f>IF($C$20=Q53,S53,"0")</f>
        <v>0</v>
      </c>
      <c r="S53" s="260">
        <v>2</v>
      </c>
    </row>
    <row r="54" spans="1:19" ht="29.25" customHeight="1" x14ac:dyDescent="0.2">
      <c r="A54" s="144"/>
      <c r="B54" s="144"/>
      <c r="C54" s="144"/>
      <c r="D54" s="144"/>
      <c r="E54" s="144"/>
      <c r="F54" s="144"/>
      <c r="N54" s="518"/>
      <c r="Q54" s="260" t="s">
        <v>189</v>
      </c>
      <c r="R54" s="305" t="str">
        <f>IF($C$20=Q54,S54,"0")</f>
        <v>0</v>
      </c>
      <c r="S54" s="260">
        <v>3</v>
      </c>
    </row>
    <row r="55" spans="1:19" x14ac:dyDescent="0.2">
      <c r="A55" s="144"/>
      <c r="B55" s="144"/>
      <c r="C55" s="144"/>
      <c r="D55" s="144"/>
      <c r="E55" s="144"/>
      <c r="F55" s="144"/>
      <c r="N55" s="518"/>
      <c r="Q55" s="260" t="s">
        <v>404</v>
      </c>
      <c r="R55" s="305" t="str">
        <f>IF($C$20=Q55,S55,"0")</f>
        <v>0</v>
      </c>
      <c r="S55" s="260">
        <v>6</v>
      </c>
    </row>
    <row r="56" spans="1:19" ht="27.75" customHeight="1" x14ac:dyDescent="0.2">
      <c r="A56" s="144"/>
      <c r="B56" s="144"/>
      <c r="C56" s="144"/>
      <c r="D56" s="144"/>
      <c r="E56" s="144"/>
      <c r="F56" s="144"/>
      <c r="N56" s="518">
        <v>22</v>
      </c>
      <c r="Q56" s="260" t="s">
        <v>190</v>
      </c>
      <c r="R56" s="305" t="str">
        <f>IF($C$21=Q56,S56,"0")</f>
        <v>0</v>
      </c>
      <c r="S56" s="260">
        <v>1</v>
      </c>
    </row>
    <row r="57" spans="1:19" x14ac:dyDescent="0.2">
      <c r="A57" s="144"/>
      <c r="B57" s="144"/>
      <c r="C57" s="144"/>
      <c r="D57" s="144"/>
      <c r="E57" s="144"/>
      <c r="F57" s="144"/>
      <c r="N57" s="518"/>
      <c r="Q57" s="260" t="s">
        <v>191</v>
      </c>
      <c r="R57" s="305" t="str">
        <f>IF($C$21=Q57,S57,"0")</f>
        <v>0</v>
      </c>
      <c r="S57" s="260">
        <v>2</v>
      </c>
    </row>
    <row r="58" spans="1:19" ht="24.75" customHeight="1" x14ac:dyDescent="0.2">
      <c r="A58" s="144"/>
      <c r="B58" s="144"/>
      <c r="C58" s="144"/>
      <c r="D58" s="144"/>
      <c r="E58" s="144"/>
      <c r="F58" s="144"/>
      <c r="N58" s="518"/>
      <c r="Q58" s="260" t="s">
        <v>192</v>
      </c>
      <c r="R58" s="305" t="str">
        <f>IF($C$21=Q58,S58,"0")</f>
        <v>0</v>
      </c>
      <c r="S58" s="260">
        <v>3</v>
      </c>
    </row>
    <row r="59" spans="1:19" ht="42" customHeight="1" x14ac:dyDescent="0.2">
      <c r="A59" s="144"/>
      <c r="B59" s="144"/>
      <c r="C59" s="144"/>
      <c r="D59" s="144"/>
      <c r="E59" s="144"/>
      <c r="F59" s="144"/>
      <c r="N59" s="518"/>
      <c r="Q59" s="260" t="s">
        <v>405</v>
      </c>
      <c r="R59" s="305" t="str">
        <f>IF($C$21=Q59,S59,"0")</f>
        <v>0</v>
      </c>
      <c r="S59" s="260">
        <v>6</v>
      </c>
    </row>
    <row r="60" spans="1:19" x14ac:dyDescent="0.2">
      <c r="A60" s="144"/>
      <c r="B60" s="144"/>
      <c r="C60" s="144"/>
      <c r="D60" s="144"/>
      <c r="E60" s="144"/>
      <c r="F60" s="144"/>
      <c r="N60" s="518">
        <v>23</v>
      </c>
      <c r="Q60" s="260" t="s">
        <v>193</v>
      </c>
      <c r="R60" s="305" t="str">
        <f>IF($C$22=Q60,S60,"0")</f>
        <v>0</v>
      </c>
      <c r="S60" s="260">
        <v>1</v>
      </c>
    </row>
    <row r="61" spans="1:19" ht="24" x14ac:dyDescent="0.2">
      <c r="A61" s="144"/>
      <c r="B61" s="144"/>
      <c r="C61" s="144"/>
      <c r="D61" s="144"/>
      <c r="E61" s="144"/>
      <c r="F61" s="144"/>
      <c r="N61" s="518"/>
      <c r="Q61" s="260" t="s">
        <v>406</v>
      </c>
      <c r="R61" s="305" t="str">
        <f>IF($C$22=Q61,S61,"0")</f>
        <v>0</v>
      </c>
      <c r="S61" s="260">
        <v>6</v>
      </c>
    </row>
    <row r="62" spans="1:19" x14ac:dyDescent="0.2">
      <c r="A62" s="144"/>
      <c r="B62" s="144"/>
      <c r="C62" s="144"/>
      <c r="D62" s="144"/>
      <c r="E62" s="144"/>
      <c r="F62" s="144"/>
    </row>
    <row r="63" spans="1:19" x14ac:dyDescent="0.2">
      <c r="A63" s="144"/>
      <c r="B63" s="144"/>
      <c r="C63" s="144"/>
      <c r="D63" s="144"/>
      <c r="E63" s="144"/>
      <c r="F63" s="144"/>
      <c r="R63" s="260">
        <f>Y24+SUM(R44:R48)</f>
        <v>0</v>
      </c>
    </row>
    <row r="64" spans="1:19" x14ac:dyDescent="0.2">
      <c r="A64" s="144"/>
      <c r="B64" s="144"/>
      <c r="C64" s="144"/>
      <c r="D64" s="144"/>
      <c r="E64" s="144"/>
      <c r="F64" s="144"/>
    </row>
    <row r="65" spans="1:18" x14ac:dyDescent="0.2">
      <c r="A65" s="144"/>
      <c r="B65" s="144"/>
      <c r="C65" s="144"/>
      <c r="D65" s="144"/>
      <c r="E65" s="144"/>
      <c r="F65" s="144"/>
      <c r="Q65" s="260" t="s">
        <v>202</v>
      </c>
      <c r="R65" s="307">
        <f>R63/89</f>
        <v>0</v>
      </c>
    </row>
    <row r="66" spans="1:18" x14ac:dyDescent="0.2">
      <c r="A66" s="144"/>
      <c r="B66" s="144"/>
      <c r="C66" s="144"/>
      <c r="D66" s="144"/>
      <c r="E66" s="144"/>
      <c r="F66" s="144"/>
    </row>
    <row r="67" spans="1:18" x14ac:dyDescent="0.2">
      <c r="A67" s="144"/>
      <c r="B67" s="144"/>
      <c r="C67" s="144"/>
      <c r="D67" s="144"/>
      <c r="E67" s="144"/>
      <c r="F67" s="144"/>
      <c r="Q67" s="260">
        <f>IF(C23="",1,0)</f>
        <v>1</v>
      </c>
    </row>
    <row r="68" spans="1:18" x14ac:dyDescent="0.2">
      <c r="A68" s="144"/>
      <c r="B68" s="144"/>
      <c r="C68" s="144"/>
      <c r="D68" s="144"/>
      <c r="E68" s="144"/>
      <c r="F68" s="144"/>
      <c r="Q68" s="260">
        <f t="shared" ref="Q68:Q77" si="4">IF(C8="",1,0)</f>
        <v>1</v>
      </c>
    </row>
    <row r="69" spans="1:18" x14ac:dyDescent="0.2">
      <c r="A69" s="144"/>
      <c r="B69" s="144"/>
      <c r="C69" s="144"/>
      <c r="D69" s="144"/>
      <c r="E69" s="144"/>
      <c r="F69" s="144"/>
      <c r="Q69" s="260">
        <f t="shared" si="4"/>
        <v>1</v>
      </c>
    </row>
    <row r="70" spans="1:18" x14ac:dyDescent="0.2">
      <c r="A70" s="144"/>
      <c r="B70" s="144"/>
      <c r="C70" s="144"/>
      <c r="D70" s="144"/>
      <c r="E70" s="144"/>
      <c r="F70" s="144"/>
      <c r="Q70" s="260">
        <f t="shared" si="4"/>
        <v>1</v>
      </c>
    </row>
    <row r="71" spans="1:18" x14ac:dyDescent="0.2">
      <c r="A71" s="144"/>
      <c r="B71" s="144"/>
      <c r="C71" s="144"/>
      <c r="D71" s="144"/>
      <c r="E71" s="144"/>
      <c r="F71" s="144"/>
      <c r="Q71" s="260">
        <f t="shared" si="4"/>
        <v>1</v>
      </c>
    </row>
    <row r="72" spans="1:18" x14ac:dyDescent="0.2">
      <c r="A72" s="144"/>
      <c r="B72" s="144"/>
      <c r="C72" s="144"/>
      <c r="D72" s="144"/>
      <c r="E72" s="144"/>
      <c r="F72" s="144"/>
      <c r="Q72" s="260">
        <f t="shared" si="4"/>
        <v>1</v>
      </c>
    </row>
    <row r="73" spans="1:18" x14ac:dyDescent="0.2">
      <c r="A73" s="144"/>
      <c r="B73" s="144"/>
      <c r="C73" s="144"/>
      <c r="D73" s="144"/>
      <c r="E73" s="144"/>
      <c r="F73" s="144"/>
      <c r="Q73" s="260">
        <f t="shared" si="4"/>
        <v>1</v>
      </c>
    </row>
    <row r="74" spans="1:18" x14ac:dyDescent="0.2">
      <c r="A74" s="144"/>
      <c r="B74" s="144"/>
      <c r="C74" s="144"/>
      <c r="D74" s="144"/>
      <c r="E74" s="144"/>
      <c r="F74" s="144"/>
      <c r="Q74" s="260">
        <f t="shared" si="4"/>
        <v>1</v>
      </c>
    </row>
    <row r="75" spans="1:18" x14ac:dyDescent="0.2">
      <c r="A75" s="144"/>
      <c r="B75" s="144"/>
      <c r="C75" s="144"/>
      <c r="D75" s="144"/>
      <c r="E75" s="144"/>
      <c r="F75" s="144"/>
      <c r="Q75" s="260">
        <f t="shared" si="4"/>
        <v>1</v>
      </c>
    </row>
    <row r="76" spans="1:18" x14ac:dyDescent="0.2">
      <c r="A76" s="144"/>
      <c r="B76" s="144"/>
      <c r="C76" s="144"/>
      <c r="D76" s="144"/>
      <c r="E76" s="144"/>
      <c r="F76" s="144"/>
      <c r="Q76" s="260">
        <f t="shared" si="4"/>
        <v>1</v>
      </c>
    </row>
    <row r="77" spans="1:18" x14ac:dyDescent="0.2">
      <c r="A77" s="144"/>
      <c r="B77" s="144"/>
      <c r="C77" s="144"/>
      <c r="D77" s="144"/>
      <c r="E77" s="144"/>
      <c r="F77" s="144"/>
      <c r="Q77" s="260">
        <f t="shared" si="4"/>
        <v>1</v>
      </c>
    </row>
    <row r="78" spans="1:18" x14ac:dyDescent="0.2">
      <c r="A78" s="144"/>
      <c r="B78" s="144"/>
      <c r="C78" s="144"/>
      <c r="D78" s="144"/>
      <c r="E78" s="144"/>
      <c r="F78" s="144"/>
    </row>
    <row r="79" spans="1:18" x14ac:dyDescent="0.2">
      <c r="A79" s="144"/>
      <c r="B79" s="144"/>
      <c r="C79" s="144"/>
      <c r="D79" s="144"/>
      <c r="E79" s="144"/>
      <c r="F79" s="144"/>
    </row>
    <row r="80" spans="1:18" x14ac:dyDescent="0.2">
      <c r="A80" s="144"/>
      <c r="B80" s="144"/>
      <c r="C80" s="144"/>
      <c r="D80" s="144"/>
      <c r="E80" s="144"/>
      <c r="F80" s="144"/>
    </row>
    <row r="81" spans="1:18" x14ac:dyDescent="0.2">
      <c r="A81" s="144"/>
      <c r="B81" s="144"/>
      <c r="C81" s="144"/>
      <c r="D81" s="144"/>
      <c r="E81" s="144"/>
      <c r="F81" s="144"/>
      <c r="Q81" s="260">
        <f>IF(C18="",1,0)</f>
        <v>1</v>
      </c>
    </row>
    <row r="82" spans="1:18" x14ac:dyDescent="0.2">
      <c r="A82" s="144"/>
      <c r="B82" s="144"/>
      <c r="C82" s="144"/>
      <c r="D82" s="144"/>
      <c r="E82" s="144"/>
      <c r="F82" s="144"/>
      <c r="Q82" s="260">
        <f>IF(C19="",1,0)</f>
        <v>1</v>
      </c>
    </row>
    <row r="83" spans="1:18" x14ac:dyDescent="0.2">
      <c r="A83" s="144"/>
      <c r="B83" s="144"/>
      <c r="C83" s="144"/>
      <c r="D83" s="144"/>
      <c r="E83" s="144"/>
      <c r="F83" s="144"/>
      <c r="Q83" s="260">
        <f>IF(C20="",1,0)</f>
        <v>1</v>
      </c>
    </row>
    <row r="84" spans="1:18" x14ac:dyDescent="0.2">
      <c r="A84" s="144"/>
      <c r="B84" s="144"/>
      <c r="C84" s="144"/>
      <c r="D84" s="144"/>
      <c r="E84" s="144"/>
      <c r="F84" s="144"/>
      <c r="Q84" s="260">
        <f>IF(C21="",1,0)</f>
        <v>1</v>
      </c>
    </row>
    <row r="85" spans="1:18" x14ac:dyDescent="0.2">
      <c r="A85" s="144"/>
      <c r="B85" s="144"/>
      <c r="C85" s="144"/>
      <c r="D85" s="144"/>
      <c r="E85" s="144"/>
      <c r="F85" s="144"/>
      <c r="Q85" s="260">
        <f>IF(C22="",1,0)</f>
        <v>1</v>
      </c>
      <c r="R85" s="305"/>
    </row>
    <row r="86" spans="1:18" x14ac:dyDescent="0.2">
      <c r="A86" s="144"/>
      <c r="B86" s="144"/>
      <c r="C86" s="144"/>
      <c r="D86" s="144"/>
      <c r="E86" s="144"/>
      <c r="F86" s="144"/>
      <c r="Q86" s="260">
        <f>SUM(Q67:Q85)</f>
        <v>16</v>
      </c>
      <c r="R86" s="305"/>
    </row>
    <row r="87" spans="1:18" x14ac:dyDescent="0.2">
      <c r="A87" s="144"/>
      <c r="B87" s="144"/>
      <c r="C87" s="144"/>
      <c r="D87" s="144"/>
      <c r="E87" s="144"/>
      <c r="F87" s="144"/>
      <c r="R87" s="305"/>
    </row>
    <row r="88" spans="1:18" x14ac:dyDescent="0.2">
      <c r="A88" s="144"/>
      <c r="B88" s="144"/>
      <c r="C88" s="144"/>
      <c r="D88" s="144"/>
      <c r="E88" s="144"/>
      <c r="F88" s="144"/>
      <c r="R88" s="305"/>
    </row>
    <row r="89" spans="1:18" x14ac:dyDescent="0.2">
      <c r="A89" s="144"/>
      <c r="B89" s="144"/>
      <c r="C89" s="144"/>
      <c r="D89" s="144"/>
      <c r="E89" s="144"/>
      <c r="F89" s="144"/>
      <c r="R89" s="305"/>
    </row>
    <row r="90" spans="1:18" x14ac:dyDescent="0.2">
      <c r="A90" s="144"/>
      <c r="B90" s="144"/>
      <c r="C90" s="144"/>
      <c r="D90" s="144"/>
      <c r="E90" s="144"/>
      <c r="F90" s="144"/>
      <c r="R90" s="305"/>
    </row>
    <row r="91" spans="1:18" x14ac:dyDescent="0.2">
      <c r="A91" s="144"/>
      <c r="B91" s="144"/>
      <c r="C91" s="144"/>
      <c r="D91" s="144"/>
      <c r="E91" s="144"/>
      <c r="F91" s="144"/>
      <c r="R91" s="305"/>
    </row>
    <row r="92" spans="1:18" x14ac:dyDescent="0.2">
      <c r="A92" s="144"/>
      <c r="B92" s="144"/>
      <c r="C92" s="144"/>
      <c r="D92" s="144"/>
      <c r="E92" s="144"/>
      <c r="F92" s="144"/>
      <c r="R92" s="305"/>
    </row>
    <row r="93" spans="1:18" x14ac:dyDescent="0.2">
      <c r="A93" s="144"/>
      <c r="B93" s="144"/>
      <c r="C93" s="144"/>
      <c r="D93" s="144"/>
      <c r="E93" s="144"/>
      <c r="F93" s="144"/>
    </row>
    <row r="94" spans="1:18" x14ac:dyDescent="0.2">
      <c r="A94" s="144"/>
      <c r="B94" s="144"/>
      <c r="C94" s="144"/>
      <c r="D94" s="144"/>
      <c r="E94" s="144"/>
      <c r="F94" s="144"/>
    </row>
    <row r="97" spans="16:19" ht="24" x14ac:dyDescent="0.2">
      <c r="P97" s="518">
        <v>26</v>
      </c>
      <c r="Q97" s="260" t="s">
        <v>317</v>
      </c>
      <c r="R97" s="305" t="str">
        <f t="shared" ref="R97:R102" si="5">IF($C$19=Q97,S97,"0")</f>
        <v>0</v>
      </c>
      <c r="S97" s="260">
        <v>1</v>
      </c>
    </row>
    <row r="98" spans="16:19" x14ac:dyDescent="0.2">
      <c r="P98" s="518"/>
      <c r="Q98" s="260" t="s">
        <v>318</v>
      </c>
      <c r="R98" s="305" t="str">
        <f t="shared" si="5"/>
        <v>0</v>
      </c>
      <c r="S98" s="260">
        <v>2</v>
      </c>
    </row>
    <row r="99" spans="16:19" x14ac:dyDescent="0.2">
      <c r="P99" s="518"/>
      <c r="Q99" s="260" t="s">
        <v>319</v>
      </c>
      <c r="R99" s="305" t="str">
        <f t="shared" si="5"/>
        <v>0</v>
      </c>
      <c r="S99" s="260">
        <v>3</v>
      </c>
    </row>
    <row r="100" spans="16:19" x14ac:dyDescent="0.2">
      <c r="P100" s="518"/>
      <c r="Q100" s="260" t="s">
        <v>320</v>
      </c>
      <c r="R100" s="305" t="str">
        <f t="shared" si="5"/>
        <v>0</v>
      </c>
      <c r="S100" s="260">
        <v>4</v>
      </c>
    </row>
    <row r="101" spans="16:19" x14ac:dyDescent="0.2">
      <c r="P101" s="518"/>
      <c r="Q101" s="260" t="s">
        <v>321</v>
      </c>
      <c r="R101" s="305" t="str">
        <f t="shared" si="5"/>
        <v>0</v>
      </c>
      <c r="S101" s="260">
        <v>5</v>
      </c>
    </row>
    <row r="102" spans="16:19" x14ac:dyDescent="0.2">
      <c r="P102" s="518"/>
      <c r="Q102" s="260" t="s">
        <v>141</v>
      </c>
      <c r="R102" s="305" t="str">
        <f t="shared" si="5"/>
        <v>0</v>
      </c>
      <c r="S102" s="260">
        <v>6</v>
      </c>
    </row>
  </sheetData>
  <sheetProtection algorithmName="SHA-512" hashValue="NMhzpGg9c/j4zRnVNE0DRU3pib1kuD8TwQEnovumLGXBU3bQTATqkPevn6/4bZ7c3y/5FHZDf7GuWemdTy+4Hg==" saltValue="u4xY8lMuagCwjRJv3JxrmQ==" spinCount="100000" sheet="1" objects="1" scenarios="1"/>
  <mergeCells count="47">
    <mergeCell ref="B1:F1"/>
    <mergeCell ref="D29:F29"/>
    <mergeCell ref="D30:F30"/>
    <mergeCell ref="B4:B6"/>
    <mergeCell ref="C4:C6"/>
    <mergeCell ref="D4:F6"/>
    <mergeCell ref="D16:F16"/>
    <mergeCell ref="D17:F17"/>
    <mergeCell ref="D23:F23"/>
    <mergeCell ref="D28:F28"/>
    <mergeCell ref="D31:F31"/>
    <mergeCell ref="D27:F27"/>
    <mergeCell ref="D12:F12"/>
    <mergeCell ref="D13:F13"/>
    <mergeCell ref="D21:F21"/>
    <mergeCell ref="D22:F22"/>
    <mergeCell ref="D18:F18"/>
    <mergeCell ref="D19:F19"/>
    <mergeCell ref="D20:F20"/>
    <mergeCell ref="D15:F15"/>
    <mergeCell ref="D24:F24"/>
    <mergeCell ref="D25:F25"/>
    <mergeCell ref="D26:F26"/>
    <mergeCell ref="G7:K8"/>
    <mergeCell ref="D8:F8"/>
    <mergeCell ref="D9:F9"/>
    <mergeCell ref="D10:F10"/>
    <mergeCell ref="D11:F11"/>
    <mergeCell ref="G9:K9"/>
    <mergeCell ref="G10:K14"/>
    <mergeCell ref="C7:F7"/>
    <mergeCell ref="D14:F14"/>
    <mergeCell ref="N52:N55"/>
    <mergeCell ref="N56:N59"/>
    <mergeCell ref="N60:N61"/>
    <mergeCell ref="P5:P6"/>
    <mergeCell ref="P97:P102"/>
    <mergeCell ref="N34:N35"/>
    <mergeCell ref="N36:N40"/>
    <mergeCell ref="N41:N43"/>
    <mergeCell ref="N44:N48"/>
    <mergeCell ref="N49:N51"/>
    <mergeCell ref="P7:P11"/>
    <mergeCell ref="P12:P14"/>
    <mergeCell ref="P19:P23"/>
    <mergeCell ref="N24:N28"/>
    <mergeCell ref="N29:N33"/>
  </mergeCells>
  <phoneticPr fontId="46" type="noConversion"/>
  <conditionalFormatting sqref="C31">
    <cfRule type="cellIs" dxfId="48" priority="99" stopIfTrue="1" operator="between">
      <formula>1</formula>
      <formula>3</formula>
    </cfRule>
    <cfRule type="cellIs" dxfId="47" priority="100" stopIfTrue="1" operator="between">
      <formula>4</formula>
      <formula>6</formula>
    </cfRule>
  </conditionalFormatting>
  <conditionalFormatting sqref="C7:F7">
    <cfRule type="cellIs" dxfId="46" priority="97" operator="equal">
      <formula>"No"</formula>
    </cfRule>
    <cfRule type="cellIs" dxfId="45" priority="98" operator="equal">
      <formula>"Yes"</formula>
    </cfRule>
  </conditionalFormatting>
  <conditionalFormatting sqref="C28:C31 C14:C22">
    <cfRule type="cellIs" dxfId="44" priority="80" operator="between">
      <formula>4</formula>
      <formula>6</formula>
    </cfRule>
    <cfRule type="cellIs" dxfId="43" priority="81" operator="between">
      <formula>1</formula>
      <formula>3</formula>
    </cfRule>
  </conditionalFormatting>
  <conditionalFormatting sqref="G7:K8 B8:B22">
    <cfRule type="containsText" dxfId="42" priority="77" operator="containsText" text="Not Applicable">
      <formula>NOT(ISERROR(SEARCH("Not Applicable",B7)))</formula>
    </cfRule>
  </conditionalFormatting>
  <conditionalFormatting sqref="D31:F31">
    <cfRule type="cellIs" dxfId="41" priority="75" operator="equal">
      <formula>"Approved"</formula>
    </cfRule>
  </conditionalFormatting>
  <conditionalFormatting sqref="C27">
    <cfRule type="cellIs" dxfId="40" priority="31" operator="between">
      <formula>4</formula>
      <formula>6</formula>
    </cfRule>
    <cfRule type="cellIs" dxfId="39" priority="32" operator="between">
      <formula>1</formula>
      <formula>3</formula>
    </cfRule>
  </conditionalFormatting>
  <conditionalFormatting sqref="C9:C22">
    <cfRule type="cellIs" dxfId="38" priority="28" stopIfTrue="1" operator="between">
      <formula>0.1</formula>
      <formula>1.7</formula>
    </cfRule>
    <cfRule type="cellIs" dxfId="37" priority="29" stopIfTrue="1" operator="between">
      <formula>1.71</formula>
      <formula>3.7</formula>
    </cfRule>
    <cfRule type="cellIs" dxfId="36" priority="30" stopIfTrue="1" operator="between">
      <formula>3.71</formula>
      <formula>5</formula>
    </cfRule>
  </conditionalFormatting>
  <conditionalFormatting sqref="C9:C22">
    <cfRule type="cellIs" dxfId="35" priority="27" operator="equal">
      <formula>2</formula>
    </cfRule>
  </conditionalFormatting>
  <conditionalFormatting sqref="C8:C22">
    <cfRule type="cellIs" dxfId="34" priority="22" operator="equal">
      <formula>6</formula>
    </cfRule>
    <cfRule type="cellIs" dxfId="33" priority="23" operator="equal">
      <formula>5</formula>
    </cfRule>
    <cfRule type="cellIs" dxfId="32" priority="24" operator="equal">
      <formula>4</formula>
    </cfRule>
    <cfRule type="cellIs" dxfId="31" priority="25" operator="equal">
      <formula>3</formula>
    </cfRule>
    <cfRule type="cellIs" dxfId="30" priority="26" operator="equal">
      <formula>1</formula>
    </cfRule>
  </conditionalFormatting>
  <conditionalFormatting sqref="C8">
    <cfRule type="cellIs" dxfId="29" priority="16" operator="equal">
      <formula>6</formula>
    </cfRule>
    <cfRule type="cellIs" dxfId="28" priority="17" operator="equal">
      <formula>5</formula>
    </cfRule>
    <cfRule type="cellIs" dxfId="27" priority="18" operator="equal">
      <formula>4</formula>
    </cfRule>
    <cfRule type="cellIs" dxfId="26" priority="19" operator="equal">
      <formula>3</formula>
    </cfRule>
    <cfRule type="cellIs" dxfId="25" priority="20" operator="equal">
      <formula>2</formula>
    </cfRule>
    <cfRule type="cellIs" dxfId="24" priority="21" operator="equal">
      <formula>1</formula>
    </cfRule>
  </conditionalFormatting>
  <conditionalFormatting sqref="C8:C13">
    <cfRule type="cellIs" dxfId="23" priority="14" operator="between">
      <formula>4</formula>
      <formula>6</formula>
    </cfRule>
    <cfRule type="cellIs" dxfId="22" priority="15" operator="between">
      <formula>1</formula>
      <formula>3</formula>
    </cfRule>
  </conditionalFormatting>
  <conditionalFormatting sqref="C24">
    <cfRule type="cellIs" dxfId="21" priority="1" operator="between">
      <formula>4</formula>
      <formula>6</formula>
    </cfRule>
    <cfRule type="cellIs" dxfId="20" priority="2" operator="between">
      <formula>1</formula>
      <formula>3</formula>
    </cfRule>
  </conditionalFormatting>
  <dataValidations count="16">
    <dataValidation type="list" allowBlank="1" showInputMessage="1" showErrorMessage="1" sqref="C7:F7 C18" xr:uid="{00000000-0002-0000-0600-000000000000}">
      <formula1>$Q$5:$Q$6</formula1>
    </dataValidation>
    <dataValidation type="list" allowBlank="1" showInputMessage="1" showErrorMessage="1" sqref="C8" xr:uid="{00000000-0002-0000-0600-000001000000}">
      <formula1>$Q$7:$Q$11</formula1>
    </dataValidation>
    <dataValidation type="list" allowBlank="1" showInputMessage="1" showErrorMessage="1" sqref="C10" xr:uid="{00000000-0002-0000-0600-000002000000}">
      <formula1>$Q$19:$Q$23</formula1>
    </dataValidation>
    <dataValidation type="list" allowBlank="1" showInputMessage="1" showErrorMessage="1" sqref="C11" xr:uid="{00000000-0002-0000-0600-000003000000}">
      <formula1>$Q$24:$Q$28</formula1>
    </dataValidation>
    <dataValidation type="list" allowBlank="1" showInputMessage="1" showErrorMessage="1" sqref="C12" xr:uid="{00000000-0002-0000-0600-000004000000}">
      <formula1>$Q$29:$Q$33</formula1>
    </dataValidation>
    <dataValidation type="list" allowBlank="1" showInputMessage="1" showErrorMessage="1" sqref="C13" xr:uid="{00000000-0002-0000-0600-000005000000}">
      <formula1>$Q$34:$Q$35</formula1>
    </dataValidation>
    <dataValidation type="list" allowBlank="1" showInputMessage="1" showErrorMessage="1" sqref="C15" xr:uid="{00000000-0002-0000-0600-000006000000}">
      <formula1>$Q$36:$Q$40</formula1>
    </dataValidation>
    <dataValidation type="list" allowBlank="1" showInputMessage="1" showErrorMessage="1" sqref="C14" xr:uid="{00000000-0002-0000-0600-000009000000}">
      <formula1>$Q$49:$Q$51</formula1>
    </dataValidation>
    <dataValidation type="list" allowBlank="1" showInputMessage="1" showErrorMessage="1" sqref="C20" xr:uid="{00000000-0002-0000-0600-00000A000000}">
      <formula1>$Q$52:$Q$55</formula1>
    </dataValidation>
    <dataValidation type="list" allowBlank="1" showInputMessage="1" showErrorMessage="1" sqref="C21" xr:uid="{00000000-0002-0000-0600-00000B000000}">
      <formula1>$Q$56:$Q$59</formula1>
    </dataValidation>
    <dataValidation type="list" allowBlank="1" showInputMessage="1" showErrorMessage="1" sqref="C22" xr:uid="{00000000-0002-0000-0600-00000C000000}">
      <formula1>$Q$60:$Q$61</formula1>
    </dataValidation>
    <dataValidation type="list" allowBlank="1" showInputMessage="1" showErrorMessage="1" sqref="C27 C19" xr:uid="{00000000-0002-0000-0600-00000D000000}">
      <formula1>$Q$97:$Q$102</formula1>
    </dataValidation>
    <dataValidation type="list" allowBlank="1" showInputMessage="1" showErrorMessage="1" sqref="C9" xr:uid="{00000000-0002-0000-0600-00000F000000}">
      <formula1>$Q$12:$Q$17</formula1>
    </dataValidation>
    <dataValidation type="list" allowBlank="1" showInputMessage="1" showErrorMessage="1" sqref="C17" xr:uid="{4D321F25-1F9B-4C3B-A1D1-126268A7911B}">
      <formula1>$Q$41:$Q$43</formula1>
    </dataValidation>
    <dataValidation type="list" allowBlank="1" showInputMessage="1" showErrorMessage="1" sqref="C16" xr:uid="{CB711611-9F6B-4F52-9E38-28E2B81A687E}">
      <formula1>$U$36:$U$38</formula1>
    </dataValidation>
    <dataValidation type="list" allowBlank="1" showInputMessage="1" showErrorMessage="1" sqref="C23" xr:uid="{0027347D-C91C-4C39-8121-3E1C95DE91DF}">
      <formula1>$Q$44:$Q$48</formula1>
    </dataValidation>
  </dataValidations>
  <pageMargins left="0.70866141732283472" right="0.70866141732283472" top="0.74803149606299213" bottom="0.74803149606299213" header="0.31496062992125984" footer="0.31496062992125984"/>
  <pageSetup paperSize="9" scale="18" orientation="landscape" r:id="rId1"/>
  <headerFooter>
    <oddFooter>&amp;CRSQ 02&amp;RRevision 6.0</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AA29"/>
  <sheetViews>
    <sheetView showGridLines="0" workbookViewId="0">
      <selection activeCell="I6" sqref="I6:M7"/>
    </sheetView>
  </sheetViews>
  <sheetFormatPr defaultRowHeight="12" x14ac:dyDescent="0.2"/>
  <cols>
    <col min="1" max="1" width="9.140625" style="119"/>
    <col min="2" max="2" width="44.7109375" style="119" customWidth="1"/>
    <col min="3" max="3" width="49.140625" style="119" customWidth="1"/>
    <col min="4" max="4" width="81.42578125" style="119" customWidth="1"/>
    <col min="5" max="6" width="9.140625" style="119"/>
    <col min="7" max="20" width="9.140625" style="100"/>
    <col min="21" max="23" width="9.140625" style="156"/>
    <col min="24" max="27" width="9.140625" style="100"/>
    <col min="28" max="16384" width="9.140625" style="119"/>
  </cols>
  <sheetData>
    <row r="1" spans="1:16" x14ac:dyDescent="0.2">
      <c r="A1" s="144"/>
      <c r="B1" s="467" t="s">
        <v>205</v>
      </c>
      <c r="C1" s="467"/>
      <c r="D1" s="467"/>
      <c r="E1" s="467"/>
      <c r="F1" s="467"/>
    </row>
    <row r="2" spans="1:16" ht="12.75" thickBot="1" x14ac:dyDescent="0.25">
      <c r="A2" s="144"/>
      <c r="B2" s="144"/>
      <c r="C2" s="144"/>
      <c r="D2" s="144"/>
      <c r="E2" s="144"/>
      <c r="F2" s="144"/>
    </row>
    <row r="3" spans="1:16" x14ac:dyDescent="0.2">
      <c r="A3" s="144"/>
      <c r="B3" s="468" t="s">
        <v>205</v>
      </c>
      <c r="C3" s="474" t="s">
        <v>10</v>
      </c>
      <c r="D3" s="485" t="s">
        <v>115</v>
      </c>
      <c r="E3" s="486"/>
      <c r="F3" s="487"/>
    </row>
    <row r="4" spans="1:16" x14ac:dyDescent="0.2">
      <c r="A4" s="144"/>
      <c r="B4" s="469"/>
      <c r="C4" s="475"/>
      <c r="D4" s="488"/>
      <c r="E4" s="489"/>
      <c r="F4" s="490"/>
    </row>
    <row r="5" spans="1:16" ht="12.75" thickBot="1" x14ac:dyDescent="0.25">
      <c r="A5" s="144"/>
      <c r="B5" s="470"/>
      <c r="C5" s="475"/>
      <c r="D5" s="488"/>
      <c r="E5" s="489"/>
      <c r="F5" s="490"/>
    </row>
    <row r="6" spans="1:16" x14ac:dyDescent="0.2">
      <c r="A6" s="144"/>
      <c r="B6" s="158" t="s">
        <v>18</v>
      </c>
      <c r="C6" s="177"/>
      <c r="D6" s="480"/>
      <c r="E6" s="480"/>
      <c r="F6" s="481"/>
    </row>
    <row r="7" spans="1:16" x14ac:dyDescent="0.2">
      <c r="A7" s="144"/>
      <c r="B7" s="158" t="s">
        <v>362</v>
      </c>
      <c r="C7" s="177"/>
      <c r="D7" s="552"/>
      <c r="E7" s="553"/>
      <c r="F7" s="554"/>
    </row>
    <row r="8" spans="1:16" x14ac:dyDescent="0.2">
      <c r="A8" s="144"/>
      <c r="B8" s="15" t="s">
        <v>360</v>
      </c>
      <c r="C8" s="177"/>
      <c r="D8" s="480"/>
      <c r="E8" s="480"/>
      <c r="F8" s="481"/>
    </row>
    <row r="9" spans="1:16" ht="48.75" thickBot="1" x14ac:dyDescent="0.25">
      <c r="A9" s="144"/>
      <c r="B9" s="15" t="s">
        <v>361</v>
      </c>
      <c r="C9" s="177"/>
      <c r="D9" s="480"/>
      <c r="E9" s="480"/>
      <c r="F9" s="481"/>
    </row>
    <row r="10" spans="1:16" ht="12.75" thickBot="1" x14ac:dyDescent="0.25">
      <c r="A10" s="144"/>
      <c r="B10" s="159" t="s">
        <v>12</v>
      </c>
      <c r="C10" s="162"/>
      <c r="D10" s="549"/>
      <c r="E10" s="550"/>
      <c r="F10" s="551"/>
      <c r="K10" s="100" t="s">
        <v>194</v>
      </c>
      <c r="L10" s="154" t="str">
        <f>IF($C$6=K10,M10,"0")</f>
        <v>0</v>
      </c>
      <c r="M10" s="100">
        <v>1</v>
      </c>
    </row>
    <row r="11" spans="1:16" x14ac:dyDescent="0.2">
      <c r="B11" s="160"/>
      <c r="C11" s="178"/>
      <c r="D11" s="495"/>
      <c r="E11" s="495"/>
      <c r="F11" s="496"/>
      <c r="K11" s="100" t="s">
        <v>195</v>
      </c>
      <c r="L11" s="154" t="str">
        <f>IF($C$6=K11,M11,"0")</f>
        <v>0</v>
      </c>
      <c r="M11" s="100">
        <v>6</v>
      </c>
      <c r="O11" s="100">
        <f>IF(C7="",0,P11)</f>
        <v>0</v>
      </c>
      <c r="P11" s="100">
        <f>IF(C7=K10,1,6)</f>
        <v>6</v>
      </c>
    </row>
    <row r="12" spans="1:16" x14ac:dyDescent="0.2">
      <c r="B12" s="161"/>
      <c r="C12" s="177"/>
      <c r="D12" s="480"/>
      <c r="E12" s="480"/>
      <c r="F12" s="481"/>
      <c r="K12" s="100" t="s">
        <v>194</v>
      </c>
      <c r="L12" s="154" t="str">
        <f>IF($C$8=K12,M12,"0")</f>
        <v>0</v>
      </c>
      <c r="M12" s="100">
        <v>1</v>
      </c>
    </row>
    <row r="13" spans="1:16" ht="15" customHeight="1" x14ac:dyDescent="0.2">
      <c r="B13" s="150"/>
      <c r="C13" s="177"/>
      <c r="D13" s="480"/>
      <c r="E13" s="480"/>
      <c r="F13" s="481"/>
      <c r="K13" s="100" t="s">
        <v>195</v>
      </c>
      <c r="L13" s="154" t="str">
        <f>IF($C$8=K13,M13,"0")</f>
        <v>0</v>
      </c>
      <c r="M13" s="100">
        <v>6</v>
      </c>
    </row>
    <row r="14" spans="1:16" x14ac:dyDescent="0.2">
      <c r="B14" s="150"/>
      <c r="C14" s="177"/>
      <c r="D14" s="480"/>
      <c r="E14" s="480"/>
      <c r="F14" s="481"/>
      <c r="L14" s="154"/>
    </row>
    <row r="15" spans="1:16" ht="24.75" thickBot="1" x14ac:dyDescent="0.25">
      <c r="B15" s="151"/>
      <c r="C15" s="176"/>
      <c r="D15" s="472"/>
      <c r="E15" s="472"/>
      <c r="F15" s="473"/>
      <c r="K15" s="100" t="s">
        <v>196</v>
      </c>
      <c r="L15" s="154" t="str">
        <f>IF($C$9=K15,M15,"0")</f>
        <v>0</v>
      </c>
      <c r="M15" s="100">
        <v>1</v>
      </c>
    </row>
    <row r="16" spans="1:16" ht="18.75" customHeight="1" thickBot="1" x14ac:dyDescent="0.25">
      <c r="A16" s="144"/>
      <c r="B16" s="145" t="s">
        <v>114</v>
      </c>
      <c r="C16" s="146">
        <f>L23</f>
        <v>0</v>
      </c>
      <c r="D16" s="477" t="str">
        <f>IF(C16&lt;50%, "Approved", "Not Approved")</f>
        <v>Approved</v>
      </c>
      <c r="E16" s="477"/>
      <c r="F16" s="478"/>
      <c r="K16" s="100" t="s">
        <v>197</v>
      </c>
      <c r="L16" s="154" t="str">
        <f t="shared" ref="L16:L19" si="0">IF($C$9=K16,M16,"0")</f>
        <v>0</v>
      </c>
      <c r="M16" s="100">
        <v>2</v>
      </c>
    </row>
    <row r="17" spans="1:13" ht="228" x14ac:dyDescent="0.2">
      <c r="A17" s="144"/>
      <c r="B17" s="144"/>
      <c r="C17" s="144"/>
      <c r="D17" s="144"/>
      <c r="E17" s="144"/>
      <c r="F17" s="144"/>
      <c r="K17" s="100" t="s">
        <v>198</v>
      </c>
      <c r="L17" s="154" t="str">
        <f t="shared" si="0"/>
        <v>0</v>
      </c>
      <c r="M17" s="100">
        <v>3</v>
      </c>
    </row>
    <row r="18" spans="1:13" ht="108" x14ac:dyDescent="0.2">
      <c r="A18" s="144"/>
      <c r="B18" s="144"/>
      <c r="C18" s="144"/>
      <c r="D18" s="144"/>
      <c r="E18" s="144"/>
      <c r="F18" s="144"/>
      <c r="K18" s="100" t="s">
        <v>199</v>
      </c>
      <c r="L18" s="154" t="str">
        <f t="shared" si="0"/>
        <v>0</v>
      </c>
      <c r="M18" s="100">
        <v>4</v>
      </c>
    </row>
    <row r="19" spans="1:13" ht="72" x14ac:dyDescent="0.2">
      <c r="A19" s="144"/>
      <c r="B19" s="144"/>
      <c r="C19" s="144"/>
      <c r="D19" s="144"/>
      <c r="E19" s="144"/>
      <c r="F19" s="144"/>
      <c r="K19" s="100" t="s">
        <v>200</v>
      </c>
      <c r="L19" s="154" t="str">
        <f t="shared" si="0"/>
        <v>0</v>
      </c>
      <c r="M19" s="100">
        <v>6</v>
      </c>
    </row>
    <row r="20" spans="1:13" x14ac:dyDescent="0.2">
      <c r="A20" s="144"/>
      <c r="B20" s="144"/>
      <c r="C20" s="144"/>
      <c r="D20" s="144"/>
      <c r="E20" s="144"/>
      <c r="F20" s="144"/>
    </row>
    <row r="21" spans="1:13" x14ac:dyDescent="0.2">
      <c r="A21" s="144"/>
      <c r="B21" s="144"/>
      <c r="C21" s="144"/>
      <c r="D21" s="144"/>
      <c r="E21" s="144"/>
      <c r="F21" s="144"/>
      <c r="L21" s="154">
        <f>SUM(L10:L19)+O11</f>
        <v>0</v>
      </c>
    </row>
    <row r="22" spans="1:13" x14ac:dyDescent="0.2">
      <c r="A22" s="144"/>
      <c r="B22" s="144"/>
      <c r="C22" s="144"/>
      <c r="D22" s="144"/>
      <c r="E22" s="144"/>
      <c r="F22" s="144"/>
    </row>
    <row r="23" spans="1:13" x14ac:dyDescent="0.2">
      <c r="A23" s="144"/>
      <c r="B23" s="144"/>
      <c r="C23" s="144"/>
      <c r="D23" s="144"/>
      <c r="E23" s="144"/>
      <c r="F23" s="144"/>
      <c r="L23" s="155">
        <f>L21/24</f>
        <v>0</v>
      </c>
    </row>
    <row r="25" spans="1:13" x14ac:dyDescent="0.2">
      <c r="K25" s="100">
        <f>IF(C6="",1,0)</f>
        <v>1</v>
      </c>
    </row>
    <row r="26" spans="1:13" x14ac:dyDescent="0.2">
      <c r="K26" s="100">
        <f t="shared" ref="K26:K28" si="1">IF(C7="",1,0)</f>
        <v>1</v>
      </c>
    </row>
    <row r="27" spans="1:13" x14ac:dyDescent="0.2">
      <c r="K27" s="100">
        <f t="shared" si="1"/>
        <v>1</v>
      </c>
    </row>
    <row r="28" spans="1:13" x14ac:dyDescent="0.2">
      <c r="K28" s="100">
        <f t="shared" si="1"/>
        <v>1</v>
      </c>
    </row>
    <row r="29" spans="1:13" x14ac:dyDescent="0.2">
      <c r="K29" s="100">
        <f>SUM(K25:K28)</f>
        <v>4</v>
      </c>
    </row>
  </sheetData>
  <sheetProtection algorithmName="SHA-512" hashValue="vPi4/9DiUxet47Tt05COzyM46y/WqwPdZyHgB9q+180zM1PrOlUGqNiAxmG9mK8Ap+S0x4FiSSzFVO+6BIvKRA==" saltValue="ak8tRqssu+KW3nQzrze9mw==" spinCount="100000" sheet="1" objects="1" scenarios="1"/>
  <mergeCells count="15">
    <mergeCell ref="D7:F7"/>
    <mergeCell ref="B1:F1"/>
    <mergeCell ref="B3:B5"/>
    <mergeCell ref="C3:C5"/>
    <mergeCell ref="D3:F5"/>
    <mergeCell ref="D6:F6"/>
    <mergeCell ref="D8:F8"/>
    <mergeCell ref="D14:F14"/>
    <mergeCell ref="D15:F15"/>
    <mergeCell ref="D16:F16"/>
    <mergeCell ref="D13:F13"/>
    <mergeCell ref="D9:F9"/>
    <mergeCell ref="D11:F11"/>
    <mergeCell ref="D12:F12"/>
    <mergeCell ref="D10:F10"/>
  </mergeCells>
  <conditionalFormatting sqref="D16:F16">
    <cfRule type="cellIs" dxfId="19" priority="1" operator="equal">
      <formula>"Approved"</formula>
    </cfRule>
  </conditionalFormatting>
  <dataValidations count="3">
    <dataValidation type="list" allowBlank="1" showInputMessage="1" showErrorMessage="1" sqref="C11" xr:uid="{00000000-0002-0000-0700-000000000000}">
      <formula1>#REF!</formula1>
    </dataValidation>
    <dataValidation type="list" allowBlank="1" showInputMessage="1" showErrorMessage="1" sqref="C9" xr:uid="{00000000-0002-0000-0700-000002000000}">
      <formula1>$K$15:$K$19</formula1>
    </dataValidation>
    <dataValidation type="list" allowBlank="1" showInputMessage="1" showErrorMessage="1" sqref="C6:C8" xr:uid="{00000000-0002-0000-0700-000001000000}">
      <formula1>$K$12:$K$13</formula1>
    </dataValidation>
  </dataValidations>
  <pageMargins left="0.70866141732283472" right="0.70866141732283472" top="0.74803149606299213" bottom="0.74803149606299213" header="0.31496062992125984" footer="0.31496062992125984"/>
  <pageSetup paperSize="9" scale="44" orientation="landscape" r:id="rId1"/>
  <headerFooter>
    <oddFooter>&amp;CRSQ 02&amp;RRevision 6.0</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F40"/>
  <sheetViews>
    <sheetView showGridLines="0" topLeftCell="A4" workbookViewId="0">
      <selection activeCell="I6" sqref="I6:M7"/>
    </sheetView>
  </sheetViews>
  <sheetFormatPr defaultRowHeight="12" x14ac:dyDescent="0.2"/>
  <cols>
    <col min="1" max="1" width="9.140625" style="119"/>
    <col min="2" max="2" width="42.7109375" style="119" customWidth="1"/>
    <col min="3" max="3" width="40.7109375" style="119" customWidth="1"/>
    <col min="4" max="5" width="9.140625" style="119"/>
    <col min="6" max="6" width="72.28515625" style="119" customWidth="1"/>
    <col min="7" max="7" width="23.5703125" style="100" customWidth="1"/>
    <col min="8" max="28" width="9.140625" style="100"/>
    <col min="29" max="32" width="9.140625" style="195"/>
    <col min="33" max="16384" width="9.140625" style="119"/>
  </cols>
  <sheetData>
    <row r="1" spans="1:15" x14ac:dyDescent="0.2">
      <c r="A1" s="144"/>
      <c r="B1" s="144"/>
      <c r="C1" s="144"/>
      <c r="D1" s="144"/>
      <c r="E1" s="144"/>
      <c r="F1" s="144"/>
    </row>
    <row r="2" spans="1:15" x14ac:dyDescent="0.2">
      <c r="A2" s="144"/>
      <c r="B2" s="467" t="s">
        <v>206</v>
      </c>
      <c r="C2" s="467"/>
      <c r="D2" s="467"/>
      <c r="E2" s="467"/>
      <c r="F2" s="467"/>
    </row>
    <row r="3" spans="1:15" ht="12.75" thickBot="1" x14ac:dyDescent="0.25">
      <c r="A3" s="144"/>
      <c r="B3" s="144"/>
      <c r="C3" s="144"/>
      <c r="D3" s="144"/>
      <c r="E3" s="144"/>
      <c r="F3" s="144"/>
    </row>
    <row r="4" spans="1:15" x14ac:dyDescent="0.2">
      <c r="A4" s="144"/>
      <c r="B4" s="468" t="s">
        <v>206</v>
      </c>
      <c r="C4" s="474" t="s">
        <v>10</v>
      </c>
      <c r="D4" s="485" t="s">
        <v>115</v>
      </c>
      <c r="E4" s="486"/>
      <c r="F4" s="487"/>
      <c r="J4" s="100" t="s">
        <v>140</v>
      </c>
      <c r="K4" s="100">
        <f>IF(C17="",0,O4)</f>
        <v>0</v>
      </c>
      <c r="L4" s="100">
        <v>1</v>
      </c>
      <c r="M4" s="100">
        <f>IF(C13="",0,N4)</f>
        <v>0</v>
      </c>
      <c r="N4" s="100">
        <f>IF(C13="1. Yes",1,6)</f>
        <v>6</v>
      </c>
      <c r="O4" s="100">
        <f>IF(C17=J4,1,6)</f>
        <v>6</v>
      </c>
    </row>
    <row r="5" spans="1:15" x14ac:dyDescent="0.2">
      <c r="A5" s="144"/>
      <c r="B5" s="469"/>
      <c r="C5" s="475"/>
      <c r="D5" s="488"/>
      <c r="E5" s="489"/>
      <c r="F5" s="490"/>
      <c r="J5" s="100" t="s">
        <v>341</v>
      </c>
      <c r="L5" s="100">
        <v>6</v>
      </c>
    </row>
    <row r="6" spans="1:15" ht="48" x14ac:dyDescent="0.2">
      <c r="A6" s="144"/>
      <c r="B6" s="469"/>
      <c r="C6" s="475"/>
      <c r="D6" s="488"/>
      <c r="E6" s="489"/>
      <c r="F6" s="490"/>
      <c r="J6" s="100" t="s">
        <v>255</v>
      </c>
      <c r="K6" s="100">
        <f>IF($C$15=J6,L6,0)</f>
        <v>0</v>
      </c>
      <c r="L6" s="100">
        <v>1</v>
      </c>
    </row>
    <row r="7" spans="1:15" ht="50.1" customHeight="1" x14ac:dyDescent="0.2">
      <c r="A7" s="144"/>
      <c r="B7" s="197" t="s">
        <v>359</v>
      </c>
      <c r="C7" s="163"/>
      <c r="D7" s="556"/>
      <c r="E7" s="557"/>
      <c r="F7" s="558"/>
      <c r="J7" s="100" t="s">
        <v>256</v>
      </c>
      <c r="K7" s="100">
        <f t="shared" ref="K7:K11" si="0">IF($C$15=J7,L7,0)</f>
        <v>0</v>
      </c>
      <c r="L7" s="100">
        <v>2</v>
      </c>
    </row>
    <row r="8" spans="1:15" ht="50.1" customHeight="1" x14ac:dyDescent="0.2">
      <c r="A8" s="144"/>
      <c r="B8" s="54" t="s">
        <v>22</v>
      </c>
      <c r="C8" s="179"/>
      <c r="D8" s="556"/>
      <c r="E8" s="557"/>
      <c r="F8" s="558"/>
      <c r="J8" s="100" t="s">
        <v>257</v>
      </c>
      <c r="K8" s="100">
        <f t="shared" si="0"/>
        <v>0</v>
      </c>
      <c r="L8" s="100">
        <v>3</v>
      </c>
    </row>
    <row r="9" spans="1:15" ht="50.1" customHeight="1" x14ac:dyDescent="0.2">
      <c r="A9" s="144"/>
      <c r="B9" s="54" t="s">
        <v>24</v>
      </c>
      <c r="C9" s="164"/>
      <c r="D9" s="556"/>
      <c r="E9" s="557"/>
      <c r="F9" s="558"/>
      <c r="J9" s="100" t="s">
        <v>258</v>
      </c>
      <c r="K9" s="100">
        <f t="shared" si="0"/>
        <v>0</v>
      </c>
      <c r="L9" s="100">
        <v>4</v>
      </c>
    </row>
    <row r="10" spans="1:15" ht="50.1" customHeight="1" x14ac:dyDescent="0.2">
      <c r="A10" s="144"/>
      <c r="B10" s="54" t="s">
        <v>23</v>
      </c>
      <c r="C10" s="179"/>
      <c r="D10" s="559"/>
      <c r="E10" s="559"/>
      <c r="F10" s="565"/>
      <c r="J10" s="100" t="s">
        <v>259</v>
      </c>
      <c r="K10" s="100">
        <f t="shared" si="0"/>
        <v>0</v>
      </c>
      <c r="L10" s="100">
        <v>5</v>
      </c>
    </row>
    <row r="11" spans="1:15" ht="50.1" customHeight="1" x14ac:dyDescent="0.2">
      <c r="A11" s="144"/>
      <c r="B11" s="102" t="str">
        <f>IF(C11="6 = No", "No inspection report by V.Group staff in the last 3 months - Vessel not acceptable for entry to Management. A waiver will be required from the Group Director.", "Inspection report by V.Group staff in the last 3 months. (New Builds exempt)")</f>
        <v>Inspection report by V.Group staff in the last 3 months. (New Builds exempt)</v>
      </c>
      <c r="C11" s="179"/>
      <c r="D11" s="559" t="s">
        <v>366</v>
      </c>
      <c r="E11" s="559"/>
      <c r="F11" s="565"/>
      <c r="J11" s="100" t="s">
        <v>260</v>
      </c>
      <c r="K11" s="100">
        <f t="shared" si="0"/>
        <v>0</v>
      </c>
      <c r="L11" s="100">
        <v>6</v>
      </c>
    </row>
    <row r="12" spans="1:15" ht="50.1" customHeight="1" x14ac:dyDescent="0.2">
      <c r="A12" s="144"/>
      <c r="B12" s="55" t="s">
        <v>287</v>
      </c>
      <c r="C12" s="179"/>
      <c r="D12" s="559"/>
      <c r="E12" s="559"/>
      <c r="F12" s="565"/>
      <c r="G12" s="171">
        <v>43739</v>
      </c>
      <c r="J12" s="100" t="s">
        <v>308</v>
      </c>
      <c r="K12" s="100">
        <f t="shared" ref="K12:K17" si="1">IF($C$8=J12,L12,0)</f>
        <v>0</v>
      </c>
      <c r="L12" s="100">
        <v>1</v>
      </c>
    </row>
    <row r="13" spans="1:15" ht="50.1" customHeight="1" x14ac:dyDescent="0.2">
      <c r="A13" s="144"/>
      <c r="B13" s="55" t="str">
        <f ca="1">IF(G14&gt;0,"Low Sulphur 2020 Implementation plan MUST be on board","Has Low Sulphur 2020 Ship Implementation Plan been developed?")</f>
        <v>Low Sulphur 2020 Implementation plan MUST be on board</v>
      </c>
      <c r="C13" s="179"/>
      <c r="D13" s="556"/>
      <c r="E13" s="557"/>
      <c r="F13" s="558"/>
      <c r="G13" s="172">
        <f ca="1">NOW()</f>
        <v>44249.453597337961</v>
      </c>
      <c r="J13" s="100" t="s">
        <v>266</v>
      </c>
      <c r="K13" s="100">
        <f t="shared" si="1"/>
        <v>0</v>
      </c>
      <c r="L13" s="100">
        <v>2</v>
      </c>
    </row>
    <row r="14" spans="1:15" ht="50.1" customHeight="1" x14ac:dyDescent="0.2">
      <c r="A14" s="144"/>
      <c r="B14" s="34" t="s">
        <v>20</v>
      </c>
      <c r="C14" s="205">
        <f>'MD-GM-Business Development'!D14</f>
        <v>0</v>
      </c>
      <c r="D14" s="559"/>
      <c r="E14" s="559"/>
      <c r="F14" s="565"/>
      <c r="G14" s="173">
        <f ca="1">G13-G12</f>
        <v>510.45359733796067</v>
      </c>
      <c r="J14" s="100" t="s">
        <v>262</v>
      </c>
      <c r="K14" s="100">
        <f t="shared" si="1"/>
        <v>0</v>
      </c>
      <c r="L14" s="100">
        <v>3</v>
      </c>
    </row>
    <row r="15" spans="1:15" ht="50.1" customHeight="1" x14ac:dyDescent="0.2">
      <c r="A15" s="144"/>
      <c r="B15" s="185" t="s">
        <v>19</v>
      </c>
      <c r="C15" s="179"/>
      <c r="D15" s="556" t="s">
        <v>288</v>
      </c>
      <c r="E15" s="557"/>
      <c r="F15" s="558"/>
      <c r="J15" s="100" t="s">
        <v>263</v>
      </c>
      <c r="K15" s="100">
        <f t="shared" si="1"/>
        <v>0</v>
      </c>
      <c r="L15" s="100">
        <v>4</v>
      </c>
    </row>
    <row r="16" spans="1:15" ht="50.1" customHeight="1" x14ac:dyDescent="0.2">
      <c r="A16" s="144"/>
      <c r="B16" s="20" t="s">
        <v>12</v>
      </c>
      <c r="C16" s="180"/>
      <c r="D16" s="562"/>
      <c r="E16" s="563"/>
      <c r="F16" s="564"/>
      <c r="J16" s="100" t="s">
        <v>264</v>
      </c>
      <c r="K16" s="100">
        <f t="shared" si="1"/>
        <v>0</v>
      </c>
      <c r="L16" s="100">
        <v>5</v>
      </c>
    </row>
    <row r="17" spans="1:13" ht="149.25" customHeight="1" x14ac:dyDescent="0.2">
      <c r="A17" s="144"/>
      <c r="B17" s="55" t="s">
        <v>289</v>
      </c>
      <c r="C17" s="179"/>
      <c r="D17" s="566" t="s">
        <v>329</v>
      </c>
      <c r="E17" s="559"/>
      <c r="F17" s="565"/>
      <c r="J17" s="100" t="s">
        <v>267</v>
      </c>
      <c r="K17" s="100">
        <f t="shared" si="1"/>
        <v>0</v>
      </c>
      <c r="L17" s="100">
        <v>6</v>
      </c>
    </row>
    <row r="18" spans="1:13" ht="50.1" customHeight="1" thickBot="1" x14ac:dyDescent="0.25">
      <c r="A18" s="144"/>
      <c r="B18" s="165" t="s">
        <v>407</v>
      </c>
      <c r="C18" s="163"/>
      <c r="D18" s="559"/>
      <c r="E18" s="559"/>
      <c r="F18" s="559"/>
      <c r="J18" s="100" t="s">
        <v>309</v>
      </c>
      <c r="K18" s="100">
        <f>IF($C$9=J18,L18,0)</f>
        <v>0</v>
      </c>
      <c r="L18" s="100">
        <v>1</v>
      </c>
    </row>
    <row r="19" spans="1:13" ht="50.1" customHeight="1" thickBot="1" x14ac:dyDescent="0.25">
      <c r="A19" s="144"/>
      <c r="B19" s="166" t="s">
        <v>114</v>
      </c>
      <c r="C19" s="167">
        <f>K27</f>
        <v>0</v>
      </c>
      <c r="D19" s="560" t="str">
        <f>IF(C19&lt;50%, "Approved", "Not Approved")</f>
        <v>Approved</v>
      </c>
      <c r="E19" s="560"/>
      <c r="F19" s="561"/>
      <c r="J19" s="100" t="s">
        <v>268</v>
      </c>
      <c r="K19" s="100">
        <f t="shared" ref="K19:K20" si="2">IF($C$9=J19,L19,0)</f>
        <v>0</v>
      </c>
      <c r="L19" s="100">
        <v>3</v>
      </c>
    </row>
    <row r="20" spans="1:13" ht="48" x14ac:dyDescent="0.2">
      <c r="A20" s="144"/>
      <c r="B20" s="144"/>
      <c r="C20" s="144"/>
      <c r="D20" s="144"/>
      <c r="E20" s="144"/>
      <c r="F20" s="144"/>
      <c r="J20" s="100" t="s">
        <v>269</v>
      </c>
      <c r="K20" s="100">
        <f t="shared" si="2"/>
        <v>0</v>
      </c>
      <c r="L20" s="100">
        <v>6</v>
      </c>
    </row>
    <row r="21" spans="1:13" ht="60" x14ac:dyDescent="0.2">
      <c r="A21" s="144"/>
      <c r="B21" s="144"/>
      <c r="C21" s="144"/>
      <c r="D21" s="144"/>
      <c r="E21" s="144"/>
      <c r="F21" s="144"/>
      <c r="J21" s="100" t="s">
        <v>310</v>
      </c>
      <c r="K21" s="100">
        <f>IF($C$10=J21,L21,0)</f>
        <v>0</v>
      </c>
      <c r="L21" s="100">
        <v>1</v>
      </c>
    </row>
    <row r="22" spans="1:13" ht="48" x14ac:dyDescent="0.2">
      <c r="A22" s="144"/>
      <c r="B22" s="144"/>
      <c r="C22" s="144"/>
      <c r="D22" s="144"/>
      <c r="E22" s="144"/>
      <c r="F22" s="144"/>
      <c r="J22" s="100" t="s">
        <v>270</v>
      </c>
      <c r="K22" s="100">
        <f>IF($C$10=J22,L22,0)</f>
        <v>0</v>
      </c>
      <c r="L22" s="100">
        <v>6</v>
      </c>
    </row>
    <row r="23" spans="1:13" ht="60" x14ac:dyDescent="0.2">
      <c r="A23" s="144"/>
      <c r="B23" s="555" t="s">
        <v>250</v>
      </c>
      <c r="C23" s="555"/>
      <c r="D23" s="144"/>
      <c r="E23" s="144"/>
      <c r="F23" s="144"/>
      <c r="J23" s="100" t="s">
        <v>309</v>
      </c>
      <c r="K23" s="100">
        <f>IF($C$11=J23,L23,0)</f>
        <v>0</v>
      </c>
      <c r="L23" s="100">
        <v>1</v>
      </c>
    </row>
    <row r="24" spans="1:13" x14ac:dyDescent="0.2">
      <c r="A24" s="144"/>
      <c r="B24" s="168" t="str">
        <f>'MD-GM-Business Development'!C14</f>
        <v>Pre-purchase inspection result</v>
      </c>
      <c r="C24" s="168">
        <f>'MD-GM-Business Development'!D14</f>
        <v>0</v>
      </c>
      <c r="D24" s="144"/>
      <c r="E24" s="144"/>
      <c r="F24" s="144"/>
      <c r="J24" s="100" t="s">
        <v>94</v>
      </c>
      <c r="K24" s="100">
        <f>IF($C$11=J24,L24,0)</f>
        <v>0</v>
      </c>
      <c r="L24" s="100">
        <v>6</v>
      </c>
    </row>
    <row r="25" spans="1:13" ht="24" x14ac:dyDescent="0.2">
      <c r="A25" s="144"/>
      <c r="B25" s="13" t="str">
        <f>'MD-GM-Business Development'!C23</f>
        <v>Familiarisation of assigned superintendents arranged?</v>
      </c>
      <c r="C25" s="13">
        <f>'MD-GM-Business Development'!D23</f>
        <v>0</v>
      </c>
      <c r="D25" s="144"/>
      <c r="E25" s="144"/>
      <c r="F25" s="144"/>
      <c r="K25" s="100">
        <f>IF(C12=J24,6,0)</f>
        <v>0</v>
      </c>
    </row>
    <row r="26" spans="1:13" x14ac:dyDescent="0.2">
      <c r="A26" s="144"/>
      <c r="B26" s="144"/>
      <c r="C26" s="144"/>
      <c r="D26" s="144"/>
      <c r="E26" s="144"/>
      <c r="F26" s="144"/>
      <c r="K26" s="100">
        <f>SUM(K6:K24)+K25+K4+L26</f>
        <v>0</v>
      </c>
      <c r="L26" s="100">
        <f>IF(C7="",0,M26)</f>
        <v>0</v>
      </c>
      <c r="M26" s="100">
        <f>IF(C7=J5,6,1)</f>
        <v>1</v>
      </c>
    </row>
    <row r="27" spans="1:13" x14ac:dyDescent="0.2">
      <c r="A27" s="144"/>
      <c r="B27" s="144"/>
      <c r="C27" s="144"/>
      <c r="D27" s="144"/>
      <c r="E27" s="144"/>
      <c r="F27" s="144"/>
      <c r="K27" s="155">
        <f>K26/48</f>
        <v>0</v>
      </c>
    </row>
    <row r="28" spans="1:13" x14ac:dyDescent="0.2">
      <c r="A28" s="144"/>
      <c r="B28" s="144"/>
      <c r="C28" s="144"/>
      <c r="D28" s="144"/>
      <c r="E28" s="144"/>
      <c r="F28" s="144"/>
      <c r="J28" s="100">
        <f>M4</f>
        <v>0</v>
      </c>
    </row>
    <row r="29" spans="1:13" x14ac:dyDescent="0.2">
      <c r="A29" s="144"/>
      <c r="B29" s="144"/>
      <c r="C29" s="144"/>
      <c r="D29" s="144"/>
      <c r="E29" s="144"/>
      <c r="F29" s="144"/>
      <c r="J29" s="100">
        <f>IF(C7="",1,0)</f>
        <v>1</v>
      </c>
    </row>
    <row r="30" spans="1:13" x14ac:dyDescent="0.2">
      <c r="A30" s="144"/>
      <c r="B30" s="144"/>
      <c r="C30" s="144"/>
      <c r="D30" s="144"/>
      <c r="E30" s="144"/>
      <c r="F30" s="144"/>
      <c r="J30" s="100">
        <f t="shared" ref="J30:J39" si="3">IF(C8="",1,0)</f>
        <v>1</v>
      </c>
    </row>
    <row r="31" spans="1:13" x14ac:dyDescent="0.2">
      <c r="A31" s="144"/>
      <c r="B31" s="144"/>
      <c r="C31" s="144"/>
      <c r="D31" s="144"/>
      <c r="E31" s="144"/>
      <c r="F31" s="144"/>
      <c r="J31" s="100">
        <f t="shared" si="3"/>
        <v>1</v>
      </c>
    </row>
    <row r="32" spans="1:13" x14ac:dyDescent="0.2">
      <c r="A32" s="144"/>
      <c r="J32" s="100">
        <f t="shared" si="3"/>
        <v>1</v>
      </c>
    </row>
    <row r="33" spans="10:10" x14ac:dyDescent="0.2">
      <c r="J33" s="100">
        <f t="shared" si="3"/>
        <v>1</v>
      </c>
    </row>
    <row r="34" spans="10:10" x14ac:dyDescent="0.2">
      <c r="J34" s="100">
        <f t="shared" si="3"/>
        <v>1</v>
      </c>
    </row>
    <row r="35" spans="10:10" x14ac:dyDescent="0.2">
      <c r="J35" s="100">
        <f t="shared" si="3"/>
        <v>1</v>
      </c>
    </row>
    <row r="36" spans="10:10" x14ac:dyDescent="0.2">
      <c r="J36" s="100">
        <f t="shared" si="3"/>
        <v>0</v>
      </c>
    </row>
    <row r="37" spans="10:10" x14ac:dyDescent="0.2">
      <c r="J37" s="100">
        <f t="shared" si="3"/>
        <v>1</v>
      </c>
    </row>
    <row r="39" spans="10:10" x14ac:dyDescent="0.2">
      <c r="J39" s="100">
        <f t="shared" si="3"/>
        <v>1</v>
      </c>
    </row>
    <row r="40" spans="10:10" x14ac:dyDescent="0.2">
      <c r="J40" s="100">
        <f>SUM(J29:J39)</f>
        <v>9</v>
      </c>
    </row>
  </sheetData>
  <sheetProtection algorithmName="SHA-512" hashValue="l1JkhQmcct2CMC3VhloBmUMzSr7f2lZJmVKcUcFLq4zwyf46TG6VFPpMNQrm5yA9lfiu2Yq50Qz1EPdYHHy80w==" saltValue="aKLMPEVBSvTySeRTy4vj9Q==" spinCount="100000" sheet="1" objects="1" scenarios="1"/>
  <mergeCells count="18">
    <mergeCell ref="B2:F2"/>
    <mergeCell ref="D12:F12"/>
    <mergeCell ref="D7:F7"/>
    <mergeCell ref="D8:F8"/>
    <mergeCell ref="D9:F9"/>
    <mergeCell ref="B4:B6"/>
    <mergeCell ref="C4:C6"/>
    <mergeCell ref="D4:F6"/>
    <mergeCell ref="D10:F10"/>
    <mergeCell ref="D11:F11"/>
    <mergeCell ref="B23:C23"/>
    <mergeCell ref="D13:F13"/>
    <mergeCell ref="D18:F18"/>
    <mergeCell ref="D19:F19"/>
    <mergeCell ref="D16:F16"/>
    <mergeCell ref="D14:F14"/>
    <mergeCell ref="D15:F15"/>
    <mergeCell ref="D17:F17"/>
  </mergeCells>
  <conditionalFormatting sqref="D19:F19">
    <cfRule type="cellIs" dxfId="18" priority="2" operator="equal">
      <formula>"Approved"</formula>
    </cfRule>
  </conditionalFormatting>
  <conditionalFormatting sqref="B11">
    <cfRule type="cellIs" dxfId="17" priority="1" operator="equal">
      <formula>"No inspection report by V.Group staff in the last 3 months - Vessel not acceptable for entry to Management. A waiver will be required from the Group Director."</formula>
    </cfRule>
  </conditionalFormatting>
  <dataValidations count="6">
    <dataValidation type="list" allowBlank="1" showInputMessage="1" showErrorMessage="1" sqref="C15" xr:uid="{00000000-0002-0000-0800-000000000000}">
      <formula1>$J$6:$J$11</formula1>
    </dataValidation>
    <dataValidation type="list" allowBlank="1" showInputMessage="1" showErrorMessage="1" sqref="C8" xr:uid="{00000000-0002-0000-0800-000001000000}">
      <formula1>$J$12:$J$17</formula1>
    </dataValidation>
    <dataValidation type="list" allowBlank="1" showInputMessage="1" showErrorMessage="1" sqref="C9" xr:uid="{00000000-0002-0000-0800-000002000000}">
      <formula1>$J$18:$J$20</formula1>
    </dataValidation>
    <dataValidation type="list" allowBlank="1" showInputMessage="1" showErrorMessage="1" sqref="C10" xr:uid="{00000000-0002-0000-0800-000003000000}">
      <formula1>$J$21:$J$22</formula1>
    </dataValidation>
    <dataValidation type="list" allowBlank="1" showInputMessage="1" showErrorMessage="1" sqref="C11:C12" xr:uid="{00000000-0002-0000-0800-000004000000}">
      <formula1>$J$23:$J$24</formula1>
    </dataValidation>
    <dataValidation type="list" allowBlank="1" showInputMessage="1" showErrorMessage="1" sqref="C17:C18 C13 C7" xr:uid="{00000000-0002-0000-0800-000005000000}">
      <formula1>$J$4:$J$5</formula1>
    </dataValidation>
  </dataValidations>
  <pageMargins left="0.70866141732283472" right="0.70866141732283472" top="0.74803149606299213" bottom="0.74803149606299213" header="0.31496062992125984" footer="0.31496062992125984"/>
  <pageSetup paperSize="9" scale="39" orientation="landscape" r:id="rId1"/>
  <headerFooter>
    <oddFooter>&amp;CRSQ 02&amp;RRevision 6.0</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Introduction</vt:lpstr>
      <vt:lpstr>MD-GM-Business Development</vt:lpstr>
      <vt:lpstr>Minimum Criteria</vt:lpstr>
      <vt:lpstr>Additional Measures</vt:lpstr>
      <vt:lpstr>Client Financial Background</vt:lpstr>
      <vt:lpstr> HSSEQ Tab</vt:lpstr>
      <vt:lpstr>Crewing</vt:lpstr>
      <vt:lpstr>Insurance &amp; Legal</vt:lpstr>
      <vt:lpstr>Technical</vt:lpstr>
      <vt:lpstr>Summary</vt:lpstr>
      <vt:lpstr>For HSSEQ Department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Dave</dc:creator>
  <cp:lastModifiedBy>Coromines, Sylvie</cp:lastModifiedBy>
  <cp:lastPrinted>2021-02-22T09:54:03Z</cp:lastPrinted>
  <dcterms:created xsi:type="dcterms:W3CDTF">2018-12-19T16:50:22Z</dcterms:created>
  <dcterms:modified xsi:type="dcterms:W3CDTF">2021-02-22T09:54:06Z</dcterms:modified>
</cp:coreProperties>
</file>