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605" tabRatio="731"/>
  </bookViews>
  <sheets>
    <sheet name="Introduction" sheetId="19" r:id="rId1"/>
    <sheet name="MD-GM-Business Development" sheetId="1" r:id="rId2"/>
    <sheet name="Minimum Criteria" sheetId="12" r:id="rId3"/>
    <sheet name="Additional Measures" sheetId="13" r:id="rId4"/>
    <sheet name="Client Financial Background" sheetId="5" r:id="rId5"/>
    <sheet name=" HSEQ Tab" sheetId="15" r:id="rId6"/>
    <sheet name="Crewing" sheetId="8" r:id="rId7"/>
    <sheet name="Summary" sheetId="17" r:id="rId8"/>
  </sheets>
  <calcPr calcId="145621"/>
</workbook>
</file>

<file path=xl/calcChain.xml><?xml version="1.0" encoding="utf-8"?>
<calcChain xmlns="http://schemas.openxmlformats.org/spreadsheetml/2006/main">
  <c r="R62" i="8" l="1"/>
  <c r="I8" i="15"/>
  <c r="H3" i="1"/>
  <c r="E22" i="1" l="1"/>
  <c r="Q79" i="8"/>
  <c r="Q78" i="8"/>
  <c r="J2" i="5" l="1"/>
  <c r="E7" i="1" l="1"/>
  <c r="E3" i="17" s="1"/>
  <c r="B14" i="8" l="1"/>
  <c r="W28" i="12" l="1"/>
  <c r="X28" i="12"/>
  <c r="Y28" i="12" s="1"/>
  <c r="H28" i="12" s="1"/>
  <c r="I28" i="12" s="1"/>
  <c r="J28" i="12" s="1"/>
  <c r="AA28" i="12"/>
  <c r="B28" i="12"/>
  <c r="B27" i="12"/>
  <c r="B26" i="12"/>
  <c r="Z13" i="12"/>
  <c r="Z14" i="12"/>
  <c r="Z15" i="12"/>
  <c r="Z16" i="12"/>
  <c r="Z17" i="12"/>
  <c r="Z18" i="12"/>
  <c r="Z19" i="12"/>
  <c r="Z20" i="12"/>
  <c r="Z21" i="12"/>
  <c r="Z22" i="12"/>
  <c r="Z26" i="12"/>
  <c r="Z12" i="12"/>
  <c r="Q66" i="8"/>
  <c r="Q67" i="8"/>
  <c r="Q68" i="8"/>
  <c r="Q69" i="8"/>
  <c r="Q70" i="8"/>
  <c r="Q71" i="8"/>
  <c r="Q72" i="8"/>
  <c r="Q73" i="8"/>
  <c r="Q74" i="8"/>
  <c r="Q75" i="8"/>
  <c r="Q76" i="8"/>
  <c r="Q77" i="8"/>
  <c r="Q65" i="8"/>
  <c r="L50" i="15"/>
  <c r="L51" i="15"/>
  <c r="L52" i="15"/>
  <c r="L53" i="15"/>
  <c r="L49" i="15"/>
  <c r="I32" i="5"/>
  <c r="I33" i="5"/>
  <c r="I34" i="5"/>
  <c r="I35" i="5"/>
  <c r="I31" i="5"/>
  <c r="L47" i="15"/>
  <c r="L48" i="15"/>
  <c r="L46" i="15"/>
  <c r="G52" i="1"/>
  <c r="G61" i="1"/>
  <c r="G64" i="1"/>
  <c r="G65" i="1"/>
  <c r="G51" i="1"/>
  <c r="H45" i="1"/>
  <c r="H44" i="1"/>
  <c r="Q80" i="8" l="1"/>
  <c r="B25" i="13"/>
  <c r="A25" i="13" s="1"/>
  <c r="I37" i="5"/>
  <c r="L55" i="15"/>
  <c r="G67" i="1"/>
  <c r="Q59" i="8"/>
  <c r="J14" i="17"/>
  <c r="E17" i="1"/>
  <c r="Z8" i="12" l="1"/>
  <c r="H6" i="1"/>
  <c r="H5" i="1"/>
  <c r="C10" i="1"/>
  <c r="Z7" i="12"/>
  <c r="Z6" i="12"/>
  <c r="W7" i="12"/>
  <c r="W8" i="12"/>
  <c r="W12" i="12"/>
  <c r="W13" i="12"/>
  <c r="W14" i="12"/>
  <c r="W15" i="12"/>
  <c r="W16" i="12"/>
  <c r="W17" i="12"/>
  <c r="W18" i="12"/>
  <c r="W19" i="12"/>
  <c r="W20" i="12"/>
  <c r="W21" i="12"/>
  <c r="W22" i="12"/>
  <c r="W26" i="12"/>
  <c r="W27" i="12"/>
  <c r="W6" i="12"/>
  <c r="U13" i="12"/>
  <c r="U12" i="12"/>
  <c r="U11" i="12"/>
  <c r="U10" i="12"/>
  <c r="U9" i="12"/>
  <c r="U8" i="12"/>
  <c r="AA14" i="12" l="1"/>
  <c r="AA16" i="12"/>
  <c r="AA18" i="12"/>
  <c r="AB18" i="12" s="1"/>
  <c r="AA20" i="12"/>
  <c r="AB20" i="12" s="1"/>
  <c r="AA22" i="12"/>
  <c r="AA27" i="12"/>
  <c r="AA12" i="12"/>
  <c r="AB12" i="12" s="1"/>
  <c r="AA13" i="12"/>
  <c r="AA15" i="12"/>
  <c r="AA17" i="12"/>
  <c r="AA19" i="12"/>
  <c r="AA21" i="12"/>
  <c r="AB21" i="12" s="1"/>
  <c r="AA26" i="12"/>
  <c r="X22" i="12"/>
  <c r="X7" i="12"/>
  <c r="Y7" i="12" s="1"/>
  <c r="H7" i="12" s="1"/>
  <c r="X21" i="12"/>
  <c r="Y21" i="12" s="1"/>
  <c r="H21" i="12" s="1"/>
  <c r="X13" i="12"/>
  <c r="Y13" i="12" s="1"/>
  <c r="H13" i="12" s="1"/>
  <c r="X27" i="12"/>
  <c r="Y27" i="12" s="1"/>
  <c r="H27" i="12" s="1"/>
  <c r="X20" i="12"/>
  <c r="Y20" i="12" s="1"/>
  <c r="H20" i="12" s="1"/>
  <c r="X16" i="12"/>
  <c r="Y16" i="12" s="1"/>
  <c r="H16" i="12" s="1"/>
  <c r="X12" i="12"/>
  <c r="Y12" i="12" s="1"/>
  <c r="H12" i="12" s="1"/>
  <c r="AB16" i="12"/>
  <c r="X18" i="12"/>
  <c r="X14" i="12"/>
  <c r="Y14" i="12" s="1"/>
  <c r="H14" i="12" s="1"/>
  <c r="AA7" i="12"/>
  <c r="AB7" i="12" s="1"/>
  <c r="AA8" i="12"/>
  <c r="AB8" i="12" s="1"/>
  <c r="X6" i="12"/>
  <c r="Y6" i="12" s="1"/>
  <c r="H6" i="12" s="1"/>
  <c r="X17" i="12"/>
  <c r="Y17" i="12" s="1"/>
  <c r="H17" i="12" s="1"/>
  <c r="AB15" i="12"/>
  <c r="AB19" i="12"/>
  <c r="X26" i="12"/>
  <c r="Y26" i="12" s="1"/>
  <c r="H26" i="12" s="1"/>
  <c r="X19" i="12"/>
  <c r="Y19" i="12" s="1"/>
  <c r="H19" i="12" s="1"/>
  <c r="X15" i="12"/>
  <c r="Y15" i="12" s="1"/>
  <c r="H15" i="12" s="1"/>
  <c r="X8" i="12"/>
  <c r="Y8" i="12" s="1"/>
  <c r="H8" i="12" s="1"/>
  <c r="I8" i="12" s="1"/>
  <c r="J8" i="12" s="1"/>
  <c r="AA6" i="12"/>
  <c r="AB6" i="12" s="1"/>
  <c r="AB17" i="12"/>
  <c r="AB22" i="12"/>
  <c r="AB26" i="12"/>
  <c r="AB14" i="12"/>
  <c r="AB13" i="12"/>
  <c r="Y22" i="12"/>
  <c r="H22" i="12" s="1"/>
  <c r="Y18" i="12"/>
  <c r="H18" i="12" s="1"/>
  <c r="J11" i="15" l="1"/>
  <c r="M40" i="15"/>
  <c r="M39" i="15"/>
  <c r="M34" i="15"/>
  <c r="M35" i="15"/>
  <c r="M36" i="15"/>
  <c r="M37" i="15"/>
  <c r="M38" i="15"/>
  <c r="M33" i="15"/>
  <c r="M30" i="15"/>
  <c r="M31" i="15"/>
  <c r="M32" i="15"/>
  <c r="M29" i="15"/>
  <c r="M27" i="15"/>
  <c r="M28" i="15"/>
  <c r="M26" i="15"/>
  <c r="M24" i="15"/>
  <c r="M25" i="15"/>
  <c r="M23" i="15"/>
  <c r="R58" i="8"/>
  <c r="R57" i="8"/>
  <c r="R54" i="8"/>
  <c r="R55" i="8"/>
  <c r="R56" i="8"/>
  <c r="R53" i="8"/>
  <c r="R50" i="8"/>
  <c r="R51" i="8"/>
  <c r="R52" i="8"/>
  <c r="R49" i="8"/>
  <c r="R47" i="8"/>
  <c r="R48" i="8"/>
  <c r="R46" i="8"/>
  <c r="R44" i="8"/>
  <c r="R45" i="8"/>
  <c r="R42" i="8"/>
  <c r="R43" i="8"/>
  <c r="R41" i="8"/>
  <c r="R39" i="8"/>
  <c r="R40" i="8"/>
  <c r="R38" i="8"/>
  <c r="R34" i="8"/>
  <c r="R35" i="8"/>
  <c r="R36" i="8"/>
  <c r="R37" i="8"/>
  <c r="R33" i="8"/>
  <c r="R32" i="8"/>
  <c r="R31" i="8"/>
  <c r="R27" i="8"/>
  <c r="R28" i="8"/>
  <c r="R29" i="8"/>
  <c r="R30" i="8"/>
  <c r="R26" i="8"/>
  <c r="R22" i="8"/>
  <c r="R23" i="8"/>
  <c r="R24" i="8"/>
  <c r="R25" i="8"/>
  <c r="R21" i="8"/>
  <c r="R14" i="8"/>
  <c r="R13" i="8"/>
  <c r="R8" i="8"/>
  <c r="R9" i="8"/>
  <c r="R10" i="8"/>
  <c r="R11" i="8"/>
  <c r="R7" i="8"/>
  <c r="B20" i="8"/>
  <c r="B19" i="8"/>
  <c r="B17" i="8"/>
  <c r="B16" i="8"/>
  <c r="B15" i="8"/>
  <c r="B13" i="8"/>
  <c r="B12" i="8"/>
  <c r="B11" i="8"/>
  <c r="B8" i="8"/>
  <c r="R60" i="8" l="1"/>
  <c r="C28" i="8" s="1"/>
  <c r="K11" i="15"/>
  <c r="M20" i="15" s="1"/>
  <c r="G7" i="8"/>
  <c r="H21" i="1"/>
  <c r="H22" i="1"/>
  <c r="H20" i="1"/>
  <c r="B24" i="12"/>
  <c r="A21" i="13" s="1"/>
  <c r="I11" i="17" l="1"/>
  <c r="F11" i="17"/>
  <c r="D28" i="8"/>
  <c r="H13" i="1"/>
  <c r="H14" i="1"/>
  <c r="H15" i="1"/>
  <c r="H16" i="1"/>
  <c r="H17" i="1"/>
  <c r="H12" i="1"/>
  <c r="C9" i="1"/>
  <c r="C11" i="1"/>
  <c r="J4" i="5"/>
  <c r="J5" i="5"/>
  <c r="J6" i="5"/>
  <c r="J7" i="5"/>
  <c r="J3" i="5"/>
  <c r="H2" i="1" l="1"/>
  <c r="E20" i="1"/>
  <c r="F8" i="17" l="1"/>
  <c r="I8" i="17"/>
  <c r="J10" i="5"/>
  <c r="J8" i="5"/>
  <c r="J22" i="5"/>
  <c r="J23" i="5"/>
  <c r="J24" i="5"/>
  <c r="J25" i="5"/>
  <c r="J21" i="5"/>
  <c r="J16" i="5"/>
  <c r="J17" i="5"/>
  <c r="J18" i="5"/>
  <c r="J19" i="5"/>
  <c r="J20" i="5"/>
  <c r="J15" i="5"/>
  <c r="J12" i="5"/>
  <c r="J13" i="5"/>
  <c r="J14" i="5"/>
  <c r="J11" i="5"/>
  <c r="J9" i="5"/>
  <c r="J7" i="15"/>
  <c r="K7" i="15" s="1"/>
  <c r="J8" i="15"/>
  <c r="K8" i="15" s="1"/>
  <c r="J27" i="5" l="1"/>
  <c r="M22" i="15"/>
  <c r="N22" i="15"/>
  <c r="M21" i="15"/>
  <c r="N21" i="15"/>
  <c r="I27" i="12"/>
  <c r="I26" i="12"/>
  <c r="I7" i="12"/>
  <c r="J7" i="12" s="1"/>
  <c r="I12" i="12"/>
  <c r="I13" i="12"/>
  <c r="J13" i="12" s="1"/>
  <c r="I14" i="12"/>
  <c r="J14" i="12" s="1"/>
  <c r="I15" i="12"/>
  <c r="I16" i="12"/>
  <c r="I17" i="12"/>
  <c r="J17" i="12" s="1"/>
  <c r="I18" i="12"/>
  <c r="J18" i="12" s="1"/>
  <c r="I19" i="12"/>
  <c r="I20" i="12"/>
  <c r="I21" i="12"/>
  <c r="J21" i="12" s="1"/>
  <c r="I22" i="12"/>
  <c r="J22" i="12" s="1"/>
  <c r="I6" i="12"/>
  <c r="J28" i="5" l="1"/>
  <c r="B15" i="5" s="1"/>
  <c r="C15" i="5" s="1"/>
  <c r="I9" i="17"/>
  <c r="M42" i="15"/>
  <c r="B11" i="13"/>
  <c r="H11" i="13" s="1"/>
  <c r="B19" i="13"/>
  <c r="B10" i="13"/>
  <c r="H10" i="13" s="1"/>
  <c r="B18" i="13"/>
  <c r="B14" i="13"/>
  <c r="B6" i="13"/>
  <c r="H6" i="13" s="1"/>
  <c r="J6" i="12"/>
  <c r="B12" i="13"/>
  <c r="J15" i="12"/>
  <c r="B8" i="13"/>
  <c r="H8" i="13" s="1"/>
  <c r="B23" i="13"/>
  <c r="J26" i="12"/>
  <c r="B15" i="13"/>
  <c r="H15" i="13" s="1"/>
  <c r="B7" i="13"/>
  <c r="B16" i="13"/>
  <c r="J19" i="12"/>
  <c r="B17" i="13"/>
  <c r="H17" i="13" s="1"/>
  <c r="J20" i="12"/>
  <c r="B13" i="13"/>
  <c r="J16" i="12"/>
  <c r="B9" i="13"/>
  <c r="J12" i="12"/>
  <c r="B24" i="13"/>
  <c r="J27" i="12"/>
  <c r="H18" i="13" l="1"/>
  <c r="B27" i="13"/>
  <c r="F9" i="17"/>
  <c r="H7" i="13"/>
  <c r="I7" i="13" s="1"/>
  <c r="I8" i="13"/>
  <c r="I6" i="13"/>
  <c r="A24" i="13"/>
  <c r="A23" i="13"/>
  <c r="H23" i="13"/>
  <c r="I23" i="13" s="1"/>
  <c r="A13" i="13"/>
  <c r="H13" i="13"/>
  <c r="I13" i="13" s="1"/>
  <c r="A16" i="13"/>
  <c r="H16" i="13"/>
  <c r="I16" i="13" s="1"/>
  <c r="A7" i="13"/>
  <c r="A6" i="13"/>
  <c r="A19" i="13"/>
  <c r="H19" i="13"/>
  <c r="I19" i="13" s="1"/>
  <c r="A9" i="13"/>
  <c r="H9" i="13"/>
  <c r="I9" i="13" s="1"/>
  <c r="A14" i="13"/>
  <c r="H14" i="13"/>
  <c r="I14" i="13" s="1"/>
  <c r="A12" i="13"/>
  <c r="H12" i="13"/>
  <c r="I12" i="13" s="1"/>
  <c r="K44" i="15"/>
  <c r="C15" i="15" s="1"/>
  <c r="D15" i="15" s="1"/>
  <c r="I10" i="17"/>
  <c r="I14" i="17" s="1"/>
  <c r="E15" i="17" s="1"/>
  <c r="C6" i="17" s="1"/>
  <c r="I17" i="17" s="1"/>
  <c r="A18" i="13"/>
  <c r="I18" i="13"/>
  <c r="A17" i="13"/>
  <c r="I17" i="13"/>
  <c r="A15" i="13"/>
  <c r="I15" i="13"/>
  <c r="A11" i="13"/>
  <c r="I11" i="13"/>
  <c r="A10" i="13"/>
  <c r="I10" i="13"/>
  <c r="A8" i="13"/>
  <c r="F10" i="17" l="1"/>
  <c r="Z28" i="12"/>
  <c r="AB28" i="12" s="1"/>
  <c r="H25" i="13" s="1"/>
  <c r="I25" i="13" s="1"/>
  <c r="Z27" i="12" l="1"/>
  <c r="AB27" i="12" s="1"/>
  <c r="H24" i="13" s="1"/>
  <c r="I24" i="13" s="1"/>
  <c r="I27" i="13" s="1"/>
  <c r="I29" i="13" s="1"/>
  <c r="I30" i="13" s="1"/>
  <c r="C4" i="17" s="1"/>
  <c r="I16" i="17" l="1"/>
  <c r="I18" i="17" s="1"/>
  <c r="C5" i="17"/>
  <c r="B11" i="17" l="1"/>
  <c r="C12" i="17"/>
  <c r="B14" i="17"/>
  <c r="B9" i="17"/>
</calcChain>
</file>

<file path=xl/sharedStrings.xml><?xml version="1.0" encoding="utf-8"?>
<sst xmlns="http://schemas.openxmlformats.org/spreadsheetml/2006/main" count="491" uniqueCount="331">
  <si>
    <t>Vessel IMO Number</t>
  </si>
  <si>
    <t>Vessel V Ships Name</t>
  </si>
  <si>
    <t>Vessel Type</t>
  </si>
  <si>
    <t>Office Experience in taking vessels into management.</t>
  </si>
  <si>
    <t>For multiple ships, % increase in ship numbers in Office.</t>
  </si>
  <si>
    <t>Client</t>
  </si>
  <si>
    <t>Current Name</t>
  </si>
  <si>
    <t>Proposed Managing Office</t>
  </si>
  <si>
    <t>Is this client New to Group?</t>
  </si>
  <si>
    <t>Financial</t>
  </si>
  <si>
    <t xml:space="preserve"> Rating</t>
  </si>
  <si>
    <t>1. Has a financial check / due diligence been done?</t>
  </si>
  <si>
    <t>1a. Has DD identified any evidence of bribery or fraud?</t>
  </si>
  <si>
    <t xml:space="preserve">2. Has the fund request format been agreed with owners? </t>
  </si>
  <si>
    <t xml:space="preserve">3.  If an existing client, have the total liabilities, excluding accruals / commitments, exceeded 15 days under funding over the past 12 months? </t>
  </si>
  <si>
    <t>5.  Have / will the Owners fund the pre-delivery costs prior to the vessel entering management?</t>
  </si>
  <si>
    <t>6.  Please advise how much of a float will be paid into the MO bank account</t>
  </si>
  <si>
    <t>Additional Hazards</t>
  </si>
  <si>
    <t>RISKS</t>
  </si>
  <si>
    <t>Type of Owner (See Drop down menu)</t>
  </si>
  <si>
    <t>Company  registered in an EU member state?</t>
  </si>
  <si>
    <t>Mortgage Applicable ?</t>
  </si>
  <si>
    <t>Please :</t>
  </si>
  <si>
    <t>Provide copy of the latest financial statements and forward to Group Finance</t>
  </si>
  <si>
    <t xml:space="preserve"> Obtain the client’s company registration number and country of incorporation</t>
  </si>
  <si>
    <t>Not applicable</t>
  </si>
  <si>
    <t>Rating</t>
  </si>
  <si>
    <t>Status with Oil Majors (if known)</t>
  </si>
  <si>
    <t>Availability of office resources</t>
  </si>
  <si>
    <t>Cargo ships and other “dry” vessels up to 17 years old</t>
  </si>
  <si>
    <t>“Wet” (including LPG) vessels up to 20 years</t>
  </si>
  <si>
    <t>LNG vessels up to 25 years.</t>
  </si>
  <si>
    <t>If the crew are being directly employed by a V.Group company, Form CRW11 must be signed off by the Group Tax Department.</t>
  </si>
  <si>
    <t>Date of Assessment</t>
  </si>
  <si>
    <t>Vessel has not maintained Class with IACS Class Society since new build</t>
  </si>
  <si>
    <t>Hazard #</t>
  </si>
  <si>
    <t>Description of identified hazard</t>
  </si>
  <si>
    <t>Potential consequences</t>
  </si>
  <si>
    <t>Existing Control Measures</t>
  </si>
  <si>
    <t>Identified Contingency Measures</t>
  </si>
  <si>
    <t>Likelihood</t>
  </si>
  <si>
    <t>Severity</t>
  </si>
  <si>
    <t>Minor</t>
  </si>
  <si>
    <t>Moderate</t>
  </si>
  <si>
    <t>Severe</t>
  </si>
  <si>
    <t>Major</t>
  </si>
  <si>
    <t>Critical</t>
  </si>
  <si>
    <t>Highly Likely</t>
  </si>
  <si>
    <t>Medium</t>
  </si>
  <si>
    <t>Significant</t>
  </si>
  <si>
    <t>High</t>
  </si>
  <si>
    <t>Very High</t>
  </si>
  <si>
    <t>Likely</t>
  </si>
  <si>
    <t>Occasional</t>
  </si>
  <si>
    <t>Low</t>
  </si>
  <si>
    <t>Remote</t>
  </si>
  <si>
    <t>Unlikely</t>
  </si>
  <si>
    <t>Very Low</t>
  </si>
  <si>
    <t>Very Unlikely</t>
  </si>
  <si>
    <t>Risk Factor</t>
  </si>
  <si>
    <t>P+I insurance not with International Group Club.</t>
  </si>
  <si>
    <t>Poor Port State History: maximum 1 detention in the previous 2 years, maximum 10 defects in same period.</t>
  </si>
  <si>
    <t>Vessel  appears on USCG blacklist (previous owner or vessel).</t>
  </si>
  <si>
    <t>Vessel and/or owner are on any US or other governmental sanctions blacklist.</t>
  </si>
  <si>
    <t xml:space="preserve">A copy of the client’s latest audited accounts and / or a report from a credit risk rating company (e.g. Infospectrum or similar) has not been received. </t>
  </si>
  <si>
    <t>The accounts / credit risk report indicate that the client will NOT be able to fund the vessel’s operating costs.</t>
  </si>
  <si>
    <t>The ship’s Flag on the Paris MOU blacklist.</t>
  </si>
  <si>
    <t>Conditions of Class, or Conditions of Authority, in place affecting trading.</t>
  </si>
  <si>
    <t>There is specific authorisation from the Crew Management, Crew Director or a Group Director.</t>
  </si>
  <si>
    <t>Vessel NOT  crewed through the V.Ships in-house crew management network .</t>
  </si>
  <si>
    <t>No inspection report by V.Group staff in the last 3 months. (New Builds exempt)</t>
  </si>
  <si>
    <t>The crewing agreement NOT in line with ITF agreements</t>
  </si>
  <si>
    <t>Management Agreement NOT under English law.</t>
  </si>
  <si>
    <t>- No external records of vessel full maintenance history</t>
  </si>
  <si>
    <t>- Vessel not fully insured exposing Group to liabilities</t>
  </si>
  <si>
    <t>- Vessel will be poor tonnage owing to age</t>
  </si>
  <si>
    <t>- External parties have already determined that vessel poor quality</t>
  </si>
  <si>
    <t>- Issues with quality of crew supplied</t>
  </si>
  <si>
    <t>- No vision on current condition of vessel which may lead to costs / detentions on takeover</t>
  </si>
  <si>
    <t xml:space="preserve">- Crew Issues outside the control of V Ships </t>
  </si>
  <si>
    <t xml:space="preserve">- Unknown Legal issues </t>
  </si>
  <si>
    <t>Very Severe</t>
  </si>
  <si>
    <t>Further Risk Control Measures</t>
  </si>
  <si>
    <t>Person allocated</t>
  </si>
  <si>
    <t>Remedial Action Date</t>
  </si>
  <si>
    <t>Likelihood of Harm</t>
  </si>
  <si>
    <t>Severity of Harm</t>
  </si>
  <si>
    <t>Level</t>
  </si>
  <si>
    <t>  Meets Minimum Criteria</t>
  </si>
  <si>
    <t>  Risk Level = 3 or below</t>
  </si>
  <si>
    <t>Risk Assessment Approval</t>
  </si>
  <si>
    <t>Yes</t>
  </si>
  <si>
    <t>Final Approval by MD/GM</t>
  </si>
  <si>
    <t>Forward copy of RA for records</t>
  </si>
  <si>
    <t>No</t>
  </si>
  <si>
    <t>Review RA and if possible strengthen controls to reduce RR to 3 or below. If YES, then same as Level 1. If NO, RA needs HSEQ Department sign-off</t>
  </si>
  <si>
    <t>Completed RA to HSEQ Department</t>
  </si>
  <si>
    <t>Copy of RA for information.</t>
  </si>
  <si>
    <t>If Risk considered by SMO/CSO acceptable, forward completed RA to HSEQ Department</t>
  </si>
  <si>
    <t>Websites:</t>
  </si>
  <si>
    <t>IACS website</t>
  </si>
  <si>
    <t>P&amp;I Website</t>
  </si>
  <si>
    <t>Equasis Web Site</t>
  </si>
  <si>
    <t>Sea web website</t>
  </si>
  <si>
    <t>Other</t>
  </si>
  <si>
    <t>Rightship website</t>
  </si>
  <si>
    <t>Port State Control Performance:</t>
  </si>
  <si>
    <t>In past 2 Years:</t>
  </si>
  <si>
    <t>Number of PSC Inspections</t>
  </si>
  <si>
    <t>Number of PSC Deficiencies</t>
  </si>
  <si>
    <t>Number of Detentions</t>
  </si>
  <si>
    <t>PSC Deficiency Rate:</t>
  </si>
  <si>
    <t>Oil Major &amp; Rightship Rating</t>
  </si>
  <si>
    <t>Reviewed By (Name / Title)</t>
  </si>
  <si>
    <r>
      <t>Vessel above maximum preferable age</t>
    </r>
    <r>
      <rPr>
        <sz val="9"/>
        <color rgb="FF000000"/>
        <rFont val="Calibri"/>
        <family val="2"/>
        <scheme val="minor"/>
      </rPr>
      <t>:</t>
    </r>
  </si>
  <si>
    <t xml:space="preserve">4 = Insufficient information available </t>
  </si>
  <si>
    <t>6 = No</t>
  </si>
  <si>
    <t xml:space="preserve">5 = Issues causing concern </t>
  </si>
  <si>
    <t>6. Yes</t>
  </si>
  <si>
    <t>3. Possible</t>
  </si>
  <si>
    <t>1. No</t>
  </si>
  <si>
    <t>1 = 1/12th of budget plus invoices plus 100% of accruals</t>
  </si>
  <si>
    <t>2 = 1/12th of budget plus invoices plus %age of accruals</t>
  </si>
  <si>
    <t>2 = 1-2 times</t>
  </si>
  <si>
    <t>3 = 3 times</t>
  </si>
  <si>
    <t>4 = 4 times</t>
  </si>
  <si>
    <t>5 = 5 times</t>
  </si>
  <si>
    <t>6 = &gt;5 times</t>
  </si>
  <si>
    <t>1 = Yes, 100%</t>
  </si>
  <si>
    <t>2 = Yes, 80 - 99% = 2</t>
  </si>
  <si>
    <t>3 = Yes, 51 - 79% = 3</t>
  </si>
  <si>
    <t>4 = Yes, 30 - 50% = 4</t>
  </si>
  <si>
    <t xml:space="preserve">6= 1/12th of budget </t>
  </si>
  <si>
    <t>4 = 1/12th of budget plus invoices</t>
  </si>
  <si>
    <t>6=No / &lt; 30% = 5</t>
  </si>
  <si>
    <t>Concern Level</t>
  </si>
  <si>
    <t xml:space="preserve"> Risk Concern:</t>
  </si>
  <si>
    <t>Mitigating Actions where required</t>
  </si>
  <si>
    <t>Summary of Risk Assessment</t>
  </si>
  <si>
    <t>Basic Details</t>
  </si>
  <si>
    <t>Client Details</t>
  </si>
  <si>
    <t>Managing Office Review</t>
  </si>
  <si>
    <t>6= No ships in over 2 years</t>
  </si>
  <si>
    <t>5= No ships in over 1 year</t>
  </si>
  <si>
    <t>4= No ships in last 6 months</t>
  </si>
  <si>
    <t>3=  Ships taken in in past 90 days</t>
  </si>
  <si>
    <t>2= Ships taken in in past 60 days</t>
  </si>
  <si>
    <t>1= Ships taken in in past 30 days</t>
  </si>
  <si>
    <t>HSEQ</t>
  </si>
  <si>
    <t>3. Medium Risk Ship</t>
  </si>
  <si>
    <t>6. High Risk Ship</t>
  </si>
  <si>
    <t>PSC Detention Risk</t>
  </si>
  <si>
    <t>PSC Average Finding Risk</t>
  </si>
  <si>
    <t>3. Average (3 stars)</t>
  </si>
  <si>
    <t>6. Poor (Two stars or less)</t>
  </si>
  <si>
    <t>1. N/A</t>
  </si>
  <si>
    <t>2. Good</t>
  </si>
  <si>
    <t>6.  Poor</t>
  </si>
  <si>
    <t xml:space="preserve">4. Average </t>
  </si>
  <si>
    <t>6 or less low risk observations on last SIRE = 2</t>
  </si>
  <si>
    <t>10 or less observations and/or 1 high risk  = 3</t>
  </si>
  <si>
    <t>10 or above observations and /or 2 high risk = 4</t>
  </si>
  <si>
    <t>1 reinspection within last  year = 5</t>
  </si>
  <si>
    <t>2 reinspections within last  year = 6</t>
  </si>
  <si>
    <t>N/A = 1</t>
  </si>
  <si>
    <t>6. No</t>
  </si>
  <si>
    <t>1 = Adequate existing staff or Nursery cell</t>
  </si>
  <si>
    <t>3 = Moderate strain on office resources</t>
  </si>
  <si>
    <t>6 =Severe strain on office resources</t>
  </si>
  <si>
    <t>Crewing</t>
  </si>
  <si>
    <t>Not Applicable</t>
  </si>
  <si>
    <t>Use RSQ02a for  Direct crewing risk assessment template</t>
  </si>
  <si>
    <t>1 = No</t>
  </si>
  <si>
    <t>3 = Master and Chief Engineer</t>
  </si>
  <si>
    <t xml:space="preserve">4 = All  four senior officers </t>
  </si>
  <si>
    <t>5 = All Officers</t>
  </si>
  <si>
    <t>6 = All staff</t>
  </si>
  <si>
    <t>1 = 6 weeks or more</t>
  </si>
  <si>
    <t>2 = 5 weeks</t>
  </si>
  <si>
    <t>3 = 4 weeks</t>
  </si>
  <si>
    <t>4 = 2 weeks</t>
  </si>
  <si>
    <t>5 = 1 weeks or less</t>
  </si>
  <si>
    <t>1 = Crew wages and benefits as per budget assumptions plus MOTO/Owners bonus</t>
  </si>
  <si>
    <t>2 = Crew wages and benefits as per budget assumptions without MOTO/Owners bonus</t>
  </si>
  <si>
    <t>3 = Crew wages and as per budget assumptions but not all benefits agreed as per budget assumptions</t>
  </si>
  <si>
    <t>4 = Crew wages as per Group scales but no additional benefits as per budget assumptions</t>
  </si>
  <si>
    <t>5 = Crew wages less than Group scales</t>
  </si>
  <si>
    <t>1 = Crew budget prepared by Crewing Commercial team</t>
  </si>
  <si>
    <t>3 = Crew budget not prepared by crewing commercial team</t>
  </si>
  <si>
    <t>1 = 100% compliance</t>
  </si>
  <si>
    <t>2 = Max one item of non compliance (in Junior rank only)</t>
  </si>
  <si>
    <t>3 = Max two items of  non compliance</t>
  </si>
  <si>
    <t>4 = Max three items of non compliance</t>
  </si>
  <si>
    <t>5 = More then three items of non compliance</t>
  </si>
  <si>
    <t>1 = No requirement</t>
  </si>
  <si>
    <t>3 = Requirement of spot charter</t>
  </si>
  <si>
    <t>5 = Requirement of time charte</t>
  </si>
  <si>
    <t>1 = Senior Officers for 1 month with good onboard cooperation</t>
  </si>
  <si>
    <t>2 = Senior Officers for 2 weeks with good onboard cooperation</t>
  </si>
  <si>
    <t>3 = Senior Officers for 2 weeks or more with poor onboard cooperation</t>
  </si>
  <si>
    <t>4 = Senior Officers for 2 weeks or less with poor cooperation</t>
  </si>
  <si>
    <t>5 = No pre-observers</t>
  </si>
  <si>
    <t>1 = Full compliance with VMS Training Matrix with full IMTS funding</t>
  </si>
  <si>
    <t>3 = Partial compliance with VMS Training Matrix with limited IMTS funding</t>
  </si>
  <si>
    <t>5 = Non compliance with VMS Training Matrix / no IMTS funding.</t>
  </si>
  <si>
    <t>1 = MLC certified by vessel's Flag</t>
  </si>
  <si>
    <t>2 = MLC certified by National Administration</t>
  </si>
  <si>
    <t>3 = MLC certified by a Recognised Organisation</t>
  </si>
  <si>
    <t>5 = No certification</t>
  </si>
  <si>
    <t xml:space="preserve">1 = Budgeted for two or more V.Ships cadets berths </t>
  </si>
  <si>
    <t>2 = Budgeted for one V.Ships cadet berth</t>
  </si>
  <si>
    <t>3 = Budgeted for one or more non- V.Ships cadet berths</t>
  </si>
  <si>
    <t>4 = No cadet berths budgeted</t>
  </si>
  <si>
    <t>1 = All COCs are issued by national administration</t>
  </si>
  <si>
    <t>5 = One or more officers hold flag COC and are not endorsed or issued by their national administration.</t>
  </si>
  <si>
    <t>Risk Value</t>
  </si>
  <si>
    <t>Risk Concern</t>
  </si>
  <si>
    <t>Rightship</t>
  </si>
  <si>
    <t>Managing Director / General Manager / Business Development Team</t>
  </si>
  <si>
    <t xml:space="preserve">HSEQ </t>
  </si>
  <si>
    <t xml:space="preserve">Note: All criteria must be met for acceptance for entry to management. Waivers will only be issued in exceptional circumstances. </t>
  </si>
  <si>
    <t>Consider if risk excessive. If YES, MD/GM to REJECT vessel</t>
  </si>
  <si>
    <t>GM / MD in management Office</t>
  </si>
  <si>
    <t>HSEQ Central Team</t>
  </si>
  <si>
    <t>Action</t>
  </si>
  <si>
    <t>Determine Level of Approval Required</t>
  </si>
  <si>
    <t>Complete Minimum Criteria Tab - This is a risk assessment and requires input to potential consequences , existing controls , what contingency measures are in place should a process fail and evaluating a risk factor.</t>
  </si>
  <si>
    <t>Amended Review</t>
  </si>
  <si>
    <t>Initial Review</t>
  </si>
  <si>
    <t>Comments</t>
  </si>
  <si>
    <t>Where required, complete Additional Measures Tab.</t>
  </si>
  <si>
    <t>Minimum Criteria for entry met?</t>
  </si>
  <si>
    <t>Comment</t>
  </si>
  <si>
    <t>Business Development to present "MD-GM- Business development Tab" to Management Office with basic details completed</t>
  </si>
  <si>
    <t>Tanker</t>
  </si>
  <si>
    <t>Bulk Carrier - Geared</t>
  </si>
  <si>
    <t>Bulk Carrier - Not Geared</t>
  </si>
  <si>
    <t>Chemical Tanker</t>
  </si>
  <si>
    <t>Chemical / Oil Tanker</t>
  </si>
  <si>
    <t>Container vessel</t>
  </si>
  <si>
    <t>General Cargo Ship</t>
  </si>
  <si>
    <t>LPG Carrier</t>
  </si>
  <si>
    <t>Passenger Ship</t>
  </si>
  <si>
    <t>RoRo</t>
  </si>
  <si>
    <t>Self Unloader</t>
  </si>
  <si>
    <t>Accommodation Ship Offshore Support</t>
  </si>
  <si>
    <t>Cable Ship</t>
  </si>
  <si>
    <t>Cement Carrier</t>
  </si>
  <si>
    <t>Container/Reefer Vessel</t>
  </si>
  <si>
    <t>Dive Support Vessel</t>
  </si>
  <si>
    <t>Fast Supply Vessel</t>
  </si>
  <si>
    <t>Floating Storage</t>
  </si>
  <si>
    <t>Offshore Support Barge</t>
  </si>
  <si>
    <t>OBO</t>
  </si>
  <si>
    <t>Platform Supply Vessel</t>
  </si>
  <si>
    <t>Survey Research Vessel</t>
  </si>
  <si>
    <t>Transhipment Unit</t>
  </si>
  <si>
    <t xml:space="preserve">MD/ GM to  (1) Create Client Portfolio (2) assess Office resources </t>
  </si>
  <si>
    <t>Where required, an additional risk assessment is required reviewing if there is sufficient resources and staff experience to successfully take the vessels into management</t>
  </si>
  <si>
    <t>1. Level of risk as per Paris MOU risk category</t>
  </si>
  <si>
    <t>2. Level of risk as per Rightship report and rating (Available from central HSEQ Team)</t>
  </si>
  <si>
    <t>3. Status with Oil Majors (If Known)</t>
  </si>
  <si>
    <t>4. Risk as per last vetting Inspection Report</t>
  </si>
  <si>
    <t>5. Full incident history of vessel available?</t>
  </si>
  <si>
    <t>Check Summary Tab for ommissions or acceptance status.</t>
  </si>
  <si>
    <t>Lead Assessor</t>
  </si>
  <si>
    <t>Client Portfolio Created?</t>
  </si>
  <si>
    <t>Attach:</t>
  </si>
  <si>
    <t>Risk Assessment for Office Resources if required</t>
  </si>
  <si>
    <t>Copy of Client Portfolio</t>
  </si>
  <si>
    <t>Initial Assessment</t>
  </si>
  <si>
    <t>Section</t>
  </si>
  <si>
    <t>Overall Risk Concern</t>
  </si>
  <si>
    <t>Overall Risk Concern &lt; 50%</t>
  </si>
  <si>
    <t>Crew Agreement Arrangements in place?</t>
  </si>
  <si>
    <t>Crewing Proposal</t>
  </si>
  <si>
    <t>Responsibility</t>
  </si>
  <si>
    <t>Business Development</t>
  </si>
  <si>
    <t>MD/GM</t>
  </si>
  <si>
    <t>Fleet manager with input from Fleet Cell</t>
  </si>
  <si>
    <t>Finance / HSEQ / Crewing / Insurance / technical in Managing Office.</t>
  </si>
  <si>
    <t xml:space="preserve">Fleet Manger </t>
  </si>
  <si>
    <t>Approve RSQ02</t>
  </si>
  <si>
    <t>The GM shall sign off on all objectives and procedures are met when a vessel enters management (Cell C13). Signature is not possible where Minimum Criteria is not met or overall risk concern is greater than 50%</t>
  </si>
  <si>
    <t>N/a</t>
  </si>
  <si>
    <t>Management Agreement under English Law</t>
  </si>
  <si>
    <t>In Place</t>
  </si>
  <si>
    <t>Included</t>
  </si>
  <si>
    <t>In place</t>
  </si>
  <si>
    <t>P&amp;I is with International Group Club</t>
  </si>
  <si>
    <t>1 = Never (or New Client)</t>
  </si>
  <si>
    <t>1. Low Risk Ship (or New Build)</t>
  </si>
  <si>
    <t>1. Good (4-5 Star)-Or New Build</t>
  </si>
  <si>
    <t>1. Yes (or New Build)</t>
  </si>
  <si>
    <t xml:space="preserve">Vessel has maintained Class with IACS Class Society since new build </t>
  </si>
  <si>
    <t>Vessel is within required age groups</t>
  </si>
  <si>
    <t>PSC History acceptable</t>
  </si>
  <si>
    <t>Vessel  does not appear on USCG blacklist (previous owner or vessel).</t>
  </si>
  <si>
    <t>Vessel and/or owner are NOT on any US or other governmental sanctions blacklist.</t>
  </si>
  <si>
    <t xml:space="preserve">A copy of the client’s latest audited accounts and / or a report from a credit risk rating company (e.g. Infospectrum or similar) has  been received. </t>
  </si>
  <si>
    <t>Intended Flag : Singapore : Not on Paris MOU Blacklist</t>
  </si>
  <si>
    <t>No Conditions of Class, or Conditions of Authority, in place affecting trading.</t>
  </si>
  <si>
    <t>Inspection Report available and attached.</t>
  </si>
  <si>
    <t>Crewing agreement In line with ITF agreements</t>
  </si>
  <si>
    <t>Crew not directly employed.</t>
  </si>
  <si>
    <t>Introduction</t>
  </si>
  <si>
    <t>#</t>
  </si>
  <si>
    <t xml:space="preserve">Managing Director/ General Manager  Review </t>
  </si>
  <si>
    <t>RSQ02 - New Business Risk Assessment (Part 1)</t>
  </si>
  <si>
    <t>RSQ02 - New Business Risk Assessment (Part 2)</t>
  </si>
  <si>
    <t>1 = Yes , No concerns</t>
  </si>
  <si>
    <t>2= Yes, concerns exist but controls are in place to manage the risk</t>
  </si>
  <si>
    <t>3 = Yes, Insufficient information available to manage the risk</t>
  </si>
  <si>
    <t>Proposed Date into Crew Management</t>
  </si>
  <si>
    <t>Supporting Crewing Offices</t>
  </si>
  <si>
    <t>Contacts</t>
  </si>
  <si>
    <t>Registered Owner</t>
  </si>
  <si>
    <t>Address</t>
  </si>
  <si>
    <t>Website</t>
  </si>
  <si>
    <t>Secondary Contact  Name / Telephone / Email</t>
  </si>
  <si>
    <t>Principal Contact Name / Telephone / Email</t>
  </si>
  <si>
    <r>
      <t xml:space="preserve">Crew employment is on behalf of the client                        </t>
    </r>
    <r>
      <rPr>
        <b/>
        <sz val="9"/>
        <color rgb="FFFF0000"/>
        <rFont val="Calibri"/>
        <family val="2"/>
        <scheme val="minor"/>
      </rPr>
      <t>Note</t>
    </r>
    <r>
      <rPr>
        <b/>
        <sz val="9"/>
        <color theme="1"/>
        <rFont val="Calibri"/>
        <family val="2"/>
        <scheme val="minor"/>
      </rPr>
      <t xml:space="preserve">: </t>
    </r>
    <r>
      <rPr>
        <b/>
        <sz val="9"/>
        <color rgb="FFFF0000"/>
        <rFont val="Calibri"/>
        <family val="2"/>
        <scheme val="minor"/>
      </rPr>
      <t xml:space="preserve"> Selecting "Yes" in drop down menu to right will activate text in form.</t>
    </r>
  </si>
  <si>
    <t>The client agrees to cooperate any investigation process of any crew related incidents or any risk for the crew safety</t>
  </si>
  <si>
    <t>1=Yes</t>
  </si>
  <si>
    <t>6=No</t>
  </si>
  <si>
    <t>Complete Functional Tabs (I.e. Finance, HSEQ ,Crewing)</t>
  </si>
  <si>
    <t>Submit RSQ02a to drisksafe@vships.com</t>
  </si>
  <si>
    <t>Risk level greater than 3 requires Global Crew Operations Director sign off</t>
  </si>
  <si>
    <t>Not meeting minimum criteria requires Global Crew Operations Director sign-off</t>
  </si>
  <si>
    <t>Global Crew Operations Director SIGN-OFF REQUIRED</t>
  </si>
  <si>
    <r>
      <t xml:space="preserve">Insert comments as appropriate to detail any mitigating action taken to overcome any percieved issues. Note: Each unit participating; i.e Technical, crewing, etc., has the possibility and the obligation to call for a stop if information is lacking or details are not of the needed quality. The delivery of details shall be timely so as other dependents can deliver their part.                            </t>
    </r>
    <r>
      <rPr>
        <b/>
        <sz val="9"/>
        <color rgb="FFFF0000"/>
        <rFont val="Calibri"/>
        <family val="2"/>
        <scheme val="minor"/>
      </rPr>
      <t>If the latest accounts / credit risk report indicate potential funding delays
 (i) Ensure Director of Finance Operations, Ship Management signs off on the RA</t>
    </r>
    <r>
      <rPr>
        <sz val="9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</si>
</sst>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Tahoma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Tahoma"/>
      <family val="2"/>
    </font>
    <font>
      <sz val="8"/>
      <color theme="0"/>
      <name val="Tahoma"/>
      <family val="2"/>
    </font>
    <font>
      <b/>
      <sz val="10"/>
      <color rgb="FFFF0000"/>
      <name val="Arial"/>
      <family val="2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10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531">
    <xf numFmtId="0" fontId="0" fillId="0" borderId="0" xfId="0"/>
    <xf numFmtId="0" fontId="0" fillId="0" borderId="0" xfId="0" applyProtection="1"/>
    <xf numFmtId="0" fontId="4" fillId="5" borderId="20" xfId="0" applyFont="1" applyFill="1" applyBorder="1" applyAlignment="1" applyProtection="1">
      <alignment horizontal="center"/>
    </xf>
    <xf numFmtId="0" fontId="4" fillId="5" borderId="39" xfId="0" applyFont="1" applyFill="1" applyBorder="1" applyAlignment="1" applyProtection="1">
      <alignment horizontal="center"/>
    </xf>
    <xf numFmtId="0" fontId="4" fillId="5" borderId="0" xfId="0" applyFont="1" applyFill="1" applyBorder="1" applyAlignment="1" applyProtection="1">
      <alignment horizontal="center"/>
    </xf>
    <xf numFmtId="0" fontId="4" fillId="5" borderId="12" xfId="0" applyFont="1" applyFill="1" applyBorder="1" applyAlignment="1" applyProtection="1">
      <alignment horizontal="center"/>
    </xf>
    <xf numFmtId="0" fontId="4" fillId="5" borderId="14" xfId="0" applyFont="1" applyFill="1" applyBorder="1" applyAlignment="1" applyProtection="1">
      <alignment horizontal="center" wrapText="1"/>
    </xf>
    <xf numFmtId="0" fontId="4" fillId="5" borderId="15" xfId="0" applyFont="1" applyFill="1" applyBorder="1" applyAlignment="1" applyProtection="1">
      <alignment horizontal="center" wrapText="1"/>
    </xf>
    <xf numFmtId="0" fontId="3" fillId="2" borderId="53" xfId="0" applyFont="1" applyFill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 vertical="center"/>
    </xf>
    <xf numFmtId="0" fontId="3" fillId="0" borderId="52" xfId="0" applyFont="1" applyBorder="1" applyAlignment="1" applyProtection="1">
      <alignment horizontal="center" vertical="center"/>
    </xf>
    <xf numFmtId="0" fontId="4" fillId="5" borderId="24" xfId="0" applyFont="1" applyFill="1" applyBorder="1" applyAlignment="1" applyProtection="1">
      <alignment horizontal="center"/>
    </xf>
    <xf numFmtId="0" fontId="0" fillId="0" borderId="61" xfId="0" applyBorder="1" applyProtection="1"/>
    <xf numFmtId="0" fontId="0" fillId="0" borderId="19" xfId="0" applyBorder="1" applyProtection="1"/>
    <xf numFmtId="0" fontId="3" fillId="2" borderId="5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54" xfId="0" applyFont="1" applyFill="1" applyBorder="1" applyAlignment="1" applyProtection="1">
      <alignment horizontal="center" vertical="center"/>
    </xf>
    <xf numFmtId="0" fontId="4" fillId="5" borderId="13" xfId="0" applyFont="1" applyFill="1" applyBorder="1" applyAlignment="1" applyProtection="1">
      <alignment horizontal="center" wrapText="1"/>
    </xf>
    <xf numFmtId="0" fontId="4" fillId="5" borderId="51" xfId="0" applyFont="1" applyFill="1" applyBorder="1" applyAlignment="1" applyProtection="1">
      <alignment horizontal="center"/>
    </xf>
    <xf numFmtId="0" fontId="4" fillId="5" borderId="11" xfId="0" applyFont="1" applyFill="1" applyBorder="1" applyAlignment="1" applyProtection="1">
      <alignment horizontal="center"/>
    </xf>
    <xf numFmtId="0" fontId="0" fillId="3" borderId="16" xfId="0" applyFill="1" applyBorder="1" applyAlignment="1" applyProtection="1">
      <alignment horizontal="center"/>
    </xf>
    <xf numFmtId="0" fontId="0" fillId="3" borderId="37" xfId="0" applyFill="1" applyBorder="1" applyAlignment="1" applyProtection="1">
      <alignment horizontal="center"/>
    </xf>
    <xf numFmtId="0" fontId="0" fillId="3" borderId="17" xfId="0" applyFill="1" applyBorder="1" applyAlignment="1" applyProtection="1">
      <alignment horizontal="center"/>
    </xf>
    <xf numFmtId="0" fontId="0" fillId="0" borderId="0" xfId="0"/>
    <xf numFmtId="0" fontId="12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11" fillId="0" borderId="0" xfId="0" applyFont="1"/>
    <xf numFmtId="0" fontId="12" fillId="0" borderId="1" xfId="0" applyFont="1" applyBorder="1"/>
    <xf numFmtId="0" fontId="3" fillId="0" borderId="0" xfId="0" applyFont="1" applyBorder="1" applyProtection="1"/>
    <xf numFmtId="0" fontId="3" fillId="0" borderId="0" xfId="0" applyFont="1" applyBorder="1" applyAlignment="1" applyProtection="1">
      <alignment wrapText="1"/>
    </xf>
    <xf numFmtId="0" fontId="7" fillId="0" borderId="25" xfId="0" applyFont="1" applyBorder="1" applyAlignment="1">
      <alignment wrapText="1"/>
    </xf>
    <xf numFmtId="0" fontId="12" fillId="0" borderId="26" xfId="0" applyFont="1" applyBorder="1"/>
    <xf numFmtId="0" fontId="7" fillId="0" borderId="27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2" fillId="0" borderId="29" xfId="0" applyFont="1" applyBorder="1"/>
    <xf numFmtId="0" fontId="12" fillId="0" borderId="14" xfId="0" applyFont="1" applyBorder="1" applyAlignment="1" applyProtection="1">
      <alignment horizontal="center"/>
    </xf>
    <xf numFmtId="0" fontId="17" fillId="15" borderId="2" xfId="0" applyFont="1" applyFill="1" applyBorder="1" applyAlignment="1">
      <alignment horizontal="left" vertical="center" wrapText="1" indent="1"/>
    </xf>
    <xf numFmtId="0" fontId="17" fillId="0" borderId="2" xfId="0" applyFont="1" applyBorder="1" applyAlignment="1">
      <alignment horizontal="left" vertical="center" wrapText="1" indent="1"/>
    </xf>
    <xf numFmtId="0" fontId="18" fillId="15" borderId="2" xfId="0" applyFont="1" applyFill="1" applyBorder="1" applyAlignment="1">
      <alignment horizontal="left" vertical="center" wrapText="1" indent="1"/>
    </xf>
    <xf numFmtId="0" fontId="19" fillId="15" borderId="2" xfId="0" applyFont="1" applyFill="1" applyBorder="1" applyAlignment="1">
      <alignment horizontal="left" vertical="center" wrapText="1" indent="2"/>
    </xf>
    <xf numFmtId="0" fontId="11" fillId="16" borderId="46" xfId="0" applyFont="1" applyFill="1" applyBorder="1"/>
    <xf numFmtId="0" fontId="23" fillId="1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16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5" fillId="0" borderId="0" xfId="0" applyFont="1" applyProtection="1"/>
    <xf numFmtId="0" fontId="7" fillId="0" borderId="0" xfId="0" applyFont="1" applyBorder="1" applyAlignment="1">
      <alignment horizontal="center"/>
    </xf>
    <xf numFmtId="0" fontId="20" fillId="16" borderId="47" xfId="0" applyFont="1" applyFill="1" applyBorder="1" applyAlignment="1">
      <alignment horizontal="center" wrapText="1"/>
    </xf>
    <xf numFmtId="0" fontId="7" fillId="0" borderId="33" xfId="0" applyFont="1" applyBorder="1" applyAlignment="1" applyProtection="1">
      <alignment vertical="center" wrapText="1"/>
    </xf>
    <xf numFmtId="0" fontId="7" fillId="0" borderId="13" xfId="0" applyFont="1" applyBorder="1" applyAlignment="1" applyProtection="1">
      <alignment horizontal="left"/>
    </xf>
    <xf numFmtId="10" fontId="7" fillId="2" borderId="19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21" fillId="16" borderId="25" xfId="0" applyFont="1" applyFill="1" applyBorder="1" applyAlignment="1">
      <alignment horizontal="center"/>
    </xf>
    <xf numFmtId="0" fontId="21" fillId="16" borderId="62" xfId="0" applyFont="1" applyFill="1" applyBorder="1" applyAlignment="1">
      <alignment horizontal="center"/>
    </xf>
    <xf numFmtId="0" fontId="21" fillId="16" borderId="26" xfId="0" applyFont="1" applyFill="1" applyBorder="1" applyAlignment="1">
      <alignment horizontal="center" wrapText="1"/>
    </xf>
    <xf numFmtId="0" fontId="22" fillId="16" borderId="26" xfId="0" applyFont="1" applyFill="1" applyBorder="1" applyAlignment="1">
      <alignment horizontal="center" vertical="center" wrapText="1"/>
    </xf>
    <xf numFmtId="0" fontId="21" fillId="16" borderId="26" xfId="0" applyFont="1" applyFill="1" applyBorder="1" applyAlignment="1">
      <alignment horizontal="center"/>
    </xf>
    <xf numFmtId="0" fontId="21" fillId="16" borderId="9" xfId="0" applyFont="1" applyFill="1" applyBorder="1" applyAlignment="1">
      <alignment horizontal="center"/>
    </xf>
    <xf numFmtId="0" fontId="11" fillId="16" borderId="27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11" fillId="16" borderId="28" xfId="0" applyFont="1" applyFill="1" applyBorder="1" applyAlignment="1">
      <alignment horizontal="center"/>
    </xf>
    <xf numFmtId="0" fontId="17" fillId="0" borderId="60" xfId="0" applyFont="1" applyBorder="1" applyAlignment="1">
      <alignment horizontal="left" vertical="center" wrapText="1" indent="1"/>
    </xf>
    <xf numFmtId="0" fontId="12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" fillId="0" borderId="0" xfId="0" applyFont="1" applyBorder="1" applyAlignment="1" applyProtection="1">
      <alignment horizontal="right"/>
    </xf>
    <xf numFmtId="0" fontId="0" fillId="0" borderId="0" xfId="0" applyProtection="1">
      <protection locked="0"/>
    </xf>
    <xf numFmtId="0" fontId="7" fillId="0" borderId="65" xfId="0" applyFont="1" applyBorder="1" applyAlignment="1" applyProtection="1">
      <alignment horizontal="center"/>
      <protection locked="0"/>
    </xf>
    <xf numFmtId="0" fontId="7" fillId="0" borderId="31" xfId="0" applyFont="1" applyBorder="1" applyAlignment="1" applyProtection="1">
      <alignment horizontal="center"/>
      <protection locked="0"/>
    </xf>
    <xf numFmtId="17" fontId="7" fillId="0" borderId="31" xfId="0" applyNumberFormat="1" applyFont="1" applyBorder="1" applyAlignment="1" applyProtection="1">
      <alignment horizontal="center"/>
      <protection locked="0"/>
    </xf>
    <xf numFmtId="0" fontId="9" fillId="0" borderId="31" xfId="0" applyFont="1" applyBorder="1" applyAlignment="1" applyProtection="1">
      <alignment horizontal="center"/>
      <protection locked="0"/>
    </xf>
    <xf numFmtId="0" fontId="7" fillId="0" borderId="32" xfId="0" applyFont="1" applyBorder="1" applyAlignment="1" applyProtection="1">
      <alignment horizontal="center" vertical="center"/>
      <protection locked="0"/>
    </xf>
    <xf numFmtId="0" fontId="7" fillId="0" borderId="31" xfId="0" applyFont="1" applyBorder="1" applyAlignment="1" applyProtection="1">
      <alignment horizontal="center" wrapText="1"/>
      <protection locked="0"/>
    </xf>
    <xf numFmtId="0" fontId="7" fillId="0" borderId="32" xfId="0" applyFont="1" applyBorder="1" applyAlignment="1" applyProtection="1">
      <alignment horizontal="center"/>
      <protection locked="0"/>
    </xf>
    <xf numFmtId="0" fontId="7" fillId="0" borderId="31" xfId="0" applyFont="1" applyBorder="1" applyAlignment="1" applyProtection="1">
      <alignment horizontal="center" vertical="center"/>
      <protection locked="0"/>
    </xf>
    <xf numFmtId="0" fontId="7" fillId="2" borderId="41" xfId="0" applyFont="1" applyFill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/>
    </xf>
    <xf numFmtId="0" fontId="11" fillId="16" borderId="0" xfId="0" applyFont="1" applyFill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7" fillId="0" borderId="27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 wrapText="1"/>
    </xf>
    <xf numFmtId="0" fontId="3" fillId="0" borderId="27" xfId="0" applyFont="1" applyBorder="1" applyAlignment="1" applyProtection="1">
      <alignment horizontal="center" vertical="center" wrapText="1"/>
    </xf>
    <xf numFmtId="0" fontId="7" fillId="2" borderId="64" xfId="0" applyFont="1" applyFill="1" applyBorder="1" applyAlignment="1" applyProtection="1">
      <alignment horizontal="center"/>
    </xf>
    <xf numFmtId="0" fontId="7" fillId="2" borderId="33" xfId="0" applyFont="1" applyFill="1" applyBorder="1" applyAlignment="1" applyProtection="1">
      <alignment horizontal="center"/>
    </xf>
    <xf numFmtId="0" fontId="7" fillId="2" borderId="36" xfId="0" applyFont="1" applyFill="1" applyBorder="1" applyAlignment="1" applyProtection="1">
      <alignment horizontal="center"/>
    </xf>
    <xf numFmtId="0" fontId="7" fillId="10" borderId="50" xfId="0" applyFont="1" applyFill="1" applyBorder="1" applyAlignment="1" applyProtection="1">
      <alignment horizontal="center" wrapText="1"/>
    </xf>
    <xf numFmtId="0" fontId="8" fillId="2" borderId="0" xfId="0" applyFont="1" applyFill="1" applyBorder="1" applyAlignment="1" applyProtection="1">
      <alignment horizontal="center"/>
    </xf>
    <xf numFmtId="0" fontId="7" fillId="15" borderId="1" xfId="0" quotePrefix="1" applyFont="1" applyFill="1" applyBorder="1" applyAlignment="1" applyProtection="1">
      <alignment horizontal="center" vertical="center" wrapText="1"/>
      <protection locked="0"/>
    </xf>
    <xf numFmtId="0" fontId="7" fillId="15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7" fillId="0" borderId="1" xfId="0" quotePrefix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9" xfId="0" applyFont="1" applyBorder="1" applyAlignment="1" applyProtection="1">
      <alignment horizontal="center" vertical="center" wrapText="1"/>
      <protection locked="0"/>
    </xf>
    <xf numFmtId="0" fontId="12" fillId="0" borderId="29" xfId="0" applyFont="1" applyBorder="1" applyAlignment="1" applyProtection="1">
      <alignment horizontal="center" vertical="center"/>
      <protection locked="0"/>
    </xf>
    <xf numFmtId="0" fontId="0" fillId="0" borderId="62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0" xfId="0" applyBorder="1" applyProtection="1">
      <protection locked="0"/>
    </xf>
    <xf numFmtId="0" fontId="0" fillId="0" borderId="29" xfId="0" applyBorder="1" applyProtection="1">
      <protection locked="0"/>
    </xf>
    <xf numFmtId="164" fontId="5" fillId="2" borderId="53" xfId="0" applyNumberFormat="1" applyFont="1" applyFill="1" applyBorder="1" applyAlignment="1" applyProtection="1">
      <alignment horizontal="center" wrapText="1"/>
      <protection locked="0"/>
    </xf>
    <xf numFmtId="0" fontId="7" fillId="2" borderId="24" xfId="0" applyFont="1" applyFill="1" applyBorder="1" applyAlignment="1" applyProtection="1">
      <alignment horizontal="center" wrapText="1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7" fillId="2" borderId="54" xfId="0" applyFont="1" applyFill="1" applyBorder="1" applyAlignment="1" applyProtection="1">
      <alignment horizontal="center"/>
      <protection locked="0"/>
    </xf>
    <xf numFmtId="0" fontId="3" fillId="4" borderId="34" xfId="0" applyFont="1" applyFill="1" applyBorder="1" applyAlignment="1" applyProtection="1">
      <alignment horizontal="center"/>
    </xf>
    <xf numFmtId="0" fontId="3" fillId="4" borderId="44" xfId="0" applyFont="1" applyFill="1" applyBorder="1" applyAlignment="1" applyProtection="1">
      <alignment horizontal="center"/>
    </xf>
    <xf numFmtId="0" fontId="3" fillId="4" borderId="45" xfId="0" applyFont="1" applyFill="1" applyBorder="1" applyAlignment="1" applyProtection="1">
      <alignment horizontal="center"/>
    </xf>
    <xf numFmtId="0" fontId="3" fillId="4" borderId="33" xfId="0" applyFont="1" applyFill="1" applyBorder="1" applyAlignment="1" applyProtection="1">
      <alignment horizontal="center" vertical="center" wrapText="1"/>
    </xf>
    <xf numFmtId="0" fontId="3" fillId="4" borderId="6" xfId="0" applyFont="1" applyFill="1" applyBorder="1" applyAlignment="1" applyProtection="1">
      <alignment horizontal="center" vertical="center" wrapText="1"/>
    </xf>
    <xf numFmtId="0" fontId="3" fillId="4" borderId="43" xfId="0" applyFont="1" applyFill="1" applyBorder="1" applyAlignment="1" applyProtection="1">
      <alignment horizontal="center" vertical="center" wrapText="1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43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wrapText="1"/>
    </xf>
    <xf numFmtId="0" fontId="3" fillId="4" borderId="44" xfId="0" applyFont="1" applyFill="1" applyBorder="1" applyAlignment="1" applyProtection="1">
      <alignment horizontal="center" wrapText="1"/>
    </xf>
    <xf numFmtId="0" fontId="3" fillId="4" borderId="45" xfId="0" applyFont="1" applyFill="1" applyBorder="1" applyAlignment="1" applyProtection="1">
      <alignment horizontal="center" wrapText="1"/>
    </xf>
    <xf numFmtId="0" fontId="3" fillId="4" borderId="33" xfId="0" applyFont="1" applyFill="1" applyBorder="1" applyAlignment="1" applyProtection="1">
      <alignment horizontal="center" wrapText="1"/>
    </xf>
    <xf numFmtId="0" fontId="3" fillId="4" borderId="6" xfId="0" applyFont="1" applyFill="1" applyBorder="1" applyAlignment="1" applyProtection="1">
      <alignment horizontal="center" wrapText="1"/>
    </xf>
    <xf numFmtId="0" fontId="3" fillId="4" borderId="43" xfId="0" applyFont="1" applyFill="1" applyBorder="1" applyAlignment="1" applyProtection="1">
      <alignment horizontal="center" wrapText="1"/>
    </xf>
    <xf numFmtId="16" fontId="3" fillId="4" borderId="35" xfId="0" applyNumberFormat="1" applyFont="1" applyFill="1" applyBorder="1" applyAlignment="1" applyProtection="1">
      <alignment horizontal="center" wrapText="1"/>
    </xf>
    <xf numFmtId="16" fontId="3" fillId="4" borderId="48" xfId="0" applyNumberFormat="1" applyFont="1" applyFill="1" applyBorder="1" applyAlignment="1" applyProtection="1">
      <alignment horizontal="center" wrapText="1"/>
    </xf>
    <xf numFmtId="16" fontId="3" fillId="4" borderId="49" xfId="0" applyNumberFormat="1" applyFont="1" applyFill="1" applyBorder="1" applyAlignment="1" applyProtection="1">
      <alignment horizontal="center" wrapText="1"/>
    </xf>
    <xf numFmtId="0" fontId="29" fillId="0" borderId="0" xfId="0" applyFont="1" applyProtection="1"/>
    <xf numFmtId="0" fontId="7" fillId="0" borderId="0" xfId="0" applyFont="1" applyProtection="1"/>
    <xf numFmtId="0" fontId="0" fillId="5" borderId="7" xfId="0" applyFill="1" applyBorder="1" applyAlignment="1" applyProtection="1">
      <alignment horizontal="center"/>
    </xf>
    <xf numFmtId="0" fontId="2" fillId="5" borderId="53" xfId="1" applyFill="1" applyBorder="1" applyAlignment="1" applyProtection="1">
      <alignment horizontal="center"/>
    </xf>
    <xf numFmtId="0" fontId="2" fillId="5" borderId="24" xfId="1" applyFill="1" applyBorder="1" applyAlignment="1" applyProtection="1">
      <alignment horizontal="center"/>
    </xf>
    <xf numFmtId="0" fontId="2" fillId="5" borderId="52" xfId="1" applyFill="1" applyBorder="1" applyAlignment="1" applyProtection="1">
      <alignment horizontal="center"/>
    </xf>
    <xf numFmtId="0" fontId="0" fillId="5" borderId="24" xfId="0" applyFill="1" applyBorder="1" applyProtection="1"/>
    <xf numFmtId="0" fontId="0" fillId="5" borderId="54" xfId="0" applyFill="1" applyBorder="1" applyProtection="1"/>
    <xf numFmtId="0" fontId="0" fillId="0" borderId="0" xfId="0" applyBorder="1" applyProtection="1"/>
    <xf numFmtId="0" fontId="28" fillId="0" borderId="34" xfId="0" applyFont="1" applyBorder="1" applyAlignment="1" applyProtection="1">
      <alignment wrapText="1"/>
    </xf>
    <xf numFmtId="0" fontId="9" fillId="0" borderId="41" xfId="0" applyFont="1" applyBorder="1" applyAlignment="1" applyProtection="1">
      <alignment wrapText="1"/>
    </xf>
    <xf numFmtId="0" fontId="9" fillId="0" borderId="27" xfId="0" applyFont="1" applyBorder="1" applyAlignment="1" applyProtection="1">
      <alignment wrapText="1"/>
    </xf>
    <xf numFmtId="0" fontId="9" fillId="0" borderId="36" xfId="0" applyFont="1" applyBorder="1" applyAlignment="1" applyProtection="1">
      <alignment wrapText="1"/>
    </xf>
    <xf numFmtId="0" fontId="7" fillId="5" borderId="25" xfId="0" applyFont="1" applyFill="1" applyBorder="1" applyProtection="1"/>
    <xf numFmtId="0" fontId="7" fillId="5" borderId="26" xfId="0" applyFont="1" applyFill="1" applyBorder="1" applyAlignment="1" applyProtection="1">
      <alignment horizontal="center"/>
    </xf>
    <xf numFmtId="0" fontId="9" fillId="5" borderId="68" xfId="0" applyFont="1" applyFill="1" applyBorder="1" applyAlignment="1" applyProtection="1">
      <alignment wrapText="1"/>
    </xf>
    <xf numFmtId="0" fontId="9" fillId="5" borderId="44" xfId="0" applyFont="1" applyFill="1" applyBorder="1" applyAlignment="1" applyProtection="1">
      <alignment wrapText="1"/>
    </xf>
    <xf numFmtId="0" fontId="9" fillId="5" borderId="45" xfId="0" applyFont="1" applyFill="1" applyBorder="1" applyAlignment="1" applyProtection="1">
      <alignment wrapText="1"/>
    </xf>
    <xf numFmtId="0" fontId="7" fillId="0" borderId="16" xfId="0" applyFont="1" applyBorder="1" applyAlignment="1" applyProtection="1">
      <alignment horizontal="left"/>
    </xf>
    <xf numFmtId="10" fontId="7" fillId="2" borderId="7" xfId="0" applyNumberFormat="1" applyFont="1" applyFill="1" applyBorder="1" applyAlignment="1" applyProtection="1">
      <alignment horizontal="center"/>
    </xf>
    <xf numFmtId="164" fontId="5" fillId="2" borderId="55" xfId="0" applyNumberFormat="1" applyFont="1" applyFill="1" applyBorder="1" applyAlignment="1" applyProtection="1">
      <alignment horizontal="center" wrapText="1"/>
      <protection locked="0"/>
    </xf>
    <xf numFmtId="164" fontId="5" fillId="2" borderId="1" xfId="0" applyNumberFormat="1" applyFont="1" applyFill="1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horizontal="center" wrapText="1"/>
      <protection locked="0"/>
    </xf>
    <xf numFmtId="0" fontId="7" fillId="2" borderId="27" xfId="0" applyFont="1" applyFill="1" applyBorder="1" applyProtection="1">
      <protection locked="0"/>
    </xf>
    <xf numFmtId="0" fontId="7" fillId="2" borderId="28" xfId="0" applyFont="1" applyFill="1" applyBorder="1" applyProtection="1">
      <protection locked="0"/>
    </xf>
    <xf numFmtId="0" fontId="7" fillId="2" borderId="29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 applyProtection="1">
      <alignment wrapTex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1" fillId="16" borderId="1" xfId="0" applyFont="1" applyFill="1" applyBorder="1" applyAlignment="1" applyProtection="1">
      <alignment horizontal="center"/>
    </xf>
    <xf numFmtId="0" fontId="12" fillId="0" borderId="1" xfId="0" applyFont="1" applyBorder="1" applyAlignment="1" applyProtection="1">
      <alignment horizontal="center" wrapText="1"/>
    </xf>
    <xf numFmtId="10" fontId="0" fillId="0" borderId="1" xfId="0" applyNumberFormat="1" applyBorder="1" applyAlignment="1" applyProtection="1">
      <alignment horizontal="center"/>
    </xf>
    <xf numFmtId="0" fontId="11" fillId="0" borderId="0" xfId="0" applyFont="1" applyProtection="1"/>
    <xf numFmtId="0" fontId="12" fillId="0" borderId="3" xfId="0" applyFont="1" applyBorder="1" applyAlignment="1" applyProtection="1">
      <alignment horizontal="center" wrapText="1"/>
    </xf>
    <xf numFmtId="10" fontId="0" fillId="0" borderId="3" xfId="0" applyNumberFormat="1" applyBorder="1" applyAlignment="1" applyProtection="1">
      <alignment horizontal="center"/>
    </xf>
    <xf numFmtId="0" fontId="14" fillId="0" borderId="0" xfId="0" applyFont="1" applyProtection="1"/>
    <xf numFmtId="10" fontId="11" fillId="0" borderId="0" xfId="0" applyNumberFormat="1" applyFont="1" applyProtection="1"/>
    <xf numFmtId="0" fontId="11" fillId="0" borderId="0" xfId="0" applyFont="1" applyAlignment="1" applyProtection="1">
      <alignment horizontal="center"/>
    </xf>
    <xf numFmtId="0" fontId="11" fillId="2" borderId="0" xfId="0" applyFont="1" applyFill="1" applyProtection="1"/>
    <xf numFmtId="0" fontId="11" fillId="0" borderId="0" xfId="0" applyFont="1" applyFill="1" applyBorder="1" applyProtection="1"/>
    <xf numFmtId="10" fontId="11" fillId="0" borderId="0" xfId="0" applyNumberFormat="1" applyFont="1" applyAlignment="1" applyProtection="1">
      <alignment horizontal="center"/>
    </xf>
    <xf numFmtId="1" fontId="11" fillId="0" borderId="0" xfId="0" applyNumberFormat="1" applyFont="1" applyProtection="1"/>
    <xf numFmtId="0" fontId="11" fillId="0" borderId="0" xfId="0" applyFont="1" applyAlignment="1" applyProtection="1">
      <alignment wrapText="1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0" fontId="21" fillId="0" borderId="0" xfId="0" applyFont="1" applyBorder="1" applyAlignment="1" applyProtection="1">
      <alignment wrapText="1"/>
    </xf>
    <xf numFmtId="0" fontId="21" fillId="0" borderId="0" xfId="0" applyFont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vertical="center" wrapText="1"/>
    </xf>
    <xf numFmtId="10" fontId="21" fillId="0" borderId="0" xfId="0" applyNumberFormat="1" applyFont="1" applyProtection="1"/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1" fillId="2" borderId="0" xfId="0" applyFont="1" applyFill="1" applyAlignment="1" applyProtection="1">
      <alignment horizontal="center"/>
    </xf>
    <xf numFmtId="10" fontId="11" fillId="2" borderId="0" xfId="0" applyNumberFormat="1" applyFont="1" applyFill="1" applyAlignment="1" applyProtection="1">
      <alignment horizontal="center"/>
    </xf>
    <xf numFmtId="0" fontId="9" fillId="0" borderId="0" xfId="0" applyFont="1" applyProtection="1"/>
    <xf numFmtId="0" fontId="31" fillId="2" borderId="0" xfId="0" applyFont="1" applyFill="1" applyBorder="1" applyAlignment="1" applyProtection="1">
      <alignment horizontal="center"/>
    </xf>
    <xf numFmtId="0" fontId="21" fillId="0" borderId="0" xfId="0" applyFont="1"/>
    <xf numFmtId="0" fontId="20" fillId="0" borderId="0" xfId="0" applyFont="1"/>
    <xf numFmtId="0" fontId="25" fillId="13" borderId="1" xfId="0" applyFont="1" applyFill="1" applyBorder="1" applyAlignment="1">
      <alignment horizontal="center" vertical="center" wrapText="1"/>
    </xf>
    <xf numFmtId="0" fontId="11" fillId="16" borderId="10" xfId="0" applyFont="1" applyFill="1" applyBorder="1" applyAlignment="1">
      <alignment horizontal="center" vertical="center"/>
    </xf>
    <xf numFmtId="14" fontId="7" fillId="0" borderId="31" xfId="0" applyNumberFormat="1" applyFont="1" applyBorder="1" applyAlignment="1" applyProtection="1">
      <alignment horizontal="center"/>
      <protection locked="0"/>
    </xf>
    <xf numFmtId="14" fontId="14" fillId="0" borderId="1" xfId="0" applyNumberFormat="1" applyFont="1" applyBorder="1" applyAlignment="1" applyProtection="1">
      <alignment horizontal="center"/>
      <protection locked="0"/>
    </xf>
    <xf numFmtId="0" fontId="14" fillId="0" borderId="7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wrapText="1"/>
      <protection locked="0"/>
    </xf>
    <xf numFmtId="0" fontId="26" fillId="6" borderId="29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11" fillId="16" borderId="1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25" fillId="13" borderId="31" xfId="0" applyFont="1" applyFill="1" applyBorder="1" applyAlignment="1">
      <alignment horizontal="center" vertical="center" wrapText="1"/>
    </xf>
    <xf numFmtId="0" fontId="26" fillId="14" borderId="27" xfId="0" applyFont="1" applyFill="1" applyBorder="1" applyAlignment="1">
      <alignment horizontal="center" vertical="center" wrapText="1"/>
    </xf>
    <xf numFmtId="0" fontId="26" fillId="6" borderId="31" xfId="0" applyFont="1" applyFill="1" applyBorder="1" applyAlignment="1">
      <alignment horizontal="left" vertical="center" wrapText="1"/>
    </xf>
    <xf numFmtId="0" fontId="12" fillId="0" borderId="31" xfId="0" applyFont="1" applyBorder="1" applyAlignment="1">
      <alignment vertical="center" wrapText="1"/>
    </xf>
    <xf numFmtId="0" fontId="26" fillId="0" borderId="31" xfId="0" applyFont="1" applyBorder="1" applyAlignment="1">
      <alignment horizontal="left" vertical="center" wrapText="1"/>
    </xf>
    <xf numFmtId="0" fontId="26" fillId="14" borderId="28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vertical="center" wrapText="1"/>
    </xf>
    <xf numFmtId="0" fontId="7" fillId="0" borderId="16" xfId="0" applyFont="1" applyBorder="1" applyAlignment="1" applyProtection="1">
      <alignment vertical="center" wrapText="1"/>
    </xf>
    <xf numFmtId="0" fontId="7" fillId="0" borderId="34" xfId="0" applyFont="1" applyBorder="1" applyAlignment="1" applyProtection="1">
      <alignment vertical="center" wrapText="1"/>
    </xf>
    <xf numFmtId="0" fontId="7" fillId="0" borderId="35" xfId="0" applyFont="1" applyBorder="1" applyAlignment="1" applyProtection="1">
      <alignment vertical="center" wrapText="1"/>
    </xf>
    <xf numFmtId="0" fontId="7" fillId="2" borderId="54" xfId="0" applyFont="1" applyFill="1" applyBorder="1" applyAlignment="1" applyProtection="1">
      <alignment horizontal="center" wrapText="1"/>
      <protection locked="0"/>
    </xf>
    <xf numFmtId="0" fontId="7" fillId="2" borderId="25" xfId="0" applyFont="1" applyFill="1" applyBorder="1" applyAlignment="1" applyProtection="1">
      <alignment wrapText="1"/>
    </xf>
    <xf numFmtId="0" fontId="7" fillId="2" borderId="26" xfId="0" applyFont="1" applyFill="1" applyBorder="1" applyAlignment="1" applyProtection="1">
      <alignment horizontal="center"/>
      <protection locked="0"/>
    </xf>
    <xf numFmtId="0" fontId="7" fillId="2" borderId="27" xfId="0" applyFont="1" applyFill="1" applyBorder="1" applyAlignment="1" applyProtection="1">
      <alignment vertical="center" wrapText="1"/>
    </xf>
    <xf numFmtId="0" fontId="7" fillId="2" borderId="28" xfId="0" applyFont="1" applyFill="1" applyBorder="1" applyAlignment="1" applyProtection="1">
      <alignment vertical="center" wrapText="1"/>
    </xf>
    <xf numFmtId="0" fontId="28" fillId="5" borderId="46" xfId="0" applyFont="1" applyFill="1" applyBorder="1" applyAlignment="1" applyProtection="1">
      <alignment vertical="center" wrapText="1"/>
    </xf>
    <xf numFmtId="0" fontId="7" fillId="5" borderId="47" xfId="0" applyFont="1" applyFill="1" applyBorder="1" applyAlignment="1" applyProtection="1">
      <alignment horizontal="center"/>
    </xf>
    <xf numFmtId="0" fontId="0" fillId="0" borderId="55" xfId="0" applyBorder="1" applyAlignment="1" applyProtection="1">
      <alignment horizontal="left"/>
    </xf>
    <xf numFmtId="10" fontId="0" fillId="2" borderId="55" xfId="0" applyNumberFormat="1" applyFill="1" applyBorder="1" applyAlignment="1" applyProtection="1">
      <alignment horizontal="center"/>
    </xf>
    <xf numFmtId="0" fontId="7" fillId="2" borderId="25" xfId="0" applyFont="1" applyFill="1" applyBorder="1" applyProtection="1">
      <protection locked="0"/>
    </xf>
    <xf numFmtId="0" fontId="7" fillId="2" borderId="26" xfId="0" applyFont="1" applyFill="1" applyBorder="1" applyProtection="1">
      <protection locked="0"/>
    </xf>
    <xf numFmtId="0" fontId="21" fillId="16" borderId="28" xfId="0" applyFont="1" applyFill="1" applyBorder="1" applyAlignment="1" applyProtection="1">
      <alignment horizontal="center" vertical="center" wrapText="1"/>
    </xf>
    <xf numFmtId="0" fontId="7" fillId="0" borderId="29" xfId="0" applyFont="1" applyBorder="1" applyAlignment="1" applyProtection="1">
      <alignment horizontal="center" wrapText="1"/>
      <protection locked="0"/>
    </xf>
    <xf numFmtId="0" fontId="7" fillId="0" borderId="32" xfId="0" applyFont="1" applyBorder="1" applyAlignment="1" applyProtection="1">
      <alignment horizontal="center"/>
    </xf>
    <xf numFmtId="0" fontId="21" fillId="16" borderId="25" xfId="0" applyFont="1" applyFill="1" applyBorder="1" applyAlignment="1" applyProtection="1">
      <alignment horizontal="center" wrapText="1"/>
    </xf>
    <xf numFmtId="0" fontId="7" fillId="0" borderId="26" xfId="0" applyFont="1" applyBorder="1" applyAlignment="1" applyProtection="1">
      <alignment horizontal="center" wrapText="1"/>
      <protection locked="0"/>
    </xf>
    <xf numFmtId="0" fontId="7" fillId="0" borderId="30" xfId="0" applyFont="1" applyBorder="1" applyAlignment="1" applyProtection="1">
      <alignment wrapText="1"/>
    </xf>
    <xf numFmtId="0" fontId="21" fillId="16" borderId="27" xfId="0" applyFont="1" applyFill="1" applyBorder="1" applyAlignment="1" applyProtection="1">
      <alignment horizontal="center" wrapText="1"/>
    </xf>
    <xf numFmtId="0" fontId="7" fillId="0" borderId="31" xfId="0" applyFont="1" applyBorder="1" applyAlignment="1" applyProtection="1">
      <alignment wrapText="1"/>
    </xf>
    <xf numFmtId="0" fontId="7" fillId="0" borderId="31" xfId="0" applyFont="1" applyBorder="1" applyAlignment="1" applyProtection="1">
      <alignment horizontal="center" wrapText="1"/>
    </xf>
    <xf numFmtId="0" fontId="21" fillId="16" borderId="28" xfId="0" applyFont="1" applyFill="1" applyBorder="1" applyAlignment="1" applyProtection="1">
      <alignment horizontal="center" wrapText="1"/>
    </xf>
    <xf numFmtId="2" fontId="7" fillId="0" borderId="29" xfId="0" applyNumberFormat="1" applyFont="1" applyBorder="1" applyAlignment="1" applyProtection="1">
      <alignment horizontal="center" wrapText="1"/>
    </xf>
    <xf numFmtId="0" fontId="7" fillId="0" borderId="32" xfId="0" applyFont="1" applyBorder="1" applyAlignment="1" applyProtection="1">
      <alignment horizontal="center" wrapText="1"/>
    </xf>
    <xf numFmtId="0" fontId="16" fillId="0" borderId="0" xfId="0" applyFont="1" applyAlignment="1" applyProtection="1">
      <alignment horizontal="center"/>
    </xf>
    <xf numFmtId="0" fontId="13" fillId="16" borderId="0" xfId="0" applyFont="1" applyFill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wrapText="1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21" fillId="0" borderId="0" xfId="0" applyFont="1" applyAlignment="1" applyProtection="1">
      <alignment wrapText="1"/>
    </xf>
    <xf numFmtId="0" fontId="1" fillId="0" borderId="0" xfId="0" applyFont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27" xfId="0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 wrapText="1"/>
    </xf>
    <xf numFmtId="0" fontId="14" fillId="0" borderId="0" xfId="0" applyFont="1"/>
    <xf numFmtId="0" fontId="33" fillId="0" borderId="17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8" borderId="15" xfId="0" applyFont="1" applyFill="1" applyBorder="1" applyAlignment="1">
      <alignment horizontal="center" vertical="center" wrapText="1"/>
    </xf>
    <xf numFmtId="0" fontId="34" fillId="9" borderId="15" xfId="0" applyFont="1" applyFill="1" applyBorder="1" applyAlignment="1">
      <alignment horizontal="center" vertical="center" wrapText="1"/>
    </xf>
    <xf numFmtId="0" fontId="34" fillId="10" borderId="15" xfId="0" applyFont="1" applyFill="1" applyBorder="1" applyAlignment="1">
      <alignment horizontal="center" vertical="center" wrapText="1"/>
    </xf>
    <xf numFmtId="0" fontId="34" fillId="11" borderId="15" xfId="0" applyFont="1" applyFill="1" applyBorder="1" applyAlignment="1">
      <alignment horizontal="center" vertical="center" wrapText="1"/>
    </xf>
    <xf numFmtId="0" fontId="34" fillId="12" borderId="15" xfId="0" applyFont="1" applyFill="1" applyBorder="1" applyAlignment="1">
      <alignment horizontal="center" vertical="center" wrapText="1"/>
    </xf>
    <xf numFmtId="0" fontId="9" fillId="0" borderId="0" xfId="0" applyFont="1"/>
    <xf numFmtId="0" fontId="11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 wrapText="1"/>
    </xf>
    <xf numFmtId="0" fontId="22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/>
    </xf>
    <xf numFmtId="0" fontId="35" fillId="2" borderId="0" xfId="0" applyFont="1" applyFill="1" applyBorder="1" applyAlignment="1" applyProtection="1">
      <alignment wrapText="1"/>
      <protection locked="0"/>
    </xf>
    <xf numFmtId="0" fontId="11" fillId="2" borderId="0" xfId="0" applyFont="1" applyFill="1" applyBorder="1" applyAlignment="1" applyProtection="1">
      <alignment horizontal="center" vertical="center" wrapText="1"/>
      <protection locked="0"/>
    </xf>
    <xf numFmtId="0" fontId="20" fillId="2" borderId="0" xfId="0" applyFont="1" applyFill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/>
      <protection locked="0"/>
    </xf>
    <xf numFmtId="0" fontId="10" fillId="0" borderId="27" xfId="0" applyFont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/>
    </xf>
    <xf numFmtId="0" fontId="9" fillId="2" borderId="27" xfId="0" applyFont="1" applyFill="1" applyBorder="1" applyAlignment="1" applyProtection="1">
      <alignment horizontal="center" vertical="center" wrapText="1"/>
    </xf>
    <xf numFmtId="0" fontId="20" fillId="2" borderId="0" xfId="0" applyFont="1" applyFill="1" applyBorder="1" applyAlignment="1">
      <alignment horizontal="center"/>
    </xf>
    <xf numFmtId="0" fontId="11" fillId="2" borderId="0" xfId="0" applyFont="1" applyFill="1" applyBorder="1" applyAlignment="1" applyProtection="1">
      <alignment horizontal="center"/>
      <protection locked="0"/>
    </xf>
    <xf numFmtId="0" fontId="28" fillId="17" borderId="34" xfId="0" applyFont="1" applyFill="1" applyBorder="1" applyAlignment="1" applyProtection="1">
      <alignment vertical="center" wrapText="1"/>
    </xf>
    <xf numFmtId="0" fontId="7" fillId="0" borderId="12" xfId="0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7" fillId="0" borderId="27" xfId="0" applyFont="1" applyBorder="1" applyAlignment="1" applyProtection="1">
      <alignment horizontal="center" vertical="center" wrapText="1"/>
      <protection locked="0"/>
    </xf>
    <xf numFmtId="0" fontId="0" fillId="0" borderId="31" xfId="0" applyBorder="1" applyProtection="1"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0" fillId="0" borderId="32" xfId="0" applyBorder="1" applyProtection="1">
      <protection locked="0"/>
    </xf>
    <xf numFmtId="0" fontId="7" fillId="17" borderId="53" xfId="0" applyFont="1" applyFill="1" applyBorder="1" applyAlignment="1" applyProtection="1">
      <alignment horizontal="center"/>
    </xf>
    <xf numFmtId="0" fontId="7" fillId="0" borderId="33" xfId="0" applyFont="1" applyBorder="1" applyProtection="1">
      <protection locked="0"/>
    </xf>
    <xf numFmtId="0" fontId="7" fillId="0" borderId="35" xfId="0" applyFont="1" applyBorder="1" applyProtection="1">
      <protection locked="0"/>
    </xf>
    <xf numFmtId="0" fontId="7" fillId="0" borderId="27" xfId="0" applyFont="1" applyBorder="1" applyProtection="1">
      <protection locked="0"/>
    </xf>
    <xf numFmtId="0" fontId="0" fillId="4" borderId="7" xfId="0" applyFill="1" applyBorder="1" applyAlignment="1" applyProtection="1">
      <alignment vertical="center"/>
    </xf>
    <xf numFmtId="14" fontId="0" fillId="4" borderId="7" xfId="0" applyNumberFormat="1" applyFill="1" applyBorder="1" applyAlignment="1" applyProtection="1">
      <alignment wrapText="1"/>
    </xf>
    <xf numFmtId="0" fontId="29" fillId="2" borderId="46" xfId="0" applyFont="1" applyFill="1" applyBorder="1" applyAlignment="1">
      <alignment horizontal="center" vertical="center" wrapText="1"/>
    </xf>
    <xf numFmtId="0" fontId="29" fillId="2" borderId="47" xfId="0" applyFont="1" applyFill="1" applyBorder="1" applyAlignment="1">
      <alignment horizontal="center" vertical="center" wrapText="1"/>
    </xf>
    <xf numFmtId="0" fontId="29" fillId="2" borderId="69" xfId="0" applyFont="1" applyFill="1" applyBorder="1" applyAlignment="1">
      <alignment horizontal="center" vertical="center" wrapText="1"/>
    </xf>
    <xf numFmtId="0" fontId="25" fillId="13" borderId="26" xfId="0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9" xfId="0" applyBorder="1" applyAlignment="1">
      <alignment horizontal="center"/>
    </xf>
    <xf numFmtId="0" fontId="29" fillId="2" borderId="8" xfId="0" applyFont="1" applyFill="1" applyBorder="1" applyAlignment="1">
      <alignment horizontal="center" vertical="center" wrapText="1"/>
    </xf>
    <xf numFmtId="0" fontId="29" fillId="2" borderId="9" xfId="0" applyFont="1" applyFill="1" applyBorder="1" applyAlignment="1">
      <alignment horizontal="center" vertical="center" wrapText="1"/>
    </xf>
    <xf numFmtId="0" fontId="29" fillId="2" borderId="10" xfId="0" applyFont="1" applyFill="1" applyBorder="1" applyAlignment="1">
      <alignment horizontal="center" vertical="center" wrapText="1"/>
    </xf>
    <xf numFmtId="0" fontId="29" fillId="2" borderId="13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wrapText="1"/>
    </xf>
    <xf numFmtId="0" fontId="10" fillId="2" borderId="37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7" fillId="2" borderId="44" xfId="0" applyFont="1" applyFill="1" applyBorder="1" applyAlignment="1">
      <alignment horizontal="center" wrapText="1"/>
    </xf>
    <xf numFmtId="0" fontId="7" fillId="2" borderId="45" xfId="0" applyFont="1" applyFill="1" applyBorder="1" applyAlignment="1">
      <alignment horizontal="center" wrapText="1"/>
    </xf>
    <xf numFmtId="0" fontId="25" fillId="13" borderId="25" xfId="0" applyFont="1" applyFill="1" applyBorder="1" applyAlignment="1">
      <alignment horizontal="center" vertical="center" wrapText="1"/>
    </xf>
    <xf numFmtId="0" fontId="25" fillId="13" borderId="2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5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0" borderId="30" xfId="0" applyFont="1" applyBorder="1" applyAlignment="1">
      <alignment horizontal="center" wrapText="1"/>
    </xf>
    <xf numFmtId="0" fontId="7" fillId="0" borderId="36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50" xfId="0" applyFont="1" applyBorder="1" applyAlignment="1">
      <alignment horizontal="center" wrapText="1"/>
    </xf>
    <xf numFmtId="0" fontId="7" fillId="0" borderId="51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7" fillId="0" borderId="39" xfId="0" applyFont="1" applyBorder="1" applyAlignment="1">
      <alignment horizont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69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13" fillId="16" borderId="0" xfId="0" applyFont="1" applyFill="1" applyAlignment="1">
      <alignment horizontal="center"/>
    </xf>
    <xf numFmtId="0" fontId="7" fillId="0" borderId="45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45" xfId="0" applyFont="1" applyFill="1" applyBorder="1" applyAlignment="1">
      <alignment horizontal="center" vertical="center" wrapText="1"/>
    </xf>
    <xf numFmtId="0" fontId="7" fillId="15" borderId="43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wrapText="1"/>
    </xf>
    <xf numFmtId="0" fontId="7" fillId="2" borderId="47" xfId="0" applyFont="1" applyFill="1" applyBorder="1" applyAlignment="1">
      <alignment horizontal="center" wrapText="1"/>
    </xf>
    <xf numFmtId="0" fontId="7" fillId="2" borderId="69" xfId="0" applyFont="1" applyFill="1" applyBorder="1" applyAlignment="1">
      <alignment horizontal="center" wrapText="1"/>
    </xf>
    <xf numFmtId="0" fontId="25" fillId="13" borderId="30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/>
    </xf>
    <xf numFmtId="0" fontId="13" fillId="16" borderId="0" xfId="0" applyFont="1" applyFill="1" applyAlignment="1" applyProtection="1">
      <alignment horizontal="center"/>
    </xf>
    <xf numFmtId="0" fontId="11" fillId="16" borderId="16" xfId="0" applyFont="1" applyFill="1" applyBorder="1" applyAlignment="1" applyProtection="1">
      <alignment horizontal="center"/>
    </xf>
    <xf numFmtId="0" fontId="11" fillId="16" borderId="17" xfId="0" applyFont="1" applyFill="1" applyBorder="1" applyAlignment="1" applyProtection="1">
      <alignment horizontal="center"/>
    </xf>
    <xf numFmtId="0" fontId="24" fillId="5" borderId="0" xfId="2" applyFont="1" applyFill="1" applyBorder="1" applyAlignment="1" applyProtection="1">
      <alignment horizontal="center" vertical="center" wrapText="1"/>
    </xf>
    <xf numFmtId="0" fontId="21" fillId="16" borderId="8" xfId="0" applyFont="1" applyFill="1" applyBorder="1" applyAlignment="1" applyProtection="1">
      <alignment horizontal="center" wrapText="1"/>
    </xf>
    <xf numFmtId="0" fontId="21" fillId="16" borderId="10" xfId="0" applyFont="1" applyFill="1" applyBorder="1" applyAlignment="1" applyProtection="1">
      <alignment horizontal="center" wrapText="1"/>
    </xf>
    <xf numFmtId="0" fontId="11" fillId="16" borderId="13" xfId="0" applyFont="1" applyFill="1" applyBorder="1" applyAlignment="1" applyProtection="1">
      <alignment horizontal="center"/>
    </xf>
    <xf numFmtId="0" fontId="11" fillId="16" borderId="15" xfId="0" applyFont="1" applyFill="1" applyBorder="1" applyAlignment="1" applyProtection="1">
      <alignment horizontal="center"/>
    </xf>
    <xf numFmtId="0" fontId="11" fillId="16" borderId="46" xfId="0" applyFont="1" applyFill="1" applyBorder="1" applyAlignment="1" applyProtection="1">
      <alignment horizontal="center"/>
    </xf>
    <xf numFmtId="0" fontId="11" fillId="16" borderId="69" xfId="0" applyFont="1" applyFill="1" applyBorder="1" applyAlignment="1" applyProtection="1">
      <alignment horizontal="center"/>
    </xf>
    <xf numFmtId="0" fontId="20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34" fillId="0" borderId="18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7" fillId="15" borderId="3" xfId="0" quotePrefix="1" applyFont="1" applyFill="1" applyBorder="1" applyAlignment="1" applyProtection="1">
      <alignment horizontal="center" vertical="center" wrapText="1"/>
      <protection locked="0"/>
    </xf>
    <xf numFmtId="0" fontId="7" fillId="15" borderId="5" xfId="0" applyFont="1" applyFill="1" applyBorder="1" applyAlignment="1" applyProtection="1">
      <alignment horizontal="center" vertical="center" wrapText="1"/>
      <protection locked="0"/>
    </xf>
    <xf numFmtId="0" fontId="7" fillId="15" borderId="55" xfId="0" applyFont="1" applyFill="1" applyBorder="1" applyAlignment="1" applyProtection="1">
      <alignment horizontal="center" vertical="center" wrapText="1"/>
      <protection locked="0"/>
    </xf>
    <xf numFmtId="0" fontId="7" fillId="15" borderId="1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55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61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wrapText="1"/>
    </xf>
    <xf numFmtId="0" fontId="13" fillId="16" borderId="37" xfId="0" applyFont="1" applyFill="1" applyBorder="1" applyAlignment="1">
      <alignment horizontal="center" wrapText="1"/>
    </xf>
    <xf numFmtId="0" fontId="13" fillId="16" borderId="17" xfId="0" applyFont="1" applyFill="1" applyBorder="1" applyAlignment="1">
      <alignment horizontal="center" wrapText="1"/>
    </xf>
    <xf numFmtId="0" fontId="12" fillId="0" borderId="6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1" fillId="16" borderId="44" xfId="0" applyFont="1" applyFill="1" applyBorder="1" applyAlignment="1">
      <alignment horizontal="center"/>
    </xf>
    <xf numFmtId="0" fontId="21" fillId="16" borderId="45" xfId="0" applyFont="1" applyFill="1" applyBorder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30" fillId="16" borderId="57" xfId="0" applyFont="1" applyFill="1" applyBorder="1" applyAlignment="1" applyProtection="1">
      <alignment horizontal="center" vertical="center"/>
    </xf>
    <xf numFmtId="0" fontId="30" fillId="16" borderId="40" xfId="0" applyFont="1" applyFill="1" applyBorder="1" applyAlignment="1" applyProtection="1">
      <alignment horizontal="center" vertical="center"/>
    </xf>
    <xf numFmtId="0" fontId="30" fillId="16" borderId="63" xfId="0" applyFont="1" applyFill="1" applyBorder="1" applyAlignment="1" applyProtection="1">
      <alignment horizontal="center" vertical="center"/>
    </xf>
    <xf numFmtId="0" fontId="7" fillId="2" borderId="60" xfId="0" applyFont="1" applyFill="1" applyBorder="1" applyAlignment="1" applyProtection="1">
      <alignment horizontal="center" wrapText="1"/>
      <protection locked="0"/>
    </xf>
    <xf numFmtId="0" fontId="7" fillId="2" borderId="29" xfId="0" applyFont="1" applyFill="1" applyBorder="1" applyAlignment="1" applyProtection="1">
      <alignment horizontal="center" wrapText="1"/>
      <protection locked="0"/>
    </xf>
    <xf numFmtId="0" fontId="7" fillId="2" borderId="32" xfId="0" applyFont="1" applyFill="1" applyBorder="1" applyAlignment="1" applyProtection="1">
      <alignment horizontal="center" wrapText="1"/>
      <protection locked="0"/>
    </xf>
    <xf numFmtId="0" fontId="21" fillId="16" borderId="58" xfId="0" applyFont="1" applyFill="1" applyBorder="1" applyAlignment="1" applyProtection="1">
      <alignment horizontal="center" vertical="center"/>
    </xf>
    <xf numFmtId="0" fontId="21" fillId="16" borderId="5" xfId="0" applyFont="1" applyFill="1" applyBorder="1" applyAlignment="1" applyProtection="1">
      <alignment horizontal="center" vertical="center"/>
    </xf>
    <xf numFmtId="0" fontId="21" fillId="16" borderId="38" xfId="0" applyFont="1" applyFill="1" applyBorder="1" applyAlignment="1" applyProtection="1">
      <alignment horizontal="center" vertical="center"/>
    </xf>
    <xf numFmtId="0" fontId="7" fillId="10" borderId="14" xfId="0" applyFont="1" applyFill="1" applyBorder="1" applyAlignment="1" applyProtection="1">
      <alignment horizontal="center"/>
    </xf>
    <xf numFmtId="0" fontId="7" fillId="10" borderId="15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 wrapText="1"/>
      <protection locked="0"/>
    </xf>
    <xf numFmtId="0" fontId="7" fillId="2" borderId="1" xfId="0" applyFont="1" applyFill="1" applyBorder="1" applyAlignment="1" applyProtection="1">
      <alignment horizontal="center" wrapText="1"/>
      <protection locked="0"/>
    </xf>
    <xf numFmtId="0" fontId="7" fillId="2" borderId="31" xfId="0" applyFont="1" applyFill="1" applyBorder="1" applyAlignment="1" applyProtection="1">
      <alignment horizontal="center" wrapText="1"/>
      <protection locked="0"/>
    </xf>
    <xf numFmtId="0" fontId="7" fillId="17" borderId="62" xfId="0" applyFont="1" applyFill="1" applyBorder="1" applyAlignment="1" applyProtection="1">
      <alignment horizontal="center" wrapText="1"/>
    </xf>
    <xf numFmtId="0" fontId="7" fillId="17" borderId="26" xfId="0" applyFont="1" applyFill="1" applyBorder="1" applyAlignment="1" applyProtection="1">
      <alignment horizontal="center" wrapText="1"/>
    </xf>
    <xf numFmtId="0" fontId="7" fillId="17" borderId="30" xfId="0" applyFont="1" applyFill="1" applyBorder="1" applyAlignment="1" applyProtection="1">
      <alignment horizontal="center" wrapText="1"/>
    </xf>
    <xf numFmtId="0" fontId="21" fillId="16" borderId="59" xfId="0" applyFont="1" applyFill="1" applyBorder="1" applyAlignment="1" applyProtection="1">
      <alignment horizontal="center" vertical="center"/>
    </xf>
    <xf numFmtId="0" fontId="21" fillId="16" borderId="9" xfId="0" applyFont="1" applyFill="1" applyBorder="1" applyAlignment="1" applyProtection="1">
      <alignment horizontal="center" vertical="center"/>
    </xf>
    <xf numFmtId="0" fontId="21" fillId="16" borderId="10" xfId="0" applyFont="1" applyFill="1" applyBorder="1" applyAlignment="1" applyProtection="1">
      <alignment horizontal="center" vertical="center"/>
    </xf>
    <xf numFmtId="0" fontId="21" fillId="16" borderId="23" xfId="0" applyFont="1" applyFill="1" applyBorder="1" applyAlignment="1" applyProtection="1">
      <alignment horizontal="center" vertical="center"/>
    </xf>
    <xf numFmtId="0" fontId="21" fillId="16" borderId="0" xfId="0" applyFont="1" applyFill="1" applyBorder="1" applyAlignment="1" applyProtection="1">
      <alignment horizontal="center" vertical="center"/>
    </xf>
    <xf numFmtId="0" fontId="21" fillId="16" borderId="12" xfId="0" applyFont="1" applyFill="1" applyBorder="1" applyAlignment="1" applyProtection="1">
      <alignment horizontal="center" vertical="center"/>
    </xf>
    <xf numFmtId="0" fontId="21" fillId="16" borderId="56" xfId="0" applyFont="1" applyFill="1" applyBorder="1" applyAlignment="1" applyProtection="1">
      <alignment horizontal="center" vertical="center"/>
    </xf>
    <xf numFmtId="0" fontId="21" fillId="16" borderId="14" xfId="0" applyFont="1" applyFill="1" applyBorder="1" applyAlignment="1" applyProtection="1">
      <alignment horizontal="center" vertical="center"/>
    </xf>
    <xf numFmtId="0" fontId="21" fillId="16" borderId="15" xfId="0" applyFont="1" applyFill="1" applyBorder="1" applyAlignment="1" applyProtection="1">
      <alignment horizontal="center" vertical="center"/>
    </xf>
    <xf numFmtId="0" fontId="7" fillId="2" borderId="62" xfId="0" applyFont="1" applyFill="1" applyBorder="1" applyAlignment="1" applyProtection="1">
      <alignment horizontal="center" wrapText="1"/>
      <protection locked="0"/>
    </xf>
    <xf numFmtId="0" fontId="7" fillId="2" borderId="26" xfId="0" applyFont="1" applyFill="1" applyBorder="1" applyAlignment="1" applyProtection="1">
      <alignment horizontal="center" wrapText="1"/>
      <protection locked="0"/>
    </xf>
    <xf numFmtId="0" fontId="7" fillId="2" borderId="30" xfId="0" applyFont="1" applyFill="1" applyBorder="1" applyAlignment="1" applyProtection="1">
      <alignment horizontal="center" wrapText="1"/>
      <protection locked="0"/>
    </xf>
    <xf numFmtId="0" fontId="7" fillId="2" borderId="16" xfId="0" applyFont="1" applyFill="1" applyBorder="1" applyAlignment="1" applyProtection="1">
      <alignment horizontal="center" vertical="center"/>
      <protection locked="0"/>
    </xf>
    <xf numFmtId="0" fontId="7" fillId="2" borderId="37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30" fillId="16" borderId="0" xfId="0" applyFont="1" applyFill="1" applyAlignment="1" applyProtection="1">
      <alignment horizontal="center"/>
    </xf>
    <xf numFmtId="0" fontId="30" fillId="16" borderId="25" xfId="0" applyFont="1" applyFill="1" applyBorder="1" applyAlignment="1" applyProtection="1">
      <alignment horizontal="center"/>
    </xf>
    <xf numFmtId="0" fontId="30" fillId="16" borderId="26" xfId="0" applyFont="1" applyFill="1" applyBorder="1" applyAlignment="1" applyProtection="1">
      <alignment horizontal="center"/>
    </xf>
    <xf numFmtId="0" fontId="30" fillId="16" borderId="30" xfId="0" applyFont="1" applyFill="1" applyBorder="1" applyAlignment="1" applyProtection="1">
      <alignment horizontal="center"/>
    </xf>
    <xf numFmtId="0" fontId="7" fillId="2" borderId="68" xfId="0" applyFont="1" applyFill="1" applyBorder="1" applyAlignment="1" applyProtection="1">
      <alignment horizontal="center"/>
      <protection locked="0"/>
    </xf>
    <xf numFmtId="0" fontId="7" fillId="2" borderId="44" xfId="0" applyFont="1" applyFill="1" applyBorder="1" applyAlignment="1" applyProtection="1">
      <alignment horizontal="center"/>
      <protection locked="0"/>
    </xf>
    <xf numFmtId="0" fontId="7" fillId="2" borderId="45" xfId="0" applyFont="1" applyFill="1" applyBorder="1" applyAlignment="1" applyProtection="1">
      <alignment horizontal="center"/>
      <protection locked="0"/>
    </xf>
    <xf numFmtId="0" fontId="0" fillId="10" borderId="55" xfId="0" applyFill="1" applyBorder="1" applyAlignment="1" applyProtection="1">
      <alignment horizontal="center"/>
    </xf>
    <xf numFmtId="0" fontId="7" fillId="5" borderId="47" xfId="0" applyFont="1" applyFill="1" applyBorder="1" applyAlignment="1" applyProtection="1">
      <alignment horizontal="center" wrapText="1"/>
    </xf>
    <xf numFmtId="0" fontId="7" fillId="5" borderId="69" xfId="0" applyFont="1" applyFill="1" applyBorder="1" applyAlignment="1" applyProtection="1">
      <alignment horizontal="center" wrapText="1"/>
    </xf>
    <xf numFmtId="0" fontId="13" fillId="16" borderId="57" xfId="0" applyFont="1" applyFill="1" applyBorder="1" applyAlignment="1" applyProtection="1">
      <alignment horizontal="center" vertical="center"/>
    </xf>
    <xf numFmtId="0" fontId="13" fillId="16" borderId="40" xfId="0" applyFont="1" applyFill="1" applyBorder="1" applyAlignment="1" applyProtection="1">
      <alignment horizontal="center" vertical="center"/>
    </xf>
    <xf numFmtId="0" fontId="11" fillId="16" borderId="58" xfId="0" applyFont="1" applyFill="1" applyBorder="1" applyAlignment="1" applyProtection="1">
      <alignment horizontal="center" vertical="center"/>
    </xf>
    <xf numFmtId="0" fontId="11" fillId="16" borderId="5" xfId="0" applyFont="1" applyFill="1" applyBorder="1" applyAlignment="1" applyProtection="1">
      <alignment horizontal="center" vertical="center"/>
    </xf>
    <xf numFmtId="0" fontId="11" fillId="16" borderId="59" xfId="0" applyFont="1" applyFill="1" applyBorder="1" applyAlignment="1" applyProtection="1">
      <alignment horizontal="center" vertical="center"/>
    </xf>
    <xf numFmtId="0" fontId="11" fillId="16" borderId="9" xfId="0" applyFont="1" applyFill="1" applyBorder="1" applyAlignment="1" applyProtection="1">
      <alignment horizontal="center" vertical="center"/>
    </xf>
    <xf numFmtId="0" fontId="11" fillId="16" borderId="10" xfId="0" applyFont="1" applyFill="1" applyBorder="1" applyAlignment="1" applyProtection="1">
      <alignment horizontal="center" vertical="center"/>
    </xf>
    <xf numFmtId="0" fontId="11" fillId="16" borderId="23" xfId="0" applyFont="1" applyFill="1" applyBorder="1" applyAlignment="1" applyProtection="1">
      <alignment horizontal="center" vertical="center"/>
    </xf>
    <xf numFmtId="0" fontId="11" fillId="16" borderId="0" xfId="0" applyFont="1" applyFill="1" applyBorder="1" applyAlignment="1" applyProtection="1">
      <alignment horizontal="center" vertical="center"/>
    </xf>
    <xf numFmtId="0" fontId="11" fillId="16" borderId="12" xfId="0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center" vertical="center" wrapText="1"/>
    </xf>
    <xf numFmtId="0" fontId="9" fillId="2" borderId="22" xfId="0" applyFont="1" applyFill="1" applyBorder="1" applyAlignment="1" applyProtection="1">
      <alignment horizontal="center" wrapText="1"/>
      <protection locked="0"/>
    </xf>
    <xf numFmtId="0" fontId="9" fillId="2" borderId="21" xfId="0" applyFont="1" applyFill="1" applyBorder="1" applyAlignment="1" applyProtection="1">
      <alignment horizontal="center" wrapText="1"/>
      <protection locked="0"/>
    </xf>
    <xf numFmtId="0" fontId="9" fillId="2" borderId="42" xfId="0" applyFont="1" applyFill="1" applyBorder="1" applyAlignment="1" applyProtection="1">
      <alignment horizontal="center" wrapText="1"/>
      <protection locked="0"/>
    </xf>
    <xf numFmtId="0" fontId="9" fillId="2" borderId="4" xfId="0" applyFont="1" applyFill="1" applyBorder="1" applyAlignment="1" applyProtection="1">
      <alignment horizontal="center" wrapText="1"/>
      <protection locked="0"/>
    </xf>
    <xf numFmtId="0" fontId="9" fillId="2" borderId="6" xfId="0" applyFont="1" applyFill="1" applyBorder="1" applyAlignment="1" applyProtection="1">
      <alignment horizontal="center" wrapText="1"/>
      <protection locked="0"/>
    </xf>
    <xf numFmtId="0" fontId="9" fillId="2" borderId="43" xfId="0" applyFont="1" applyFill="1" applyBorder="1" applyAlignment="1" applyProtection="1">
      <alignment horizontal="center" wrapText="1"/>
      <protection locked="0"/>
    </xf>
    <xf numFmtId="0" fontId="21" fillId="16" borderId="8" xfId="0" applyFont="1" applyFill="1" applyBorder="1" applyAlignment="1" applyProtection="1">
      <alignment horizontal="center"/>
    </xf>
    <xf numFmtId="0" fontId="21" fillId="16" borderId="9" xfId="0" applyFont="1" applyFill="1" applyBorder="1" applyAlignment="1" applyProtection="1">
      <alignment horizontal="center"/>
    </xf>
    <xf numFmtId="0" fontId="21" fillId="16" borderId="10" xfId="0" applyFont="1" applyFill="1" applyBorder="1" applyAlignment="1" applyProtection="1">
      <alignment horizontal="center"/>
    </xf>
    <xf numFmtId="0" fontId="29" fillId="2" borderId="11" xfId="0" applyFont="1" applyFill="1" applyBorder="1" applyAlignment="1" applyProtection="1">
      <alignment horizontal="center" vertical="center" wrapText="1"/>
      <protection locked="0"/>
    </xf>
    <xf numFmtId="0" fontId="29" fillId="2" borderId="0" xfId="0" applyFont="1" applyFill="1" applyBorder="1" applyAlignment="1" applyProtection="1">
      <alignment horizontal="center" vertical="center" wrapText="1"/>
      <protection locked="0"/>
    </xf>
    <xf numFmtId="0" fontId="29" fillId="2" borderId="12" xfId="0" applyFont="1" applyFill="1" applyBorder="1" applyAlignment="1" applyProtection="1">
      <alignment horizontal="center" vertical="center" wrapText="1"/>
      <protection locked="0"/>
    </xf>
    <xf numFmtId="0" fontId="29" fillId="2" borderId="13" xfId="0" applyFont="1" applyFill="1" applyBorder="1" applyAlignment="1" applyProtection="1">
      <alignment horizontal="center" vertical="center" wrapText="1"/>
      <protection locked="0"/>
    </xf>
    <xf numFmtId="0" fontId="29" fillId="2" borderId="14" xfId="0" applyFont="1" applyFill="1" applyBorder="1" applyAlignment="1" applyProtection="1">
      <alignment horizontal="center" vertical="center" wrapText="1"/>
      <protection locked="0"/>
    </xf>
    <xf numFmtId="0" fontId="29" fillId="2" borderId="15" xfId="0" applyFont="1" applyFill="1" applyBorder="1" applyAlignment="1" applyProtection="1">
      <alignment horizontal="center" vertical="center" wrapText="1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7" fillId="2" borderId="3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wrapText="1"/>
      <protection locked="0"/>
    </xf>
    <xf numFmtId="0" fontId="9" fillId="2" borderId="20" xfId="0" applyFont="1" applyFill="1" applyBorder="1" applyAlignment="1" applyProtection="1">
      <alignment horizontal="center" wrapText="1"/>
      <protection locked="0"/>
    </xf>
    <xf numFmtId="0" fontId="9" fillId="2" borderId="39" xfId="0" applyFont="1" applyFill="1" applyBorder="1" applyAlignment="1" applyProtection="1">
      <alignment horizontal="center" wrapText="1"/>
      <protection locked="0"/>
    </xf>
    <xf numFmtId="0" fontId="9" fillId="2" borderId="66" xfId="0" applyFont="1" applyFill="1" applyBorder="1" applyAlignment="1" applyProtection="1">
      <alignment horizontal="center" wrapText="1"/>
      <protection locked="0"/>
    </xf>
    <xf numFmtId="0" fontId="9" fillId="2" borderId="48" xfId="0" applyFont="1" applyFill="1" applyBorder="1" applyAlignment="1" applyProtection="1">
      <alignment horizontal="center" wrapText="1"/>
      <protection locked="0"/>
    </xf>
    <xf numFmtId="0" fontId="9" fillId="2" borderId="49" xfId="0" applyFont="1" applyFill="1" applyBorder="1" applyAlignment="1" applyProtection="1">
      <alignment horizontal="center" wrapText="1"/>
      <protection locked="0"/>
    </xf>
    <xf numFmtId="0" fontId="21" fillId="16" borderId="59" xfId="0" applyFont="1" applyFill="1" applyBorder="1" applyAlignment="1" applyProtection="1">
      <alignment horizontal="center" vertical="center" wrapText="1"/>
    </xf>
    <xf numFmtId="0" fontId="21" fillId="16" borderId="9" xfId="0" applyFont="1" applyFill="1" applyBorder="1" applyAlignment="1" applyProtection="1">
      <alignment horizontal="center" vertical="center" wrapText="1"/>
    </xf>
    <xf numFmtId="0" fontId="21" fillId="16" borderId="10" xfId="0" applyFont="1" applyFill="1" applyBorder="1" applyAlignment="1" applyProtection="1">
      <alignment horizontal="center" vertical="center" wrapText="1"/>
    </xf>
    <xf numFmtId="0" fontId="21" fillId="16" borderId="23" xfId="0" applyFont="1" applyFill="1" applyBorder="1" applyAlignment="1" applyProtection="1">
      <alignment horizontal="center" vertical="center" wrapText="1"/>
    </xf>
    <xf numFmtId="0" fontId="21" fillId="16" borderId="0" xfId="0" applyFont="1" applyFill="1" applyBorder="1" applyAlignment="1" applyProtection="1">
      <alignment horizontal="center" vertical="center" wrapText="1"/>
    </xf>
    <xf numFmtId="0" fontId="21" fillId="16" borderId="12" xfId="0" applyFont="1" applyFill="1" applyBorder="1" applyAlignment="1" applyProtection="1">
      <alignment horizontal="center" vertical="center" wrapText="1"/>
    </xf>
    <xf numFmtId="0" fontId="21" fillId="16" borderId="56" xfId="0" applyFont="1" applyFill="1" applyBorder="1" applyAlignment="1" applyProtection="1">
      <alignment horizontal="center" vertical="center" wrapText="1"/>
    </xf>
    <xf numFmtId="0" fontId="21" fillId="16" borderId="14" xfId="0" applyFont="1" applyFill="1" applyBorder="1" applyAlignment="1" applyProtection="1">
      <alignment horizontal="center" vertical="center" wrapText="1"/>
    </xf>
    <xf numFmtId="0" fontId="21" fillId="16" borderId="15" xfId="0" applyFont="1" applyFill="1" applyBorder="1" applyAlignment="1" applyProtection="1">
      <alignment horizontal="center" vertical="center" wrapText="1"/>
    </xf>
    <xf numFmtId="10" fontId="0" fillId="0" borderId="13" xfId="0" applyNumberFormat="1" applyBorder="1" applyAlignment="1" applyProtection="1">
      <alignment horizontal="center"/>
    </xf>
    <xf numFmtId="10" fontId="0" fillId="0" borderId="15" xfId="0" applyNumberFormat="1" applyBorder="1" applyAlignment="1" applyProtection="1">
      <alignment horizontal="center"/>
    </xf>
    <xf numFmtId="0" fontId="32" fillId="0" borderId="0" xfId="0" applyFont="1" applyAlignment="1" applyProtection="1">
      <alignment horizontal="center" vertical="center" wrapText="1"/>
    </xf>
    <xf numFmtId="0" fontId="16" fillId="0" borderId="16" xfId="0" applyFont="1" applyBorder="1" applyAlignment="1" applyProtection="1">
      <alignment horizontal="center" wrapText="1"/>
    </xf>
    <xf numFmtId="0" fontId="16" fillId="0" borderId="17" xfId="0" applyFont="1" applyBorder="1" applyAlignment="1" applyProtection="1">
      <alignment horizontal="center" wrapText="1"/>
    </xf>
    <xf numFmtId="0" fontId="27" fillId="16" borderId="0" xfId="0" applyFont="1" applyFill="1" applyAlignment="1" applyProtection="1">
      <alignment horizontal="center"/>
    </xf>
    <xf numFmtId="0" fontId="16" fillId="0" borderId="8" xfId="0" applyFont="1" applyBorder="1" applyAlignment="1" applyProtection="1">
      <alignment horizontal="center" vertical="center" wrapText="1"/>
    </xf>
    <xf numFmtId="0" fontId="16" fillId="0" borderId="9" xfId="0" applyFont="1" applyBorder="1" applyAlignment="1" applyProtection="1">
      <alignment horizontal="center" vertical="center" wrapText="1"/>
    </xf>
    <xf numFmtId="0" fontId="16" fillId="0" borderId="10" xfId="0" applyFont="1" applyBorder="1" applyAlignment="1" applyProtection="1">
      <alignment horizontal="center" vertical="center" wrapText="1"/>
    </xf>
    <xf numFmtId="0" fontId="16" fillId="0" borderId="13" xfId="0" applyFont="1" applyBorder="1" applyAlignment="1" applyProtection="1">
      <alignment horizontal="center" vertical="center" wrapText="1"/>
    </xf>
    <xf numFmtId="0" fontId="16" fillId="0" borderId="14" xfId="0" applyFont="1" applyBorder="1" applyAlignment="1" applyProtection="1">
      <alignment horizontal="center" vertical="center" wrapText="1"/>
    </xf>
    <xf numFmtId="0" fontId="16" fillId="0" borderId="15" xfId="0" applyFon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</cellXfs>
  <cellStyles count="3">
    <cellStyle name="Hyperlink" xfId="1" builtinId="8"/>
    <cellStyle name="Normal" xfId="0" builtinId="0"/>
    <cellStyle name="Normal 2" xfId="2"/>
  </cellStyles>
  <dxfs count="49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C00"/>
        </patternFill>
      </fill>
    </dxf>
    <dxf>
      <fill>
        <patternFill>
          <bgColor rgb="FFFF9933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C00"/>
        </patternFill>
      </fill>
    </dxf>
    <dxf>
      <fill>
        <patternFill>
          <bgColor rgb="FFFF9933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quasis.org/EquasisWeb/public/HomePage" TargetMode="External"/><Relationship Id="rId2" Type="http://schemas.openxmlformats.org/officeDocument/2006/relationships/hyperlink" Target="http://www.igpandi.org/" TargetMode="External"/><Relationship Id="rId1" Type="http://schemas.openxmlformats.org/officeDocument/2006/relationships/hyperlink" Target="http://www.iacs.org.uk/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sea-web.com/seaweb_welcome.aspx" TargetMode="External"/><Relationship Id="rId4" Type="http://schemas.openxmlformats.org/officeDocument/2006/relationships/hyperlink" Target="http://site.rightship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31"/>
  <sheetViews>
    <sheetView showGridLines="0" tabSelected="1" topLeftCell="B1" workbookViewId="0">
      <selection activeCell="Q3" sqref="Q3"/>
    </sheetView>
  </sheetViews>
  <sheetFormatPr defaultRowHeight="15" x14ac:dyDescent="0.25"/>
  <cols>
    <col min="9" max="9" width="14.28515625" customWidth="1"/>
    <col min="11" max="11" width="25" customWidth="1"/>
    <col min="12" max="12" width="24.28515625" customWidth="1"/>
    <col min="13" max="13" width="29.5703125" customWidth="1"/>
    <col min="14" max="14" width="17.5703125" customWidth="1"/>
  </cols>
  <sheetData>
    <row r="1" spans="3:14" x14ac:dyDescent="0.25">
      <c r="C1" s="349" t="s">
        <v>305</v>
      </c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</row>
    <row r="2" spans="3:14" ht="15.75" thickBot="1" x14ac:dyDescent="0.3"/>
    <row r="3" spans="3:14" ht="24" customHeight="1" thickBot="1" x14ac:dyDescent="0.3">
      <c r="C3" s="197" t="s">
        <v>306</v>
      </c>
      <c r="D3" s="373" t="s">
        <v>224</v>
      </c>
      <c r="E3" s="373"/>
      <c r="F3" s="373"/>
      <c r="G3" s="373"/>
      <c r="H3" s="374"/>
      <c r="I3" s="382" t="s">
        <v>232</v>
      </c>
      <c r="J3" s="373"/>
      <c r="K3" s="373"/>
      <c r="L3" s="373"/>
      <c r="M3" s="374"/>
      <c r="N3" s="190" t="s">
        <v>276</v>
      </c>
    </row>
    <row r="4" spans="3:14" s="54" customFormat="1" ht="45.75" customHeight="1" thickBot="1" x14ac:dyDescent="0.3">
      <c r="C4" s="198">
        <v>1</v>
      </c>
      <c r="D4" s="307" t="s">
        <v>233</v>
      </c>
      <c r="E4" s="308"/>
      <c r="F4" s="308"/>
      <c r="G4" s="308"/>
      <c r="H4" s="309"/>
      <c r="I4" s="298"/>
      <c r="J4" s="299"/>
      <c r="K4" s="299"/>
      <c r="L4" s="299"/>
      <c r="M4" s="300"/>
      <c r="N4" s="202" t="s">
        <v>277</v>
      </c>
    </row>
    <row r="5" spans="3:14" s="23" customFormat="1" ht="58.5" customHeight="1" thickBot="1" x14ac:dyDescent="0.3">
      <c r="C5" s="199">
        <v>2</v>
      </c>
      <c r="D5" s="378" t="s">
        <v>257</v>
      </c>
      <c r="E5" s="379"/>
      <c r="F5" s="379"/>
      <c r="G5" s="379"/>
      <c r="H5" s="380"/>
      <c r="I5" s="293" t="s">
        <v>258</v>
      </c>
      <c r="J5" s="294"/>
      <c r="K5" s="294"/>
      <c r="L5" s="294"/>
      <c r="M5" s="295"/>
      <c r="N5" s="202" t="s">
        <v>278</v>
      </c>
    </row>
    <row r="6" spans="3:14" s="23" customFormat="1" ht="85.5" customHeight="1" x14ac:dyDescent="0.25">
      <c r="C6" s="371">
        <v>3</v>
      </c>
      <c r="D6" s="310" t="s">
        <v>226</v>
      </c>
      <c r="E6" s="311"/>
      <c r="F6" s="311"/>
      <c r="G6" s="311"/>
      <c r="H6" s="312"/>
      <c r="I6" s="301" t="s">
        <v>220</v>
      </c>
      <c r="J6" s="302"/>
      <c r="K6" s="302"/>
      <c r="L6" s="302"/>
      <c r="M6" s="303"/>
      <c r="N6" s="350" t="s">
        <v>279</v>
      </c>
    </row>
    <row r="7" spans="3:14" ht="74.25" customHeight="1" thickBot="1" x14ac:dyDescent="0.3">
      <c r="C7" s="372"/>
      <c r="D7" s="375" t="s">
        <v>230</v>
      </c>
      <c r="E7" s="376"/>
      <c r="F7" s="376"/>
      <c r="G7" s="376"/>
      <c r="H7" s="377"/>
      <c r="I7" s="304"/>
      <c r="J7" s="305"/>
      <c r="K7" s="305"/>
      <c r="L7" s="305"/>
      <c r="M7" s="306"/>
      <c r="N7" s="351"/>
    </row>
    <row r="8" spans="3:14" ht="15" customHeight="1" x14ac:dyDescent="0.25">
      <c r="C8" s="316">
        <v>4</v>
      </c>
      <c r="D8" s="328" t="s">
        <v>225</v>
      </c>
      <c r="E8" s="329"/>
      <c r="F8" s="329"/>
      <c r="G8" s="329"/>
      <c r="H8" s="330"/>
      <c r="I8" s="313" t="s">
        <v>87</v>
      </c>
      <c r="J8" s="296" t="s">
        <v>88</v>
      </c>
      <c r="K8" s="296" t="s">
        <v>89</v>
      </c>
      <c r="L8" s="296" t="s">
        <v>90</v>
      </c>
      <c r="M8" s="381"/>
      <c r="N8" s="352"/>
    </row>
    <row r="9" spans="3:14" ht="24" customHeight="1" x14ac:dyDescent="0.25">
      <c r="C9" s="317"/>
      <c r="D9" s="331"/>
      <c r="E9" s="332"/>
      <c r="F9" s="332"/>
      <c r="G9" s="332"/>
      <c r="H9" s="333"/>
      <c r="I9" s="314"/>
      <c r="J9" s="297"/>
      <c r="K9" s="297"/>
      <c r="L9" s="189" t="s">
        <v>222</v>
      </c>
      <c r="M9" s="204" t="s">
        <v>223</v>
      </c>
      <c r="N9" s="353"/>
    </row>
    <row r="10" spans="3:14" ht="24" customHeight="1" x14ac:dyDescent="0.25">
      <c r="C10" s="317"/>
      <c r="D10" s="331"/>
      <c r="E10" s="332"/>
      <c r="F10" s="332"/>
      <c r="G10" s="332"/>
      <c r="H10" s="333"/>
      <c r="I10" s="205">
        <v>1</v>
      </c>
      <c r="J10" s="44" t="s">
        <v>91</v>
      </c>
      <c r="K10" s="44" t="s">
        <v>91</v>
      </c>
      <c r="L10" s="45" t="s">
        <v>92</v>
      </c>
      <c r="M10" s="206" t="s">
        <v>93</v>
      </c>
      <c r="N10" s="353"/>
    </row>
    <row r="11" spans="3:14" ht="56.25" x14ac:dyDescent="0.25">
      <c r="C11" s="317"/>
      <c r="D11" s="331"/>
      <c r="E11" s="332"/>
      <c r="F11" s="332"/>
      <c r="G11" s="332"/>
      <c r="H11" s="333"/>
      <c r="I11" s="205">
        <v>2</v>
      </c>
      <c r="J11" s="46" t="s">
        <v>91</v>
      </c>
      <c r="K11" s="46" t="s">
        <v>94</v>
      </c>
      <c r="L11" s="47" t="s">
        <v>95</v>
      </c>
      <c r="M11" s="207" t="s">
        <v>327</v>
      </c>
      <c r="N11" s="353"/>
    </row>
    <row r="12" spans="3:14" ht="46.5" customHeight="1" x14ac:dyDescent="0.25">
      <c r="C12" s="317"/>
      <c r="D12" s="331"/>
      <c r="E12" s="332"/>
      <c r="F12" s="332"/>
      <c r="G12" s="332"/>
      <c r="H12" s="333"/>
      <c r="I12" s="205">
        <v>3</v>
      </c>
      <c r="J12" s="44" t="s">
        <v>94</v>
      </c>
      <c r="K12" s="44" t="s">
        <v>91</v>
      </c>
      <c r="L12" s="47" t="s">
        <v>96</v>
      </c>
      <c r="M12" s="207" t="s">
        <v>328</v>
      </c>
      <c r="N12" s="353"/>
    </row>
    <row r="13" spans="3:14" ht="24" customHeight="1" x14ac:dyDescent="0.25">
      <c r="C13" s="317"/>
      <c r="D13" s="331"/>
      <c r="E13" s="332"/>
      <c r="F13" s="332"/>
      <c r="G13" s="332"/>
      <c r="H13" s="333"/>
      <c r="I13" s="205">
        <v>4</v>
      </c>
      <c r="J13" s="46" t="s">
        <v>94</v>
      </c>
      <c r="K13" s="46" t="s">
        <v>94</v>
      </c>
      <c r="L13" s="48" t="s">
        <v>221</v>
      </c>
      <c r="M13" s="208" t="s">
        <v>97</v>
      </c>
      <c r="N13" s="353"/>
    </row>
    <row r="14" spans="3:14" ht="34.5" thickBot="1" x14ac:dyDescent="0.3">
      <c r="C14" s="318"/>
      <c r="D14" s="334"/>
      <c r="E14" s="335"/>
      <c r="F14" s="335"/>
      <c r="G14" s="335"/>
      <c r="H14" s="336"/>
      <c r="I14" s="209">
        <v>5</v>
      </c>
      <c r="J14" s="195" t="s">
        <v>94</v>
      </c>
      <c r="K14" s="195" t="s">
        <v>94</v>
      </c>
      <c r="L14" s="196" t="s">
        <v>98</v>
      </c>
      <c r="M14" s="210" t="s">
        <v>329</v>
      </c>
      <c r="N14" s="354"/>
    </row>
    <row r="15" spans="3:14" ht="90" customHeight="1" thickBot="1" x14ac:dyDescent="0.3">
      <c r="C15" s="200">
        <v>5</v>
      </c>
      <c r="D15" s="337" t="s">
        <v>325</v>
      </c>
      <c r="E15" s="338"/>
      <c r="F15" s="338"/>
      <c r="G15" s="338"/>
      <c r="H15" s="339"/>
      <c r="I15" s="359" t="s">
        <v>330</v>
      </c>
      <c r="J15" s="360"/>
      <c r="K15" s="360"/>
      <c r="L15" s="360"/>
      <c r="M15" s="361"/>
      <c r="N15" s="202" t="s">
        <v>280</v>
      </c>
    </row>
    <row r="16" spans="3:14" ht="26.25" customHeight="1" thickBot="1" x14ac:dyDescent="0.3">
      <c r="C16" s="201">
        <v>6</v>
      </c>
      <c r="D16" s="337" t="s">
        <v>264</v>
      </c>
      <c r="E16" s="338"/>
      <c r="F16" s="338"/>
      <c r="G16" s="338"/>
      <c r="H16" s="339"/>
      <c r="I16" s="298"/>
      <c r="J16" s="299"/>
      <c r="K16" s="299"/>
      <c r="L16" s="299"/>
      <c r="M16" s="300"/>
      <c r="N16" s="202" t="s">
        <v>281</v>
      </c>
    </row>
    <row r="17" spans="3:14" ht="24" customHeight="1" thickBot="1" x14ac:dyDescent="0.3">
      <c r="C17" s="200">
        <v>7</v>
      </c>
      <c r="D17" s="356" t="s">
        <v>282</v>
      </c>
      <c r="E17" s="357"/>
      <c r="F17" s="357"/>
      <c r="G17" s="357"/>
      <c r="H17" s="358"/>
      <c r="I17" s="298"/>
      <c r="J17" s="299"/>
      <c r="K17" s="299"/>
      <c r="L17" s="299"/>
      <c r="M17" s="300"/>
      <c r="N17" s="203" t="s">
        <v>278</v>
      </c>
    </row>
    <row r="18" spans="3:14" ht="24" customHeight="1" x14ac:dyDescent="0.25">
      <c r="C18" s="316">
        <v>8</v>
      </c>
      <c r="D18" s="319" t="s">
        <v>326</v>
      </c>
      <c r="E18" s="320"/>
      <c r="F18" s="320"/>
      <c r="G18" s="320"/>
      <c r="H18" s="321"/>
      <c r="I18" s="362"/>
      <c r="J18" s="363"/>
      <c r="K18" s="363"/>
      <c r="L18" s="363"/>
      <c r="M18" s="364"/>
      <c r="N18" s="350"/>
    </row>
    <row r="19" spans="3:14" ht="24" customHeight="1" x14ac:dyDescent="0.25">
      <c r="C19" s="317"/>
      <c r="D19" s="322" t="s">
        <v>267</v>
      </c>
      <c r="E19" s="323"/>
      <c r="F19" s="323"/>
      <c r="G19" s="323"/>
      <c r="H19" s="324"/>
      <c r="I19" s="365"/>
      <c r="J19" s="366"/>
      <c r="K19" s="366"/>
      <c r="L19" s="366"/>
      <c r="M19" s="367"/>
      <c r="N19" s="355"/>
    </row>
    <row r="20" spans="3:14" s="55" customFormat="1" ht="24" customHeight="1" x14ac:dyDescent="0.25">
      <c r="C20" s="317"/>
      <c r="D20" s="325"/>
      <c r="E20" s="326"/>
      <c r="F20" s="326"/>
      <c r="G20" s="326"/>
      <c r="H20" s="327"/>
      <c r="I20" s="365"/>
      <c r="J20" s="366"/>
      <c r="K20" s="366"/>
      <c r="L20" s="366"/>
      <c r="M20" s="367"/>
      <c r="N20" s="355"/>
    </row>
    <row r="21" spans="3:14" ht="24" customHeight="1" x14ac:dyDescent="0.25">
      <c r="C21" s="317"/>
      <c r="D21" s="346"/>
      <c r="E21" s="347"/>
      <c r="F21" s="347"/>
      <c r="G21" s="347"/>
      <c r="H21" s="348"/>
      <c r="I21" s="365"/>
      <c r="J21" s="366"/>
      <c r="K21" s="366"/>
      <c r="L21" s="366"/>
      <c r="M21" s="367"/>
      <c r="N21" s="355"/>
    </row>
    <row r="22" spans="3:14" ht="39.75" customHeight="1" x14ac:dyDescent="0.25">
      <c r="C22" s="317"/>
      <c r="D22" s="343" t="s">
        <v>269</v>
      </c>
      <c r="E22" s="344"/>
      <c r="F22" s="344"/>
      <c r="G22" s="344"/>
      <c r="H22" s="345"/>
      <c r="I22" s="365"/>
      <c r="J22" s="366"/>
      <c r="K22" s="366"/>
      <c r="L22" s="366"/>
      <c r="M22" s="367"/>
      <c r="N22" s="355"/>
    </row>
    <row r="23" spans="3:14" ht="15.75" thickBot="1" x14ac:dyDescent="0.3">
      <c r="C23" s="318"/>
      <c r="D23" s="340" t="s">
        <v>268</v>
      </c>
      <c r="E23" s="341"/>
      <c r="F23" s="341"/>
      <c r="G23" s="341"/>
      <c r="H23" s="342"/>
      <c r="I23" s="368"/>
      <c r="J23" s="369"/>
      <c r="K23" s="369"/>
      <c r="L23" s="369"/>
      <c r="M23" s="370"/>
      <c r="N23" s="351"/>
    </row>
    <row r="24" spans="3:14" x14ac:dyDescent="0.25">
      <c r="C24" s="25"/>
      <c r="D24" s="315"/>
      <c r="E24" s="315"/>
      <c r="F24" s="315"/>
      <c r="G24" s="315"/>
      <c r="H24" s="315"/>
    </row>
    <row r="25" spans="3:14" x14ac:dyDescent="0.25">
      <c r="C25" s="25"/>
      <c r="D25" s="315"/>
      <c r="E25" s="315"/>
      <c r="F25" s="315"/>
      <c r="G25" s="315"/>
      <c r="H25" s="315"/>
    </row>
    <row r="26" spans="3:14" x14ac:dyDescent="0.25">
      <c r="C26" s="25"/>
      <c r="D26" s="25"/>
      <c r="E26" s="25"/>
      <c r="F26" s="25"/>
      <c r="G26" s="25"/>
      <c r="H26" s="25"/>
    </row>
    <row r="27" spans="3:14" x14ac:dyDescent="0.25">
      <c r="C27" s="25"/>
      <c r="D27" s="25"/>
      <c r="E27" s="25"/>
      <c r="F27" s="25"/>
      <c r="G27" s="25"/>
      <c r="H27" s="25"/>
    </row>
    <row r="28" spans="3:14" x14ac:dyDescent="0.25">
      <c r="C28" s="25"/>
      <c r="D28" s="25"/>
      <c r="E28" s="25"/>
      <c r="F28" s="25"/>
      <c r="G28" s="25"/>
      <c r="H28" s="25"/>
    </row>
    <row r="29" spans="3:14" x14ac:dyDescent="0.25">
      <c r="C29" s="25"/>
      <c r="D29" s="25"/>
      <c r="E29" s="25"/>
      <c r="F29" s="25"/>
      <c r="G29" s="25"/>
      <c r="H29" s="25"/>
    </row>
    <row r="30" spans="3:14" x14ac:dyDescent="0.25">
      <c r="C30" s="25"/>
      <c r="D30" s="25"/>
      <c r="E30" s="25"/>
      <c r="F30" s="25"/>
      <c r="G30" s="25"/>
      <c r="H30" s="25"/>
    </row>
    <row r="31" spans="3:14" x14ac:dyDescent="0.25">
      <c r="C31" s="25"/>
      <c r="D31" s="25"/>
      <c r="E31" s="25"/>
      <c r="F31" s="25"/>
      <c r="G31" s="25"/>
      <c r="H31" s="25"/>
    </row>
  </sheetData>
  <sheetProtection algorithmName="SHA-512" hashValue="wX8k8BSdpqTKytQitaN8SBJfIth8nPtqumxqBK/jQpEghXW6aKH71tRTsaK4O1vAlAQXZe1ko4vvQM/M99s5xg==" saltValue="KvkdPl1+PfbjKpOQw0pI2w==" spinCount="100000" sheet="1" objects="1" scenarios="1"/>
  <mergeCells count="36">
    <mergeCell ref="C1:N1"/>
    <mergeCell ref="N6:N7"/>
    <mergeCell ref="N8:N14"/>
    <mergeCell ref="N18:N23"/>
    <mergeCell ref="D17:H17"/>
    <mergeCell ref="I17:M17"/>
    <mergeCell ref="J8:J9"/>
    <mergeCell ref="I15:M15"/>
    <mergeCell ref="I16:M16"/>
    <mergeCell ref="I18:M23"/>
    <mergeCell ref="C6:C7"/>
    <mergeCell ref="D3:H3"/>
    <mergeCell ref="D7:H7"/>
    <mergeCell ref="D5:H5"/>
    <mergeCell ref="L8:M8"/>
    <mergeCell ref="I3:M3"/>
    <mergeCell ref="D24:H24"/>
    <mergeCell ref="C18:C23"/>
    <mergeCell ref="C8:C14"/>
    <mergeCell ref="D25:H25"/>
    <mergeCell ref="D18:H18"/>
    <mergeCell ref="D19:H19"/>
    <mergeCell ref="D20:H20"/>
    <mergeCell ref="D8:H14"/>
    <mergeCell ref="D15:H15"/>
    <mergeCell ref="D16:H16"/>
    <mergeCell ref="D23:H23"/>
    <mergeCell ref="D22:H22"/>
    <mergeCell ref="D21:H21"/>
    <mergeCell ref="I5:M5"/>
    <mergeCell ref="K8:K9"/>
    <mergeCell ref="I4:M4"/>
    <mergeCell ref="I6:M7"/>
    <mergeCell ref="D4:H4"/>
    <mergeCell ref="D6:H6"/>
    <mergeCell ref="I8:I9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&amp;CRSQ 02&amp;RRevision 5.5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R67"/>
  <sheetViews>
    <sheetView showGridLines="0" zoomScale="85" zoomScaleNormal="85" workbookViewId="0">
      <selection activeCell="D8" sqref="D8"/>
    </sheetView>
  </sheetViews>
  <sheetFormatPr defaultRowHeight="15" x14ac:dyDescent="0.25"/>
  <cols>
    <col min="1" max="2" width="9.140625" style="1"/>
    <col min="3" max="3" width="37.42578125" style="1" bestFit="1" customWidth="1"/>
    <col min="4" max="4" width="56.140625" style="1" customWidth="1"/>
    <col min="5" max="5" width="27.28515625" style="1" customWidth="1"/>
    <col min="6" max="6" width="49" style="164" customWidth="1"/>
    <col min="7" max="7" width="38.5703125" style="164" customWidth="1"/>
    <col min="8" max="17" width="9.140625" style="164"/>
    <col min="18" max="18" width="9.140625" style="167"/>
    <col min="19" max="16384" width="9.140625" style="1"/>
  </cols>
  <sheetData>
    <row r="1" spans="3:12" x14ac:dyDescent="0.25">
      <c r="C1" s="383" t="s">
        <v>307</v>
      </c>
      <c r="D1" s="383"/>
      <c r="E1" s="383"/>
      <c r="F1" s="383"/>
    </row>
    <row r="2" spans="3:12" ht="15.75" thickBot="1" x14ac:dyDescent="0.3">
      <c r="H2" s="164">
        <f>SUM(H5:H45)</f>
        <v>24</v>
      </c>
    </row>
    <row r="3" spans="3:12" ht="15.75" thickBot="1" x14ac:dyDescent="0.3">
      <c r="C3" s="384" t="s">
        <v>139</v>
      </c>
      <c r="D3" s="385"/>
      <c r="F3" s="238" t="s">
        <v>33</v>
      </c>
      <c r="H3" s="168">
        <f>H2/24</f>
        <v>1</v>
      </c>
    </row>
    <row r="4" spans="3:12" x14ac:dyDescent="0.25">
      <c r="C4" s="85" t="s">
        <v>0</v>
      </c>
      <c r="D4" s="77"/>
      <c r="F4" s="192"/>
      <c r="G4" s="169"/>
    </row>
    <row r="5" spans="3:12" x14ac:dyDescent="0.25">
      <c r="C5" s="86" t="s">
        <v>6</v>
      </c>
      <c r="D5" s="78" t="s">
        <v>284</v>
      </c>
      <c r="G5" s="170" t="s">
        <v>91</v>
      </c>
      <c r="H5" s="164">
        <f>IF($D$16=G5,I5,0)</f>
        <v>6</v>
      </c>
      <c r="I5" s="164">
        <v>6</v>
      </c>
    </row>
    <row r="6" spans="3:12" x14ac:dyDescent="0.25">
      <c r="C6" s="86" t="s">
        <v>1</v>
      </c>
      <c r="D6" s="78"/>
      <c r="G6" s="170" t="s">
        <v>94</v>
      </c>
      <c r="H6" s="164">
        <f>IF($D$16=G6,I6,0)</f>
        <v>0</v>
      </c>
      <c r="I6" s="164">
        <v>1</v>
      </c>
    </row>
    <row r="7" spans="3:12" ht="15.75" thickBot="1" x14ac:dyDescent="0.3">
      <c r="C7" s="86" t="s">
        <v>313</v>
      </c>
      <c r="D7" s="191"/>
      <c r="E7" s="237" t="str">
        <f ca="1">IF(D7-(NOW())&lt;5,"Insufficient time for review","")</f>
        <v>Insufficient time for review</v>
      </c>
      <c r="F7" s="87" t="s">
        <v>265</v>
      </c>
      <c r="H7" s="169"/>
      <c r="L7" s="164" t="s">
        <v>234</v>
      </c>
    </row>
    <row r="8" spans="3:12" ht="15.75" thickBot="1" x14ac:dyDescent="0.3">
      <c r="C8" s="86" t="s">
        <v>2</v>
      </c>
      <c r="D8" s="78"/>
      <c r="F8" s="193"/>
      <c r="H8" s="169"/>
      <c r="L8" s="164" t="s">
        <v>235</v>
      </c>
    </row>
    <row r="9" spans="3:12" ht="15.75" thickBot="1" x14ac:dyDescent="0.3">
      <c r="C9" s="86" t="str">
        <f>IF(D9="No","","New Build?")</f>
        <v>New Build?</v>
      </c>
      <c r="D9" s="78" t="s">
        <v>91</v>
      </c>
      <c r="F9" s="87" t="s">
        <v>113</v>
      </c>
      <c r="H9" s="169"/>
      <c r="L9" s="164" t="s">
        <v>236</v>
      </c>
    </row>
    <row r="10" spans="3:12" ht="15.75" thickBot="1" x14ac:dyDescent="0.3">
      <c r="C10" s="86" t="str">
        <f>IF(D9="Yes","","Year Built             (Month / Year)")</f>
        <v/>
      </c>
      <c r="D10" s="79"/>
      <c r="F10" s="193"/>
      <c r="L10" s="164" t="s">
        <v>237</v>
      </c>
    </row>
    <row r="11" spans="3:12" ht="15.75" thickBot="1" x14ac:dyDescent="0.3">
      <c r="C11" s="89" t="str">
        <f>IF(D9="Yes",""," Age of vessel (Years)")</f>
        <v/>
      </c>
      <c r="D11" s="78"/>
      <c r="F11" s="193"/>
      <c r="L11" s="164" t="s">
        <v>238</v>
      </c>
    </row>
    <row r="12" spans="3:12" ht="15.75" thickBot="1" x14ac:dyDescent="0.3">
      <c r="C12" s="90"/>
      <c r="D12" s="80"/>
      <c r="F12" s="193"/>
      <c r="G12" s="164" t="s">
        <v>142</v>
      </c>
      <c r="H12" s="169">
        <f>IF($D$20=G12,I12,"0")</f>
        <v>6</v>
      </c>
      <c r="I12" s="164">
        <v>6</v>
      </c>
      <c r="L12" s="164" t="s">
        <v>239</v>
      </c>
    </row>
    <row r="13" spans="3:12" ht="15.75" thickBot="1" x14ac:dyDescent="0.3">
      <c r="C13" s="91"/>
      <c r="D13" s="81"/>
      <c r="F13" s="193"/>
      <c r="G13" s="164" t="s">
        <v>143</v>
      </c>
      <c r="H13" s="169" t="str">
        <f t="shared" ref="H13:H17" si="0">IF($D$20=G13,I13,"0")</f>
        <v>0</v>
      </c>
      <c r="I13" s="164">
        <v>5</v>
      </c>
      <c r="L13" s="164" t="s">
        <v>240</v>
      </c>
    </row>
    <row r="14" spans="3:12" ht="15.75" thickBot="1" x14ac:dyDescent="0.3">
      <c r="C14" s="389" t="s">
        <v>140</v>
      </c>
      <c r="D14" s="390"/>
      <c r="F14" s="193"/>
      <c r="G14" s="164" t="s">
        <v>144</v>
      </c>
      <c r="H14" s="169" t="str">
        <f t="shared" si="0"/>
        <v>0</v>
      </c>
      <c r="I14" s="164">
        <v>4</v>
      </c>
      <c r="L14" s="164" t="s">
        <v>241</v>
      </c>
    </row>
    <row r="15" spans="3:12" ht="42.75" customHeight="1" thickBot="1" x14ac:dyDescent="0.3">
      <c r="C15" s="92" t="s">
        <v>5</v>
      </c>
      <c r="D15" s="77"/>
      <c r="F15" s="193"/>
      <c r="G15" s="164" t="s">
        <v>145</v>
      </c>
      <c r="H15" s="169" t="str">
        <f t="shared" si="0"/>
        <v>0</v>
      </c>
      <c r="I15" s="164">
        <v>3</v>
      </c>
      <c r="L15" s="164" t="s">
        <v>241</v>
      </c>
    </row>
    <row r="16" spans="3:12" ht="15.75" thickBot="1" x14ac:dyDescent="0.3">
      <c r="C16" s="93" t="s">
        <v>8</v>
      </c>
      <c r="D16" s="78" t="s">
        <v>91</v>
      </c>
      <c r="F16" s="193"/>
      <c r="G16" s="164" t="s">
        <v>146</v>
      </c>
      <c r="H16" s="169" t="str">
        <f t="shared" si="0"/>
        <v>0</v>
      </c>
      <c r="I16" s="164">
        <v>2</v>
      </c>
      <c r="L16" s="164" t="s">
        <v>242</v>
      </c>
    </row>
    <row r="17" spans="3:12" ht="25.5" thickBot="1" x14ac:dyDescent="0.3">
      <c r="C17" s="94" t="s">
        <v>266</v>
      </c>
      <c r="D17" s="78" t="s">
        <v>94</v>
      </c>
      <c r="E17" s="95" t="str">
        <f>IF(D17="No", "Please create Client Portfolio before proceeding.", "Attach Copy of Client Portfolio  to RSQ02 submitted to HSEQ")</f>
        <v>Please create Client Portfolio before proceeding.</v>
      </c>
      <c r="F17" s="193"/>
      <c r="G17" s="164" t="s">
        <v>147</v>
      </c>
      <c r="H17" s="169" t="str">
        <f t="shared" si="0"/>
        <v>0</v>
      </c>
      <c r="I17" s="164">
        <v>1</v>
      </c>
      <c r="L17" s="164" t="s">
        <v>243</v>
      </c>
    </row>
    <row r="18" spans="3:12" ht="15.75" thickBot="1" x14ac:dyDescent="0.3">
      <c r="C18" s="391" t="s">
        <v>141</v>
      </c>
      <c r="D18" s="392"/>
      <c r="H18" s="169"/>
      <c r="L18" s="164" t="s">
        <v>244</v>
      </c>
    </row>
    <row r="19" spans="3:12" ht="33.75" customHeight="1" x14ac:dyDescent="0.25">
      <c r="C19" s="275" t="s">
        <v>7</v>
      </c>
      <c r="D19" s="272"/>
      <c r="G19" s="171"/>
      <c r="H19" s="172"/>
      <c r="L19" s="173" t="s">
        <v>245</v>
      </c>
    </row>
    <row r="20" spans="3:12" ht="35.25" customHeight="1" x14ac:dyDescent="0.25">
      <c r="C20" s="276" t="s">
        <v>3</v>
      </c>
      <c r="D20" s="82" t="s">
        <v>142</v>
      </c>
      <c r="E20" s="386" t="str">
        <f>IF(SUM(H12:H17)&gt;3,"Warning!  An additional risk assessment required reviewing if there is sufficient resources and staff experience to successfully take the vessels into management. ",".")</f>
        <v xml:space="preserve">Warning!  An additional risk assessment required reviewing if there is sufficient resources and staff experience to successfully take the vessels into management. </v>
      </c>
      <c r="F20" s="386"/>
      <c r="G20" s="164" t="s">
        <v>166</v>
      </c>
      <c r="H20" s="169" t="str">
        <f>IF($D$21=G20,I20,"0")</f>
        <v>0</v>
      </c>
      <c r="I20" s="164">
        <v>1</v>
      </c>
      <c r="L20" s="164" t="s">
        <v>246</v>
      </c>
    </row>
    <row r="21" spans="3:12" ht="59.25" customHeight="1" x14ac:dyDescent="0.25">
      <c r="C21" s="273" t="s">
        <v>28</v>
      </c>
      <c r="D21" s="82" t="s">
        <v>168</v>
      </c>
      <c r="E21" s="386"/>
      <c r="F21" s="386"/>
      <c r="G21" s="164" t="s">
        <v>167</v>
      </c>
      <c r="H21" s="169" t="str">
        <f t="shared" ref="H21:H22" si="1">IF($D$21=G21,I21,"0")</f>
        <v>0</v>
      </c>
      <c r="I21" s="164">
        <v>3</v>
      </c>
      <c r="L21" s="164" t="s">
        <v>247</v>
      </c>
    </row>
    <row r="22" spans="3:12" ht="41.25" customHeight="1" x14ac:dyDescent="0.25">
      <c r="C22" s="273" t="s">
        <v>314</v>
      </c>
      <c r="D22" s="280"/>
      <c r="E22" s="242" t="str">
        <f>IF(D22="6. Vessel not known - No attendance","Not approved for entry to Management","")</f>
        <v/>
      </c>
      <c r="F22" s="1"/>
      <c r="G22" s="164" t="s">
        <v>168</v>
      </c>
      <c r="H22" s="169">
        <f t="shared" si="1"/>
        <v>6</v>
      </c>
      <c r="I22" s="164">
        <v>6</v>
      </c>
      <c r="L22" s="164" t="s">
        <v>248</v>
      </c>
    </row>
    <row r="23" spans="3:12" ht="39.75" customHeight="1" thickBot="1" x14ac:dyDescent="0.3">
      <c r="C23" s="274" t="s">
        <v>4</v>
      </c>
      <c r="D23" s="83"/>
      <c r="G23" s="171"/>
      <c r="H23" s="169"/>
      <c r="L23" s="164" t="s">
        <v>249</v>
      </c>
    </row>
    <row r="24" spans="3:12" ht="15.75" thickBot="1" x14ac:dyDescent="0.3">
      <c r="C24" s="387" t="s">
        <v>315</v>
      </c>
      <c r="D24" s="388"/>
      <c r="G24" s="174"/>
      <c r="H24" s="169"/>
      <c r="L24" s="164" t="s">
        <v>250</v>
      </c>
    </row>
    <row r="25" spans="3:12" x14ac:dyDescent="0.25">
      <c r="C25" s="243" t="s">
        <v>316</v>
      </c>
      <c r="D25" s="281"/>
      <c r="E25" s="242"/>
      <c r="G25" s="174"/>
      <c r="H25" s="169"/>
      <c r="L25" s="164" t="s">
        <v>251</v>
      </c>
    </row>
    <row r="26" spans="3:12" x14ac:dyDescent="0.25">
      <c r="C26" s="244" t="s">
        <v>317</v>
      </c>
      <c r="D26" s="282"/>
      <c r="E26" s="242"/>
      <c r="G26" s="174"/>
      <c r="H26" s="169"/>
      <c r="L26" s="164" t="s">
        <v>252</v>
      </c>
    </row>
    <row r="27" spans="3:12" x14ac:dyDescent="0.25">
      <c r="C27" s="245" t="s">
        <v>318</v>
      </c>
      <c r="D27" s="84"/>
      <c r="G27" s="174"/>
      <c r="H27" s="169"/>
      <c r="L27" s="164" t="s">
        <v>253</v>
      </c>
    </row>
    <row r="28" spans="3:12" ht="23.25" x14ac:dyDescent="0.35">
      <c r="C28" s="246" t="s">
        <v>320</v>
      </c>
      <c r="D28" s="284"/>
      <c r="E28" s="96"/>
      <c r="F28" s="186"/>
      <c r="G28" s="174"/>
      <c r="H28" s="169"/>
      <c r="L28" s="164" t="s">
        <v>254</v>
      </c>
    </row>
    <row r="29" spans="3:12" ht="36" customHeight="1" x14ac:dyDescent="0.25">
      <c r="C29" s="246" t="s">
        <v>319</v>
      </c>
      <c r="D29" s="284"/>
      <c r="G29" s="174"/>
      <c r="H29" s="169"/>
      <c r="L29" s="164" t="s">
        <v>255</v>
      </c>
    </row>
    <row r="30" spans="3:12" ht="39" customHeight="1" x14ac:dyDescent="0.25">
      <c r="C30" s="283"/>
      <c r="D30" s="284"/>
      <c r="G30" s="174"/>
      <c r="H30" s="169"/>
      <c r="L30" s="164" t="s">
        <v>256</v>
      </c>
    </row>
    <row r="31" spans="3:12" ht="48" customHeight="1" thickBot="1" x14ac:dyDescent="0.3">
      <c r="C31" s="285"/>
      <c r="D31" s="286"/>
      <c r="G31" s="174"/>
      <c r="H31" s="169"/>
      <c r="L31" s="164" t="s">
        <v>104</v>
      </c>
    </row>
    <row r="32" spans="3:12" ht="33.75" customHeight="1" x14ac:dyDescent="0.25">
      <c r="H32" s="169"/>
    </row>
    <row r="33" spans="7:9" ht="43.5" customHeight="1" x14ac:dyDescent="0.25">
      <c r="H33" s="169"/>
    </row>
    <row r="34" spans="7:9" ht="34.5" customHeight="1" x14ac:dyDescent="0.25">
      <c r="H34" s="169"/>
    </row>
    <row r="35" spans="7:9" ht="15" customHeight="1" x14ac:dyDescent="0.25">
      <c r="H35" s="169"/>
    </row>
    <row r="36" spans="7:9" ht="15" customHeight="1" x14ac:dyDescent="0.25">
      <c r="H36" s="169"/>
    </row>
    <row r="37" spans="7:9" ht="15" customHeight="1" x14ac:dyDescent="0.25">
      <c r="H37" s="169"/>
    </row>
    <row r="38" spans="7:9" x14ac:dyDescent="0.25">
      <c r="H38" s="169"/>
    </row>
    <row r="39" spans="7:9" x14ac:dyDescent="0.25">
      <c r="H39" s="169"/>
    </row>
    <row r="40" spans="7:9" x14ac:dyDescent="0.25">
      <c r="H40" s="169"/>
    </row>
    <row r="41" spans="7:9" x14ac:dyDescent="0.25">
      <c r="H41" s="169"/>
    </row>
    <row r="42" spans="7:9" x14ac:dyDescent="0.25">
      <c r="H42" s="169"/>
    </row>
    <row r="43" spans="7:9" x14ac:dyDescent="0.25">
      <c r="H43" s="169"/>
    </row>
    <row r="44" spans="7:9" x14ac:dyDescent="0.25">
      <c r="G44" s="164" t="s">
        <v>91</v>
      </c>
      <c r="H44" s="169" t="str">
        <f>IF($D$17=G44,I44,"0")</f>
        <v>0</v>
      </c>
      <c r="I44" s="164">
        <v>1</v>
      </c>
    </row>
    <row r="45" spans="7:9" x14ac:dyDescent="0.25">
      <c r="G45" s="164" t="s">
        <v>94</v>
      </c>
      <c r="H45" s="169">
        <f>IF($D$17=G45,I45,"0")</f>
        <v>6</v>
      </c>
      <c r="I45" s="164">
        <v>6</v>
      </c>
    </row>
    <row r="50" spans="7:7" ht="62.25" customHeight="1" x14ac:dyDescent="0.25"/>
    <row r="51" spans="7:7" x14ac:dyDescent="0.25">
      <c r="G51" s="164">
        <f>IF(D12="",1,0)</f>
        <v>1</v>
      </c>
    </row>
    <row r="52" spans="7:7" x14ac:dyDescent="0.25">
      <c r="G52" s="164">
        <f t="shared" ref="G52:G65" si="2">IF(D13="",1,0)</f>
        <v>1</v>
      </c>
    </row>
    <row r="61" spans="7:7" x14ac:dyDescent="0.25">
      <c r="G61" s="164">
        <f t="shared" si="2"/>
        <v>1</v>
      </c>
    </row>
    <row r="64" spans="7:7" x14ac:dyDescent="0.25">
      <c r="G64" s="164">
        <f t="shared" si="2"/>
        <v>1</v>
      </c>
    </row>
    <row r="65" spans="7:7" x14ac:dyDescent="0.25">
      <c r="G65" s="164">
        <f t="shared" si="2"/>
        <v>1</v>
      </c>
    </row>
    <row r="67" spans="7:7" x14ac:dyDescent="0.25">
      <c r="G67" s="164">
        <f>SUM(G51:G65)</f>
        <v>5</v>
      </c>
    </row>
  </sheetData>
  <sheetProtection algorithmName="SHA-512" hashValue="v5nJO+ve4lUUuBBgAQMSUGGcS38ZdRxhsaMUUeu20Z90eBdqNCv4T/8aVRfhHMFkJl4GLwgmUcL8xDavi0TRVA==" saltValue="69CQ6XPEka/8Xv/jKmwvEw==" spinCount="100000" sheet="1" selectLockedCells="1"/>
  <mergeCells count="6">
    <mergeCell ref="C1:F1"/>
    <mergeCell ref="C3:D3"/>
    <mergeCell ref="E20:F21"/>
    <mergeCell ref="C24:D24"/>
    <mergeCell ref="C14:D14"/>
    <mergeCell ref="C18:D18"/>
  </mergeCells>
  <conditionalFormatting sqref="D9">
    <cfRule type="cellIs" dxfId="48" priority="12" operator="equal">
      <formula>"No"</formula>
    </cfRule>
  </conditionalFormatting>
  <conditionalFormatting sqref="E20:F21">
    <cfRule type="cellIs" dxfId="47" priority="7" operator="equal">
      <formula>"."</formula>
    </cfRule>
  </conditionalFormatting>
  <conditionalFormatting sqref="E7">
    <cfRule type="cellIs" dxfId="46" priority="4" operator="equal">
      <formula>"Insufficient time for review"</formula>
    </cfRule>
  </conditionalFormatting>
  <conditionalFormatting sqref="E26">
    <cfRule type="cellIs" dxfId="45" priority="3" operator="equal">
      <formula>"Not approved for entry to Management"</formula>
    </cfRule>
  </conditionalFormatting>
  <conditionalFormatting sqref="E25">
    <cfRule type="cellIs" dxfId="44" priority="2" operator="equal">
      <formula>"Not approved for entry to Management"</formula>
    </cfRule>
  </conditionalFormatting>
  <conditionalFormatting sqref="E22">
    <cfRule type="cellIs" dxfId="43" priority="1" operator="equal">
      <formula>"Not approved for entry to Management"</formula>
    </cfRule>
  </conditionalFormatting>
  <dataValidations count="4">
    <dataValidation type="list" allowBlank="1" showInputMessage="1" showErrorMessage="1" sqref="D20">
      <formula1>$G$12:$G$17</formula1>
    </dataValidation>
    <dataValidation type="list" allowBlank="1" showInputMessage="1" showErrorMessage="1" sqref="D21">
      <formula1>$G$20:$G$22</formula1>
    </dataValidation>
    <dataValidation type="list" allowBlank="1" showInputMessage="1" showErrorMessage="1" sqref="D8">
      <formula1>$L$7:$L$31</formula1>
    </dataValidation>
    <dataValidation type="list" allowBlank="1" showInputMessage="1" showErrorMessage="1" sqref="D9 D16:D17">
      <formula1>$G$5:$G$6</formula1>
    </dataValidation>
  </dataValidations>
  <pageMargins left="0.70866141732283472" right="0.70866141732283472" top="0.74803149606299213" bottom="0.74803149606299213" header="0.31496062992125984" footer="0.31496062992125984"/>
  <pageSetup paperSize="9" scale="3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8"/>
  <sheetViews>
    <sheetView showGridLines="0" zoomScale="75" zoomScaleNormal="75" workbookViewId="0">
      <selection activeCell="C6" sqref="C6"/>
    </sheetView>
  </sheetViews>
  <sheetFormatPr defaultRowHeight="15" x14ac:dyDescent="0.25"/>
  <cols>
    <col min="2" max="2" width="42.5703125" customWidth="1"/>
    <col min="3" max="3" width="30.42578125" style="26" customWidth="1"/>
    <col min="4" max="4" width="38.5703125" style="26" customWidth="1"/>
    <col min="5" max="5" width="38.7109375" style="26" customWidth="1"/>
    <col min="6" max="6" width="16" customWidth="1"/>
    <col min="8" max="8" width="10.5703125" bestFit="1" customWidth="1"/>
    <col min="9" max="9" width="17.140625" customWidth="1"/>
    <col min="13" max="13" width="9.140625" style="247"/>
    <col min="14" max="14" width="12.42578125" style="247" customWidth="1"/>
    <col min="15" max="31" width="9.140625" style="247"/>
    <col min="32" max="35" width="9.140625" style="27"/>
  </cols>
  <sheetData>
    <row r="1" spans="1:35" s="23" customFormat="1" ht="15.75" thickBot="1" x14ac:dyDescent="0.3">
      <c r="C1" s="26"/>
      <c r="D1" s="26"/>
      <c r="E1" s="26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7"/>
      <c r="AG1" s="27"/>
      <c r="AH1" s="27"/>
      <c r="AI1" s="27"/>
    </row>
    <row r="2" spans="1:35" s="23" customFormat="1" ht="33.75" customHeight="1" thickBot="1" x14ac:dyDescent="0.3">
      <c r="A2" s="417" t="s">
        <v>308</v>
      </c>
      <c r="B2" s="418"/>
      <c r="C2" s="418"/>
      <c r="D2" s="418"/>
      <c r="E2" s="418"/>
      <c r="F2" s="418"/>
      <c r="G2" s="418"/>
      <c r="H2" s="418"/>
      <c r="I2" s="418"/>
      <c r="J2" s="418"/>
      <c r="K2" s="419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7"/>
      <c r="AG2" s="27"/>
      <c r="AH2" s="27"/>
      <c r="AI2" s="27"/>
    </row>
    <row r="3" spans="1:35" s="23" customFormat="1" x14ac:dyDescent="0.25">
      <c r="C3" s="26"/>
      <c r="D3" s="26"/>
      <c r="E3" s="26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7"/>
      <c r="AG3" s="27"/>
      <c r="AH3" s="27"/>
      <c r="AI3" s="27"/>
    </row>
    <row r="4" spans="1:35" ht="15.75" thickBot="1" x14ac:dyDescent="0.3">
      <c r="A4" s="23"/>
      <c r="B4" s="23"/>
    </row>
    <row r="5" spans="1:35" s="23" customFormat="1" ht="35.1" customHeight="1" thickBot="1" x14ac:dyDescent="0.3">
      <c r="A5" s="63" t="s">
        <v>35</v>
      </c>
      <c r="B5" s="64" t="s">
        <v>36</v>
      </c>
      <c r="C5" s="65" t="s">
        <v>37</v>
      </c>
      <c r="D5" s="65" t="s">
        <v>38</v>
      </c>
      <c r="E5" s="65" t="s">
        <v>39</v>
      </c>
      <c r="F5" s="66" t="s">
        <v>40</v>
      </c>
      <c r="G5" s="67" t="s">
        <v>41</v>
      </c>
      <c r="H5" s="67" t="s">
        <v>59</v>
      </c>
      <c r="I5" s="68" t="s">
        <v>228</v>
      </c>
      <c r="J5" s="426" t="s">
        <v>229</v>
      </c>
      <c r="K5" s="427"/>
      <c r="M5" s="247"/>
      <c r="N5" s="414" t="s">
        <v>40</v>
      </c>
      <c r="O5" s="248" t="s">
        <v>41</v>
      </c>
      <c r="P5" s="249"/>
      <c r="Q5" s="249"/>
      <c r="R5" s="249"/>
      <c r="S5" s="249"/>
      <c r="T5" s="249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7"/>
      <c r="AG5" s="27"/>
      <c r="AH5" s="27"/>
      <c r="AI5" s="27"/>
    </row>
    <row r="6" spans="1:35" s="23" customFormat="1" ht="54.95" customHeight="1" x14ac:dyDescent="0.25">
      <c r="A6" s="69">
        <v>1</v>
      </c>
      <c r="B6" s="37" t="s">
        <v>34</v>
      </c>
      <c r="C6" s="97" t="s">
        <v>73</v>
      </c>
      <c r="D6" s="98" t="s">
        <v>294</v>
      </c>
      <c r="E6" s="98"/>
      <c r="F6" s="99" t="s">
        <v>58</v>
      </c>
      <c r="G6" s="99" t="s">
        <v>42</v>
      </c>
      <c r="H6" s="50" t="str">
        <f>Y6</f>
        <v>Very Low</v>
      </c>
      <c r="I6" s="49" t="str">
        <f>IF(H6="Medium","Not accepted",IF(H6="Significant","Not accepted",IF(H6="High","Not Accepted",IF(H6="Very High","Not Accepted","Accepted"))))</f>
        <v>Accepted</v>
      </c>
      <c r="J6" s="410" t="str">
        <f>IF(I6="Not accepted", "Additional Measures required", "")</f>
        <v/>
      </c>
      <c r="K6" s="411"/>
      <c r="M6" s="247"/>
      <c r="N6" s="415"/>
      <c r="O6" s="395" t="s">
        <v>42</v>
      </c>
      <c r="P6" s="395" t="s">
        <v>43</v>
      </c>
      <c r="Q6" s="395" t="s">
        <v>44</v>
      </c>
      <c r="R6" s="395" t="s">
        <v>81</v>
      </c>
      <c r="S6" s="395" t="s">
        <v>45</v>
      </c>
      <c r="T6" s="395" t="s">
        <v>46</v>
      </c>
      <c r="U6" s="247"/>
      <c r="V6" s="247"/>
      <c r="W6" s="247">
        <f>IF(F6=$N$8,1,IF(F6=$N$9,2,IF(F6=$N$10,3,IF(F6=$N$11,4,IF(F6=$N$12,5,IF(F6=$N$13,6))))))</f>
        <v>6</v>
      </c>
      <c r="X6" s="247">
        <f>IF(G6=$U$8,1,IF(G6=$U$9,2,IF(G6=$U$10,3,IF(G6=$U$11,4,IF(G6=$U$12,5,IF(G6=$U$13,6))))))</f>
        <v>1</v>
      </c>
      <c r="Y6" s="247" t="str">
        <f>VLOOKUP(W6,$M$8:$T$13,(X6+2))</f>
        <v>Very Low</v>
      </c>
      <c r="Z6" s="247">
        <f>IF('Additional Measures'!F6='Minimum Criteria'!$N$8,1,IF('Additional Measures'!F6='Minimum Criteria'!$N$9,2,IF('Additional Measures'!F6='Minimum Criteria'!$N$10,3,IF('Additional Measures'!F6='Minimum Criteria'!$N$11,4,IF('Additional Measures'!F6='Minimum Criteria'!$N$12,5,IF('Additional Measures'!F6='Minimum Criteria'!$N$13,6,7))))))</f>
        <v>7</v>
      </c>
      <c r="AA6" s="247">
        <f>IF('Additional Measures'!G6='Minimum Criteria'!$U$8,1,IF('Additional Measures'!G6='Minimum Criteria'!$U$9,2,IF('Additional Measures'!G6='Minimum Criteria'!$U$10,3,IF('Additional Measures'!G6='Minimum Criteria'!$U$11,4,IF('Additional Measures'!G6='Minimum Criteria'!$U$12,5,IF('Additional Measures'!G6='Minimum Criteria'!$U$13,6,7))))))</f>
        <v>7</v>
      </c>
      <c r="AB6" s="247" t="e">
        <f>VLOOKUP(Z6,$M$8:$T$13,(AA6+2))</f>
        <v>#REF!</v>
      </c>
      <c r="AC6" s="247"/>
      <c r="AD6" s="247"/>
      <c r="AE6" s="247"/>
      <c r="AF6" s="27"/>
      <c r="AG6" s="27"/>
      <c r="AH6" s="27"/>
      <c r="AI6" s="27"/>
    </row>
    <row r="7" spans="1:35" s="23" customFormat="1" ht="54.95" customHeight="1" thickBot="1" x14ac:dyDescent="0.3">
      <c r="A7" s="69">
        <v>2</v>
      </c>
      <c r="B7" s="38" t="s">
        <v>60</v>
      </c>
      <c r="C7" s="100" t="s">
        <v>74</v>
      </c>
      <c r="D7" s="101" t="s">
        <v>289</v>
      </c>
      <c r="E7" s="101"/>
      <c r="F7" s="99" t="s">
        <v>58</v>
      </c>
      <c r="G7" s="99" t="s">
        <v>42</v>
      </c>
      <c r="H7" s="50" t="str">
        <f>Y7</f>
        <v>Very Low</v>
      </c>
      <c r="I7" s="49" t="str">
        <f t="shared" ref="I7:I22" si="0">IF(H7="Medium","Not accepted",IF(H7="Significant","Not accepted",IF(H7="High","Not Accepted",IF(H7="Very High","Not Accepted","Accepted"))))</f>
        <v>Accepted</v>
      </c>
      <c r="J7" s="412" t="str">
        <f t="shared" ref="J7:J27" si="1">IF(I7="Not accepted", "Additional Measures required", "")</f>
        <v/>
      </c>
      <c r="K7" s="413"/>
      <c r="M7" s="247"/>
      <c r="N7" s="416"/>
      <c r="O7" s="396"/>
      <c r="P7" s="396"/>
      <c r="Q7" s="396"/>
      <c r="R7" s="396"/>
      <c r="S7" s="396"/>
      <c r="T7" s="396"/>
      <c r="U7" s="247"/>
      <c r="V7" s="247"/>
      <c r="W7" s="247">
        <f t="shared" ref="W7:W27" si="2">IF(F7=$N$8,1,IF(F7=$N$9,2,IF(F7=$N$10,3,IF(F7=$N$11,4,IF(F7=$N$12,5,IF(F7=$N$13,6))))))</f>
        <v>6</v>
      </c>
      <c r="X7" s="247">
        <f t="shared" ref="X7:X27" si="3">IF(G7=$U$8,1,IF(G7=$U$9,2,IF(G7=$U$10,3,IF(G7=$U$11,4,IF(G7=$U$12,5,IF(G7=$U$13,6))))))</f>
        <v>1</v>
      </c>
      <c r="Y7" s="247" t="str">
        <f t="shared" ref="Y7:Y27" si="4">VLOOKUP(W7,$M$8:$T$13,(X7+2))</f>
        <v>Very Low</v>
      </c>
      <c r="Z7" s="247">
        <f>IF('Additional Measures'!F7='Minimum Criteria'!$N$8,1,IF('Additional Measures'!F7='Minimum Criteria'!$N$9,2,IF('Additional Measures'!F7='Minimum Criteria'!$N$10,3,IF('Additional Measures'!F7='Minimum Criteria'!$N$11,4,IF('Additional Measures'!F7='Minimum Criteria'!$N$12,5,IF('Additional Measures'!F7='Minimum Criteria'!$N$13,6,7))))))</f>
        <v>7</v>
      </c>
      <c r="AA7" s="247">
        <f>IF('Additional Measures'!G7='Minimum Criteria'!$U$8,1,IF('Additional Measures'!G7='Minimum Criteria'!$U$9,2,IF('Additional Measures'!G7='Minimum Criteria'!$U$10,3,IF('Additional Measures'!G7='Minimum Criteria'!$U$11,4,IF('Additional Measures'!G7='Minimum Criteria'!$U$12,5,IF('Additional Measures'!G7='Minimum Criteria'!$U$13,6,7))))))</f>
        <v>7</v>
      </c>
      <c r="AB7" s="247" t="e">
        <f t="shared" ref="AB7:AB27" si="5">VLOOKUP(Z7,$M$8:$T$13,(AA7+2))</f>
        <v>#REF!</v>
      </c>
      <c r="AC7" s="247"/>
      <c r="AD7" s="247"/>
      <c r="AE7" s="247"/>
      <c r="AF7" s="27"/>
      <c r="AG7" s="27"/>
      <c r="AH7" s="27"/>
      <c r="AI7" s="27"/>
    </row>
    <row r="8" spans="1:35" s="23" customFormat="1" ht="54.95" customHeight="1" thickBot="1" x14ac:dyDescent="0.3">
      <c r="A8" s="69">
        <v>3</v>
      </c>
      <c r="B8" s="39" t="s">
        <v>114</v>
      </c>
      <c r="C8" s="397" t="s">
        <v>75</v>
      </c>
      <c r="D8" s="400" t="s">
        <v>295</v>
      </c>
      <c r="E8" s="400"/>
      <c r="F8" s="401" t="s">
        <v>58</v>
      </c>
      <c r="G8" s="401" t="s">
        <v>42</v>
      </c>
      <c r="H8" s="404" t="str">
        <f>Y8</f>
        <v>Very Low</v>
      </c>
      <c r="I8" s="407" t="str">
        <f t="shared" si="0"/>
        <v>Accepted</v>
      </c>
      <c r="J8" s="420" t="str">
        <f t="shared" si="1"/>
        <v/>
      </c>
      <c r="K8" s="421"/>
      <c r="M8" s="247">
        <v>1</v>
      </c>
      <c r="N8" s="250" t="s">
        <v>47</v>
      </c>
      <c r="O8" s="251" t="s">
        <v>48</v>
      </c>
      <c r="P8" s="251" t="s">
        <v>48</v>
      </c>
      <c r="Q8" s="252" t="s">
        <v>49</v>
      </c>
      <c r="R8" s="253" t="s">
        <v>50</v>
      </c>
      <c r="S8" s="254" t="s">
        <v>51</v>
      </c>
      <c r="T8" s="254" t="s">
        <v>51</v>
      </c>
      <c r="U8" s="247" t="str">
        <f>O6</f>
        <v>Minor</v>
      </c>
      <c r="V8" s="247"/>
      <c r="W8" s="247">
        <f t="shared" si="2"/>
        <v>6</v>
      </c>
      <c r="X8" s="247">
        <f t="shared" si="3"/>
        <v>1</v>
      </c>
      <c r="Y8" s="247" t="str">
        <f t="shared" si="4"/>
        <v>Very Low</v>
      </c>
      <c r="Z8" s="247">
        <f>IF('Additional Measures'!F8='Minimum Criteria'!$N$8,1,IF('Additional Measures'!F8='Minimum Criteria'!$N$9,2,IF('Additional Measures'!F8='Minimum Criteria'!$N$10,3,IF('Additional Measures'!F8='Minimum Criteria'!$N$11,4,IF('Additional Measures'!F8='Minimum Criteria'!$N$12,5,IF('Additional Measures'!F8='Minimum Criteria'!$N$13,6,6))))))</f>
        <v>6</v>
      </c>
      <c r="AA8" s="247">
        <f>IF('Additional Measures'!G8='Minimum Criteria'!$U$8,1,IF('Additional Measures'!G8='Minimum Criteria'!$U$9,2,IF('Additional Measures'!G8='Minimum Criteria'!$U$10,3,IF('Additional Measures'!G8='Minimum Criteria'!$U$11,4,IF('Additional Measures'!G8='Minimum Criteria'!$U$12,5,IF('Additional Measures'!G8='Minimum Criteria'!$U$13,6,6))))))</f>
        <v>6</v>
      </c>
      <c r="AB8" s="247" t="str">
        <f>VLOOKUP((Z8),$M$8:$T$13,(AA8+2))</f>
        <v>Medium</v>
      </c>
      <c r="AC8" s="247"/>
      <c r="AD8" s="247"/>
      <c r="AE8" s="247"/>
      <c r="AF8" s="27"/>
      <c r="AG8" s="27"/>
      <c r="AH8" s="27"/>
      <c r="AI8" s="27"/>
    </row>
    <row r="9" spans="1:35" s="23" customFormat="1" ht="54.95" customHeight="1" thickBot="1" x14ac:dyDescent="0.3">
      <c r="A9" s="69">
        <v>4</v>
      </c>
      <c r="B9" s="40" t="s">
        <v>29</v>
      </c>
      <c r="C9" s="398"/>
      <c r="D9" s="400"/>
      <c r="E9" s="400"/>
      <c r="F9" s="402"/>
      <c r="G9" s="402"/>
      <c r="H9" s="405"/>
      <c r="I9" s="408"/>
      <c r="J9" s="422"/>
      <c r="K9" s="423"/>
      <c r="M9" s="247">
        <v>2</v>
      </c>
      <c r="N9" s="250" t="s">
        <v>52</v>
      </c>
      <c r="O9" s="251" t="s">
        <v>48</v>
      </c>
      <c r="P9" s="251" t="s">
        <v>48</v>
      </c>
      <c r="Q9" s="252" t="s">
        <v>49</v>
      </c>
      <c r="R9" s="253" t="s">
        <v>50</v>
      </c>
      <c r="S9" s="253" t="s">
        <v>50</v>
      </c>
      <c r="T9" s="254" t="s">
        <v>51</v>
      </c>
      <c r="U9" s="247" t="str">
        <f>P6</f>
        <v>Moderate</v>
      </c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7"/>
      <c r="AG9" s="27"/>
      <c r="AH9" s="27"/>
      <c r="AI9" s="27"/>
    </row>
    <row r="10" spans="1:35" s="23" customFormat="1" ht="54.95" customHeight="1" thickBot="1" x14ac:dyDescent="0.3">
      <c r="A10" s="69">
        <v>5</v>
      </c>
      <c r="B10" s="40" t="s">
        <v>30</v>
      </c>
      <c r="C10" s="398"/>
      <c r="D10" s="400"/>
      <c r="E10" s="400"/>
      <c r="F10" s="402"/>
      <c r="G10" s="402"/>
      <c r="H10" s="405"/>
      <c r="I10" s="408"/>
      <c r="J10" s="422"/>
      <c r="K10" s="423"/>
      <c r="M10" s="247">
        <v>3</v>
      </c>
      <c r="N10" s="250" t="s">
        <v>53</v>
      </c>
      <c r="O10" s="255" t="s">
        <v>54</v>
      </c>
      <c r="P10" s="251" t="s">
        <v>48</v>
      </c>
      <c r="Q10" s="252" t="s">
        <v>49</v>
      </c>
      <c r="R10" s="252" t="s">
        <v>49</v>
      </c>
      <c r="S10" s="253" t="s">
        <v>50</v>
      </c>
      <c r="T10" s="253" t="s">
        <v>50</v>
      </c>
      <c r="U10" s="247" t="str">
        <f>Q6</f>
        <v>Severe</v>
      </c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7"/>
      <c r="AG10" s="27"/>
      <c r="AH10" s="27"/>
      <c r="AI10" s="27"/>
    </row>
    <row r="11" spans="1:35" ht="54.95" customHeight="1" thickBot="1" x14ac:dyDescent="0.3">
      <c r="A11" s="69">
        <v>6</v>
      </c>
      <c r="B11" s="40" t="s">
        <v>31</v>
      </c>
      <c r="C11" s="399"/>
      <c r="D11" s="400"/>
      <c r="E11" s="400"/>
      <c r="F11" s="403"/>
      <c r="G11" s="403"/>
      <c r="H11" s="406"/>
      <c r="I11" s="409"/>
      <c r="J11" s="424"/>
      <c r="K11" s="425"/>
      <c r="M11" s="247">
        <v>4</v>
      </c>
      <c r="N11" s="250" t="s">
        <v>55</v>
      </c>
      <c r="O11" s="255" t="s">
        <v>54</v>
      </c>
      <c r="P11" s="251" t="s">
        <v>48</v>
      </c>
      <c r="Q11" s="251" t="s">
        <v>48</v>
      </c>
      <c r="R11" s="252" t="s">
        <v>49</v>
      </c>
      <c r="S11" s="252" t="s">
        <v>49</v>
      </c>
      <c r="T11" s="252" t="s">
        <v>49</v>
      </c>
      <c r="U11" s="247" t="str">
        <f>R6</f>
        <v>Very Severe</v>
      </c>
    </row>
    <row r="12" spans="1:35" ht="54.95" customHeight="1" thickBot="1" x14ac:dyDescent="0.3">
      <c r="A12" s="69">
        <v>7</v>
      </c>
      <c r="B12" s="70" t="s">
        <v>61</v>
      </c>
      <c r="C12" s="100" t="s">
        <v>76</v>
      </c>
      <c r="D12" s="101" t="s">
        <v>296</v>
      </c>
      <c r="E12" s="101"/>
      <c r="F12" s="99" t="s">
        <v>58</v>
      </c>
      <c r="G12" s="99" t="s">
        <v>42</v>
      </c>
      <c r="H12" s="50" t="str">
        <f t="shared" ref="H12:H22" si="6">Y12</f>
        <v>Very Low</v>
      </c>
      <c r="I12" s="49" t="str">
        <f t="shared" si="0"/>
        <v>Accepted</v>
      </c>
      <c r="J12" s="410" t="str">
        <f t="shared" si="1"/>
        <v/>
      </c>
      <c r="K12" s="411"/>
      <c r="M12" s="247">
        <v>5</v>
      </c>
      <c r="N12" s="250" t="s">
        <v>56</v>
      </c>
      <c r="O12" s="256" t="s">
        <v>57</v>
      </c>
      <c r="P12" s="255" t="s">
        <v>54</v>
      </c>
      <c r="Q12" s="251" t="s">
        <v>48</v>
      </c>
      <c r="R12" s="251" t="s">
        <v>48</v>
      </c>
      <c r="S12" s="251" t="s">
        <v>48</v>
      </c>
      <c r="T12" s="251" t="s">
        <v>48</v>
      </c>
      <c r="U12" s="247" t="str">
        <f>S6</f>
        <v>Major</v>
      </c>
      <c r="W12" s="247">
        <f t="shared" si="2"/>
        <v>6</v>
      </c>
      <c r="X12" s="247">
        <f t="shared" si="3"/>
        <v>1</v>
      </c>
      <c r="Y12" s="247" t="str">
        <f t="shared" si="4"/>
        <v>Very Low</v>
      </c>
      <c r="Z12" s="247">
        <f>IF('Additional Measures'!F9='Minimum Criteria'!$N$8,1,IF('Additional Measures'!F12='Minimum Criteria'!$N$9,2,IF('Additional Measures'!F12='Minimum Criteria'!$N$10,3,IF('Additional Measures'!F12='Minimum Criteria'!$N$11,4,IF('Additional Measures'!F12='Minimum Criteria'!$N$12,5,IF('Additional Measures'!F12='Minimum Criteria'!$N$13,6,6))))))</f>
        <v>6</v>
      </c>
      <c r="AA12" s="247">
        <f>IF('Additional Measures'!G9='Minimum Criteria'!$U$8,1,IF('Additional Measures'!G12='Minimum Criteria'!$U$9,2,IF('Additional Measures'!G12='Minimum Criteria'!$U$10,3,IF('Additional Measures'!G12='Minimum Criteria'!$U$11,4,IF('Additional Measures'!G12='Minimum Criteria'!$U$12,5,IF('Additional Measures'!G12='Minimum Criteria'!$U$13,6,6))))))</f>
        <v>6</v>
      </c>
      <c r="AB12" s="247" t="str">
        <f t="shared" si="5"/>
        <v>Medium</v>
      </c>
    </row>
    <row r="13" spans="1:35" ht="54.95" customHeight="1" thickBot="1" x14ac:dyDescent="0.3">
      <c r="A13" s="69">
        <v>8</v>
      </c>
      <c r="B13" s="37" t="s">
        <v>62</v>
      </c>
      <c r="C13" s="97" t="s">
        <v>76</v>
      </c>
      <c r="D13" s="98" t="s">
        <v>297</v>
      </c>
      <c r="E13" s="98"/>
      <c r="F13" s="99" t="s">
        <v>58</v>
      </c>
      <c r="G13" s="99" t="s">
        <v>42</v>
      </c>
      <c r="H13" s="50" t="str">
        <f t="shared" si="6"/>
        <v>Very Low</v>
      </c>
      <c r="I13" s="49" t="str">
        <f t="shared" si="0"/>
        <v>Accepted</v>
      </c>
      <c r="J13" s="410" t="str">
        <f t="shared" si="1"/>
        <v/>
      </c>
      <c r="K13" s="411"/>
      <c r="M13" s="247">
        <v>6</v>
      </c>
      <c r="N13" s="250" t="s">
        <v>58</v>
      </c>
      <c r="O13" s="256" t="s">
        <v>57</v>
      </c>
      <c r="P13" s="256" t="s">
        <v>57</v>
      </c>
      <c r="Q13" s="255" t="s">
        <v>54</v>
      </c>
      <c r="R13" s="255" t="s">
        <v>54</v>
      </c>
      <c r="S13" s="255" t="s">
        <v>54</v>
      </c>
      <c r="T13" s="251" t="s">
        <v>48</v>
      </c>
      <c r="U13" s="247" t="str">
        <f>T6</f>
        <v>Critical</v>
      </c>
      <c r="W13" s="247">
        <f t="shared" si="2"/>
        <v>6</v>
      </c>
      <c r="X13" s="247">
        <f t="shared" si="3"/>
        <v>1</v>
      </c>
      <c r="Y13" s="247" t="str">
        <f t="shared" si="4"/>
        <v>Very Low</v>
      </c>
      <c r="Z13" s="247">
        <f>IF('Additional Measures'!F10='Minimum Criteria'!$N$8,1,IF('Additional Measures'!F13='Minimum Criteria'!$N$9,2,IF('Additional Measures'!F13='Minimum Criteria'!$N$10,3,IF('Additional Measures'!F13='Minimum Criteria'!$N$11,4,IF('Additional Measures'!F13='Minimum Criteria'!$N$12,5,IF('Additional Measures'!F13='Minimum Criteria'!$N$13,6,6))))))</f>
        <v>6</v>
      </c>
      <c r="AA13" s="247">
        <f>IF('Additional Measures'!G10='Minimum Criteria'!$U$8,1,IF('Additional Measures'!G13='Minimum Criteria'!$U$9,2,IF('Additional Measures'!G13='Minimum Criteria'!$U$10,3,IF('Additional Measures'!G13='Minimum Criteria'!$U$11,4,IF('Additional Measures'!G13='Minimum Criteria'!$U$12,5,IF('Additional Measures'!G13='Minimum Criteria'!$U$13,6,6))))))</f>
        <v>6</v>
      </c>
      <c r="AB13" s="247" t="str">
        <f t="shared" si="5"/>
        <v>Medium</v>
      </c>
    </row>
    <row r="14" spans="1:35" ht="54.95" customHeight="1" x14ac:dyDescent="0.25">
      <c r="A14" s="69">
        <v>9</v>
      </c>
      <c r="B14" s="38" t="s">
        <v>63</v>
      </c>
      <c r="C14" s="100" t="s">
        <v>76</v>
      </c>
      <c r="D14" s="101" t="s">
        <v>298</v>
      </c>
      <c r="E14" s="101"/>
      <c r="F14" s="99" t="s">
        <v>58</v>
      </c>
      <c r="G14" s="99" t="s">
        <v>42</v>
      </c>
      <c r="H14" s="50" t="str">
        <f t="shared" si="6"/>
        <v>Very Low</v>
      </c>
      <c r="I14" s="49" t="str">
        <f t="shared" si="0"/>
        <v>Accepted</v>
      </c>
      <c r="J14" s="410" t="str">
        <f t="shared" si="1"/>
        <v/>
      </c>
      <c r="K14" s="411"/>
      <c r="W14" s="247">
        <f t="shared" si="2"/>
        <v>6</v>
      </c>
      <c r="X14" s="247">
        <f t="shared" si="3"/>
        <v>1</v>
      </c>
      <c r="Y14" s="247" t="str">
        <f t="shared" si="4"/>
        <v>Very Low</v>
      </c>
      <c r="Z14" s="247">
        <f>IF('Additional Measures'!F11='Minimum Criteria'!$N$8,1,IF('Additional Measures'!F14='Minimum Criteria'!$N$9,2,IF('Additional Measures'!F14='Minimum Criteria'!$N$10,3,IF('Additional Measures'!F14='Minimum Criteria'!$N$11,4,IF('Additional Measures'!F14='Minimum Criteria'!$N$12,5,IF('Additional Measures'!F14='Minimum Criteria'!$N$13,6,6))))))</f>
        <v>6</v>
      </c>
      <c r="AA14" s="247">
        <f>IF('Additional Measures'!G11='Minimum Criteria'!$U$8,1,IF('Additional Measures'!G14='Minimum Criteria'!$U$9,2,IF('Additional Measures'!G14='Minimum Criteria'!$U$10,3,IF('Additional Measures'!G14='Minimum Criteria'!$U$11,4,IF('Additional Measures'!G14='Minimum Criteria'!$U$12,5,IF('Additional Measures'!G14='Minimum Criteria'!$U$13,6,6))))))</f>
        <v>6</v>
      </c>
      <c r="AB14" s="247" t="str">
        <f t="shared" si="5"/>
        <v>Medium</v>
      </c>
    </row>
    <row r="15" spans="1:35" s="25" customFormat="1" ht="54.95" customHeight="1" x14ac:dyDescent="0.25">
      <c r="A15" s="69">
        <v>10</v>
      </c>
      <c r="B15" s="37" t="s">
        <v>64</v>
      </c>
      <c r="C15" s="98" t="s">
        <v>65</v>
      </c>
      <c r="D15" s="98" t="s">
        <v>299</v>
      </c>
      <c r="E15" s="98"/>
      <c r="F15" s="99" t="s">
        <v>58</v>
      </c>
      <c r="G15" s="99" t="s">
        <v>42</v>
      </c>
      <c r="H15" s="50" t="str">
        <f t="shared" si="6"/>
        <v>Very Low</v>
      </c>
      <c r="I15" s="49" t="str">
        <f t="shared" si="0"/>
        <v>Accepted</v>
      </c>
      <c r="J15" s="410" t="str">
        <f t="shared" si="1"/>
        <v/>
      </c>
      <c r="K15" s="411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47">
        <f t="shared" si="2"/>
        <v>6</v>
      </c>
      <c r="X15" s="247">
        <f t="shared" si="3"/>
        <v>1</v>
      </c>
      <c r="Y15" s="247" t="str">
        <f t="shared" si="4"/>
        <v>Very Low</v>
      </c>
      <c r="Z15" s="247">
        <f>IF('Additional Measures'!F12='Minimum Criteria'!$N$8,1,IF('Additional Measures'!F15='Minimum Criteria'!$N$9,2,IF('Additional Measures'!F15='Minimum Criteria'!$N$10,3,IF('Additional Measures'!F15='Minimum Criteria'!$N$11,4,IF('Additional Measures'!F15='Minimum Criteria'!$N$12,5,IF('Additional Measures'!F15='Minimum Criteria'!$N$13,6,6))))))</f>
        <v>6</v>
      </c>
      <c r="AA15" s="247">
        <f>IF('Additional Measures'!G12='Minimum Criteria'!$U$8,1,IF('Additional Measures'!G15='Minimum Criteria'!$U$9,2,IF('Additional Measures'!G15='Minimum Criteria'!$U$10,3,IF('Additional Measures'!G15='Minimum Criteria'!$U$11,4,IF('Additional Measures'!G15='Minimum Criteria'!$U$12,5,IF('Additional Measures'!G15='Minimum Criteria'!$U$13,6,6))))))</f>
        <v>6</v>
      </c>
      <c r="AB15" s="247" t="str">
        <f t="shared" si="5"/>
        <v>Medium</v>
      </c>
      <c r="AC15" s="257"/>
      <c r="AD15" s="257"/>
      <c r="AE15" s="257"/>
      <c r="AF15" s="187"/>
      <c r="AG15" s="187"/>
      <c r="AH15" s="187"/>
      <c r="AI15" s="187"/>
    </row>
    <row r="16" spans="1:35" ht="54.95" customHeight="1" x14ac:dyDescent="0.25">
      <c r="A16" s="69">
        <v>11</v>
      </c>
      <c r="B16" s="57" t="s">
        <v>66</v>
      </c>
      <c r="C16" s="100" t="s">
        <v>76</v>
      </c>
      <c r="D16" s="101" t="s">
        <v>300</v>
      </c>
      <c r="E16" s="101"/>
      <c r="F16" s="99" t="s">
        <v>58</v>
      </c>
      <c r="G16" s="99" t="s">
        <v>42</v>
      </c>
      <c r="H16" s="50" t="str">
        <f t="shared" si="6"/>
        <v>Very Low</v>
      </c>
      <c r="I16" s="49" t="str">
        <f t="shared" si="0"/>
        <v>Accepted</v>
      </c>
      <c r="J16" s="410" t="str">
        <f t="shared" si="1"/>
        <v/>
      </c>
      <c r="K16" s="411"/>
      <c r="W16" s="247">
        <f t="shared" si="2"/>
        <v>6</v>
      </c>
      <c r="X16" s="247">
        <f t="shared" si="3"/>
        <v>1</v>
      </c>
      <c r="Y16" s="247" t="str">
        <f t="shared" si="4"/>
        <v>Very Low</v>
      </c>
      <c r="Z16" s="247">
        <f>IF('Additional Measures'!F13='Minimum Criteria'!$N$8,1,IF('Additional Measures'!F16='Minimum Criteria'!$N$9,2,IF('Additional Measures'!F16='Minimum Criteria'!$N$10,3,IF('Additional Measures'!F16='Minimum Criteria'!$N$11,4,IF('Additional Measures'!F16='Minimum Criteria'!$N$12,5,IF('Additional Measures'!F16='Minimum Criteria'!$N$13,6,6))))))</f>
        <v>6</v>
      </c>
      <c r="AA16" s="247">
        <f>IF('Additional Measures'!G13='Minimum Criteria'!$U$8,1,IF('Additional Measures'!G16='Minimum Criteria'!$U$9,2,IF('Additional Measures'!G16='Minimum Criteria'!$U$10,3,IF('Additional Measures'!G16='Minimum Criteria'!$U$11,4,IF('Additional Measures'!G16='Minimum Criteria'!$U$12,5,IF('Additional Measures'!G16='Minimum Criteria'!$U$13,6,6))))))</f>
        <v>6</v>
      </c>
      <c r="AB16" s="247" t="str">
        <f t="shared" si="5"/>
        <v>Medium</v>
      </c>
    </row>
    <row r="17" spans="1:28" ht="54.95" customHeight="1" x14ac:dyDescent="0.25">
      <c r="A17" s="69">
        <v>12</v>
      </c>
      <c r="B17" s="37" t="s">
        <v>67</v>
      </c>
      <c r="C17" s="97" t="s">
        <v>76</v>
      </c>
      <c r="D17" s="98" t="s">
        <v>301</v>
      </c>
      <c r="E17" s="98"/>
      <c r="F17" s="99" t="s">
        <v>58</v>
      </c>
      <c r="G17" s="99" t="s">
        <v>42</v>
      </c>
      <c r="H17" s="50" t="str">
        <f t="shared" si="6"/>
        <v>Very Low</v>
      </c>
      <c r="I17" s="49" t="str">
        <f t="shared" si="0"/>
        <v>Accepted</v>
      </c>
      <c r="J17" s="410" t="str">
        <f t="shared" si="1"/>
        <v/>
      </c>
      <c r="K17" s="411"/>
      <c r="W17" s="247">
        <f t="shared" si="2"/>
        <v>6</v>
      </c>
      <c r="X17" s="247">
        <f t="shared" si="3"/>
        <v>1</v>
      </c>
      <c r="Y17" s="247" t="str">
        <f t="shared" si="4"/>
        <v>Very Low</v>
      </c>
      <c r="Z17" s="247">
        <f>IF('Additional Measures'!F14='Minimum Criteria'!$N$8,1,IF('Additional Measures'!F17='Minimum Criteria'!$N$9,2,IF('Additional Measures'!F17='Minimum Criteria'!$N$10,3,IF('Additional Measures'!F17='Minimum Criteria'!$N$11,4,IF('Additional Measures'!F17='Minimum Criteria'!$N$12,5,IF('Additional Measures'!F17='Minimum Criteria'!$N$13,6,6))))))</f>
        <v>6</v>
      </c>
      <c r="AA17" s="247">
        <f>IF('Additional Measures'!G14='Minimum Criteria'!$U$8,1,IF('Additional Measures'!G17='Minimum Criteria'!$U$9,2,IF('Additional Measures'!G17='Minimum Criteria'!$U$10,3,IF('Additional Measures'!G17='Minimum Criteria'!$U$11,4,IF('Additional Measures'!G17='Minimum Criteria'!$U$12,5,IF('Additional Measures'!G17='Minimum Criteria'!$U$13,6,6))))))</f>
        <v>6</v>
      </c>
      <c r="AB17" s="247" t="str">
        <f t="shared" si="5"/>
        <v>Medium</v>
      </c>
    </row>
    <row r="18" spans="1:28" ht="54.95" customHeight="1" x14ac:dyDescent="0.25">
      <c r="A18" s="69">
        <v>13</v>
      </c>
      <c r="B18" s="38" t="s">
        <v>69</v>
      </c>
      <c r="C18" s="100" t="s">
        <v>77</v>
      </c>
      <c r="D18" s="101" t="s">
        <v>68</v>
      </c>
      <c r="E18" s="101"/>
      <c r="F18" s="99" t="s">
        <v>58</v>
      </c>
      <c r="G18" s="99" t="s">
        <v>42</v>
      </c>
      <c r="H18" s="50" t="str">
        <f t="shared" si="6"/>
        <v>Very Low</v>
      </c>
      <c r="I18" s="49" t="str">
        <f t="shared" si="0"/>
        <v>Accepted</v>
      </c>
      <c r="J18" s="410" t="str">
        <f t="shared" si="1"/>
        <v/>
      </c>
      <c r="K18" s="411"/>
      <c r="W18" s="247">
        <f t="shared" si="2"/>
        <v>6</v>
      </c>
      <c r="X18" s="247">
        <f t="shared" si="3"/>
        <v>1</v>
      </c>
      <c r="Y18" s="247" t="str">
        <f t="shared" si="4"/>
        <v>Very Low</v>
      </c>
      <c r="Z18" s="247">
        <f>IF('Additional Measures'!F15='Minimum Criteria'!$N$8,1,IF('Additional Measures'!F18='Minimum Criteria'!$N$9,2,IF('Additional Measures'!F18='Minimum Criteria'!$N$10,3,IF('Additional Measures'!F18='Minimum Criteria'!$N$11,4,IF('Additional Measures'!F18='Minimum Criteria'!$N$12,5,IF('Additional Measures'!F18='Minimum Criteria'!$N$13,6,6))))))</f>
        <v>6</v>
      </c>
      <c r="AA18" s="247">
        <f>IF('Additional Measures'!G15='Minimum Criteria'!$U$8,1,IF('Additional Measures'!G18='Minimum Criteria'!$U$9,2,IF('Additional Measures'!G18='Minimum Criteria'!$U$10,3,IF('Additional Measures'!G18='Minimum Criteria'!$U$11,4,IF('Additional Measures'!G18='Minimum Criteria'!$U$12,5,IF('Additional Measures'!G18='Minimum Criteria'!$U$13,6,6))))))</f>
        <v>6</v>
      </c>
      <c r="AB18" s="247" t="str">
        <f t="shared" si="5"/>
        <v>Medium</v>
      </c>
    </row>
    <row r="19" spans="1:28" ht="54.95" customHeight="1" x14ac:dyDescent="0.25">
      <c r="A19" s="69">
        <v>14</v>
      </c>
      <c r="B19" s="37" t="s">
        <v>70</v>
      </c>
      <c r="C19" s="97" t="s">
        <v>78</v>
      </c>
      <c r="D19" s="98" t="s">
        <v>302</v>
      </c>
      <c r="E19" s="98"/>
      <c r="F19" s="99" t="s">
        <v>58</v>
      </c>
      <c r="G19" s="99" t="s">
        <v>42</v>
      </c>
      <c r="H19" s="50" t="str">
        <f t="shared" si="6"/>
        <v>Very Low</v>
      </c>
      <c r="I19" s="49" t="str">
        <f t="shared" si="0"/>
        <v>Accepted</v>
      </c>
      <c r="J19" s="410" t="str">
        <f t="shared" si="1"/>
        <v/>
      </c>
      <c r="K19" s="411"/>
      <c r="W19" s="247">
        <f t="shared" si="2"/>
        <v>6</v>
      </c>
      <c r="X19" s="247">
        <f t="shared" si="3"/>
        <v>1</v>
      </c>
      <c r="Y19" s="247" t="str">
        <f t="shared" si="4"/>
        <v>Very Low</v>
      </c>
      <c r="Z19" s="247">
        <f>IF('Additional Measures'!F16='Minimum Criteria'!$N$8,1,IF('Additional Measures'!F19='Minimum Criteria'!$N$9,2,IF('Additional Measures'!F19='Minimum Criteria'!$N$10,3,IF('Additional Measures'!F19='Minimum Criteria'!$N$11,4,IF('Additional Measures'!F19='Minimum Criteria'!$N$12,5,IF('Additional Measures'!F19='Minimum Criteria'!$N$13,6,6))))))</f>
        <v>6</v>
      </c>
      <c r="AA19" s="247">
        <f>IF('Additional Measures'!G16='Minimum Criteria'!$U$8,1,IF('Additional Measures'!G19='Minimum Criteria'!$U$9,2,IF('Additional Measures'!G19='Minimum Criteria'!$U$10,3,IF('Additional Measures'!G19='Minimum Criteria'!$U$11,4,IF('Additional Measures'!G19='Minimum Criteria'!$U$12,5,IF('Additional Measures'!G19='Minimum Criteria'!$U$13,6,6))))))</f>
        <v>6</v>
      </c>
      <c r="AB19" s="247" t="str">
        <f t="shared" si="5"/>
        <v>Medium</v>
      </c>
    </row>
    <row r="20" spans="1:28" ht="54.95" customHeight="1" x14ac:dyDescent="0.25">
      <c r="A20" s="69">
        <v>15</v>
      </c>
      <c r="B20" s="38" t="s">
        <v>71</v>
      </c>
      <c r="C20" s="100" t="s">
        <v>79</v>
      </c>
      <c r="D20" s="101" t="s">
        <v>303</v>
      </c>
      <c r="E20" s="101"/>
      <c r="F20" s="99" t="s">
        <v>58</v>
      </c>
      <c r="G20" s="99" t="s">
        <v>42</v>
      </c>
      <c r="H20" s="50" t="str">
        <f t="shared" si="6"/>
        <v>Very Low</v>
      </c>
      <c r="I20" s="49" t="str">
        <f t="shared" si="0"/>
        <v>Accepted</v>
      </c>
      <c r="J20" s="410" t="str">
        <f t="shared" si="1"/>
        <v/>
      </c>
      <c r="K20" s="411"/>
      <c r="W20" s="247">
        <f t="shared" si="2"/>
        <v>6</v>
      </c>
      <c r="X20" s="247">
        <f t="shared" si="3"/>
        <v>1</v>
      </c>
      <c r="Y20" s="247" t="str">
        <f t="shared" si="4"/>
        <v>Very Low</v>
      </c>
      <c r="Z20" s="247">
        <f>IF('Additional Measures'!F17='Minimum Criteria'!$N$8,1,IF('Additional Measures'!F20='Minimum Criteria'!$N$9,2,IF('Additional Measures'!F20='Minimum Criteria'!$N$10,3,IF('Additional Measures'!F20='Minimum Criteria'!$N$11,4,IF('Additional Measures'!F20='Minimum Criteria'!$N$12,5,IF('Additional Measures'!F20='Minimum Criteria'!$N$13,6,6))))))</f>
        <v>6</v>
      </c>
      <c r="AA20" s="247">
        <f>IF('Additional Measures'!G17='Minimum Criteria'!$U$8,1,IF('Additional Measures'!G20='Minimum Criteria'!$U$9,2,IF('Additional Measures'!G20='Minimum Criteria'!$U$10,3,IF('Additional Measures'!G20='Minimum Criteria'!$U$11,4,IF('Additional Measures'!G20='Minimum Criteria'!$U$12,5,IF('Additional Measures'!G20='Minimum Criteria'!$U$13,6,6))))))</f>
        <v>6</v>
      </c>
      <c r="AB20" s="247" t="str">
        <f t="shared" si="5"/>
        <v>Medium</v>
      </c>
    </row>
    <row r="21" spans="1:28" ht="54.95" customHeight="1" x14ac:dyDescent="0.25">
      <c r="A21" s="69">
        <v>16</v>
      </c>
      <c r="B21" s="37" t="s">
        <v>72</v>
      </c>
      <c r="C21" s="97" t="s">
        <v>80</v>
      </c>
      <c r="D21" s="98" t="s">
        <v>285</v>
      </c>
      <c r="E21" s="98"/>
      <c r="F21" s="99" t="s">
        <v>58</v>
      </c>
      <c r="G21" s="99" t="s">
        <v>42</v>
      </c>
      <c r="H21" s="50" t="str">
        <f t="shared" si="6"/>
        <v>Very Low</v>
      </c>
      <c r="I21" s="49" t="str">
        <f t="shared" si="0"/>
        <v>Accepted</v>
      </c>
      <c r="J21" s="410" t="str">
        <f t="shared" si="1"/>
        <v/>
      </c>
      <c r="K21" s="411"/>
      <c r="W21" s="247">
        <f t="shared" si="2"/>
        <v>6</v>
      </c>
      <c r="X21" s="247">
        <f t="shared" si="3"/>
        <v>1</v>
      </c>
      <c r="Y21" s="247" t="str">
        <f t="shared" si="4"/>
        <v>Very Low</v>
      </c>
      <c r="Z21" s="247">
        <f>IF('Additional Measures'!F18='Minimum Criteria'!$N$8,1,IF('Additional Measures'!F21='Minimum Criteria'!$N$9,2,IF('Additional Measures'!F21='Minimum Criteria'!$N$10,3,IF('Additional Measures'!F21='Minimum Criteria'!$N$11,4,IF('Additional Measures'!F21='Minimum Criteria'!$N$12,5,IF('Additional Measures'!F21='Minimum Criteria'!$N$13,6,6))))))</f>
        <v>6</v>
      </c>
      <c r="AA21" s="247">
        <f>IF('Additional Measures'!G18='Minimum Criteria'!$U$8,1,IF('Additional Measures'!G21='Minimum Criteria'!$U$9,2,IF('Additional Measures'!G21='Minimum Criteria'!$U$10,3,IF('Additional Measures'!G21='Minimum Criteria'!$U$11,4,IF('Additional Measures'!G21='Minimum Criteria'!$U$12,5,IF('Additional Measures'!G21='Minimum Criteria'!$U$13,6,6))))))</f>
        <v>6</v>
      </c>
      <c r="AB21" s="247" t="str">
        <f t="shared" si="5"/>
        <v>Medium</v>
      </c>
    </row>
    <row r="22" spans="1:28" ht="54.95" customHeight="1" thickBot="1" x14ac:dyDescent="0.3">
      <c r="A22" s="71">
        <v>17</v>
      </c>
      <c r="B22" s="72" t="s">
        <v>32</v>
      </c>
      <c r="C22" s="102"/>
      <c r="D22" s="102" t="s">
        <v>304</v>
      </c>
      <c r="E22" s="102"/>
      <c r="F22" s="99" t="s">
        <v>58</v>
      </c>
      <c r="G22" s="99" t="s">
        <v>42</v>
      </c>
      <c r="H22" s="73" t="str">
        <f t="shared" si="6"/>
        <v>Very Low</v>
      </c>
      <c r="I22" s="74" t="str">
        <f t="shared" si="0"/>
        <v>Accepted</v>
      </c>
      <c r="J22" s="428" t="str">
        <f t="shared" si="1"/>
        <v/>
      </c>
      <c r="K22" s="429"/>
      <c r="W22" s="247">
        <f t="shared" si="2"/>
        <v>6</v>
      </c>
      <c r="X22" s="247">
        <f t="shared" si="3"/>
        <v>1</v>
      </c>
      <c r="Y22" s="247" t="str">
        <f t="shared" si="4"/>
        <v>Very Low</v>
      </c>
      <c r="Z22" s="247">
        <f>IF('Additional Measures'!F19='Minimum Criteria'!$N$8,1,IF('Additional Measures'!F22='Minimum Criteria'!$N$9,2,IF('Additional Measures'!F22='Minimum Criteria'!$N$10,3,IF('Additional Measures'!F22='Minimum Criteria'!$N$11,4,IF('Additional Measures'!F22='Minimum Criteria'!$N$12,5,IF('Additional Measures'!F22='Minimum Criteria'!$N$13,6,6))))))</f>
        <v>6</v>
      </c>
      <c r="AA22" s="247">
        <f>IF('Additional Measures'!G19='Minimum Criteria'!$U$8,1,IF('Additional Measures'!G22='Minimum Criteria'!$U$9,2,IF('Additional Measures'!G22='Minimum Criteria'!$U$10,3,IF('Additional Measures'!G22='Minimum Criteria'!$U$11,4,IF('Additional Measures'!G22='Minimum Criteria'!$U$12,5,IF('Additional Measures'!G22='Minimum Criteria'!$U$13,6,6))))))</f>
        <v>6</v>
      </c>
      <c r="AB22" s="247" t="str">
        <f t="shared" si="5"/>
        <v>Medium</v>
      </c>
    </row>
    <row r="23" spans="1:28" ht="54.95" customHeight="1" x14ac:dyDescent="0.25">
      <c r="D23" s="43"/>
      <c r="E23" s="43"/>
      <c r="F23" s="52"/>
      <c r="G23" s="52"/>
      <c r="H23" s="53"/>
      <c r="I23" s="52"/>
      <c r="J23" s="52"/>
      <c r="K23" s="52"/>
    </row>
    <row r="24" spans="1:28" ht="54.95" customHeight="1" x14ac:dyDescent="0.25">
      <c r="A24" s="258"/>
      <c r="B24" s="259" t="str">
        <f>IF('MD-GM-Business Development'!$D$9="Yes","New Build Only","")</f>
        <v>New Build Only</v>
      </c>
      <c r="C24" s="260"/>
      <c r="D24" s="261"/>
      <c r="E24" s="261"/>
      <c r="F24" s="262"/>
      <c r="G24" s="262"/>
      <c r="H24" s="263"/>
      <c r="I24" s="262"/>
      <c r="J24" s="262"/>
      <c r="K24" s="262"/>
    </row>
    <row r="25" spans="1:28" ht="54.95" customHeight="1" x14ac:dyDescent="0.25">
      <c r="A25" s="264" t="s">
        <v>35</v>
      </c>
      <c r="B25" s="264" t="s">
        <v>36</v>
      </c>
      <c r="C25" s="265" t="s">
        <v>37</v>
      </c>
      <c r="D25" s="265" t="s">
        <v>38</v>
      </c>
      <c r="E25" s="265" t="s">
        <v>39</v>
      </c>
      <c r="F25" s="266" t="s">
        <v>40</v>
      </c>
      <c r="G25" s="267" t="s">
        <v>41</v>
      </c>
      <c r="H25" s="267" t="s">
        <v>59</v>
      </c>
      <c r="I25" s="267" t="s">
        <v>228</v>
      </c>
      <c r="J25" s="394" t="s">
        <v>229</v>
      </c>
      <c r="K25" s="394"/>
    </row>
    <row r="26" spans="1:28" ht="76.5" customHeight="1" x14ac:dyDescent="0.25">
      <c r="A26" s="268">
        <v>1</v>
      </c>
      <c r="B26" s="260" t="str">
        <f>IF('MD-GM-Business Development'!$D$9="Yes","A firm commitment within the contractual agreement, that a Green Passport is NOT included. (Mandatory for new builds as of December 2018)","")</f>
        <v>A firm commitment within the contractual agreement, that a Green Passport is NOT included. (Mandatory for new builds as of December 2018)</v>
      </c>
      <c r="C26" s="269"/>
      <c r="D26" s="270" t="s">
        <v>286</v>
      </c>
      <c r="E26" s="270"/>
      <c r="F26" s="271" t="s">
        <v>58</v>
      </c>
      <c r="G26" s="271" t="s">
        <v>42</v>
      </c>
      <c r="H26" s="263" t="str">
        <f>Y26</f>
        <v>Very Low</v>
      </c>
      <c r="I26" s="267" t="str">
        <f t="shared" ref="I26:I27" si="7">IF(H26="Medium","Not accepted",IF(H26="Significant","Not accepted",IF(H26="High","Not Accepted",IF(H26="Very High","Not Accepted","Accepted"))))</f>
        <v>Accepted</v>
      </c>
      <c r="J26" s="393" t="str">
        <f t="shared" si="1"/>
        <v/>
      </c>
      <c r="K26" s="393"/>
      <c r="W26" s="247">
        <f t="shared" si="2"/>
        <v>6</v>
      </c>
      <c r="X26" s="247">
        <f t="shared" si="3"/>
        <v>1</v>
      </c>
      <c r="Y26" s="247" t="str">
        <f t="shared" si="4"/>
        <v>Very Low</v>
      </c>
      <c r="Z26" s="247">
        <f>IF('Additional Measures'!F23='Minimum Criteria'!$N$8,1,IF('Additional Measures'!F26='Minimum Criteria'!$N$9,2,IF('Additional Measures'!F26='Minimum Criteria'!$N$10,3,IF('Additional Measures'!F26='Minimum Criteria'!$N$11,4,IF('Additional Measures'!F26='Minimum Criteria'!$N$12,5,IF('Additional Measures'!F26='Minimum Criteria'!$N$13,6,6))))))</f>
        <v>6</v>
      </c>
      <c r="AA26" s="247">
        <f>IF('Additional Measures'!G23='Minimum Criteria'!$U$8,1,IF('Additional Measures'!G26='Minimum Criteria'!$U$9,2,IF('Additional Measures'!G26='Minimum Criteria'!$U$10,3,IF('Additional Measures'!G26='Minimum Criteria'!$U$11,4,IF('Additional Measures'!G26='Minimum Criteria'!$U$12,5,IF('Additional Measures'!G26='Minimum Criteria'!$U$13,6,6))))))</f>
        <v>6</v>
      </c>
      <c r="AB26" s="247" t="str">
        <f t="shared" si="5"/>
        <v>Medium</v>
      </c>
    </row>
    <row r="27" spans="1:28" ht="54.95" customHeight="1" x14ac:dyDescent="0.25">
      <c r="A27" s="268">
        <v>2</v>
      </c>
      <c r="B27" s="260" t="str">
        <f>IF('MD-GM-Business Development'!$D$9="Yes","NO complete Inventory is included in the new build agreement"",""")</f>
        <v>NO complete Inventory is included in the new build agreement","</v>
      </c>
      <c r="C27" s="269"/>
      <c r="D27" s="270" t="s">
        <v>287</v>
      </c>
      <c r="E27" s="270"/>
      <c r="F27" s="271" t="s">
        <v>58</v>
      </c>
      <c r="G27" s="271" t="s">
        <v>42</v>
      </c>
      <c r="H27" s="263" t="str">
        <f>Y27</f>
        <v>Very Low</v>
      </c>
      <c r="I27" s="267" t="str">
        <f t="shared" si="7"/>
        <v>Accepted</v>
      </c>
      <c r="J27" s="393" t="str">
        <f t="shared" si="1"/>
        <v/>
      </c>
      <c r="K27" s="393"/>
      <c r="W27" s="247">
        <f t="shared" si="2"/>
        <v>6</v>
      </c>
      <c r="X27" s="247">
        <f t="shared" si="3"/>
        <v>1</v>
      </c>
      <c r="Y27" s="247" t="str">
        <f t="shared" si="4"/>
        <v>Very Low</v>
      </c>
      <c r="Z27" s="247">
        <f>IF('Additional Measures'!F24='Minimum Criteria'!$N$8,1,IF('Additional Measures'!F27='Minimum Criteria'!$N$9,2,IF('Additional Measures'!F27='Minimum Criteria'!$N$10,3,IF('Additional Measures'!F27='Minimum Criteria'!$N$11,4,IF('Additional Measures'!F27='Minimum Criteria'!$N$12,5,IF('Additional Measures'!F27='Minimum Criteria'!$N$13,6,6))))))</f>
        <v>6</v>
      </c>
      <c r="AA27" s="247">
        <f>IF('Additional Measures'!G24='Minimum Criteria'!$U$8,1,IF('Additional Measures'!G27='Minimum Criteria'!$U$9,2,IF('Additional Measures'!G27='Minimum Criteria'!$U$10,3,IF('Additional Measures'!G27='Minimum Criteria'!$U$11,4,IF('Additional Measures'!G27='Minimum Criteria'!$U$12,5,IF('Additional Measures'!G27='Minimum Criteria'!$U$13,6,6))))))</f>
        <v>6</v>
      </c>
      <c r="AB27" s="247" t="str">
        <f t="shared" si="5"/>
        <v>Medium</v>
      </c>
    </row>
    <row r="28" spans="1:28" ht="66.75" customHeight="1" x14ac:dyDescent="0.25">
      <c r="A28" s="268">
        <v>3</v>
      </c>
      <c r="B28" s="260" t="str">
        <f>IF('MD-GM-Business Development'!$D$9="Yes","There is NO  robust guarantee claim process in place to ensure that defects are dealt with in a timely manner to meet Oil major requirements","")</f>
        <v>There is NO  robust guarantee claim process in place to ensure that defects are dealt with in a timely manner to meet Oil major requirements</v>
      </c>
      <c r="C28" s="269"/>
      <c r="D28" s="270" t="s">
        <v>288</v>
      </c>
      <c r="E28" s="270"/>
      <c r="F28" s="271" t="s">
        <v>58</v>
      </c>
      <c r="G28" s="271" t="s">
        <v>42</v>
      </c>
      <c r="H28" s="263" t="str">
        <f>Y28</f>
        <v>Very Low</v>
      </c>
      <c r="I28" s="267" t="str">
        <f t="shared" ref="I28" si="8">IF(H28="Medium","Not accepted",IF(H28="Significant","Not accepted",IF(H28="High","Not Accepted",IF(H28="Very High","Not Accepted","Accepted"))))</f>
        <v>Accepted</v>
      </c>
      <c r="J28" s="393" t="str">
        <f t="shared" ref="J28" si="9">IF(I28="Not accepted", "Additional Measures required", "")</f>
        <v/>
      </c>
      <c r="K28" s="393"/>
      <c r="W28" s="247">
        <f t="shared" ref="W28" si="10">IF(F28=$N$8,1,IF(F28=$N$9,2,IF(F28=$N$10,3,IF(F28=$N$11,4,IF(F28=$N$12,5,IF(F28=$N$13,6))))))</f>
        <v>6</v>
      </c>
      <c r="X28" s="247">
        <f t="shared" ref="X28" si="11">IF(G28=$U$8,1,IF(G28=$U$9,2,IF(G28=$U$10,3,IF(G28=$U$11,4,IF(G28=$U$12,5,IF(G28=$U$13,6))))))</f>
        <v>1</v>
      </c>
      <c r="Y28" s="247" t="str">
        <f t="shared" ref="Y28" si="12">VLOOKUP(W28,$M$8:$T$13,(X28+2))</f>
        <v>Very Low</v>
      </c>
      <c r="Z28" s="247">
        <f>IF('Additional Measures'!F25='Minimum Criteria'!$N$8,1,IF('Additional Measures'!F28='Minimum Criteria'!$N$9,2,IF('Additional Measures'!F28='Minimum Criteria'!$N$10,3,IF('Additional Measures'!F28='Minimum Criteria'!$N$11,4,IF('Additional Measures'!F28='Minimum Criteria'!$N$12,5,IF('Additional Measures'!F28='Minimum Criteria'!$N$13,6,6))))))</f>
        <v>6</v>
      </c>
      <c r="AA28" s="247">
        <f>IF('Additional Measures'!G25='Minimum Criteria'!$U$8,1,IF('Additional Measures'!G28='Minimum Criteria'!$U$9,2,IF('Additional Measures'!G28='Minimum Criteria'!$U$10,3,IF('Additional Measures'!G28='Minimum Criteria'!$U$11,4,IF('Additional Measures'!G28='Minimum Criteria'!$U$12,5,IF('Additional Measures'!G28='Minimum Criteria'!$U$13,6,6))))))</f>
        <v>6</v>
      </c>
      <c r="AB28" s="247" t="str">
        <f t="shared" ref="AB28" si="13">VLOOKUP(Z28,$M$8:$T$13,(AA28+2))</f>
        <v>Medium</v>
      </c>
    </row>
  </sheetData>
  <sheetProtection algorithmName="SHA-512" hashValue="x8vx7/HtjCZpYizACBxsftmvzPRFTkhWLaDIv5ISGSHUY4pHkdbJV0mAIDvMHkcvyizc8jCWZdhaVzPH15ElEQ==" saltValue="XNqmQJd4a0tpETpgg28PLg==" spinCount="100000" sheet="1" selectLockedCells="1"/>
  <mergeCells count="34">
    <mergeCell ref="J17:K17"/>
    <mergeCell ref="J18:K18"/>
    <mergeCell ref="J12:K12"/>
    <mergeCell ref="J13:K13"/>
    <mergeCell ref="J14:K14"/>
    <mergeCell ref="J15:K15"/>
    <mergeCell ref="J16:K16"/>
    <mergeCell ref="J26:K26"/>
    <mergeCell ref="J27:K27"/>
    <mergeCell ref="J19:K19"/>
    <mergeCell ref="J20:K20"/>
    <mergeCell ref="J21:K21"/>
    <mergeCell ref="J22:K22"/>
    <mergeCell ref="O6:O7"/>
    <mergeCell ref="P6:P7"/>
    <mergeCell ref="A2:K2"/>
    <mergeCell ref="J8:K11"/>
    <mergeCell ref="J5:K5"/>
    <mergeCell ref="J28:K28"/>
    <mergeCell ref="J25:K25"/>
    <mergeCell ref="T6:T7"/>
    <mergeCell ref="C8:C11"/>
    <mergeCell ref="D8:D11"/>
    <mergeCell ref="E8:E11"/>
    <mergeCell ref="F8:F11"/>
    <mergeCell ref="G8:G11"/>
    <mergeCell ref="H8:H11"/>
    <mergeCell ref="I8:I11"/>
    <mergeCell ref="Q6:Q7"/>
    <mergeCell ref="J6:K6"/>
    <mergeCell ref="J7:K7"/>
    <mergeCell ref="R6:R7"/>
    <mergeCell ref="S6:S7"/>
    <mergeCell ref="N5:N7"/>
  </mergeCells>
  <conditionalFormatting sqref="I6">
    <cfRule type="cellIs" dxfId="42" priority="3" operator="equal">
      <formula>"Not accepted"</formula>
    </cfRule>
  </conditionalFormatting>
  <conditionalFormatting sqref="I7:I22">
    <cfRule type="cellIs" dxfId="41" priority="2" operator="equal">
      <formula>"Not Accepted"</formula>
    </cfRule>
  </conditionalFormatting>
  <conditionalFormatting sqref="I26:I28">
    <cfRule type="cellIs" dxfId="40" priority="1" operator="equal">
      <formula>"Not Accepted"</formula>
    </cfRule>
  </conditionalFormatting>
  <dataValidations count="2">
    <dataValidation type="list" allowBlank="1" showInputMessage="1" showErrorMessage="1" sqref="F26:F28 F6:F8 F12:F22">
      <formula1>$N$8:$N$13</formula1>
    </dataValidation>
    <dataValidation type="list" allowBlank="1" showInputMessage="1" showErrorMessage="1" sqref="G26:G28 G6:G22">
      <formula1>$U$8:$U$13</formula1>
    </dataValidation>
  </dataValidations>
  <pageMargins left="0.70866141732283472" right="0.70866141732283472" top="0.74803149606299213" bottom="0.74803149606299213" header="0.31496062992125984" footer="0.31496062992125984"/>
  <pageSetup paperSize="9" scale="37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1"/>
  <sheetViews>
    <sheetView showGridLines="0" workbookViewId="0">
      <selection activeCell="K10" sqref="K10"/>
    </sheetView>
  </sheetViews>
  <sheetFormatPr defaultRowHeight="15" x14ac:dyDescent="0.25"/>
  <cols>
    <col min="1" max="1" width="44.140625" customWidth="1"/>
    <col min="2" max="2" width="10" style="24" bestFit="1" customWidth="1"/>
    <col min="3" max="3" width="51.42578125" customWidth="1"/>
    <col min="4" max="4" width="14.7109375" customWidth="1"/>
    <col min="5" max="5" width="14.140625" customWidth="1"/>
    <col min="9" max="9" width="17.5703125" customWidth="1"/>
  </cols>
  <sheetData>
    <row r="1" spans="1:23" ht="15.75" thickBot="1" x14ac:dyDescent="0.3">
      <c r="A1" s="76"/>
    </row>
    <row r="2" spans="1:23" ht="15.75" thickBot="1" x14ac:dyDescent="0.3">
      <c r="A2" s="417" t="s">
        <v>309</v>
      </c>
      <c r="B2" s="418"/>
      <c r="C2" s="418"/>
      <c r="D2" s="418"/>
      <c r="E2" s="418"/>
      <c r="F2" s="418"/>
      <c r="G2" s="418"/>
      <c r="H2" s="418"/>
      <c r="I2" s="418"/>
      <c r="J2" s="418"/>
      <c r="K2" s="419"/>
    </row>
    <row r="4" spans="1:23" ht="15.75" thickBot="1" x14ac:dyDescent="0.3"/>
    <row r="5" spans="1:23" ht="24" thickBot="1" x14ac:dyDescent="0.3">
      <c r="A5" s="41"/>
      <c r="B5" s="58" t="s">
        <v>270</v>
      </c>
      <c r="C5" s="42" t="s">
        <v>82</v>
      </c>
      <c r="D5" s="42" t="s">
        <v>83</v>
      </c>
      <c r="E5" s="42" t="s">
        <v>84</v>
      </c>
      <c r="F5" s="51" t="s">
        <v>85</v>
      </c>
      <c r="G5" s="51" t="s">
        <v>86</v>
      </c>
      <c r="H5" s="51" t="s">
        <v>59</v>
      </c>
      <c r="I5" s="51" t="s">
        <v>227</v>
      </c>
    </row>
    <row r="6" spans="1:23" ht="40.5" customHeight="1" x14ac:dyDescent="0.25">
      <c r="A6" s="31" t="str">
        <f>IF(B6="Accepted","",'Minimum Criteria'!B6)</f>
        <v/>
      </c>
      <c r="B6" s="32" t="str">
        <f>'Minimum Criteria'!I6</f>
        <v>Accepted</v>
      </c>
      <c r="C6" s="104"/>
      <c r="D6" s="105"/>
      <c r="E6" s="105"/>
      <c r="F6" s="99"/>
      <c r="G6" s="99"/>
      <c r="H6" s="50" t="str">
        <f>IF(B6="Accepted","",'Minimum Criteria'!AB6)</f>
        <v/>
      </c>
      <c r="I6" s="181" t="str">
        <f t="shared" ref="I6:I8" si="0">IF(B6="Accepted","",IF(H6="Medium","Not accepted",IF(H6="Significant","Not accepted",IF(H6="High","Not Accepted",IF(H6="Very High","Not Accepted","Accepted")))))</f>
        <v/>
      </c>
      <c r="W6" s="23"/>
    </row>
    <row r="7" spans="1:23" ht="45" customHeight="1" x14ac:dyDescent="0.25">
      <c r="A7" s="33" t="str">
        <f>IF(B7="Accepted","",'Minimum Criteria'!B7)</f>
        <v/>
      </c>
      <c r="B7" s="28" t="str">
        <f>'Minimum Criteria'!I7</f>
        <v>Accepted</v>
      </c>
      <c r="C7" s="106"/>
      <c r="D7" s="107"/>
      <c r="E7" s="107"/>
      <c r="F7" s="99"/>
      <c r="G7" s="99"/>
      <c r="H7" s="50" t="str">
        <f>IF(B7="Accepted","",'Minimum Criteria'!AB7)</f>
        <v/>
      </c>
      <c r="I7" s="181" t="str">
        <f t="shared" si="0"/>
        <v/>
      </c>
    </row>
    <row r="8" spans="1:23" ht="45" customHeight="1" x14ac:dyDescent="0.25">
      <c r="A8" s="33" t="str">
        <f>IF(B8="Accepted","",'Minimum Criteria'!B8)</f>
        <v/>
      </c>
      <c r="B8" s="28" t="str">
        <f>'Minimum Criteria'!I8</f>
        <v>Accepted</v>
      </c>
      <c r="C8" s="106"/>
      <c r="D8" s="107"/>
      <c r="E8" s="107"/>
      <c r="F8" s="99"/>
      <c r="G8" s="99"/>
      <c r="H8" s="50" t="str">
        <f>IF(B8="Accepted","",'Minimum Criteria'!AB8)</f>
        <v/>
      </c>
      <c r="I8" s="181" t="str">
        <f t="shared" si="0"/>
        <v/>
      </c>
    </row>
    <row r="9" spans="1:23" ht="45" customHeight="1" x14ac:dyDescent="0.25">
      <c r="A9" s="33" t="str">
        <f>IF(B9="Accepted","",'Minimum Criteria'!B12)</f>
        <v/>
      </c>
      <c r="B9" s="28" t="str">
        <f>'Minimum Criteria'!I12</f>
        <v>Accepted</v>
      </c>
      <c r="C9" s="106"/>
      <c r="D9" s="107"/>
      <c r="E9" s="107"/>
      <c r="F9" s="99"/>
      <c r="G9" s="99"/>
      <c r="H9" s="50" t="str">
        <f>IF(B9="Accepted","",'Minimum Criteria'!AB12)</f>
        <v/>
      </c>
      <c r="I9" s="181" t="str">
        <f t="shared" ref="I9:I24" si="1">IF(B9="Accepted","",IF(H9="Medium","Not accepted",IF(H9="Significant","Not accepted",IF(H9="High","Not Accepted",IF(H9="Very High","Not Accepted","Accepted")))))</f>
        <v/>
      </c>
    </row>
    <row r="10" spans="1:23" ht="45" customHeight="1" x14ac:dyDescent="0.25">
      <c r="A10" s="33" t="str">
        <f>IF(B10="Accepted","",'Minimum Criteria'!B13)</f>
        <v/>
      </c>
      <c r="B10" s="28" t="str">
        <f>'Minimum Criteria'!I13</f>
        <v>Accepted</v>
      </c>
      <c r="C10" s="106"/>
      <c r="D10" s="107"/>
      <c r="E10" s="107"/>
      <c r="F10" s="99"/>
      <c r="G10" s="99"/>
      <c r="H10" s="50" t="str">
        <f>IF(B10="Accepted","",'Minimum Criteria'!AB13)</f>
        <v/>
      </c>
      <c r="I10" s="181" t="str">
        <f t="shared" si="1"/>
        <v/>
      </c>
    </row>
    <row r="11" spans="1:23" ht="45" customHeight="1" x14ac:dyDescent="0.25">
      <c r="A11" s="33" t="str">
        <f>IF(B11="Accepted","",'Minimum Criteria'!B14)</f>
        <v/>
      </c>
      <c r="B11" s="28" t="str">
        <f>'Minimum Criteria'!I14</f>
        <v>Accepted</v>
      </c>
      <c r="C11" s="106"/>
      <c r="D11" s="107"/>
      <c r="E11" s="107"/>
      <c r="F11" s="99"/>
      <c r="G11" s="99"/>
      <c r="H11" s="50" t="str">
        <f>IF(B11="Accepted","",'Minimum Criteria'!AB14)</f>
        <v/>
      </c>
      <c r="I11" s="181" t="str">
        <f t="shared" si="1"/>
        <v/>
      </c>
    </row>
    <row r="12" spans="1:23" ht="45" customHeight="1" x14ac:dyDescent="0.25">
      <c r="A12" s="33" t="str">
        <f>IF(B12="Accepted","",'Minimum Criteria'!B15)</f>
        <v/>
      </c>
      <c r="B12" s="28" t="str">
        <f>'Minimum Criteria'!I15</f>
        <v>Accepted</v>
      </c>
      <c r="C12" s="106"/>
      <c r="D12" s="107"/>
      <c r="E12" s="107"/>
      <c r="F12" s="99"/>
      <c r="G12" s="99"/>
      <c r="H12" s="50" t="str">
        <f>IF(B12="Accepted","",'Minimum Criteria'!AB15)</f>
        <v/>
      </c>
      <c r="I12" s="181" t="str">
        <f t="shared" si="1"/>
        <v/>
      </c>
    </row>
    <row r="13" spans="1:23" ht="45" customHeight="1" x14ac:dyDescent="0.25">
      <c r="A13" s="33" t="str">
        <f>IF(B13="Accepted","",'Minimum Criteria'!B16)</f>
        <v/>
      </c>
      <c r="B13" s="28" t="str">
        <f>'Minimum Criteria'!I16</f>
        <v>Accepted</v>
      </c>
      <c r="C13" s="106"/>
      <c r="D13" s="107"/>
      <c r="E13" s="107"/>
      <c r="F13" s="99"/>
      <c r="G13" s="99"/>
      <c r="H13" s="50" t="str">
        <f>IF(B13="Accepted","",'Minimum Criteria'!AB16)</f>
        <v/>
      </c>
      <c r="I13" s="181" t="str">
        <f t="shared" si="1"/>
        <v/>
      </c>
    </row>
    <row r="14" spans="1:23" ht="45" customHeight="1" x14ac:dyDescent="0.25">
      <c r="A14" s="33" t="str">
        <f>IF(B14="Accepted","",'Minimum Criteria'!B17)</f>
        <v/>
      </c>
      <c r="B14" s="28" t="str">
        <f>'Minimum Criteria'!I17</f>
        <v>Accepted</v>
      </c>
      <c r="C14" s="106"/>
      <c r="D14" s="107"/>
      <c r="E14" s="107"/>
      <c r="F14" s="99"/>
      <c r="G14" s="99"/>
      <c r="H14" s="50" t="str">
        <f>IF(B14="Accepted","",'Minimum Criteria'!AB17)</f>
        <v/>
      </c>
      <c r="I14" s="181" t="str">
        <f t="shared" si="1"/>
        <v/>
      </c>
    </row>
    <row r="15" spans="1:23" ht="45" customHeight="1" x14ac:dyDescent="0.25">
      <c r="A15" s="33" t="str">
        <f>IF(B15="Accepted","",'Minimum Criteria'!B18)</f>
        <v/>
      </c>
      <c r="B15" s="28" t="str">
        <f>'Minimum Criteria'!I18</f>
        <v>Accepted</v>
      </c>
      <c r="C15" s="106"/>
      <c r="D15" s="107"/>
      <c r="E15" s="107"/>
      <c r="F15" s="99"/>
      <c r="G15" s="99"/>
      <c r="H15" s="50" t="str">
        <f>IF(B15="Accepted","",'Minimum Criteria'!AB18)</f>
        <v/>
      </c>
      <c r="I15" s="181" t="str">
        <f t="shared" si="1"/>
        <v/>
      </c>
    </row>
    <row r="16" spans="1:23" ht="45" customHeight="1" x14ac:dyDescent="0.25">
      <c r="A16" s="33" t="str">
        <f>IF(B16="Accepted","",'Minimum Criteria'!B19)</f>
        <v/>
      </c>
      <c r="B16" s="28" t="str">
        <f>'Minimum Criteria'!I19</f>
        <v>Accepted</v>
      </c>
      <c r="C16" s="106"/>
      <c r="D16" s="107"/>
      <c r="E16" s="107"/>
      <c r="F16" s="99"/>
      <c r="G16" s="99"/>
      <c r="H16" s="50" t="str">
        <f>IF(B16="Accepted","",'Minimum Criteria'!AB19)</f>
        <v/>
      </c>
      <c r="I16" s="181" t="str">
        <f t="shared" si="1"/>
        <v/>
      </c>
    </row>
    <row r="17" spans="1:10" ht="45" customHeight="1" x14ac:dyDescent="0.25">
      <c r="A17" s="33" t="str">
        <f>IF(B17="Accepted","",'Minimum Criteria'!B20)</f>
        <v/>
      </c>
      <c r="B17" s="28" t="str">
        <f>'Minimum Criteria'!I20</f>
        <v>Accepted</v>
      </c>
      <c r="C17" s="106"/>
      <c r="D17" s="107"/>
      <c r="E17" s="107"/>
      <c r="F17" s="99"/>
      <c r="G17" s="99"/>
      <c r="H17" s="50" t="str">
        <f>IF(B17="Accepted","",'Minimum Criteria'!AB20)</f>
        <v/>
      </c>
      <c r="I17" s="181" t="str">
        <f t="shared" si="1"/>
        <v/>
      </c>
    </row>
    <row r="18" spans="1:10" ht="45" customHeight="1" x14ac:dyDescent="0.25">
      <c r="A18" s="33" t="str">
        <f>IF(B18="Accepted","",'Minimum Criteria'!B21)</f>
        <v/>
      </c>
      <c r="B18" s="28" t="str">
        <f>'Minimum Criteria'!I21</f>
        <v>Accepted</v>
      </c>
      <c r="C18" s="106"/>
      <c r="D18" s="107"/>
      <c r="E18" s="107"/>
      <c r="F18" s="99"/>
      <c r="G18" s="99"/>
      <c r="H18" s="50" t="str">
        <f>IF(B18="Accepted","",'Minimum Criteria'!AB21)</f>
        <v/>
      </c>
      <c r="I18" s="181" t="str">
        <f t="shared" si="1"/>
        <v/>
      </c>
    </row>
    <row r="19" spans="1:10" ht="45" customHeight="1" thickBot="1" x14ac:dyDescent="0.3">
      <c r="A19" s="34" t="str">
        <f>IF(B19="Accepted","",'Minimum Criteria'!B22)</f>
        <v/>
      </c>
      <c r="B19" s="35" t="str">
        <f>'Minimum Criteria'!I22</f>
        <v>Accepted</v>
      </c>
      <c r="C19" s="108"/>
      <c r="D19" s="109"/>
      <c r="E19" s="109"/>
      <c r="F19" s="103"/>
      <c r="G19" s="103"/>
      <c r="H19" s="73" t="str">
        <f>IF(B19="Accepted","",'Minimum Criteria'!AB22)</f>
        <v/>
      </c>
      <c r="I19" s="182" t="str">
        <f t="shared" si="1"/>
        <v/>
      </c>
    </row>
    <row r="20" spans="1:10" x14ac:dyDescent="0.25">
      <c r="B20"/>
    </row>
    <row r="21" spans="1:10" x14ac:dyDescent="0.25">
      <c r="A21" s="268" t="str">
        <f>'Minimum Criteria'!B24</f>
        <v>New Build Only</v>
      </c>
      <c r="B21" s="258"/>
      <c r="C21" s="258"/>
      <c r="D21" s="258"/>
      <c r="E21" s="258"/>
      <c r="F21" s="258"/>
      <c r="G21" s="258"/>
      <c r="H21" s="258"/>
      <c r="I21" s="258"/>
    </row>
    <row r="22" spans="1:10" x14ac:dyDescent="0.25">
      <c r="A22" s="258"/>
      <c r="B22" s="258"/>
      <c r="C22" s="258"/>
      <c r="D22" s="258"/>
      <c r="E22" s="258"/>
      <c r="F22" s="258"/>
      <c r="G22" s="258"/>
      <c r="H22" s="258"/>
      <c r="I22" s="258"/>
    </row>
    <row r="23" spans="1:10" ht="45" customHeight="1" x14ac:dyDescent="0.25">
      <c r="A23" s="265" t="str">
        <f>IF(B23="Accepted","",'Minimum Criteria'!B26)</f>
        <v/>
      </c>
      <c r="B23" s="277" t="str">
        <f>'Minimum Criteria'!I26</f>
        <v>Accepted</v>
      </c>
      <c r="C23" s="278"/>
      <c r="D23" s="278"/>
      <c r="E23" s="278"/>
      <c r="F23" s="271"/>
      <c r="G23" s="271"/>
      <c r="H23" s="263" t="str">
        <f>IF(B23="Accepted","",'Minimum Criteria'!AB26)</f>
        <v/>
      </c>
      <c r="I23" s="267" t="str">
        <f t="shared" si="1"/>
        <v/>
      </c>
    </row>
    <row r="24" spans="1:10" ht="45" customHeight="1" x14ac:dyDescent="0.25">
      <c r="A24" s="265" t="str">
        <f>IF(B24="Accepted","",'Minimum Criteria'!B27)</f>
        <v/>
      </c>
      <c r="B24" s="277" t="str">
        <f>'Minimum Criteria'!I27</f>
        <v>Accepted</v>
      </c>
      <c r="C24" s="278"/>
      <c r="D24" s="278"/>
      <c r="E24" s="278"/>
      <c r="F24" s="271"/>
      <c r="G24" s="271"/>
      <c r="H24" s="263" t="str">
        <f>IF(B24="Accepted","",'Minimum Criteria'!AB27)</f>
        <v/>
      </c>
      <c r="I24" s="267" t="str">
        <f t="shared" si="1"/>
        <v/>
      </c>
    </row>
    <row r="25" spans="1:10" ht="54" customHeight="1" x14ac:dyDescent="0.25">
      <c r="A25" s="265" t="str">
        <f>IF(B25="Accepted","",'Minimum Criteria'!B28)</f>
        <v/>
      </c>
      <c r="B25" s="277" t="str">
        <f>'Minimum Criteria'!I28</f>
        <v>Accepted</v>
      </c>
      <c r="C25" s="278"/>
      <c r="D25" s="278"/>
      <c r="E25" s="278"/>
      <c r="F25" s="271"/>
      <c r="G25" s="271"/>
      <c r="H25" s="263" t="str">
        <f>IF(B25="Accepted","",'Minimum Criteria'!AB28)</f>
        <v/>
      </c>
      <c r="I25" s="267" t="str">
        <f t="shared" ref="I25" si="2">IF(B25="Accepted","",IF(H25="Medium","Not accepted",IF(H25="Significant","Not accepted",IF(H25="High","Not Accepted",IF(H25="Very High","Not Accepted","Accepted")))))</f>
        <v/>
      </c>
    </row>
    <row r="26" spans="1:10" x14ac:dyDescent="0.25">
      <c r="A26" s="26"/>
    </row>
    <row r="27" spans="1:10" x14ac:dyDescent="0.25">
      <c r="A27" s="26"/>
      <c r="B27" s="188">
        <f>COUNTIF(B6:B25,"Not accepted")</f>
        <v>0</v>
      </c>
      <c r="C27" s="27"/>
      <c r="D27" s="27"/>
      <c r="E27" s="27"/>
      <c r="F27" s="430"/>
      <c r="G27" s="430"/>
      <c r="H27" s="430"/>
      <c r="I27" s="27">
        <f>COUNTIF(I6:I25,"Not accepted")</f>
        <v>0</v>
      </c>
      <c r="J27" s="27"/>
    </row>
    <row r="28" spans="1:10" x14ac:dyDescent="0.25">
      <c r="B28" s="188"/>
      <c r="C28" s="27"/>
      <c r="D28" s="27"/>
      <c r="E28" s="27"/>
      <c r="F28" s="430"/>
      <c r="G28" s="430"/>
      <c r="H28" s="430"/>
      <c r="I28" s="27"/>
      <c r="J28" s="27"/>
    </row>
    <row r="29" spans="1:10" x14ac:dyDescent="0.25">
      <c r="B29" s="188"/>
      <c r="C29" s="27"/>
      <c r="D29" s="27"/>
      <c r="E29" s="27"/>
      <c r="F29" s="27"/>
      <c r="G29" s="27"/>
      <c r="H29" s="27"/>
      <c r="I29" s="27">
        <f>SUM(I27+B27)</f>
        <v>0</v>
      </c>
      <c r="J29" s="27"/>
    </row>
    <row r="30" spans="1:10" x14ac:dyDescent="0.25">
      <c r="B30" s="188"/>
      <c r="C30" s="27"/>
      <c r="D30" s="27"/>
      <c r="E30" s="27"/>
      <c r="F30" s="27"/>
      <c r="G30" s="27"/>
      <c r="H30" s="27"/>
      <c r="I30" s="27" t="str">
        <f>IF(I29&gt;0,"Not Met","Met")</f>
        <v>Met</v>
      </c>
      <c r="J30" s="27"/>
    </row>
    <row r="31" spans="1:10" x14ac:dyDescent="0.25">
      <c r="B31" s="188"/>
      <c r="C31" s="27"/>
      <c r="D31" s="27"/>
      <c r="E31" s="27"/>
      <c r="F31" s="27"/>
      <c r="G31" s="27"/>
      <c r="H31" s="27"/>
      <c r="I31" s="27"/>
      <c r="J31" s="27"/>
    </row>
  </sheetData>
  <sheetProtection algorithmName="SHA-512" hashValue="ZoXzWbw+8ZyahpqiwS5UpwaMWBlmIBVr0Q+gY82xRxe6mLG/WqjoN6G4nonYg/UXGaMaI4Ioze6yTmrVFG6iAw==" saltValue="C/La4KeUOhABGxLzerkT5Q==" spinCount="100000" sheet="1" objects="1" scenarios="1"/>
  <mergeCells count="3">
    <mergeCell ref="F27:H27"/>
    <mergeCell ref="F28:H28"/>
    <mergeCell ref="A2:K2"/>
  </mergeCells>
  <conditionalFormatting sqref="B6:B19">
    <cfRule type="cellIs" dxfId="39" priority="2" operator="equal">
      <formula>"Accepted"</formula>
    </cfRule>
  </conditionalFormatting>
  <conditionalFormatting sqref="I6:I19 I23:I25">
    <cfRule type="cellIs" dxfId="38" priority="1" operator="equal">
      <formula>"Not Accepted"</formula>
    </cfRule>
  </conditionalFormatting>
  <pageMargins left="0.70866141732283472" right="0.70866141732283472" top="0.74803149606299213" bottom="0.74803149606299213" header="0.31496062992125984" footer="0.31496062992125984"/>
  <pageSetup paperSize="9" scale="48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'Minimum Criteria'!$N$8:$N$13</xm:f>
          </x14:formula1>
          <xm:sqref>F23:F25 F6:F19</xm:sqref>
        </x14:dataValidation>
        <x14:dataValidation type="list" allowBlank="1" showInputMessage="1" showErrorMessage="1">
          <x14:formula1>
            <xm:f>'Minimum Criteria'!$U$8:$U$13</xm:f>
          </x14:formula1>
          <xm:sqref>G23:G25 G6:G19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2"/>
  <sheetViews>
    <sheetView workbookViewId="0">
      <selection activeCell="A13" sqref="A13"/>
    </sheetView>
  </sheetViews>
  <sheetFormatPr defaultRowHeight="15" x14ac:dyDescent="0.25"/>
  <cols>
    <col min="1" max="1" width="51" style="1" customWidth="1"/>
    <col min="2" max="2" width="49.85546875" style="1" customWidth="1"/>
    <col min="3" max="4" width="9.140625" style="1"/>
    <col min="5" max="5" width="56.7109375" style="1" customWidth="1"/>
    <col min="6" max="8" width="9.140625" style="170"/>
    <col min="9" max="9" width="54.28515625" style="170" customWidth="1"/>
    <col min="10" max="10" width="9.140625" style="183"/>
    <col min="11" max="19" width="9.140625" style="170"/>
    <col min="20" max="30" width="9.140625" style="164"/>
    <col min="31" max="16384" width="9.140625" style="1"/>
  </cols>
  <sheetData>
    <row r="1" spans="1:11" x14ac:dyDescent="0.25">
      <c r="A1" s="383" t="s">
        <v>9</v>
      </c>
      <c r="B1" s="383"/>
      <c r="C1" s="383"/>
      <c r="D1" s="383"/>
      <c r="E1" s="383"/>
    </row>
    <row r="2" spans="1:11" ht="15.75" thickBot="1" x14ac:dyDescent="0.3">
      <c r="I2" s="170" t="s">
        <v>310</v>
      </c>
      <c r="J2" s="183" t="str">
        <f>IF($B$6=I2,K2,"0")</f>
        <v>0</v>
      </c>
      <c r="K2" s="170">
        <v>1</v>
      </c>
    </row>
    <row r="3" spans="1:11" x14ac:dyDescent="0.25">
      <c r="A3" s="431" t="s">
        <v>9</v>
      </c>
      <c r="B3" s="437" t="s">
        <v>10</v>
      </c>
      <c r="C3" s="448" t="s">
        <v>137</v>
      </c>
      <c r="D3" s="449"/>
      <c r="E3" s="450"/>
      <c r="I3" s="170" t="s">
        <v>311</v>
      </c>
      <c r="J3" s="183" t="str">
        <f>IF($B$6=I3,K3,"0")</f>
        <v>0</v>
      </c>
      <c r="K3" s="170">
        <v>2</v>
      </c>
    </row>
    <row r="4" spans="1:11" x14ac:dyDescent="0.25">
      <c r="A4" s="432"/>
      <c r="B4" s="438"/>
      <c r="C4" s="451"/>
      <c r="D4" s="452"/>
      <c r="E4" s="453"/>
      <c r="I4" s="170" t="s">
        <v>312</v>
      </c>
      <c r="J4" s="183" t="str">
        <f t="shared" ref="J4:J7" si="0">IF($B$6=I4,K4,"0")</f>
        <v>0</v>
      </c>
      <c r="K4" s="170">
        <v>3</v>
      </c>
    </row>
    <row r="5" spans="1:11" ht="36.75" customHeight="1" thickBot="1" x14ac:dyDescent="0.3">
      <c r="A5" s="433"/>
      <c r="B5" s="439"/>
      <c r="C5" s="454"/>
      <c r="D5" s="455"/>
      <c r="E5" s="456"/>
      <c r="I5" s="170" t="s">
        <v>115</v>
      </c>
      <c r="J5" s="183" t="str">
        <f t="shared" si="0"/>
        <v>0</v>
      </c>
      <c r="K5" s="170">
        <v>4</v>
      </c>
    </row>
    <row r="6" spans="1:11" ht="50.1" customHeight="1" x14ac:dyDescent="0.25">
      <c r="A6" s="212" t="s">
        <v>11</v>
      </c>
      <c r="B6" s="110" t="s">
        <v>116</v>
      </c>
      <c r="C6" s="457"/>
      <c r="D6" s="458"/>
      <c r="E6" s="459"/>
      <c r="I6" s="170" t="s">
        <v>117</v>
      </c>
      <c r="J6" s="183" t="str">
        <f t="shared" si="0"/>
        <v>0</v>
      </c>
      <c r="K6" s="170">
        <v>5</v>
      </c>
    </row>
    <row r="7" spans="1:11" ht="50.1" customHeight="1" x14ac:dyDescent="0.25">
      <c r="A7" s="59" t="s">
        <v>12</v>
      </c>
      <c r="B7" s="111" t="s">
        <v>118</v>
      </c>
      <c r="C7" s="442"/>
      <c r="D7" s="443"/>
      <c r="E7" s="444"/>
      <c r="I7" s="170" t="s">
        <v>116</v>
      </c>
      <c r="J7" s="183">
        <f t="shared" si="0"/>
        <v>6</v>
      </c>
      <c r="K7" s="170">
        <v>6</v>
      </c>
    </row>
    <row r="8" spans="1:11" ht="50.1" customHeight="1" x14ac:dyDescent="0.25">
      <c r="A8" s="59" t="s">
        <v>13</v>
      </c>
      <c r="B8" s="111" t="s">
        <v>132</v>
      </c>
      <c r="C8" s="442"/>
      <c r="D8" s="443"/>
      <c r="E8" s="444"/>
      <c r="I8" s="170" t="s">
        <v>120</v>
      </c>
      <c r="J8" s="183" t="str">
        <f>IF($B$7=I8,K8,"0")</f>
        <v>0</v>
      </c>
      <c r="K8" s="170">
        <v>1</v>
      </c>
    </row>
    <row r="9" spans="1:11" ht="50.1" customHeight="1" x14ac:dyDescent="0.25">
      <c r="A9" s="59" t="s">
        <v>14</v>
      </c>
      <c r="B9" s="111" t="s">
        <v>127</v>
      </c>
      <c r="C9" s="442"/>
      <c r="D9" s="443"/>
      <c r="E9" s="444"/>
      <c r="I9" s="170" t="s">
        <v>119</v>
      </c>
      <c r="J9" s="183" t="str">
        <f t="shared" ref="J9" si="1">IF($B$7=I9,K9,"0")</f>
        <v>0</v>
      </c>
      <c r="K9" s="170">
        <v>3</v>
      </c>
    </row>
    <row r="10" spans="1:11" ht="50.1" customHeight="1" thickBot="1" x14ac:dyDescent="0.3">
      <c r="A10" s="213" t="s">
        <v>15</v>
      </c>
      <c r="B10" s="214" t="s">
        <v>134</v>
      </c>
      <c r="C10" s="434"/>
      <c r="D10" s="435"/>
      <c r="E10" s="436"/>
      <c r="I10" s="170" t="s">
        <v>118</v>
      </c>
      <c r="J10" s="183">
        <f>IF($B$7=I10,K10,"0")</f>
        <v>6</v>
      </c>
      <c r="K10" s="170">
        <v>6</v>
      </c>
    </row>
    <row r="11" spans="1:11" ht="50.1" customHeight="1" thickBot="1" x14ac:dyDescent="0.3">
      <c r="A11" s="211" t="s">
        <v>16</v>
      </c>
      <c r="B11" s="460"/>
      <c r="C11" s="461"/>
      <c r="D11" s="461"/>
      <c r="E11" s="462"/>
      <c r="I11" s="170" t="s">
        <v>121</v>
      </c>
      <c r="J11" s="183" t="str">
        <f>IF($B$8=I11,K11,"0")</f>
        <v>0</v>
      </c>
      <c r="K11" s="170">
        <v>1</v>
      </c>
    </row>
    <row r="12" spans="1:11" ht="50.1" customHeight="1" x14ac:dyDescent="0.25">
      <c r="A12" s="279" t="s">
        <v>17</v>
      </c>
      <c r="B12" s="287"/>
      <c r="C12" s="445"/>
      <c r="D12" s="446"/>
      <c r="E12" s="447"/>
      <c r="I12" s="170" t="s">
        <v>122</v>
      </c>
      <c r="J12" s="183" t="str">
        <f t="shared" ref="J12:J14" si="2">IF($B$8=I12,K12,"0")</f>
        <v>0</v>
      </c>
      <c r="K12" s="170">
        <v>2</v>
      </c>
    </row>
    <row r="13" spans="1:11" ht="50.1" customHeight="1" x14ac:dyDescent="0.25">
      <c r="A13" s="288"/>
      <c r="B13" s="112"/>
      <c r="C13" s="442"/>
      <c r="D13" s="443"/>
      <c r="E13" s="444"/>
      <c r="I13" s="170" t="s">
        <v>133</v>
      </c>
      <c r="J13" s="183" t="str">
        <f t="shared" si="2"/>
        <v>0</v>
      </c>
      <c r="K13" s="170">
        <v>3</v>
      </c>
    </row>
    <row r="14" spans="1:11" ht="50.1" customHeight="1" thickBot="1" x14ac:dyDescent="0.3">
      <c r="A14" s="289"/>
      <c r="B14" s="113"/>
      <c r="C14" s="434"/>
      <c r="D14" s="435"/>
      <c r="E14" s="436"/>
      <c r="I14" s="170" t="s">
        <v>132</v>
      </c>
      <c r="J14" s="183">
        <f t="shared" si="2"/>
        <v>6</v>
      </c>
      <c r="K14" s="170">
        <v>6</v>
      </c>
    </row>
    <row r="15" spans="1:11" ht="50.1" customHeight="1" thickBot="1" x14ac:dyDescent="0.3">
      <c r="A15" s="60" t="s">
        <v>136</v>
      </c>
      <c r="B15" s="61">
        <f>J28</f>
        <v>1</v>
      </c>
      <c r="C15" s="440" t="str">
        <f>IF(B15&lt;50%, "Approved", "Not Approved")</f>
        <v>Not Approved</v>
      </c>
      <c r="D15" s="440"/>
      <c r="E15" s="441"/>
      <c r="I15" s="170" t="s">
        <v>290</v>
      </c>
      <c r="J15" s="183" t="str">
        <f>IF($B$9=I15,K15,"0")</f>
        <v>0</v>
      </c>
      <c r="K15" s="170">
        <v>1</v>
      </c>
    </row>
    <row r="16" spans="1:11" x14ac:dyDescent="0.25">
      <c r="I16" s="170" t="s">
        <v>123</v>
      </c>
      <c r="J16" s="183" t="str">
        <f t="shared" ref="J16:J20" si="3">IF($B$9=I16,K16,"0")</f>
        <v>0</v>
      </c>
      <c r="K16" s="170">
        <v>2</v>
      </c>
    </row>
    <row r="17" spans="4:11" x14ac:dyDescent="0.25">
      <c r="I17" s="170" t="s">
        <v>124</v>
      </c>
      <c r="J17" s="183" t="str">
        <f t="shared" si="3"/>
        <v>0</v>
      </c>
      <c r="K17" s="170">
        <v>3</v>
      </c>
    </row>
    <row r="18" spans="4:11" x14ac:dyDescent="0.25">
      <c r="I18" s="170" t="s">
        <v>125</v>
      </c>
      <c r="J18" s="183" t="str">
        <f t="shared" si="3"/>
        <v>0</v>
      </c>
      <c r="K18" s="170">
        <v>4</v>
      </c>
    </row>
    <row r="19" spans="4:11" x14ac:dyDescent="0.25">
      <c r="I19" s="170" t="s">
        <v>126</v>
      </c>
      <c r="J19" s="183" t="str">
        <f t="shared" si="3"/>
        <v>0</v>
      </c>
      <c r="K19" s="170">
        <v>5</v>
      </c>
    </row>
    <row r="20" spans="4:11" x14ac:dyDescent="0.25">
      <c r="I20" s="170" t="s">
        <v>127</v>
      </c>
      <c r="J20" s="183">
        <f t="shared" si="3"/>
        <v>6</v>
      </c>
      <c r="K20" s="170">
        <v>6</v>
      </c>
    </row>
    <row r="21" spans="4:11" x14ac:dyDescent="0.25">
      <c r="I21" s="170" t="s">
        <v>128</v>
      </c>
      <c r="J21" s="183" t="str">
        <f>IF($B$10=I21,K21,"0")</f>
        <v>0</v>
      </c>
      <c r="K21" s="170">
        <v>1</v>
      </c>
    </row>
    <row r="22" spans="4:11" x14ac:dyDescent="0.25">
      <c r="I22" s="170" t="s">
        <v>129</v>
      </c>
      <c r="J22" s="183" t="str">
        <f t="shared" ref="J22:J25" si="4">IF($B$10=I22,K22,"0")</f>
        <v>0</v>
      </c>
      <c r="K22" s="170">
        <v>2</v>
      </c>
    </row>
    <row r="23" spans="4:11" x14ac:dyDescent="0.25">
      <c r="I23" s="170" t="s">
        <v>130</v>
      </c>
      <c r="J23" s="183" t="str">
        <f t="shared" si="4"/>
        <v>0</v>
      </c>
      <c r="K23" s="170">
        <v>3</v>
      </c>
    </row>
    <row r="24" spans="4:11" x14ac:dyDescent="0.25">
      <c r="I24" s="170" t="s">
        <v>131</v>
      </c>
      <c r="J24" s="183" t="str">
        <f t="shared" si="4"/>
        <v>0</v>
      </c>
      <c r="K24" s="170">
        <v>4</v>
      </c>
    </row>
    <row r="25" spans="4:11" x14ac:dyDescent="0.25">
      <c r="I25" s="170" t="s">
        <v>134</v>
      </c>
      <c r="J25" s="183">
        <f t="shared" si="4"/>
        <v>6</v>
      </c>
      <c r="K25" s="170">
        <v>6</v>
      </c>
    </row>
    <row r="26" spans="4:11" x14ac:dyDescent="0.25">
      <c r="D26" s="170"/>
    </row>
    <row r="27" spans="4:11" x14ac:dyDescent="0.25">
      <c r="J27" s="183">
        <f>SUM(J2:J25)</f>
        <v>30</v>
      </c>
    </row>
    <row r="28" spans="4:11" x14ac:dyDescent="0.25">
      <c r="I28" s="170" t="s">
        <v>135</v>
      </c>
      <c r="J28" s="184">
        <f>J27/30</f>
        <v>1</v>
      </c>
    </row>
    <row r="31" spans="4:11" x14ac:dyDescent="0.25">
      <c r="I31" s="170">
        <f>IF(B6="",1,0)</f>
        <v>0</v>
      </c>
    </row>
    <row r="32" spans="4:11" x14ac:dyDescent="0.25">
      <c r="I32" s="170">
        <f t="shared" ref="I32:I35" si="5">IF(B7="",1,0)</f>
        <v>0</v>
      </c>
    </row>
    <row r="33" spans="1:9" x14ac:dyDescent="0.25">
      <c r="I33" s="170">
        <f t="shared" si="5"/>
        <v>0</v>
      </c>
    </row>
    <row r="34" spans="1:9" x14ac:dyDescent="0.25">
      <c r="I34" s="170">
        <f t="shared" si="5"/>
        <v>0</v>
      </c>
    </row>
    <row r="35" spans="1:9" x14ac:dyDescent="0.25">
      <c r="I35" s="170">
        <f t="shared" si="5"/>
        <v>0</v>
      </c>
    </row>
    <row r="37" spans="1:9" x14ac:dyDescent="0.25">
      <c r="I37" s="170">
        <f>SUM(I31:I35)</f>
        <v>0</v>
      </c>
    </row>
    <row r="40" spans="1:9" ht="15.75" thickBot="1" x14ac:dyDescent="0.3"/>
    <row r="41" spans="1:9" ht="15.75" thickBot="1" x14ac:dyDescent="0.3">
      <c r="A41" s="20" t="s">
        <v>18</v>
      </c>
      <c r="B41" s="21"/>
      <c r="C41" s="21"/>
      <c r="D41" s="21"/>
      <c r="E41" s="22"/>
    </row>
    <row r="42" spans="1:9" x14ac:dyDescent="0.25">
      <c r="A42" s="8" t="s">
        <v>19</v>
      </c>
      <c r="B42" s="114"/>
      <c r="C42" s="115"/>
      <c r="D42" s="115"/>
      <c r="E42" s="116"/>
    </row>
    <row r="43" spans="1:9" x14ac:dyDescent="0.25">
      <c r="A43" s="9" t="s">
        <v>20</v>
      </c>
      <c r="B43" s="117"/>
      <c r="C43" s="118"/>
      <c r="D43" s="118"/>
      <c r="E43" s="119"/>
    </row>
    <row r="44" spans="1:9" x14ac:dyDescent="0.25">
      <c r="A44" s="10" t="s">
        <v>21</v>
      </c>
      <c r="B44" s="120"/>
      <c r="C44" s="121"/>
      <c r="D44" s="121"/>
      <c r="E44" s="122"/>
    </row>
    <row r="45" spans="1:9" x14ac:dyDescent="0.25">
      <c r="A45" s="11" t="s">
        <v>22</v>
      </c>
      <c r="B45" s="18" t="s">
        <v>23</v>
      </c>
      <c r="C45" s="2"/>
      <c r="D45" s="2"/>
      <c r="E45" s="3"/>
    </row>
    <row r="46" spans="1:9" x14ac:dyDescent="0.25">
      <c r="A46" s="12"/>
      <c r="B46" s="19"/>
      <c r="C46" s="4"/>
      <c r="D46" s="4"/>
      <c r="E46" s="5"/>
    </row>
    <row r="47" spans="1:9" ht="27" thickBot="1" x14ac:dyDescent="0.3">
      <c r="A47" s="13"/>
      <c r="B47" s="17" t="s">
        <v>24</v>
      </c>
      <c r="C47" s="6"/>
      <c r="D47" s="6"/>
      <c r="E47" s="7"/>
    </row>
    <row r="48" spans="1:9" x14ac:dyDescent="0.25">
      <c r="A48" s="14" t="s">
        <v>25</v>
      </c>
      <c r="B48" s="123"/>
      <c r="C48" s="124"/>
      <c r="D48" s="124"/>
      <c r="E48" s="125"/>
    </row>
    <row r="49" spans="1:5" x14ac:dyDescent="0.25">
      <c r="A49" s="15" t="s">
        <v>25</v>
      </c>
      <c r="B49" s="126"/>
      <c r="C49" s="127"/>
      <c r="D49" s="127"/>
      <c r="E49" s="128"/>
    </row>
    <row r="50" spans="1:5" x14ac:dyDescent="0.25">
      <c r="A50" s="15" t="s">
        <v>25</v>
      </c>
      <c r="B50" s="126"/>
      <c r="C50" s="127"/>
      <c r="D50" s="127"/>
      <c r="E50" s="128"/>
    </row>
    <row r="51" spans="1:5" x14ac:dyDescent="0.25">
      <c r="A51" s="15" t="s">
        <v>25</v>
      </c>
      <c r="B51" s="126"/>
      <c r="C51" s="127"/>
      <c r="D51" s="127"/>
      <c r="E51" s="128"/>
    </row>
    <row r="52" spans="1:5" ht="15.75" thickBot="1" x14ac:dyDescent="0.3">
      <c r="A52" s="16" t="s">
        <v>25</v>
      </c>
      <c r="B52" s="129"/>
      <c r="C52" s="130"/>
      <c r="D52" s="130"/>
      <c r="E52" s="131"/>
    </row>
  </sheetData>
  <sheetProtection algorithmName="SHA-512" hashValue="aQQzxOVjBa3d692olMcgoOi8BXIIolELG6OtYHTwujJHWDOwbZmOZEvU31IDJcx1cqbjcMXZ3pEGcxWOnwA+bw==" saltValue="WOC131izsNzcsM2ukWEM3w==" spinCount="100000" sheet="1" objects="1" scenarios="1"/>
  <mergeCells count="14">
    <mergeCell ref="A1:E1"/>
    <mergeCell ref="A3:A5"/>
    <mergeCell ref="C14:E14"/>
    <mergeCell ref="B3:B5"/>
    <mergeCell ref="C15:E15"/>
    <mergeCell ref="C9:E9"/>
    <mergeCell ref="C10:E10"/>
    <mergeCell ref="C12:E12"/>
    <mergeCell ref="C13:E13"/>
    <mergeCell ref="C3:E5"/>
    <mergeCell ref="C6:E6"/>
    <mergeCell ref="C7:E7"/>
    <mergeCell ref="C8:E8"/>
    <mergeCell ref="B11:E11"/>
  </mergeCells>
  <conditionalFormatting sqref="C15:E15">
    <cfRule type="cellIs" dxfId="37" priority="1" operator="equal">
      <formula>"Approved"</formula>
    </cfRule>
  </conditionalFormatting>
  <dataValidations count="5">
    <dataValidation type="list" allowBlank="1" showInputMessage="1" showErrorMessage="1" sqref="B6">
      <formula1>$I$2:$I$7</formula1>
    </dataValidation>
    <dataValidation type="list" allowBlank="1" showInputMessage="1" showErrorMessage="1" sqref="B8">
      <formula1>$I$11:$I$14</formula1>
    </dataValidation>
    <dataValidation type="list" allowBlank="1" showInputMessage="1" showErrorMessage="1" sqref="B9">
      <formula1>$I$15:$I$20</formula1>
    </dataValidation>
    <dataValidation type="list" allowBlank="1" showInputMessage="1" showErrorMessage="1" sqref="B10">
      <formula1>$I$21:$I$25</formula1>
    </dataValidation>
    <dataValidation type="list" allowBlank="1" showInputMessage="1" showErrorMessage="1" sqref="B7">
      <formula1>$I$8:$I$10</formula1>
    </dataValidation>
  </dataValidations>
  <pageMargins left="0.70866141732283472" right="0.70866141732283472" top="0.74803149606299213" bottom="0.74803149606299213" header="0.31496062992125984" footer="0.31496062992125984"/>
  <pageSetup paperSize="9" scale="31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5"/>
  <sheetViews>
    <sheetView showGridLines="0" workbookViewId="0">
      <selection activeCell="B12" sqref="B12"/>
    </sheetView>
  </sheetViews>
  <sheetFormatPr defaultRowHeight="15" x14ac:dyDescent="0.25"/>
  <cols>
    <col min="1" max="1" width="9.140625" style="1" customWidth="1"/>
    <col min="2" max="2" width="29.85546875" style="1" bestFit="1" customWidth="1"/>
    <col min="3" max="3" width="42.28515625" style="1" customWidth="1"/>
    <col min="4" max="4" width="18.28515625" style="1" customWidth="1"/>
    <col min="5" max="5" width="9.140625" style="1"/>
    <col min="6" max="6" width="27.140625" style="1" customWidth="1"/>
    <col min="7" max="7" width="7.7109375" style="1" customWidth="1"/>
    <col min="8" max="8" width="21.42578125" style="1" customWidth="1"/>
    <col min="9" max="9" width="9.85546875" style="1" customWidth="1"/>
    <col min="10" max="10" width="11.42578125" style="1" customWidth="1"/>
    <col min="11" max="11" width="9.140625" style="164"/>
    <col min="12" max="12" width="17" style="164" bestFit="1" customWidth="1"/>
    <col min="13" max="13" width="21.42578125" style="164" bestFit="1" customWidth="1"/>
    <col min="14" max="25" width="9.140625" style="164"/>
    <col min="26" max="16384" width="9.140625" style="1"/>
  </cols>
  <sheetData>
    <row r="1" spans="2:11" x14ac:dyDescent="0.25">
      <c r="B1" s="383" t="s">
        <v>148</v>
      </c>
      <c r="C1" s="383"/>
      <c r="D1" s="383"/>
      <c r="E1" s="383"/>
      <c r="F1" s="383"/>
      <c r="G1" s="383"/>
      <c r="H1" s="383"/>
      <c r="I1" s="383"/>
      <c r="J1" s="383"/>
    </row>
    <row r="2" spans="2:11" ht="15.75" thickBot="1" x14ac:dyDescent="0.3"/>
    <row r="3" spans="2:11" x14ac:dyDescent="0.25">
      <c r="B3" s="473" t="s">
        <v>148</v>
      </c>
      <c r="C3" s="475" t="s">
        <v>10</v>
      </c>
      <c r="D3" s="477" t="s">
        <v>137</v>
      </c>
      <c r="E3" s="478"/>
      <c r="F3" s="479"/>
      <c r="H3" s="463" t="s">
        <v>106</v>
      </c>
      <c r="I3" s="463"/>
      <c r="J3" s="463"/>
    </row>
    <row r="4" spans="2:11" ht="15.75" thickBot="1" x14ac:dyDescent="0.3">
      <c r="B4" s="474"/>
      <c r="C4" s="476"/>
      <c r="D4" s="480"/>
      <c r="E4" s="481"/>
      <c r="F4" s="482"/>
      <c r="H4" s="132" t="s">
        <v>107</v>
      </c>
      <c r="I4" s="133"/>
      <c r="J4" s="133"/>
    </row>
    <row r="5" spans="2:11" ht="25.5" thickBot="1" x14ac:dyDescent="0.3">
      <c r="B5" s="474"/>
      <c r="C5" s="476"/>
      <c r="D5" s="480"/>
      <c r="E5" s="481"/>
      <c r="F5" s="482"/>
      <c r="H5" s="228" t="s">
        <v>108</v>
      </c>
      <c r="I5" s="229">
        <v>3</v>
      </c>
      <c r="J5" s="230"/>
    </row>
    <row r="6" spans="2:11" ht="24.75" x14ac:dyDescent="0.25">
      <c r="B6" s="215" t="s">
        <v>259</v>
      </c>
      <c r="C6" s="216" t="s">
        <v>150</v>
      </c>
      <c r="D6" s="458"/>
      <c r="E6" s="458"/>
      <c r="F6" s="459"/>
      <c r="H6" s="231" t="s">
        <v>109</v>
      </c>
      <c r="I6" s="194">
        <v>34</v>
      </c>
      <c r="J6" s="232"/>
    </row>
    <row r="7" spans="2:11" ht="36.75" x14ac:dyDescent="0.25">
      <c r="B7" s="158" t="s">
        <v>260</v>
      </c>
      <c r="C7" s="240" t="s">
        <v>154</v>
      </c>
      <c r="D7" s="443"/>
      <c r="E7" s="443"/>
      <c r="F7" s="444"/>
      <c r="H7" s="231" t="s">
        <v>110</v>
      </c>
      <c r="I7" s="194">
        <v>2</v>
      </c>
      <c r="J7" s="233" t="str">
        <f>IF(I7&gt;0,"Warning!","")</f>
        <v>Warning!</v>
      </c>
      <c r="K7" s="164">
        <f>IF(J7="",0,6)</f>
        <v>6</v>
      </c>
    </row>
    <row r="8" spans="2:11" ht="15.75" thickBot="1" x14ac:dyDescent="0.3">
      <c r="B8" s="217" t="s">
        <v>261</v>
      </c>
      <c r="C8" s="240" t="s">
        <v>157</v>
      </c>
      <c r="D8" s="443"/>
      <c r="E8" s="443"/>
      <c r="F8" s="444"/>
      <c r="H8" s="234" t="s">
        <v>111</v>
      </c>
      <c r="I8" s="235">
        <f>I6/I5</f>
        <v>11.333333333333334</v>
      </c>
      <c r="J8" s="236" t="str">
        <f>IF(I8&gt;2,"Warning!","")</f>
        <v>Warning!</v>
      </c>
      <c r="K8" s="164">
        <f>IF(J8="",0,6)</f>
        <v>6</v>
      </c>
    </row>
    <row r="9" spans="2:11" ht="24.75" thickBot="1" x14ac:dyDescent="0.3">
      <c r="B9" s="217" t="s">
        <v>262</v>
      </c>
      <c r="C9" s="240" t="s">
        <v>163</v>
      </c>
      <c r="D9" s="443"/>
      <c r="E9" s="443"/>
      <c r="F9" s="444"/>
      <c r="H9" s="133"/>
      <c r="I9" s="133"/>
      <c r="J9" s="133"/>
    </row>
    <row r="10" spans="2:11" ht="24.75" thickBot="1" x14ac:dyDescent="0.3">
      <c r="B10" s="218" t="s">
        <v>263</v>
      </c>
      <c r="C10" s="157" t="s">
        <v>165</v>
      </c>
      <c r="D10" s="435"/>
      <c r="E10" s="435"/>
      <c r="F10" s="436"/>
      <c r="H10" s="464" t="s">
        <v>112</v>
      </c>
      <c r="I10" s="465"/>
      <c r="J10" s="466"/>
    </row>
    <row r="11" spans="2:11" ht="39.75" customHeight="1" thickBot="1" x14ac:dyDescent="0.3">
      <c r="B11" s="219" t="s">
        <v>17</v>
      </c>
      <c r="C11" s="220"/>
      <c r="D11" s="471"/>
      <c r="E11" s="471"/>
      <c r="F11" s="472"/>
      <c r="H11" s="225" t="s">
        <v>27</v>
      </c>
      <c r="I11" s="226" t="s">
        <v>154</v>
      </c>
      <c r="J11" s="227" t="str">
        <f>IF(I11=L28,"Warning!","")</f>
        <v>Warning!</v>
      </c>
      <c r="K11" s="164">
        <f>IF(J11="",0,6)</f>
        <v>6</v>
      </c>
    </row>
    <row r="12" spans="2:11" ht="50.1" customHeight="1" x14ac:dyDescent="0.25">
      <c r="B12" s="223"/>
      <c r="C12" s="224"/>
      <c r="D12" s="467"/>
      <c r="E12" s="468"/>
      <c r="F12" s="469"/>
    </row>
    <row r="13" spans="2:11" ht="50.1" customHeight="1" x14ac:dyDescent="0.25">
      <c r="B13" s="155"/>
      <c r="C13" s="240"/>
      <c r="D13" s="443"/>
      <c r="E13" s="443"/>
      <c r="F13" s="444"/>
    </row>
    <row r="14" spans="2:11" ht="50.1" customHeight="1" thickBot="1" x14ac:dyDescent="0.3">
      <c r="B14" s="156"/>
      <c r="C14" s="157"/>
      <c r="D14" s="435"/>
      <c r="E14" s="435"/>
      <c r="F14" s="436"/>
    </row>
    <row r="15" spans="2:11" x14ac:dyDescent="0.25">
      <c r="B15" s="221" t="s">
        <v>136</v>
      </c>
      <c r="C15" s="222">
        <f>K44</f>
        <v>1</v>
      </c>
      <c r="D15" s="470" t="str">
        <f>IF(C15&lt;62%, "Approved", "Not Approved")</f>
        <v>Not Approved</v>
      </c>
      <c r="E15" s="470"/>
      <c r="F15" s="470"/>
    </row>
    <row r="18" spans="6:14" ht="15.75" thickBot="1" x14ac:dyDescent="0.3"/>
    <row r="19" spans="6:14" ht="15.75" thickBot="1" x14ac:dyDescent="0.3">
      <c r="F19" s="134" t="s">
        <v>99</v>
      </c>
    </row>
    <row r="20" spans="6:14" x14ac:dyDescent="0.25">
      <c r="F20" s="135" t="s">
        <v>100</v>
      </c>
      <c r="L20" s="164" t="s">
        <v>217</v>
      </c>
      <c r="M20" s="169">
        <f>K11</f>
        <v>6</v>
      </c>
    </row>
    <row r="21" spans="6:14" x14ac:dyDescent="0.25">
      <c r="F21" s="136" t="s">
        <v>101</v>
      </c>
      <c r="L21" s="164" t="s">
        <v>151</v>
      </c>
      <c r="M21" s="169">
        <f>K7</f>
        <v>6</v>
      </c>
      <c r="N21" s="164">
        <f>K7</f>
        <v>6</v>
      </c>
    </row>
    <row r="22" spans="6:14" x14ac:dyDescent="0.25">
      <c r="F22" s="136" t="s">
        <v>102</v>
      </c>
      <c r="L22" s="164" t="s">
        <v>152</v>
      </c>
      <c r="M22" s="169">
        <f>K8</f>
        <v>6</v>
      </c>
      <c r="N22" s="164">
        <f>K8</f>
        <v>6</v>
      </c>
    </row>
    <row r="23" spans="6:14" x14ac:dyDescent="0.25">
      <c r="F23" s="136" t="s">
        <v>103</v>
      </c>
      <c r="L23" s="164" t="s">
        <v>291</v>
      </c>
      <c r="M23" s="169" t="str">
        <f>IF($C$6=L23,N23,"0")</f>
        <v>0</v>
      </c>
      <c r="N23" s="164">
        <v>1</v>
      </c>
    </row>
    <row r="24" spans="6:14" x14ac:dyDescent="0.25">
      <c r="F24" s="137" t="s">
        <v>105</v>
      </c>
      <c r="L24" s="164" t="s">
        <v>149</v>
      </c>
      <c r="M24" s="169" t="str">
        <f t="shared" ref="M24:M25" si="0">IF($C$6=L24,N24,"0")</f>
        <v>0</v>
      </c>
      <c r="N24" s="164">
        <v>3</v>
      </c>
    </row>
    <row r="25" spans="6:14" x14ac:dyDescent="0.25">
      <c r="F25" s="138"/>
      <c r="L25" s="164" t="s">
        <v>150</v>
      </c>
      <c r="M25" s="169">
        <f t="shared" si="0"/>
        <v>6</v>
      </c>
      <c r="N25" s="164">
        <v>6</v>
      </c>
    </row>
    <row r="26" spans="6:14" ht="15.75" thickBot="1" x14ac:dyDescent="0.3">
      <c r="F26" s="139"/>
      <c r="L26" s="171" t="s">
        <v>292</v>
      </c>
      <c r="M26" s="169" t="str">
        <f>IF($C$7=L26,N26,"0")</f>
        <v>0</v>
      </c>
      <c r="N26" s="164">
        <v>1</v>
      </c>
    </row>
    <row r="27" spans="6:14" x14ac:dyDescent="0.25">
      <c r="L27" s="171" t="s">
        <v>153</v>
      </c>
      <c r="M27" s="169" t="str">
        <f t="shared" ref="M27:M28" si="1">IF($C$7=L27,N27,"0")</f>
        <v>0</v>
      </c>
      <c r="N27" s="164">
        <v>3</v>
      </c>
    </row>
    <row r="28" spans="6:14" x14ac:dyDescent="0.25">
      <c r="L28" s="171" t="s">
        <v>154</v>
      </c>
      <c r="M28" s="169">
        <f t="shared" si="1"/>
        <v>6</v>
      </c>
      <c r="N28" s="164">
        <v>6</v>
      </c>
    </row>
    <row r="29" spans="6:14" x14ac:dyDescent="0.25">
      <c r="L29" s="171" t="s">
        <v>155</v>
      </c>
      <c r="M29" s="169" t="str">
        <f>IF($C$8=L29,N29,"0")</f>
        <v>0</v>
      </c>
      <c r="N29" s="164">
        <v>1</v>
      </c>
    </row>
    <row r="30" spans="6:14" x14ac:dyDescent="0.25">
      <c r="L30" s="171" t="s">
        <v>156</v>
      </c>
      <c r="M30" s="169" t="str">
        <f t="shared" ref="M30:M32" si="2">IF($C$8=L30,N30,"0")</f>
        <v>0</v>
      </c>
      <c r="N30" s="164">
        <v>2</v>
      </c>
    </row>
    <row r="31" spans="6:14" x14ac:dyDescent="0.25">
      <c r="L31" s="171" t="s">
        <v>158</v>
      </c>
      <c r="M31" s="169" t="str">
        <f t="shared" si="2"/>
        <v>0</v>
      </c>
      <c r="N31" s="164">
        <v>4</v>
      </c>
    </row>
    <row r="32" spans="6:14" x14ac:dyDescent="0.25">
      <c r="L32" s="171" t="s">
        <v>157</v>
      </c>
      <c r="M32" s="169">
        <f t="shared" si="2"/>
        <v>6</v>
      </c>
      <c r="N32" s="164">
        <v>6</v>
      </c>
    </row>
    <row r="33" spans="2:14" x14ac:dyDescent="0.25">
      <c r="B33" s="30"/>
      <c r="L33" s="171" t="s">
        <v>164</v>
      </c>
      <c r="M33" s="169" t="str">
        <f>IF($C$9=L33,N33,"0")</f>
        <v>0</v>
      </c>
      <c r="N33" s="164">
        <v>1</v>
      </c>
    </row>
    <row r="34" spans="2:14" x14ac:dyDescent="0.25">
      <c r="B34" s="30"/>
      <c r="L34" s="164" t="s">
        <v>159</v>
      </c>
      <c r="M34" s="169" t="str">
        <f t="shared" ref="M34:M38" si="3">IF($C$9=L34,N34,"0")</f>
        <v>0</v>
      </c>
      <c r="N34" s="164">
        <v>2</v>
      </c>
    </row>
    <row r="35" spans="2:14" x14ac:dyDescent="0.25">
      <c r="B35" s="30"/>
      <c r="L35" s="164" t="s">
        <v>160</v>
      </c>
      <c r="M35" s="169" t="str">
        <f t="shared" si="3"/>
        <v>0</v>
      </c>
      <c r="N35" s="164">
        <v>3</v>
      </c>
    </row>
    <row r="36" spans="2:14" x14ac:dyDescent="0.25">
      <c r="B36" s="30"/>
      <c r="L36" s="164" t="s">
        <v>161</v>
      </c>
      <c r="M36" s="169" t="str">
        <f t="shared" si="3"/>
        <v>0</v>
      </c>
      <c r="N36" s="164">
        <v>4</v>
      </c>
    </row>
    <row r="37" spans="2:14" x14ac:dyDescent="0.25">
      <c r="L37" s="164" t="s">
        <v>162</v>
      </c>
      <c r="M37" s="169" t="str">
        <f t="shared" si="3"/>
        <v>0</v>
      </c>
      <c r="N37" s="164">
        <v>5</v>
      </c>
    </row>
    <row r="38" spans="2:14" x14ac:dyDescent="0.25">
      <c r="L38" s="164" t="s">
        <v>163</v>
      </c>
      <c r="M38" s="169">
        <f t="shared" si="3"/>
        <v>6</v>
      </c>
      <c r="N38" s="164">
        <v>6</v>
      </c>
    </row>
    <row r="39" spans="2:14" x14ac:dyDescent="0.25">
      <c r="L39" s="164" t="s">
        <v>293</v>
      </c>
      <c r="M39" s="169" t="str">
        <f>IF($C$10=L39,N39,"0")</f>
        <v>0</v>
      </c>
      <c r="N39" s="164">
        <v>1</v>
      </c>
    </row>
    <row r="40" spans="2:14" x14ac:dyDescent="0.25">
      <c r="L40" s="164" t="s">
        <v>165</v>
      </c>
      <c r="M40" s="169">
        <f>IF($C$10=L40,N40,"0")</f>
        <v>6</v>
      </c>
      <c r="N40" s="164">
        <v>6</v>
      </c>
    </row>
    <row r="41" spans="2:14" x14ac:dyDescent="0.25">
      <c r="C41" s="140"/>
      <c r="I41" s="164"/>
      <c r="J41" s="164"/>
    </row>
    <row r="42" spans="2:14" x14ac:dyDescent="0.25">
      <c r="B42" s="29"/>
      <c r="C42" s="140"/>
      <c r="I42" s="164"/>
      <c r="J42" s="164"/>
      <c r="M42" s="164">
        <f>SUM(M21:M40)+M20</f>
        <v>48</v>
      </c>
    </row>
    <row r="43" spans="2:14" x14ac:dyDescent="0.25">
      <c r="C43" s="140"/>
      <c r="I43" s="164"/>
      <c r="J43" s="164"/>
    </row>
    <row r="44" spans="2:14" x14ac:dyDescent="0.25">
      <c r="I44" s="164"/>
      <c r="J44" s="164" t="s">
        <v>216</v>
      </c>
      <c r="K44" s="168">
        <f>M42/48</f>
        <v>1</v>
      </c>
    </row>
    <row r="45" spans="2:14" x14ac:dyDescent="0.25">
      <c r="I45" s="164"/>
      <c r="J45" s="164"/>
    </row>
    <row r="46" spans="2:14" x14ac:dyDescent="0.25">
      <c r="J46" s="56"/>
      <c r="L46" s="164">
        <f>IF(I7="",1,0)</f>
        <v>0</v>
      </c>
    </row>
    <row r="47" spans="2:14" x14ac:dyDescent="0.25">
      <c r="L47" s="164">
        <f t="shared" ref="L47" si="4">IF(I8="",1,0)</f>
        <v>0</v>
      </c>
    </row>
    <row r="48" spans="2:14" x14ac:dyDescent="0.25">
      <c r="L48" s="164">
        <f>IF(I11="",1,0)</f>
        <v>0</v>
      </c>
    </row>
    <row r="49" spans="12:12" x14ac:dyDescent="0.25">
      <c r="L49" s="164">
        <f>IF(C6="",1,0)</f>
        <v>0</v>
      </c>
    </row>
    <row r="50" spans="12:12" x14ac:dyDescent="0.25">
      <c r="L50" s="164">
        <f t="shared" ref="L50:L53" si="5">IF(C7="",1,0)</f>
        <v>0</v>
      </c>
    </row>
    <row r="51" spans="12:12" x14ac:dyDescent="0.25">
      <c r="L51" s="164">
        <f t="shared" si="5"/>
        <v>0</v>
      </c>
    </row>
    <row r="52" spans="12:12" x14ac:dyDescent="0.25">
      <c r="L52" s="164">
        <f t="shared" si="5"/>
        <v>0</v>
      </c>
    </row>
    <row r="53" spans="12:12" x14ac:dyDescent="0.25">
      <c r="L53" s="164">
        <f t="shared" si="5"/>
        <v>0</v>
      </c>
    </row>
    <row r="55" spans="12:12" x14ac:dyDescent="0.25">
      <c r="L55" s="164">
        <f>SUM(L46:L53)</f>
        <v>0</v>
      </c>
    </row>
  </sheetData>
  <sheetProtection algorithmName="SHA-512" hashValue="zb2kycwHY5autj3hNdw0THJfBpPg6osbP1WM2xPnXBKu4tcnVVD23nsAcybAkoquoisceZELcj9ClYKek4ISDA==" saltValue="X6BYNby5avUBbhyjeOFZWA==" spinCount="100000" sheet="1" objects="1" scenarios="1"/>
  <mergeCells count="16">
    <mergeCell ref="B1:J1"/>
    <mergeCell ref="H3:J3"/>
    <mergeCell ref="H10:J10"/>
    <mergeCell ref="D12:F12"/>
    <mergeCell ref="D15:F15"/>
    <mergeCell ref="D9:F9"/>
    <mergeCell ref="D10:F10"/>
    <mergeCell ref="D11:F11"/>
    <mergeCell ref="D13:F13"/>
    <mergeCell ref="D14:F14"/>
    <mergeCell ref="D8:F8"/>
    <mergeCell ref="B3:B5"/>
    <mergeCell ref="C3:C5"/>
    <mergeCell ref="D3:F5"/>
    <mergeCell ref="D6:F6"/>
    <mergeCell ref="D7:F7"/>
  </mergeCells>
  <conditionalFormatting sqref="J7">
    <cfRule type="cellIs" dxfId="36" priority="7" operator="equal">
      <formula>"Warning!"</formula>
    </cfRule>
  </conditionalFormatting>
  <conditionalFormatting sqref="J8">
    <cfRule type="cellIs" dxfId="35" priority="6" operator="equal">
      <formula>"Warning!"</formula>
    </cfRule>
  </conditionalFormatting>
  <conditionalFormatting sqref="D15:F15">
    <cfRule type="cellIs" dxfId="34" priority="2" operator="equal">
      <formula>"Approved"</formula>
    </cfRule>
  </conditionalFormatting>
  <conditionalFormatting sqref="J11">
    <cfRule type="cellIs" dxfId="33" priority="1" operator="equal">
      <formula>"Warning!"</formula>
    </cfRule>
  </conditionalFormatting>
  <dataValidations count="5">
    <dataValidation type="list" allowBlank="1" showInputMessage="1" showErrorMessage="1" sqref="C6">
      <formula1>$L$23:$L$25</formula1>
    </dataValidation>
    <dataValidation type="list" allowBlank="1" showInputMessage="1" showErrorMessage="1" sqref="I11 C7">
      <formula1>$L$26:$L$28</formula1>
    </dataValidation>
    <dataValidation type="list" allowBlank="1" showInputMessage="1" showErrorMessage="1" sqref="C8">
      <formula1>$L$29:$L$32</formula1>
    </dataValidation>
    <dataValidation type="list" allowBlank="1" showInputMessage="1" showErrorMessage="1" sqref="C9">
      <formula1>$L$33:$L$38</formula1>
    </dataValidation>
    <dataValidation type="list" allowBlank="1" showInputMessage="1" showErrorMessage="1" sqref="C10">
      <formula1>$L$39:$L$40</formula1>
    </dataValidation>
  </dataValidations>
  <hyperlinks>
    <hyperlink ref="F20" r:id="rId1"/>
    <hyperlink ref="F21" r:id="rId2"/>
    <hyperlink ref="F22" r:id="rId3"/>
    <hyperlink ref="F24" r:id="rId4"/>
    <hyperlink ref="F23" r:id="rId5"/>
  </hyperlinks>
  <pageMargins left="0.70866141732283472" right="0.70866141732283472" top="0.74803149606299213" bottom="0.74803149606299213" header="0.31496062992125984" footer="0.31496062992125984"/>
  <pageSetup paperSize="9" scale="30" orientation="portrait" verticalDpi="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89"/>
  <sheetViews>
    <sheetView showGridLines="0" topLeftCell="A19" workbookViewId="0">
      <selection activeCell="G7" sqref="G7:K8"/>
    </sheetView>
  </sheetViews>
  <sheetFormatPr defaultRowHeight="12" x14ac:dyDescent="0.2"/>
  <cols>
    <col min="1" max="1" width="9.140625" style="133"/>
    <col min="2" max="2" width="42.5703125" style="133" customWidth="1"/>
    <col min="3" max="3" width="41.5703125" style="133" customWidth="1"/>
    <col min="4" max="4" width="49" style="133" customWidth="1"/>
    <col min="5" max="5" width="12.85546875" style="133" customWidth="1"/>
    <col min="6" max="6" width="17" style="133" customWidth="1"/>
    <col min="7" max="10" width="9.140625" style="133"/>
    <col min="11" max="11" width="11.7109375" style="133" customWidth="1"/>
    <col min="12" max="13" width="9.140625" style="185"/>
    <col min="14" max="15" width="9.140625" style="175"/>
    <col min="16" max="16" width="18.7109375" style="175" customWidth="1"/>
    <col min="17" max="17" width="53.28515625" style="175" customWidth="1"/>
    <col min="18" max="24" width="9.140625" style="175"/>
    <col min="25" max="33" width="9.140625" style="185"/>
    <col min="34" max="40" width="9.140625" style="175"/>
    <col min="41" max="16384" width="9.140625" style="133"/>
  </cols>
  <sheetData>
    <row r="1" spans="2:19" x14ac:dyDescent="0.2">
      <c r="B1" s="463" t="s">
        <v>169</v>
      </c>
      <c r="C1" s="463"/>
      <c r="D1" s="463"/>
      <c r="E1" s="463"/>
      <c r="F1" s="463"/>
    </row>
    <row r="3" spans="2:19" ht="12.75" thickBot="1" x14ac:dyDescent="0.25"/>
    <row r="4" spans="2:19" ht="15" customHeight="1" x14ac:dyDescent="0.2">
      <c r="B4" s="431" t="s">
        <v>169</v>
      </c>
      <c r="C4" s="437" t="s">
        <v>26</v>
      </c>
      <c r="D4" s="508" t="s">
        <v>137</v>
      </c>
      <c r="E4" s="509"/>
      <c r="F4" s="510"/>
      <c r="K4" s="175" t="s">
        <v>171</v>
      </c>
    </row>
    <row r="5" spans="2:19" x14ac:dyDescent="0.2">
      <c r="B5" s="432"/>
      <c r="C5" s="438"/>
      <c r="D5" s="511"/>
      <c r="E5" s="512"/>
      <c r="F5" s="513"/>
      <c r="K5" s="175" t="s">
        <v>25</v>
      </c>
      <c r="Q5" s="175" t="s">
        <v>94</v>
      </c>
    </row>
    <row r="6" spans="2:19" ht="12.75" thickBot="1" x14ac:dyDescent="0.25">
      <c r="B6" s="433"/>
      <c r="C6" s="439"/>
      <c r="D6" s="514"/>
      <c r="E6" s="515"/>
      <c r="F6" s="516"/>
      <c r="Q6" s="175" t="s">
        <v>91</v>
      </c>
    </row>
    <row r="7" spans="2:19" ht="62.25" customHeight="1" x14ac:dyDescent="0.2">
      <c r="B7" s="141" t="s">
        <v>321</v>
      </c>
      <c r="C7" s="500" t="s">
        <v>91</v>
      </c>
      <c r="D7" s="500"/>
      <c r="E7" s="500"/>
      <c r="F7" s="501"/>
      <c r="G7" s="483" t="str">
        <f>IF($C$7="Yes",P25,K4)</f>
        <v>Not Applicable</v>
      </c>
      <c r="H7" s="484"/>
      <c r="I7" s="484"/>
      <c r="J7" s="484"/>
      <c r="K7" s="484"/>
      <c r="Q7" s="175" t="s">
        <v>172</v>
      </c>
      <c r="R7" s="176" t="str">
        <f>IF($C$8=Q7,S7,"0")</f>
        <v>0</v>
      </c>
      <c r="S7" s="175">
        <v>1</v>
      </c>
    </row>
    <row r="8" spans="2:19" ht="50.1" customHeight="1" thickBot="1" x14ac:dyDescent="0.25">
      <c r="B8" s="142" t="str">
        <f>IF(C7="Yes","Does the client require to approve appointment?","")</f>
        <v>Does the client require to approve appointment?</v>
      </c>
      <c r="C8" s="152" t="s">
        <v>176</v>
      </c>
      <c r="D8" s="485"/>
      <c r="E8" s="486"/>
      <c r="F8" s="487"/>
      <c r="G8" s="483"/>
      <c r="H8" s="484"/>
      <c r="I8" s="484"/>
      <c r="J8" s="484"/>
      <c r="K8" s="484"/>
      <c r="Q8" s="175" t="s">
        <v>173</v>
      </c>
      <c r="R8" s="176" t="str">
        <f t="shared" ref="R8:R11" si="0">IF($C$8=Q8,S8,"0")</f>
        <v>0</v>
      </c>
      <c r="S8" s="175">
        <v>3</v>
      </c>
    </row>
    <row r="9" spans="2:19" ht="50.1" customHeight="1" x14ac:dyDescent="0.2">
      <c r="B9" s="143" t="s">
        <v>322</v>
      </c>
      <c r="C9" s="153" t="s">
        <v>324</v>
      </c>
      <c r="D9" s="488"/>
      <c r="E9" s="489"/>
      <c r="F9" s="490"/>
      <c r="G9" s="491" t="s">
        <v>275</v>
      </c>
      <c r="H9" s="492"/>
      <c r="I9" s="492"/>
      <c r="J9" s="492"/>
      <c r="K9" s="493"/>
      <c r="Q9" s="175" t="s">
        <v>174</v>
      </c>
      <c r="R9" s="176" t="str">
        <f t="shared" si="0"/>
        <v>0</v>
      </c>
      <c r="S9" s="175">
        <v>4</v>
      </c>
    </row>
    <row r="10" spans="2:19" ht="50.1" customHeight="1" x14ac:dyDescent="0.2">
      <c r="B10" s="143"/>
      <c r="C10" s="153"/>
      <c r="D10" s="488"/>
      <c r="E10" s="489"/>
      <c r="F10" s="490"/>
      <c r="G10" s="494"/>
      <c r="H10" s="495"/>
      <c r="I10" s="495"/>
      <c r="J10" s="495"/>
      <c r="K10" s="496"/>
      <c r="Q10" s="175" t="s">
        <v>175</v>
      </c>
      <c r="R10" s="176" t="str">
        <f t="shared" si="0"/>
        <v>0</v>
      </c>
      <c r="S10" s="175">
        <v>5</v>
      </c>
    </row>
    <row r="11" spans="2:19" ht="50.1" customHeight="1" x14ac:dyDescent="0.2">
      <c r="B11" s="143" t="str">
        <f>IF(C7="Yes","Timescale available for crewing","")</f>
        <v>Timescale available for crewing</v>
      </c>
      <c r="C11" s="153" t="s">
        <v>181</v>
      </c>
      <c r="D11" s="488"/>
      <c r="E11" s="489"/>
      <c r="F11" s="490"/>
      <c r="G11" s="494"/>
      <c r="H11" s="495"/>
      <c r="I11" s="495"/>
      <c r="J11" s="495"/>
      <c r="K11" s="496"/>
      <c r="Q11" s="175" t="s">
        <v>176</v>
      </c>
      <c r="R11" s="176">
        <f t="shared" si="0"/>
        <v>6</v>
      </c>
      <c r="S11" s="175">
        <v>6</v>
      </c>
    </row>
    <row r="12" spans="2:19" ht="50.1" customHeight="1" x14ac:dyDescent="0.2">
      <c r="B12" s="143" t="str">
        <f>IF(C7="Yes","Crew budget","")</f>
        <v>Crew budget</v>
      </c>
      <c r="C12" s="153" t="s">
        <v>186</v>
      </c>
      <c r="D12" s="488"/>
      <c r="E12" s="489"/>
      <c r="F12" s="490"/>
      <c r="G12" s="494"/>
      <c r="H12" s="495"/>
      <c r="I12" s="495"/>
      <c r="J12" s="495"/>
      <c r="K12" s="496"/>
      <c r="R12" s="176"/>
    </row>
    <row r="13" spans="2:19" ht="50.1" customHeight="1" x14ac:dyDescent="0.2">
      <c r="B13" s="143" t="str">
        <f>IF(C7="Yes","Crew Budget Preparation","")</f>
        <v>Crew Budget Preparation</v>
      </c>
      <c r="C13" s="153" t="s">
        <v>188</v>
      </c>
      <c r="D13" s="488"/>
      <c r="E13" s="489"/>
      <c r="F13" s="490"/>
      <c r="G13" s="494"/>
      <c r="H13" s="495"/>
      <c r="I13" s="495"/>
      <c r="J13" s="495"/>
      <c r="K13" s="496"/>
      <c r="Q13" s="175" t="s">
        <v>323</v>
      </c>
      <c r="R13" s="176" t="str">
        <f>IF($C$9=Q13,S13,"0")</f>
        <v>0</v>
      </c>
      <c r="S13" s="175">
        <v>1</v>
      </c>
    </row>
    <row r="14" spans="2:19" ht="50.1" customHeight="1" thickBot="1" x14ac:dyDescent="0.25">
      <c r="B14" s="143" t="str">
        <f>IF(C7="Yes","Availability of officers in compliance with V.Ships Officer Experience Matrix","")</f>
        <v>Availability of officers in compliance with V.Ships Officer Experience Matrix</v>
      </c>
      <c r="C14" s="153" t="s">
        <v>193</v>
      </c>
      <c r="D14" s="488"/>
      <c r="E14" s="489"/>
      <c r="F14" s="490"/>
      <c r="G14" s="497"/>
      <c r="H14" s="498"/>
      <c r="I14" s="498"/>
      <c r="J14" s="498"/>
      <c r="K14" s="499"/>
      <c r="Q14" s="175" t="s">
        <v>324</v>
      </c>
      <c r="R14" s="176">
        <f t="shared" ref="R14" si="1">IF($C$9=Q14,S14,"0")</f>
        <v>6</v>
      </c>
      <c r="S14" s="175">
        <v>6</v>
      </c>
    </row>
    <row r="15" spans="2:19" ht="50.1" customHeight="1" x14ac:dyDescent="0.2">
      <c r="B15" s="143" t="str">
        <f>IF(C7="Yes","Availibily of officers in compliance with Industry Experience Matrices","")</f>
        <v>Availibily of officers in compliance with Industry Experience Matrices</v>
      </c>
      <c r="C15" s="153" t="s">
        <v>196</v>
      </c>
      <c r="D15" s="488"/>
      <c r="E15" s="489"/>
      <c r="F15" s="490"/>
      <c r="R15" s="176"/>
    </row>
    <row r="16" spans="2:19" ht="50.1" customHeight="1" x14ac:dyDescent="0.2">
      <c r="B16" s="143" t="str">
        <f>IF(C7="Yes","Pre-Observers (adequate period / cooperation)","")</f>
        <v>Pre-Observers (adequate period / cooperation)</v>
      </c>
      <c r="C16" s="153" t="s">
        <v>201</v>
      </c>
      <c r="D16" s="488"/>
      <c r="E16" s="489"/>
      <c r="F16" s="490"/>
      <c r="R16" s="176"/>
    </row>
    <row r="17" spans="2:19" ht="50.1" customHeight="1" x14ac:dyDescent="0.2">
      <c r="B17" s="143" t="str">
        <f>IF(C7="Yes","Training Matrix compliance for takeover crew","")</f>
        <v>Training Matrix compliance for takeover crew</v>
      </c>
      <c r="C17" s="153" t="s">
        <v>204</v>
      </c>
      <c r="D17" s="488"/>
      <c r="E17" s="489"/>
      <c r="F17" s="490"/>
      <c r="R17" s="176"/>
    </row>
    <row r="18" spans="2:19" ht="50.1" customHeight="1" x14ac:dyDescent="0.2">
      <c r="B18" s="143" t="s">
        <v>322</v>
      </c>
      <c r="C18" s="153" t="s">
        <v>208</v>
      </c>
      <c r="D18" s="488"/>
      <c r="E18" s="489"/>
      <c r="F18" s="490"/>
      <c r="R18" s="176"/>
    </row>
    <row r="19" spans="2:19" ht="50.1" customHeight="1" x14ac:dyDescent="0.2">
      <c r="B19" s="143" t="str">
        <f>IF(C7="Yes","Budget includes V.Ships cadet berths","")</f>
        <v>Budget includes V.Ships cadet berths</v>
      </c>
      <c r="C19" s="153" t="s">
        <v>212</v>
      </c>
      <c r="D19" s="488"/>
      <c r="E19" s="489"/>
      <c r="F19" s="490"/>
      <c r="R19" s="176"/>
    </row>
    <row r="20" spans="2:19" ht="50.1" customHeight="1" thickBot="1" x14ac:dyDescent="0.25">
      <c r="B20" s="144" t="str">
        <f>IF(C7="Yes","Are all officers certificate of competency issued  through their national administration","")</f>
        <v>Are all officers certificate of competency issued  through their national administration</v>
      </c>
      <c r="C20" s="154" t="s">
        <v>214</v>
      </c>
      <c r="D20" s="502"/>
      <c r="E20" s="503"/>
      <c r="F20" s="504"/>
      <c r="R20" s="176"/>
    </row>
    <row r="21" spans="2:19" ht="50.1" customHeight="1" x14ac:dyDescent="0.2">
      <c r="B21" s="145" t="s">
        <v>17</v>
      </c>
      <c r="C21" s="146"/>
      <c r="D21" s="147"/>
      <c r="E21" s="148"/>
      <c r="F21" s="149"/>
      <c r="Q21" s="175" t="s">
        <v>177</v>
      </c>
      <c r="R21" s="176" t="str">
        <f>IF($C$11=Q21,S21,"0")</f>
        <v>0</v>
      </c>
      <c r="S21" s="175">
        <v>1</v>
      </c>
    </row>
    <row r="22" spans="2:19" ht="50.1" customHeight="1" x14ac:dyDescent="0.2">
      <c r="B22" s="290" t="s">
        <v>274</v>
      </c>
      <c r="C22" s="240" t="s">
        <v>94</v>
      </c>
      <c r="D22" s="488"/>
      <c r="E22" s="489"/>
      <c r="F22" s="490"/>
      <c r="Q22" s="175" t="s">
        <v>178</v>
      </c>
      <c r="R22" s="176" t="str">
        <f t="shared" ref="R22:R25" si="2">IF($C$11=Q22,S22,"0")</f>
        <v>0</v>
      </c>
      <c r="S22" s="175">
        <v>2</v>
      </c>
    </row>
    <row r="23" spans="2:19" ht="50.1" customHeight="1" x14ac:dyDescent="0.2">
      <c r="B23" s="155"/>
      <c r="C23" s="239"/>
      <c r="D23" s="488"/>
      <c r="E23" s="489"/>
      <c r="F23" s="490"/>
      <c r="Q23" s="175" t="s">
        <v>179</v>
      </c>
      <c r="R23" s="176" t="str">
        <f t="shared" si="2"/>
        <v>0</v>
      </c>
      <c r="S23" s="175">
        <v>3</v>
      </c>
    </row>
    <row r="24" spans="2:19" ht="50.1" customHeight="1" x14ac:dyDescent="0.2">
      <c r="B24" s="155"/>
      <c r="C24" s="240"/>
      <c r="D24" s="488"/>
      <c r="E24" s="489"/>
      <c r="F24" s="490"/>
      <c r="P24" s="175" t="s">
        <v>170</v>
      </c>
      <c r="Q24" s="175" t="s">
        <v>180</v>
      </c>
      <c r="R24" s="176" t="str">
        <f t="shared" si="2"/>
        <v>0</v>
      </c>
      <c r="S24" s="175">
        <v>4</v>
      </c>
    </row>
    <row r="25" spans="2:19" ht="50.1" customHeight="1" x14ac:dyDescent="0.2">
      <c r="B25" s="155"/>
      <c r="C25" s="240"/>
      <c r="D25" s="488"/>
      <c r="E25" s="489"/>
      <c r="F25" s="490"/>
      <c r="P25" s="175" t="s">
        <v>170</v>
      </c>
      <c r="Q25" s="175" t="s">
        <v>181</v>
      </c>
      <c r="R25" s="176">
        <f t="shared" si="2"/>
        <v>5</v>
      </c>
      <c r="S25" s="175">
        <v>5</v>
      </c>
    </row>
    <row r="26" spans="2:19" ht="50.1" customHeight="1" x14ac:dyDescent="0.2">
      <c r="B26" s="155"/>
      <c r="C26" s="240"/>
      <c r="D26" s="488"/>
      <c r="E26" s="489"/>
      <c r="F26" s="490"/>
      <c r="P26" s="175" t="s">
        <v>170</v>
      </c>
      <c r="Q26" s="175" t="s">
        <v>182</v>
      </c>
      <c r="R26" s="176" t="str">
        <f>IF($C$12=Q26,S26,"0")</f>
        <v>0</v>
      </c>
      <c r="S26" s="175">
        <v>1</v>
      </c>
    </row>
    <row r="27" spans="2:19" ht="50.1" customHeight="1" thickBot="1" x14ac:dyDescent="0.25">
      <c r="B27" s="156"/>
      <c r="C27" s="157"/>
      <c r="D27" s="505"/>
      <c r="E27" s="506"/>
      <c r="F27" s="507"/>
      <c r="P27" s="175" t="s">
        <v>170</v>
      </c>
      <c r="Q27" s="177" t="s">
        <v>183</v>
      </c>
      <c r="R27" s="176" t="str">
        <f t="shared" ref="R27:R30" si="3">IF($C$12=Q27,S27,"0")</f>
        <v>0</v>
      </c>
      <c r="S27" s="175">
        <v>2</v>
      </c>
    </row>
    <row r="28" spans="2:19" ht="24.75" thickBot="1" x14ac:dyDescent="0.25">
      <c r="B28" s="150" t="s">
        <v>216</v>
      </c>
      <c r="C28" s="151">
        <f>R62</f>
        <v>1</v>
      </c>
      <c r="D28" s="440" t="str">
        <f>IF(C28&lt;62%, "Approved", "Not Approved")</f>
        <v>Not Approved</v>
      </c>
      <c r="E28" s="440"/>
      <c r="F28" s="441"/>
      <c r="P28" s="175" t="s">
        <v>170</v>
      </c>
      <c r="Q28" s="178" t="s">
        <v>184</v>
      </c>
      <c r="R28" s="176" t="str">
        <f t="shared" si="3"/>
        <v>0</v>
      </c>
      <c r="S28" s="175">
        <v>3</v>
      </c>
    </row>
    <row r="29" spans="2:19" ht="24" x14ac:dyDescent="0.2">
      <c r="P29" s="175" t="s">
        <v>170</v>
      </c>
      <c r="Q29" s="178" t="s">
        <v>185</v>
      </c>
      <c r="R29" s="176" t="str">
        <f t="shared" si="3"/>
        <v>0</v>
      </c>
      <c r="S29" s="175">
        <v>4</v>
      </c>
    </row>
    <row r="30" spans="2:19" x14ac:dyDescent="0.2">
      <c r="P30" s="175" t="s">
        <v>170</v>
      </c>
      <c r="Q30" s="178" t="s">
        <v>186</v>
      </c>
      <c r="R30" s="176">
        <f t="shared" si="3"/>
        <v>5</v>
      </c>
      <c r="S30" s="175">
        <v>5</v>
      </c>
    </row>
    <row r="31" spans="2:19" x14ac:dyDescent="0.2">
      <c r="P31" s="175" t="s">
        <v>170</v>
      </c>
      <c r="Q31" s="178" t="s">
        <v>187</v>
      </c>
      <c r="R31" s="176" t="str">
        <f>IF($C$13=Q31,S31,"0")</f>
        <v>0</v>
      </c>
      <c r="S31" s="175">
        <v>1</v>
      </c>
    </row>
    <row r="32" spans="2:19" x14ac:dyDescent="0.2">
      <c r="P32" s="175" t="s">
        <v>170</v>
      </c>
      <c r="Q32" s="178" t="s">
        <v>188</v>
      </c>
      <c r="R32" s="176">
        <f>IF($C$13=Q32,S32,"0")</f>
        <v>3</v>
      </c>
      <c r="S32" s="175">
        <v>3</v>
      </c>
    </row>
    <row r="33" spans="16:19" x14ac:dyDescent="0.2">
      <c r="P33" s="175" t="s">
        <v>170</v>
      </c>
      <c r="Q33" s="178" t="s">
        <v>189</v>
      </c>
      <c r="R33" s="176" t="str">
        <f>IF($C$14=Q33,S33,"0")</f>
        <v>0</v>
      </c>
      <c r="S33" s="175">
        <v>1</v>
      </c>
    </row>
    <row r="34" spans="16:19" x14ac:dyDescent="0.2">
      <c r="P34" s="175" t="s">
        <v>170</v>
      </c>
      <c r="Q34" s="178" t="s">
        <v>190</v>
      </c>
      <c r="R34" s="176" t="str">
        <f t="shared" ref="R34:R37" si="4">IF($C$14=Q34,S34,"0")</f>
        <v>0</v>
      </c>
      <c r="S34" s="175">
        <v>2</v>
      </c>
    </row>
    <row r="35" spans="16:19" x14ac:dyDescent="0.2">
      <c r="P35" s="175" t="s">
        <v>170</v>
      </c>
      <c r="Q35" s="178" t="s">
        <v>191</v>
      </c>
      <c r="R35" s="176" t="str">
        <f t="shared" si="4"/>
        <v>0</v>
      </c>
      <c r="S35" s="175">
        <v>3</v>
      </c>
    </row>
    <row r="36" spans="16:19" x14ac:dyDescent="0.2">
      <c r="P36" s="175" t="s">
        <v>170</v>
      </c>
      <c r="Q36" s="179" t="s">
        <v>192</v>
      </c>
      <c r="R36" s="176" t="str">
        <f t="shared" si="4"/>
        <v>0</v>
      </c>
      <c r="S36" s="175">
        <v>4</v>
      </c>
    </row>
    <row r="37" spans="16:19" x14ac:dyDescent="0.2">
      <c r="P37" s="175" t="s">
        <v>170</v>
      </c>
      <c r="Q37" s="179" t="s">
        <v>193</v>
      </c>
      <c r="R37" s="176">
        <f t="shared" si="4"/>
        <v>5</v>
      </c>
      <c r="S37" s="175">
        <v>5</v>
      </c>
    </row>
    <row r="38" spans="16:19" x14ac:dyDescent="0.2">
      <c r="P38" s="175" t="s">
        <v>170</v>
      </c>
      <c r="Q38" s="179" t="s">
        <v>194</v>
      </c>
      <c r="R38" s="176" t="str">
        <f>IF($C$15=Q38,S38,"0")</f>
        <v>0</v>
      </c>
      <c r="S38" s="175">
        <v>1</v>
      </c>
    </row>
    <row r="39" spans="16:19" x14ac:dyDescent="0.2">
      <c r="Q39" s="179" t="s">
        <v>195</v>
      </c>
      <c r="R39" s="176" t="str">
        <f t="shared" ref="R39:R40" si="5">IF($C$15=Q39,S39,"0")</f>
        <v>0</v>
      </c>
      <c r="S39" s="175">
        <v>3</v>
      </c>
    </row>
    <row r="40" spans="16:19" x14ac:dyDescent="0.2">
      <c r="Q40" s="175" t="s">
        <v>196</v>
      </c>
      <c r="R40" s="176">
        <f t="shared" si="5"/>
        <v>5</v>
      </c>
      <c r="S40" s="175">
        <v>5</v>
      </c>
    </row>
    <row r="41" spans="16:19" x14ac:dyDescent="0.2">
      <c r="Q41" s="175" t="s">
        <v>197</v>
      </c>
      <c r="R41" s="176" t="str">
        <f>IF($C$16=Q41,S41,"0")</f>
        <v>0</v>
      </c>
      <c r="S41" s="175">
        <v>1</v>
      </c>
    </row>
    <row r="42" spans="16:19" x14ac:dyDescent="0.2">
      <c r="Q42" s="175" t="s">
        <v>198</v>
      </c>
      <c r="R42" s="176" t="str">
        <f t="shared" ref="R42:R45" si="6">IF($C$16=Q42,S42,"0")</f>
        <v>0</v>
      </c>
      <c r="S42" s="175">
        <v>2</v>
      </c>
    </row>
    <row r="43" spans="16:19" x14ac:dyDescent="0.2">
      <c r="Q43" s="175" t="s">
        <v>199</v>
      </c>
      <c r="R43" s="176" t="str">
        <f t="shared" si="6"/>
        <v>0</v>
      </c>
      <c r="S43" s="175">
        <v>3</v>
      </c>
    </row>
    <row r="44" spans="16:19" ht="44.25" customHeight="1" x14ac:dyDescent="0.2">
      <c r="Q44" s="175" t="s">
        <v>200</v>
      </c>
      <c r="R44" s="176" t="str">
        <f>IF($C$16=Q44,S44,"0")</f>
        <v>0</v>
      </c>
      <c r="S44" s="175">
        <v>4</v>
      </c>
    </row>
    <row r="45" spans="16:19" ht="67.5" customHeight="1" x14ac:dyDescent="0.2">
      <c r="Q45" s="175" t="s">
        <v>201</v>
      </c>
      <c r="R45" s="176">
        <f t="shared" si="6"/>
        <v>5</v>
      </c>
      <c r="S45" s="175">
        <v>5</v>
      </c>
    </row>
    <row r="46" spans="16:19" ht="46.5" customHeight="1" x14ac:dyDescent="0.2">
      <c r="Q46" s="175" t="s">
        <v>202</v>
      </c>
      <c r="R46" s="176" t="str">
        <f>IF($C$17=Q46,S46,"0")</f>
        <v>0</v>
      </c>
      <c r="S46" s="175">
        <v>1</v>
      </c>
    </row>
    <row r="47" spans="16:19" ht="30.75" customHeight="1" x14ac:dyDescent="0.2">
      <c r="Q47" s="175" t="s">
        <v>203</v>
      </c>
      <c r="R47" s="176" t="str">
        <f t="shared" ref="R47:R48" si="7">IF($C$17=Q47,S47,"0")</f>
        <v>0</v>
      </c>
      <c r="S47" s="175">
        <v>3</v>
      </c>
    </row>
    <row r="48" spans="16:19" ht="28.5" customHeight="1" x14ac:dyDescent="0.2">
      <c r="Q48" s="175" t="s">
        <v>204</v>
      </c>
      <c r="R48" s="176">
        <f t="shared" si="7"/>
        <v>5</v>
      </c>
      <c r="S48" s="175">
        <v>5</v>
      </c>
    </row>
    <row r="49" spans="17:19" ht="25.5" customHeight="1" x14ac:dyDescent="0.2">
      <c r="Q49" s="175" t="s">
        <v>205</v>
      </c>
      <c r="R49" s="176" t="str">
        <f>IF($C$18=Q49,S49,"0")</f>
        <v>0</v>
      </c>
      <c r="S49" s="175">
        <v>1</v>
      </c>
    </row>
    <row r="50" spans="17:19" ht="29.25" customHeight="1" x14ac:dyDescent="0.2">
      <c r="Q50" s="175" t="s">
        <v>206</v>
      </c>
      <c r="R50" s="176" t="str">
        <f t="shared" ref="R50:R52" si="8">IF($C$18=Q50,S50,"0")</f>
        <v>0</v>
      </c>
      <c r="S50" s="175">
        <v>2</v>
      </c>
    </row>
    <row r="51" spans="17:19" ht="29.25" customHeight="1" x14ac:dyDescent="0.2">
      <c r="Q51" s="175" t="s">
        <v>207</v>
      </c>
      <c r="R51" s="176" t="str">
        <f t="shared" si="8"/>
        <v>0</v>
      </c>
      <c r="S51" s="175">
        <v>3</v>
      </c>
    </row>
    <row r="52" spans="17:19" x14ac:dyDescent="0.2">
      <c r="Q52" s="175" t="s">
        <v>208</v>
      </c>
      <c r="R52" s="176">
        <f t="shared" si="8"/>
        <v>5</v>
      </c>
      <c r="S52" s="175">
        <v>5</v>
      </c>
    </row>
    <row r="53" spans="17:19" ht="27.75" customHeight="1" x14ac:dyDescent="0.2">
      <c r="Q53" s="175" t="s">
        <v>209</v>
      </c>
      <c r="R53" s="176" t="str">
        <f>IF($C$19=Q53,S53,"0")</f>
        <v>0</v>
      </c>
      <c r="S53" s="175">
        <v>1</v>
      </c>
    </row>
    <row r="54" spans="17:19" x14ac:dyDescent="0.2">
      <c r="Q54" s="175" t="s">
        <v>210</v>
      </c>
      <c r="R54" s="176" t="str">
        <f t="shared" ref="R54:R56" si="9">IF($C$19=Q54,S54,"0")</f>
        <v>0</v>
      </c>
      <c r="S54" s="175">
        <v>2</v>
      </c>
    </row>
    <row r="55" spans="17:19" ht="24.75" customHeight="1" x14ac:dyDescent="0.2">
      <c r="Q55" s="175" t="s">
        <v>211</v>
      </c>
      <c r="R55" s="176" t="str">
        <f t="shared" si="9"/>
        <v>0</v>
      </c>
      <c r="S55" s="175">
        <v>3</v>
      </c>
    </row>
    <row r="56" spans="17:19" ht="42" customHeight="1" x14ac:dyDescent="0.2">
      <c r="Q56" s="175" t="s">
        <v>212</v>
      </c>
      <c r="R56" s="176">
        <f t="shared" si="9"/>
        <v>4</v>
      </c>
      <c r="S56" s="175">
        <v>4</v>
      </c>
    </row>
    <row r="57" spans="17:19" x14ac:dyDescent="0.2">
      <c r="Q57" s="175" t="s">
        <v>213</v>
      </c>
      <c r="R57" s="176" t="str">
        <f>IF($C$20=Q57,S57,"0")</f>
        <v>0</v>
      </c>
      <c r="S57" s="175">
        <v>1</v>
      </c>
    </row>
    <row r="58" spans="17:19" x14ac:dyDescent="0.2">
      <c r="Q58" s="175" t="s">
        <v>214</v>
      </c>
      <c r="R58" s="176">
        <f>IF($C$20=Q58,S58,"0")</f>
        <v>5</v>
      </c>
      <c r="S58" s="175">
        <v>5</v>
      </c>
    </row>
    <row r="59" spans="17:19" x14ac:dyDescent="0.2">
      <c r="Q59" s="175">
        <f>IF(C22="No",6,0)</f>
        <v>6</v>
      </c>
    </row>
    <row r="60" spans="17:19" x14ac:dyDescent="0.2">
      <c r="R60" s="175">
        <f>SUM(R7:R58)+Q59+SUM(R82:R89)</f>
        <v>65</v>
      </c>
    </row>
    <row r="62" spans="17:19" x14ac:dyDescent="0.2">
      <c r="Q62" s="175" t="s">
        <v>215</v>
      </c>
      <c r="R62" s="180">
        <f>R60/65</f>
        <v>1</v>
      </c>
    </row>
    <row r="65" spans="17:17" x14ac:dyDescent="0.2">
      <c r="Q65" s="175">
        <f t="shared" ref="Q65:Q77" si="10">IF(C8="",1,0)</f>
        <v>0</v>
      </c>
    </row>
    <row r="66" spans="17:17" x14ac:dyDescent="0.2">
      <c r="Q66" s="175">
        <f t="shared" si="10"/>
        <v>0</v>
      </c>
    </row>
    <row r="67" spans="17:17" x14ac:dyDescent="0.2">
      <c r="Q67" s="175">
        <f t="shared" si="10"/>
        <v>1</v>
      </c>
    </row>
    <row r="68" spans="17:17" x14ac:dyDescent="0.2">
      <c r="Q68" s="175">
        <f t="shared" si="10"/>
        <v>0</v>
      </c>
    </row>
    <row r="69" spans="17:17" x14ac:dyDescent="0.2">
      <c r="Q69" s="175">
        <f t="shared" si="10"/>
        <v>0</v>
      </c>
    </row>
    <row r="70" spans="17:17" x14ac:dyDescent="0.2">
      <c r="Q70" s="175">
        <f t="shared" si="10"/>
        <v>0</v>
      </c>
    </row>
    <row r="71" spans="17:17" x14ac:dyDescent="0.2">
      <c r="Q71" s="175">
        <f t="shared" si="10"/>
        <v>0</v>
      </c>
    </row>
    <row r="72" spans="17:17" x14ac:dyDescent="0.2">
      <c r="Q72" s="175">
        <f t="shared" si="10"/>
        <v>0</v>
      </c>
    </row>
    <row r="73" spans="17:17" x14ac:dyDescent="0.2">
      <c r="Q73" s="175">
        <f t="shared" si="10"/>
        <v>0</v>
      </c>
    </row>
    <row r="74" spans="17:17" x14ac:dyDescent="0.2">
      <c r="Q74" s="175">
        <f t="shared" si="10"/>
        <v>0</v>
      </c>
    </row>
    <row r="75" spans="17:17" x14ac:dyDescent="0.2">
      <c r="Q75" s="175">
        <f t="shared" si="10"/>
        <v>0</v>
      </c>
    </row>
    <row r="76" spans="17:17" x14ac:dyDescent="0.2">
      <c r="Q76" s="175">
        <f t="shared" si="10"/>
        <v>0</v>
      </c>
    </row>
    <row r="77" spans="17:17" x14ac:dyDescent="0.2">
      <c r="Q77" s="175">
        <f t="shared" si="10"/>
        <v>0</v>
      </c>
    </row>
    <row r="78" spans="17:17" x14ac:dyDescent="0.2">
      <c r="Q78" s="175">
        <f>IF(C22="",1,0)</f>
        <v>0</v>
      </c>
    </row>
    <row r="79" spans="17:17" x14ac:dyDescent="0.2">
      <c r="Q79" s="175">
        <f>IF(C23="",1,0)</f>
        <v>1</v>
      </c>
    </row>
    <row r="80" spans="17:17" x14ac:dyDescent="0.2">
      <c r="Q80" s="175">
        <f>SUM(Q65:Q79)</f>
        <v>2</v>
      </c>
    </row>
    <row r="82" spans="17:18" x14ac:dyDescent="0.2">
      <c r="Q82" s="241"/>
      <c r="R82" s="176"/>
    </row>
    <row r="83" spans="17:18" x14ac:dyDescent="0.2">
      <c r="Q83" s="241"/>
      <c r="R83" s="176"/>
    </row>
    <row r="84" spans="17:18" x14ac:dyDescent="0.2">
      <c r="Q84" s="241"/>
      <c r="R84" s="176"/>
    </row>
    <row r="85" spans="17:18" x14ac:dyDescent="0.2">
      <c r="Q85" s="241"/>
      <c r="R85" s="176"/>
    </row>
    <row r="86" spans="17:18" x14ac:dyDescent="0.2">
      <c r="Q86" s="241"/>
      <c r="R86" s="176"/>
    </row>
    <row r="87" spans="17:18" x14ac:dyDescent="0.2">
      <c r="Q87" s="241"/>
      <c r="R87" s="176"/>
    </row>
    <row r="88" spans="17:18" x14ac:dyDescent="0.2">
      <c r="Q88" s="241"/>
      <c r="R88" s="176"/>
    </row>
    <row r="89" spans="17:18" x14ac:dyDescent="0.2">
      <c r="Q89" s="241"/>
      <c r="R89" s="176"/>
    </row>
  </sheetData>
  <sheetProtection algorithmName="SHA-512" hashValue="aNjuFJu1cfUZSiO4jPZYBBdNsN6JMi5wY+RbG1lqJoGoQn2y09vPWE6IsmojAr8Rl397x3iKFLRrU2gkbdPQww==" saltValue="02QPgapbUOdFJTPSU04hdQ==" spinCount="100000" sheet="1" objects="1" scenarios="1"/>
  <mergeCells count="28">
    <mergeCell ref="B1:F1"/>
    <mergeCell ref="D24:F24"/>
    <mergeCell ref="D25:F25"/>
    <mergeCell ref="D26:F26"/>
    <mergeCell ref="D27:F27"/>
    <mergeCell ref="B4:B6"/>
    <mergeCell ref="C4:C6"/>
    <mergeCell ref="D4:F6"/>
    <mergeCell ref="D28:F28"/>
    <mergeCell ref="D23:F23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2:F22"/>
    <mergeCell ref="G7:K8"/>
    <mergeCell ref="D8:F8"/>
    <mergeCell ref="D9:F9"/>
    <mergeCell ref="D10:F10"/>
    <mergeCell ref="D11:F11"/>
    <mergeCell ref="G9:K9"/>
    <mergeCell ref="G10:K14"/>
    <mergeCell ref="C7:F7"/>
  </mergeCells>
  <conditionalFormatting sqref="C28">
    <cfRule type="cellIs" dxfId="32" priority="25" stopIfTrue="1" operator="between">
      <formula>1</formula>
      <formula>3</formula>
    </cfRule>
    <cfRule type="cellIs" dxfId="31" priority="26" stopIfTrue="1" operator="between">
      <formula>4</formula>
      <formula>6</formula>
    </cfRule>
  </conditionalFormatting>
  <conditionalFormatting sqref="C7:F7">
    <cfRule type="cellIs" dxfId="30" priority="23" operator="equal">
      <formula>"No"</formula>
    </cfRule>
    <cfRule type="cellIs" dxfId="29" priority="24" operator="equal">
      <formula>"Yes"</formula>
    </cfRule>
  </conditionalFormatting>
  <conditionalFormatting sqref="C9:C20">
    <cfRule type="cellIs" dxfId="28" priority="20" stopIfTrue="1" operator="between">
      <formula>0.1</formula>
      <formula>1.7</formula>
    </cfRule>
    <cfRule type="cellIs" dxfId="27" priority="21" stopIfTrue="1" operator="between">
      <formula>1.71</formula>
      <formula>3.7</formula>
    </cfRule>
    <cfRule type="cellIs" dxfId="26" priority="22" stopIfTrue="1" operator="between">
      <formula>3.71</formula>
      <formula>5</formula>
    </cfRule>
  </conditionalFormatting>
  <conditionalFormatting sqref="C9:C20">
    <cfRule type="cellIs" dxfId="25" priority="19" operator="equal">
      <formula>2</formula>
    </cfRule>
  </conditionalFormatting>
  <conditionalFormatting sqref="C8:C20">
    <cfRule type="cellIs" dxfId="24" priority="14" operator="equal">
      <formula>6</formula>
    </cfRule>
    <cfRule type="cellIs" dxfId="23" priority="15" operator="equal">
      <formula>5</formula>
    </cfRule>
    <cfRule type="cellIs" dxfId="22" priority="16" operator="equal">
      <formula>4</formula>
    </cfRule>
    <cfRule type="cellIs" dxfId="21" priority="17" operator="equal">
      <formula>3</formula>
    </cfRule>
    <cfRule type="cellIs" dxfId="20" priority="18" operator="equal">
      <formula>1</formula>
    </cfRule>
  </conditionalFormatting>
  <conditionalFormatting sqref="C8">
    <cfRule type="cellIs" dxfId="19" priority="8" operator="equal">
      <formula>6</formula>
    </cfRule>
    <cfRule type="cellIs" dxfId="18" priority="9" operator="equal">
      <formula>5</formula>
    </cfRule>
    <cfRule type="cellIs" dxfId="17" priority="10" operator="equal">
      <formula>4</formula>
    </cfRule>
    <cfRule type="cellIs" dxfId="16" priority="11" operator="equal">
      <formula>3</formula>
    </cfRule>
    <cfRule type="cellIs" dxfId="15" priority="12" operator="equal">
      <formula>2</formula>
    </cfRule>
    <cfRule type="cellIs" dxfId="14" priority="13" operator="equal">
      <formula>1</formula>
    </cfRule>
  </conditionalFormatting>
  <conditionalFormatting sqref="C28">
    <cfRule type="cellIs" dxfId="13" priority="6" operator="between">
      <formula>4</formula>
      <formula>6</formula>
    </cfRule>
    <cfRule type="cellIs" dxfId="12" priority="7" operator="between">
      <formula>1</formula>
      <formula>3</formula>
    </cfRule>
  </conditionalFormatting>
  <conditionalFormatting sqref="B8:B20 G7:K8">
    <cfRule type="containsText" dxfId="11" priority="3" operator="containsText" text="Not Applicable">
      <formula>NOT(ISERROR(SEARCH("Not Applicable",B7)))</formula>
    </cfRule>
  </conditionalFormatting>
  <conditionalFormatting sqref="C8:C27">
    <cfRule type="cellIs" dxfId="10" priority="4" operator="between">
      <formula>4</formula>
      <formula>6</formula>
    </cfRule>
    <cfRule type="cellIs" dxfId="9" priority="5" operator="between">
      <formula>1</formula>
      <formula>3</formula>
    </cfRule>
  </conditionalFormatting>
  <conditionalFormatting sqref="D28:F28">
    <cfRule type="cellIs" dxfId="8" priority="1" operator="equal">
      <formula>"Approved"</formula>
    </cfRule>
  </conditionalFormatting>
  <dataValidations count="14">
    <dataValidation type="list" allowBlank="1" showInputMessage="1" showErrorMessage="1" sqref="C7:F7 C22">
      <formula1>$Q$5:$Q$6</formula1>
    </dataValidation>
    <dataValidation type="list" allowBlank="1" showInputMessage="1" showErrorMessage="1" sqref="C8">
      <formula1>$Q$7:$Q$11</formula1>
    </dataValidation>
    <dataValidation type="list" allowBlank="1" showInputMessage="1" showErrorMessage="1" sqref="C9">
      <formula1>$Q$13:$Q$15</formula1>
    </dataValidation>
    <dataValidation type="list" allowBlank="1" showInputMessage="1" showErrorMessage="1" sqref="C11">
      <formula1>$Q$21:$Q$25</formula1>
    </dataValidation>
    <dataValidation type="list" allowBlank="1" showInputMessage="1" showErrorMessage="1" sqref="C12">
      <formula1>$Q$26:$Q$30</formula1>
    </dataValidation>
    <dataValidation type="list" allowBlank="1" showInputMessage="1" showErrorMessage="1" sqref="C13">
      <formula1>$Q$31:$Q$32</formula1>
    </dataValidation>
    <dataValidation type="list" allowBlank="1" showInputMessage="1" showErrorMessage="1" sqref="C14">
      <formula1>$Q$33:$Q$37</formula1>
    </dataValidation>
    <dataValidation type="list" allowBlank="1" showInputMessage="1" showErrorMessage="1" sqref="C15">
      <formula1>$Q$38:$Q$40</formula1>
    </dataValidation>
    <dataValidation type="list" allowBlank="1" showInputMessage="1" showErrorMessage="1" sqref="C16">
      <formula1>$Q$41:$Q$45</formula1>
    </dataValidation>
    <dataValidation type="list" allowBlank="1" showInputMessage="1" showErrorMessage="1" sqref="C17">
      <formula1>$Q$46:$Q$48</formula1>
    </dataValidation>
    <dataValidation type="list" allowBlank="1" showInputMessage="1" showErrorMessage="1" sqref="C18">
      <formula1>$Q$49:$Q$52</formula1>
    </dataValidation>
    <dataValidation type="list" allowBlank="1" showInputMessage="1" showErrorMessage="1" sqref="C19">
      <formula1>$Q$53:$Q$56</formula1>
    </dataValidation>
    <dataValidation type="list" allowBlank="1" showInputMessage="1" showErrorMessage="1" sqref="C20">
      <formula1>$Q$57:$Q$58</formula1>
    </dataValidation>
    <dataValidation type="list" allowBlank="1" showInputMessage="1" showErrorMessage="1" sqref="C23">
      <formula1>$Q$82:$Q$89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"/>
  <sheetViews>
    <sheetView showGridLines="0" workbookViewId="0">
      <selection activeCell="H25" sqref="H25"/>
    </sheetView>
  </sheetViews>
  <sheetFormatPr defaultRowHeight="15" x14ac:dyDescent="0.25"/>
  <cols>
    <col min="1" max="1" width="9.140625" style="1"/>
    <col min="2" max="2" width="30.42578125" style="1" bestFit="1" customWidth="1"/>
    <col min="3" max="3" width="45.28515625" style="1" customWidth="1"/>
    <col min="4" max="6" width="15.7109375" style="1" customWidth="1"/>
    <col min="7" max="7" width="14" style="1" customWidth="1"/>
    <col min="8" max="8" width="15.7109375" style="164" customWidth="1"/>
    <col min="9" max="13" width="9.140625" style="164"/>
    <col min="14" max="18" width="9.140625" style="167"/>
    <col min="19" max="16384" width="9.140625" style="1"/>
  </cols>
  <sheetData>
    <row r="1" spans="2:10" ht="23.25" x14ac:dyDescent="0.35">
      <c r="B1" s="522" t="s">
        <v>138</v>
      </c>
      <c r="C1" s="522"/>
      <c r="D1" s="522"/>
      <c r="E1" s="522"/>
      <c r="F1" s="522"/>
      <c r="G1" s="522"/>
      <c r="H1" s="522"/>
    </row>
    <row r="2" spans="2:10" ht="29.25" customHeight="1" thickBot="1" x14ac:dyDescent="0.3">
      <c r="B2" s="519" t="s">
        <v>283</v>
      </c>
      <c r="C2" s="519"/>
      <c r="D2" s="519"/>
      <c r="E2" s="519"/>
      <c r="F2" s="519"/>
      <c r="G2" s="519"/>
    </row>
    <row r="3" spans="2:10" ht="15.75" thickBot="1" x14ac:dyDescent="0.3">
      <c r="E3" s="523" t="str">
        <f ca="1">'MD-GM-Business Development'!E7</f>
        <v>Insufficient time for review</v>
      </c>
      <c r="F3" s="524"/>
      <c r="G3" s="525"/>
      <c r="H3" s="1"/>
    </row>
    <row r="4" spans="2:10" ht="15.75" thickBot="1" x14ac:dyDescent="0.3">
      <c r="B4" s="159" t="s">
        <v>231</v>
      </c>
      <c r="C4" s="88" t="str">
        <f>'Additional Measures'!I30</f>
        <v>Met</v>
      </c>
      <c r="E4" s="526"/>
      <c r="F4" s="527"/>
      <c r="G4" s="528"/>
    </row>
    <row r="5" spans="2:10" ht="15.75" thickBot="1" x14ac:dyDescent="0.3">
      <c r="C5" s="160" t="str">
        <f>IF(C4="Not Met", "Please Review Additional Measures","")</f>
        <v/>
      </c>
    </row>
    <row r="6" spans="2:10" ht="15.75" thickBot="1" x14ac:dyDescent="0.3">
      <c r="B6" s="160" t="s">
        <v>273</v>
      </c>
      <c r="C6" s="88" t="str">
        <f>IF(E15&gt;50%,"Not Met","Met")</f>
        <v>Not Met</v>
      </c>
    </row>
    <row r="7" spans="2:10" x14ac:dyDescent="0.25">
      <c r="E7" s="161" t="s">
        <v>271</v>
      </c>
      <c r="F7" s="161" t="s">
        <v>216</v>
      </c>
    </row>
    <row r="8" spans="2:10" ht="46.5" thickBot="1" x14ac:dyDescent="0.3">
      <c r="E8" s="162" t="s">
        <v>218</v>
      </c>
      <c r="F8" s="163">
        <f>'MD-GM-Business Development'!H3</f>
        <v>1</v>
      </c>
      <c r="I8" s="164">
        <f>'MD-GM-Business Development'!H2</f>
        <v>24</v>
      </c>
      <c r="J8" s="164">
        <v>24</v>
      </c>
    </row>
    <row r="9" spans="2:10" ht="57" customHeight="1" thickBot="1" x14ac:dyDescent="0.3">
      <c r="B9" s="520" t="str">
        <f>IF(I18&gt;0,"","Statement:  This Risk Assessment has been reviewed by the Managing Director / General Manager and the final risk level is such that the regional office is confident that the vessel can be managed efficiently.")</f>
        <v/>
      </c>
      <c r="C9" s="521"/>
      <c r="E9" s="162" t="s">
        <v>9</v>
      </c>
      <c r="F9" s="163">
        <f>'Client Financial Background'!B15</f>
        <v>1</v>
      </c>
      <c r="I9" s="164">
        <f>'Client Financial Background'!J27</f>
        <v>30</v>
      </c>
      <c r="J9" s="164">
        <v>30</v>
      </c>
    </row>
    <row r="10" spans="2:10" ht="15.75" thickBot="1" x14ac:dyDescent="0.3">
      <c r="E10" s="162" t="s">
        <v>219</v>
      </c>
      <c r="F10" s="163">
        <f>' HSEQ Tab'!C15</f>
        <v>1</v>
      </c>
      <c r="I10" s="164">
        <f>' HSEQ Tab'!M42</f>
        <v>48</v>
      </c>
      <c r="J10" s="164">
        <v>48</v>
      </c>
    </row>
    <row r="11" spans="2:10" ht="15.75" thickBot="1" x14ac:dyDescent="0.3">
      <c r="B11" s="75" t="str">
        <f>IF(I18&gt;0,"","Name: ")</f>
        <v/>
      </c>
      <c r="C11" s="291"/>
      <c r="E11" s="162" t="s">
        <v>169</v>
      </c>
      <c r="F11" s="163">
        <f>Crewing!C28</f>
        <v>1</v>
      </c>
      <c r="I11" s="164">
        <f>Crewing!R60</f>
        <v>65</v>
      </c>
      <c r="J11" s="164">
        <v>65</v>
      </c>
    </row>
    <row r="12" spans="2:10" ht="15.75" thickBot="1" x14ac:dyDescent="0.3">
      <c r="C12" s="36" t="str">
        <f>IF(I18&gt;0,"","Managing Director / General Manager")</f>
        <v/>
      </c>
      <c r="E12" s="162"/>
      <c r="F12" s="163"/>
    </row>
    <row r="13" spans="2:10" ht="15.75" thickBot="1" x14ac:dyDescent="0.3">
      <c r="E13" s="165"/>
      <c r="F13" s="166"/>
    </row>
    <row r="14" spans="2:10" ht="15.75" thickBot="1" x14ac:dyDescent="0.3">
      <c r="B14" s="62" t="str">
        <f>IF(I18&gt;0,"","Dated:")</f>
        <v/>
      </c>
      <c r="C14" s="292"/>
      <c r="E14" s="529" t="s">
        <v>272</v>
      </c>
      <c r="F14" s="530"/>
      <c r="I14" s="164">
        <f>SUM(I8:I13)</f>
        <v>167</v>
      </c>
      <c r="J14" s="164">
        <f>SUM(J8:J13)</f>
        <v>167</v>
      </c>
    </row>
    <row r="15" spans="2:10" ht="21" customHeight="1" thickBot="1" x14ac:dyDescent="0.3">
      <c r="E15" s="517">
        <f>I14/J14</f>
        <v>1</v>
      </c>
      <c r="F15" s="518"/>
    </row>
    <row r="16" spans="2:10" ht="29.25" customHeight="1" x14ac:dyDescent="0.25">
      <c r="I16" s="164">
        <f>IF(C4="Not Met",1,0)</f>
        <v>0</v>
      </c>
    </row>
    <row r="17" spans="9:9" x14ac:dyDescent="0.25">
      <c r="I17" s="164">
        <f>IF(C6="Not Met",1,0)</f>
        <v>1</v>
      </c>
    </row>
    <row r="18" spans="9:9" x14ac:dyDescent="0.25">
      <c r="I18" s="164">
        <f>SUM(I16:I17)</f>
        <v>1</v>
      </c>
    </row>
  </sheetData>
  <sheetProtection algorithmName="SHA-512" hashValue="aXmroTA+vD1sUh7tvZGTmvmxw9JT0IqWKcPZKWfMJxv5vlaZSDCNokDBbj1xl/3wj1fgYRXTvsMngOqH3lCZYg==" saltValue="D2qZj+Xv3CE5YhghecaoWw==" spinCount="100000" sheet="1" objects="1" scenarios="1"/>
  <mergeCells count="6">
    <mergeCell ref="E15:F15"/>
    <mergeCell ref="B2:G2"/>
    <mergeCell ref="B9:C9"/>
    <mergeCell ref="B1:H1"/>
    <mergeCell ref="E3:G4"/>
    <mergeCell ref="E14:F14"/>
  </mergeCells>
  <conditionalFormatting sqref="F8:F13">
    <cfRule type="cellIs" dxfId="7" priority="15" operator="greaterThan">
      <formula>0.5</formula>
    </cfRule>
  </conditionalFormatting>
  <conditionalFormatting sqref="C4">
    <cfRule type="cellIs" dxfId="6" priority="3" operator="equal">
      <formula>"Met"</formula>
    </cfRule>
    <cfRule type="cellIs" dxfId="5" priority="10" operator="equal">
      <formula>"Not Met"</formula>
    </cfRule>
  </conditionalFormatting>
  <conditionalFormatting sqref="E15:F15">
    <cfRule type="cellIs" dxfId="4" priority="6" operator="greaterThan">
      <formula>0.5</formula>
    </cfRule>
  </conditionalFormatting>
  <conditionalFormatting sqref="C6">
    <cfRule type="cellIs" dxfId="3" priority="4" operator="equal">
      <formula>"Met"</formula>
    </cfRule>
    <cfRule type="cellIs" dxfId="2" priority="5" operator="equal">
      <formula>"Not Met"</formula>
    </cfRule>
  </conditionalFormatting>
  <conditionalFormatting sqref="B11:C14">
    <cfRule type="cellIs" dxfId="1" priority="2" operator="equal">
      <formula>""""""</formula>
    </cfRule>
  </conditionalFormatting>
  <conditionalFormatting sqref="E3:G4">
    <cfRule type="cellIs" dxfId="0" priority="1" operator="equal">
      <formula>"Insufficient time for review"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MD-GM-Business Development</vt:lpstr>
      <vt:lpstr>Minimum Criteria</vt:lpstr>
      <vt:lpstr>Additional Measures</vt:lpstr>
      <vt:lpstr>Client Financial Background</vt:lpstr>
      <vt:lpstr> HSEQ Tab</vt:lpstr>
      <vt:lpstr>Crewing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Coromines, Sylvie</cp:lastModifiedBy>
  <cp:lastPrinted>2019-01-10T13:51:18Z</cp:lastPrinted>
  <dcterms:created xsi:type="dcterms:W3CDTF">2018-12-19T16:50:22Z</dcterms:created>
  <dcterms:modified xsi:type="dcterms:W3CDTF">2019-03-18T13:52:27Z</dcterms:modified>
</cp:coreProperties>
</file>