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ilvi\Downloads\"/>
    </mc:Choice>
  </mc:AlternateContent>
  <xr:revisionPtr revIDLastSave="0" documentId="13_ncr:1_{C728AE3B-B5E5-4205-A7AC-17F0AF1AB8A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0" i="2" l="1"/>
  <c r="F771" i="2"/>
  <c r="F772" i="2"/>
  <c r="F773" i="2"/>
  <c r="F774" i="2"/>
  <c r="E771" i="2"/>
  <c r="E772" i="2"/>
  <c r="E773" i="2"/>
  <c r="E774" i="2"/>
  <c r="E770" i="2"/>
  <c r="D774" i="2"/>
  <c r="D773" i="2"/>
  <c r="D772" i="2"/>
  <c r="D771" i="2"/>
  <c r="D770" i="2"/>
  <c r="C774" i="2"/>
  <c r="C773" i="2"/>
  <c r="C772" i="2"/>
  <c r="C771" i="2"/>
  <c r="C770" i="2"/>
  <c r="C677" i="2"/>
  <c r="D755" i="2"/>
  <c r="D754" i="2"/>
  <c r="D753" i="2"/>
  <c r="D752" i="2"/>
  <c r="D751" i="2"/>
  <c r="F726" i="2"/>
  <c r="F725" i="2"/>
  <c r="F724" i="2"/>
  <c r="F723" i="2"/>
  <c r="F722" i="2"/>
  <c r="E726" i="2"/>
  <c r="E725" i="2"/>
  <c r="E724" i="2"/>
  <c r="E723" i="2"/>
  <c r="E722" i="2"/>
  <c r="D726" i="2"/>
  <c r="D725" i="2"/>
  <c r="D724" i="2"/>
  <c r="D723" i="2"/>
  <c r="D722" i="2"/>
  <c r="C726" i="2"/>
  <c r="C725" i="2"/>
  <c r="C724" i="2"/>
  <c r="C723" i="2"/>
  <c r="C722" i="2"/>
  <c r="D710" i="2"/>
  <c r="D709" i="2"/>
  <c r="D708" i="2"/>
  <c r="D707" i="2"/>
  <c r="D706" i="2"/>
  <c r="F681" i="2"/>
  <c r="F680" i="2"/>
  <c r="F679" i="2"/>
  <c r="F678" i="2"/>
  <c r="F677" i="2"/>
  <c r="E681" i="2"/>
  <c r="E680" i="2"/>
  <c r="E679" i="2"/>
  <c r="E678" i="2"/>
  <c r="E677" i="2"/>
  <c r="D681" i="2"/>
  <c r="D680" i="2"/>
  <c r="D679" i="2"/>
  <c r="D678" i="2"/>
  <c r="D677" i="2"/>
  <c r="C681" i="2"/>
  <c r="C680" i="2"/>
  <c r="C679" i="2"/>
  <c r="C678" i="2"/>
  <c r="D661" i="2"/>
  <c r="D660" i="2"/>
  <c r="D646" i="2"/>
  <c r="D645" i="2"/>
  <c r="D630" i="2"/>
  <c r="D629" i="2"/>
  <c r="D628" i="2"/>
  <c r="D627" i="2"/>
  <c r="D626" i="2"/>
  <c r="D612" i="2"/>
  <c r="D611" i="2"/>
  <c r="D610" i="2"/>
  <c r="D609" i="2"/>
  <c r="D608" i="2"/>
  <c r="D592" i="2"/>
  <c r="D595" i="2"/>
  <c r="D594" i="2"/>
  <c r="D593" i="2"/>
  <c r="D591" i="2"/>
  <c r="D578" i="2"/>
  <c r="D577" i="2"/>
  <c r="D576" i="2"/>
  <c r="D575" i="2"/>
  <c r="D574" i="2"/>
  <c r="D560" i="2"/>
  <c r="D559" i="2"/>
  <c r="D558" i="2"/>
  <c r="D557" i="2"/>
  <c r="D556" i="2"/>
  <c r="D540" i="2"/>
  <c r="D539" i="2"/>
  <c r="D538" i="2"/>
  <c r="D537" i="2"/>
  <c r="D536" i="2"/>
  <c r="C540" i="2"/>
  <c r="C539" i="2"/>
  <c r="C538" i="2"/>
  <c r="C537" i="2"/>
  <c r="C536" i="2"/>
  <c r="D520" i="2"/>
  <c r="D519" i="2"/>
  <c r="D518" i="2"/>
  <c r="D517" i="2"/>
  <c r="D516" i="2"/>
  <c r="C520" i="2"/>
  <c r="C519" i="2"/>
  <c r="C518" i="2"/>
  <c r="C517" i="2"/>
  <c r="C516" i="2"/>
  <c r="D498" i="2"/>
  <c r="D497" i="2"/>
  <c r="D496" i="2"/>
  <c r="D495" i="2"/>
  <c r="D494" i="2"/>
  <c r="C498" i="2"/>
  <c r="C497" i="2"/>
  <c r="C496" i="2"/>
  <c r="C495" i="2"/>
  <c r="C494" i="2"/>
  <c r="D478" i="2"/>
  <c r="D477" i="2"/>
  <c r="D476" i="2"/>
  <c r="D475" i="2"/>
  <c r="D474" i="2"/>
  <c r="C478" i="2"/>
  <c r="C477" i="2"/>
  <c r="C476" i="2"/>
  <c r="C475" i="2"/>
  <c r="C474" i="2"/>
  <c r="D460" i="2"/>
  <c r="D455" i="2"/>
  <c r="D454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1" i="2"/>
  <c r="D280" i="2"/>
  <c r="D279" i="2"/>
  <c r="D278" i="2"/>
  <c r="C281" i="2"/>
  <c r="C280" i="2"/>
  <c r="C279" i="2"/>
  <c r="C278" i="2"/>
  <c r="C267" i="2"/>
  <c r="C266" i="2"/>
  <c r="C265" i="2"/>
  <c r="C264" i="2"/>
  <c r="G258" i="2"/>
  <c r="G257" i="2"/>
  <c r="G256" i="2"/>
  <c r="G255" i="2"/>
  <c r="F258" i="2"/>
  <c r="F257" i="2"/>
  <c r="F256" i="2"/>
  <c r="F255" i="2"/>
  <c r="E258" i="2"/>
  <c r="E267" i="2" s="1"/>
  <c r="E257" i="2"/>
  <c r="E266" i="2" s="1"/>
  <c r="E256" i="2"/>
  <c r="E265" i="2" s="1"/>
  <c r="E255" i="2"/>
  <c r="E264" i="2" s="1"/>
  <c r="D258" i="2"/>
  <c r="D257" i="2"/>
  <c r="D256" i="2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C192" i="2"/>
  <c r="D195" i="2"/>
  <c r="D194" i="2"/>
  <c r="D193" i="2"/>
  <c r="D70" i="2"/>
  <c r="D69" i="2"/>
  <c r="D68" i="2"/>
  <c r="D9" i="2"/>
  <c r="D8" i="2"/>
  <c r="D192" i="2"/>
  <c r="D172" i="2"/>
  <c r="D176" i="2"/>
  <c r="D175" i="2"/>
  <c r="D174" i="2"/>
  <c r="D173" i="2"/>
  <c r="D63" i="2"/>
  <c r="D157" i="2"/>
  <c r="D156" i="2"/>
  <c r="D155" i="2"/>
  <c r="D154" i="2"/>
  <c r="D140" i="2"/>
  <c r="D139" i="2"/>
  <c r="D138" i="2"/>
  <c r="D137" i="2"/>
  <c r="D136" i="2"/>
  <c r="D135" i="2"/>
  <c r="D134" i="2"/>
  <c r="D122" i="2"/>
  <c r="D121" i="2"/>
  <c r="D120" i="2"/>
  <c r="D119" i="2"/>
  <c r="D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D775" i="2" l="1"/>
  <c r="C775" i="2"/>
  <c r="D779" i="2"/>
  <c r="D780" i="2"/>
  <c r="D461" i="2"/>
  <c r="D267" i="2"/>
  <c r="G267" i="2"/>
  <c r="E195" i="2"/>
  <c r="E193" i="2"/>
  <c r="E192" i="2"/>
  <c r="D265" i="2"/>
  <c r="D266" i="2"/>
  <c r="E194" i="2"/>
  <c r="C196" i="2"/>
  <c r="D756" i="2"/>
  <c r="F727" i="2"/>
  <c r="F734" i="2" s="1"/>
  <c r="E727" i="2"/>
  <c r="D727" i="2"/>
  <c r="D735" i="2" s="1"/>
  <c r="C727" i="2"/>
  <c r="C737" i="2" s="1"/>
  <c r="D711" i="2"/>
  <c r="C682" i="2"/>
  <c r="C689" i="2" s="1"/>
  <c r="D682" i="2"/>
  <c r="D692" i="2" s="1"/>
  <c r="E682" i="2"/>
  <c r="F682" i="2"/>
  <c r="F689" i="2" s="1"/>
  <c r="D631" i="2"/>
  <c r="D613" i="2"/>
  <c r="D596" i="2"/>
  <c r="D579" i="2"/>
  <c r="D561" i="2"/>
  <c r="C479" i="2"/>
  <c r="E476" i="2" s="1"/>
  <c r="D72" i="2"/>
  <c r="F265" i="2"/>
  <c r="F266" i="2"/>
  <c r="F267" i="2"/>
  <c r="D264" i="2"/>
  <c r="G264" i="2"/>
  <c r="G265" i="2"/>
  <c r="G266" i="2"/>
  <c r="D541" i="2"/>
  <c r="F538" i="2" s="1"/>
  <c r="C541" i="2"/>
  <c r="E537" i="2" s="1"/>
  <c r="D521" i="2"/>
  <c r="F520" i="2" s="1"/>
  <c r="C521" i="2"/>
  <c r="E520" i="2" s="1"/>
  <c r="D499" i="2"/>
  <c r="C499" i="2"/>
  <c r="D479" i="2"/>
  <c r="F496" i="2" s="1"/>
  <c r="F264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F230" i="2"/>
  <c r="C295" i="2"/>
  <c r="F296" i="2"/>
  <c r="E319" i="2"/>
  <c r="C356" i="2"/>
  <c r="E358" i="2"/>
  <c r="C421" i="2"/>
  <c r="C232" i="2"/>
  <c r="D229" i="2"/>
  <c r="F231" i="2"/>
  <c r="C296" i="2"/>
  <c r="D296" i="2"/>
  <c r="E320" i="2"/>
  <c r="C357" i="2"/>
  <c r="F354" i="2"/>
  <c r="D456" i="2"/>
  <c r="D440" i="2"/>
  <c r="D422" i="2"/>
  <c r="D384" i="2"/>
  <c r="D359" i="2"/>
  <c r="C341" i="2"/>
  <c r="E340" i="2" s="1"/>
  <c r="D341" i="2"/>
  <c r="F340" i="2" s="1"/>
  <c r="D282" i="2"/>
  <c r="C282" i="2"/>
  <c r="D215" i="2"/>
  <c r="C216" i="2" s="1"/>
  <c r="D105" i="2"/>
  <c r="D85" i="2"/>
  <c r="D86" i="2"/>
  <c r="D123" i="2"/>
  <c r="D177" i="2"/>
  <c r="D158" i="2"/>
  <c r="D83" i="2"/>
  <c r="D84" i="2"/>
  <c r="D27" i="2"/>
  <c r="D10" i="2"/>
  <c r="E498" i="2" l="1"/>
  <c r="E494" i="2"/>
  <c r="F691" i="2"/>
  <c r="E540" i="2"/>
  <c r="C736" i="2"/>
  <c r="C735" i="2"/>
  <c r="F537" i="2"/>
  <c r="D688" i="2"/>
  <c r="F733" i="2"/>
  <c r="D742" i="2" s="1"/>
  <c r="F737" i="2"/>
  <c r="D233" i="2"/>
  <c r="D243" i="2" s="1"/>
  <c r="F736" i="2"/>
  <c r="C734" i="2"/>
  <c r="F692" i="2"/>
  <c r="C733" i="2"/>
  <c r="D739" i="2" s="1"/>
  <c r="E539" i="2"/>
  <c r="F735" i="2"/>
  <c r="E211" i="2"/>
  <c r="D689" i="2"/>
  <c r="F690" i="2"/>
  <c r="D691" i="2"/>
  <c r="C690" i="2"/>
  <c r="E735" i="2"/>
  <c r="E736" i="2"/>
  <c r="D734" i="2"/>
  <c r="E734" i="2"/>
  <c r="E536" i="2"/>
  <c r="D545" i="2" s="1"/>
  <c r="E538" i="2"/>
  <c r="E517" i="2"/>
  <c r="E690" i="2"/>
  <c r="E691" i="2"/>
  <c r="E733" i="2"/>
  <c r="F536" i="2"/>
  <c r="D546" i="2" s="1"/>
  <c r="F539" i="2"/>
  <c r="F540" i="2"/>
  <c r="E516" i="2"/>
  <c r="D690" i="2"/>
  <c r="E689" i="2"/>
  <c r="E519" i="2"/>
  <c r="C692" i="2"/>
  <c r="C688" i="2"/>
  <c r="D694" i="2" s="1"/>
  <c r="E737" i="2"/>
  <c r="E518" i="2"/>
  <c r="D737" i="2"/>
  <c r="D733" i="2"/>
  <c r="F688" i="2"/>
  <c r="D697" i="2" s="1"/>
  <c r="E688" i="2"/>
  <c r="C691" i="2"/>
  <c r="F494" i="2"/>
  <c r="D736" i="2"/>
  <c r="E692" i="2"/>
  <c r="C728" i="2"/>
  <c r="C683" i="2"/>
  <c r="E297" i="2"/>
  <c r="E307" i="2" s="1"/>
  <c r="F475" i="2"/>
  <c r="E495" i="2"/>
  <c r="D503" i="2" s="1"/>
  <c r="F497" i="2"/>
  <c r="F517" i="2"/>
  <c r="F518" i="2"/>
  <c r="F474" i="2"/>
  <c r="F519" i="2"/>
  <c r="F476" i="2"/>
  <c r="F477" i="2"/>
  <c r="F495" i="2"/>
  <c r="C359" i="2"/>
  <c r="C368" i="2" s="1"/>
  <c r="E477" i="2"/>
  <c r="E478" i="2"/>
  <c r="F516" i="2"/>
  <c r="E475" i="2"/>
  <c r="E497" i="2"/>
  <c r="F478" i="2"/>
  <c r="F498" i="2"/>
  <c r="E474" i="2"/>
  <c r="E496" i="2"/>
  <c r="C283" i="2"/>
  <c r="E278" i="2"/>
  <c r="F213" i="2"/>
  <c r="F281" i="2"/>
  <c r="F280" i="2"/>
  <c r="F279" i="2"/>
  <c r="F278" i="2"/>
  <c r="F211" i="2"/>
  <c r="F297" i="2"/>
  <c r="F306" i="2" s="1"/>
  <c r="E339" i="2"/>
  <c r="D367" i="2"/>
  <c r="F338" i="2"/>
  <c r="E338" i="2"/>
  <c r="F212" i="2"/>
  <c r="C403" i="2"/>
  <c r="E418" i="2" s="1"/>
  <c r="E233" i="2"/>
  <c r="D365" i="2"/>
  <c r="E337" i="2"/>
  <c r="C297" i="2"/>
  <c r="C306" i="2" s="1"/>
  <c r="D369" i="2"/>
  <c r="F337" i="2"/>
  <c r="E336" i="2"/>
  <c r="E279" i="2"/>
  <c r="F210" i="2"/>
  <c r="F359" i="2"/>
  <c r="F365" i="2" s="1"/>
  <c r="E359" i="2"/>
  <c r="E368" i="2" s="1"/>
  <c r="E213" i="2"/>
  <c r="E214" i="2"/>
  <c r="E212" i="2"/>
  <c r="F336" i="2"/>
  <c r="E281" i="2"/>
  <c r="D297" i="2"/>
  <c r="D307" i="2" s="1"/>
  <c r="D368" i="2"/>
  <c r="F233" i="2"/>
  <c r="F243" i="2" s="1"/>
  <c r="C233" i="2"/>
  <c r="C422" i="2"/>
  <c r="D366" i="2"/>
  <c r="E280" i="2"/>
  <c r="D403" i="2"/>
  <c r="F419" i="2" s="1"/>
  <c r="F339" i="2"/>
  <c r="F214" i="2"/>
  <c r="C342" i="2"/>
  <c r="D87" i="2"/>
  <c r="F242" i="2" l="1"/>
  <c r="D526" i="2"/>
  <c r="C367" i="2"/>
  <c r="D239" i="2"/>
  <c r="D241" i="2"/>
  <c r="D240" i="2"/>
  <c r="D242" i="2"/>
  <c r="D483" i="2"/>
  <c r="D504" i="2"/>
  <c r="F369" i="2"/>
  <c r="E365" i="2"/>
  <c r="F368" i="2"/>
  <c r="E306" i="2"/>
  <c r="F367" i="2"/>
  <c r="E367" i="2"/>
  <c r="E305" i="2"/>
  <c r="D741" i="2"/>
  <c r="D695" i="2"/>
  <c r="C369" i="2"/>
  <c r="C365" i="2"/>
  <c r="F420" i="2"/>
  <c r="E304" i="2"/>
  <c r="D484" i="2"/>
  <c r="D525" i="2"/>
  <c r="D696" i="2"/>
  <c r="C366" i="2"/>
  <c r="D740" i="2"/>
  <c r="C234" i="2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<sst xmlns="http://schemas.openxmlformats.org/spreadsheetml/2006/main" count="3129" uniqueCount="330">
  <si>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</si>
  <si>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</si>
  <si>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</si>
  <si>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</si>
  <si>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</si>
  <si>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</si>
  <si>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</si>
  <si>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</si>
  <si>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</si>
  <si>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</si>
  <si>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</si>
  <si>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</si>
  <si>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</si>
  <si>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</si>
  <si>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</si>
  <si>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</si>
  <si>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</si>
  <si>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</si>
  <si>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</si>
  <si>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</si>
  <si>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</si>
  <si>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</si>
  <si>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</si>
  <si>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</si>
  <si>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</si>
  <si>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</si>
  <si>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</si>
  <si>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</si>
  <si>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</si>
  <si>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</si>
  <si>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</si>
  <si>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</si>
  <si>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</si>
  <si>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</si>
  <si>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</si>
  <si>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</si>
  <si>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</si>
  <si>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</si>
  <si>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</si>
  <si>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</si>
  <si>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</si>
  <si>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</si>
  <si>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</si>
  <si>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</si>
  <si>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</si>
  <si>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</si>
  <si>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</si>
  <si>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</si>
  <si>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</si>
  <si>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</si>
  <si>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</si>
  <si>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</si>
  <si>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</si>
  <si>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</si>
  <si>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</si>
  <si>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</si>
  <si>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</si>
  <si>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</si>
  <si>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</si>
  <si>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</si>
  <si>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</si>
  <si>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</si>
  <si>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</si>
  <si>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</si>
  <si>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</si>
  <si>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</si>
  <si>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</si>
  <si>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</si>
  <si>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</si>
  <si>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</si>
  <si>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</si>
  <si>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</si>
  <si>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</si>
  <si>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</si>
  <si>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</si>
  <si>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</si>
  <si>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</si>
  <si>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</si>
  <si>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</si>
  <si>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</si>
  <si>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</si>
  <si>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</si>
  <si>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</si>
  <si>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</si>
  <si>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</si>
  <si>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</si>
  <si>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</si>
  <si>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</si>
  <si>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</si>
  <si>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</si>
  <si>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</si>
  <si>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</si>
  <si>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</si>
  <si>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</si>
  <si>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</si>
  <si>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</si>
  <si>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</si>
  <si>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</si>
  <si>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</si>
  <si>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</si>
  <si>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</si>
  <si>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</si>
  <si>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</si>
  <si>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</si>
  <si>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</si>
  <si>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</si>
  <si>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</si>
  <si>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</si>
  <si>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</si>
  <si>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</si>
  <si>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</si>
  <si>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</si>
  <si>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</si>
  <si>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</si>
  <si>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</si>
  <si>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</si>
  <si>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</si>
  <si>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</si>
  <si>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</si>
  <si>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</si>
  <si>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</si>
  <si>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</si>
  <si>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</si>
  <si>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</si>
  <si>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</si>
  <si>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</si>
  <si>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</si>
  <si>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</si>
  <si>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</si>
  <si>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</si>
  <si>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</si>
  <si>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</si>
  <si>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</si>
  <si>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</si>
  <si>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</si>
  <si>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</si>
  <si>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</si>
  <si>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</si>
  <si>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</si>
  <si>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</si>
  <si>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</si>
  <si>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</si>
  <si>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</si>
  <si>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</si>
  <si>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</si>
  <si>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</si>
  <si>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</si>
  <si>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</si>
  <si>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</si>
  <si>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</si>
  <si>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</si>
  <si>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</si>
  <si>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</si>
  <si>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</si>
  <si>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</si>
  <si>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</si>
  <si>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</si>
  <si>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</si>
  <si>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</si>
  <si>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</si>
  <si>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</si>
  <si>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</si>
  <si>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</si>
  <si>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</si>
  <si>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</si>
  <si>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</si>
  <si>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</si>
  <si>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</si>
  <si>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</si>
  <si>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</si>
  <si>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</si>
  <si>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</si>
  <si>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</si>
  <si>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</si>
  <si>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</si>
  <si>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</si>
  <si>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</si>
  <si>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</si>
  <si>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</si>
  <si>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</si>
  <si>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</si>
  <si>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</si>
  <si>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</si>
  <si>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</si>
  <si>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</si>
  <si>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</si>
  <si>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</si>
  <si>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</si>
  <si>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</si>
  <si>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</si>
  <si>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</si>
  <si>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</si>
  <si>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</si>
  <si>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</si>
  <si>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</si>
  <si>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</si>
  <si>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</si>
  <si>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</si>
  <si>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</si>
  <si>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</si>
  <si>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</si>
  <si>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</si>
  <si>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</si>
  <si>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</si>
  <si>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</si>
  <si>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</si>
  <si>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</si>
  <si>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</si>
  <si>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</si>
  <si>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</si>
  <si>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</si>
  <si>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</si>
  <si>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</si>
  <si>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</si>
  <si>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</si>
  <si>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</si>
  <si>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</si>
  <si>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</si>
  <si>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</si>
  <si>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</si>
  <si>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</si>
  <si>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</si>
  <si>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</si>
  <si>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</si>
  <si>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</si>
  <si>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</si>
  <si>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</si>
  <si>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</si>
  <si>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Total</t>
  </si>
  <si>
    <t>Male</t>
  </si>
  <si>
    <t>Female</t>
  </si>
  <si>
    <t>UCLM</t>
  </si>
  <si>
    <t>Other</t>
  </si>
  <si>
    <t>Spain</t>
  </si>
  <si>
    <t>18-25</t>
  </si>
  <si>
    <t>&gt;50</t>
  </si>
  <si>
    <t>Monolingual</t>
  </si>
  <si>
    <t>Bilingual</t>
  </si>
  <si>
    <t>Trilingual</t>
  </si>
  <si>
    <t>Multilingual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</si>
  <si>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</si>
  <si>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</si>
  <si>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</si>
  <si>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</si>
  <si>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</si>
  <si>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</si>
  <si>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</si>
  <si>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</si>
  <si>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</si>
  <si>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</si>
  <si>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</si>
  <si>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</si>
  <si>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</si>
  <si>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</si>
  <si>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</si>
  <si>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</si>
  <si>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</si>
  <si>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</si>
  <si>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</si>
  <si>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</si>
  <si>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</si>
  <si>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</si>
  <si>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</si>
  <si>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</si>
  <si>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British</t>
  </si>
  <si>
    <t>American</t>
  </si>
  <si>
    <t>P9.5</t>
  </si>
  <si>
    <t>Important asset</t>
  </si>
  <si>
    <t>Good grades</t>
  </si>
  <si>
    <t>Communication</t>
  </si>
  <si>
    <t>Enjoy learning</t>
  </si>
  <si>
    <t>No choice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</si>
  <si>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</si>
  <si>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</si>
  <si>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</si>
  <si>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</si>
  <si>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</si>
  <si>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</si>
  <si>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</si>
  <si>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</si>
  <si>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</si>
  <si>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>25-35</t>
  </si>
  <si>
    <t>35-50</t>
  </si>
  <si>
    <t>Ojo al total!</t>
  </si>
  <si>
    <t>Age Range</t>
  </si>
  <si>
    <t># of people</t>
  </si>
  <si>
    <t>Acceptability</t>
  </si>
  <si>
    <t>% of Accep.</t>
  </si>
  <si>
    <t>Males</t>
  </si>
  <si>
    <t>Females</t>
  </si>
  <si>
    <t>Femenino</t>
  </si>
  <si>
    <t>Total Total</t>
  </si>
  <si>
    <t>Yes</t>
  </si>
  <si>
    <t>Y</t>
  </si>
  <si>
    <t>N</t>
  </si>
  <si>
    <t>P9.52</t>
  </si>
  <si>
    <t>Mixed</t>
  </si>
  <si>
    <t>Doesn't care</t>
  </si>
  <si>
    <t>Media</t>
  </si>
  <si>
    <t>P20 (Age, Strongly Agree and Agree)</t>
  </si>
  <si>
    <t>P20 (Gender)</t>
  </si>
  <si>
    <t>P20 (Number of spoken languages)</t>
  </si>
  <si>
    <t>P9 (Age)</t>
  </si>
  <si>
    <t>Very familiar</t>
  </si>
  <si>
    <t>Familiarity</t>
  </si>
  <si>
    <t>P9 (Number of spoken languages)</t>
  </si>
  <si>
    <t>Embarrassment</t>
  </si>
  <si>
    <t>P10 (Age, Strongly Agree, Agree)</t>
  </si>
  <si>
    <t>% of Emb.</t>
  </si>
  <si>
    <t>P10 (Gender)</t>
  </si>
  <si>
    <t>P10 (Number of spoken languages)</t>
  </si>
  <si>
    <t>P12 (Number of spoken languages)</t>
  </si>
  <si>
    <t>Opinion</t>
  </si>
  <si>
    <t>P22 (Number of spoken languages)</t>
  </si>
  <si>
    <t>P9 (UK and USA)</t>
  </si>
  <si>
    <t>England</t>
  </si>
  <si>
    <t>P14 (Age)</t>
  </si>
  <si>
    <t>Strongly Agree and Agree</t>
  </si>
  <si>
    <t>P19 (Age)</t>
  </si>
  <si>
    <t>P14 (Gender)</t>
  </si>
  <si>
    <t>P19 (Gender)</t>
  </si>
  <si>
    <t>P9 (Gender)</t>
  </si>
  <si>
    <t>P20 + P19 (No Neutral)</t>
  </si>
  <si>
    <t>P10 + P19 (No Neutral)</t>
  </si>
  <si>
    <t>P14 (Number of spoken languages)</t>
  </si>
  <si>
    <t>P19 (Number of spoken languages)</t>
  </si>
  <si>
    <t>P19 (Excellent and very good command)</t>
  </si>
  <si>
    <t>P14 (Excellent and very good command)</t>
  </si>
  <si>
    <t>Si se me diera la oportunizad, viviría en Nueva Zelanda o India durante un tiempo.</t>
  </si>
  <si>
    <t>P21 (Gender)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</si>
</sst>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0B4"/>
        <bgColor rgb="FF000000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/>
    <xf numFmtId="0" fontId="0" fillId="5" borderId="12" xfId="0" applyFill="1" applyBorder="1" applyAlignment="1">
      <alignment horizontal="center"/>
    </xf>
    <xf numFmtId="0" fontId="0" fillId="0" borderId="17" xfId="0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Gráficas!$C$154:$C$157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Gráficas!$C$172:$C$176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Gráficas!$D$172:$D$176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Embarrassment</a:t>
            </a:r>
            <a:r>
              <a:rPr lang="en-US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Emb.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spoken</a:t>
            </a:r>
            <a:r>
              <a:rPr lang="en-GB" sz="1800" b="1" baseline="0">
                <a:solidFill>
                  <a:sysClr val="windowText" lastClr="000000"/>
                </a:solidFill>
              </a:rPr>
              <a:t>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>
                <a:solidFill>
                  <a:sysClr val="windowText" lastClr="000000"/>
                </a:solidFill>
              </a:rPr>
              <a:t>Familiarity by gender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Gráficas!$E$278:$E$281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Gráficas!$F$278:$F$281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live in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81-4934-A8A1-B92E154361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81-4934-A8A1-B92E15436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81-4934-A8A1-B92E154361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81-4934-A8A1-B92E154361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81-4934-A8A1-B92E154361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Gráficas!$C$379:$C$383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British English</a:t>
            </a:r>
            <a:r>
              <a:rPr lang="en-GB" sz="1800" b="1" baseline="0">
                <a:solidFill>
                  <a:sysClr val="windowText" lastClr="000000"/>
                </a:solidFill>
              </a:rPr>
              <a:t> is the most correct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Preference for native-like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accent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learn</a:t>
            </a:r>
            <a:r>
              <a:rPr lang="en-GB" baseline="0"/>
              <a:t> about India and New Zealand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D-41D9-8C4E-B95BAD0D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D-41D9-8C4E-B95BAD0D8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ED-41D9-8C4E-B95BAD0D8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ED-41D9-8C4E-B95BAD0D8B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ED-41D9-8C4E-B95BAD0D8B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Gráficas!$C$435:$C$439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with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Gráficas!$C$454:$C$455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Gráficas!$D$454:$D$455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 British</a:t>
            </a:r>
            <a:r>
              <a:rPr lang="en-GB" sz="1400" b="1" baseline="0">
                <a:solidFill>
                  <a:sysClr val="windowText" lastClr="000000"/>
                </a:solidFill>
              </a:rPr>
              <a:t> English are both correct by age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Gráficas!$E$473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Gráficas!$E$474:$E$478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Gráficas!$F$473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Gráficas!$F$474:$F$478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Would live in India</a:t>
            </a:r>
            <a:r>
              <a:rPr lang="en-GB" sz="1600" b="1" baseline="0">
                <a:solidFill>
                  <a:sysClr val="windowText" lastClr="000000"/>
                </a:solidFill>
              </a:rPr>
              <a:t> or New Zealand by age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Gráficas!$E$494:$E$498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Gráficas!$F$493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Gráficas!$F$494:$F$498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gender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</a:defRPr>
            </a:pP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Gráficas!$E$516:$E$520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Gráficas!$F$515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Gráficas!$F$516:$F$520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gender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2381040363697204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Gráficas!$E$536:$E$540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Gráficas!$F$536:$F$540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  <a:r>
              <a:rPr lang="en-GB" baseline="0"/>
              <a:t> for native teachers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E-47C3-B1CF-3A605A726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E-47C3-B1CF-3A605A726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E-47C3-B1CF-3A605A726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E-47C3-B1CF-3A605A726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E-47C3-B1CF-3A605A7264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Gráficas!$C$556:$C$560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Gráficas!$D$556:$D$560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Awkwardness with native speakers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8B-4D42-9E2E-B89F3473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8B-4D42-9E2E-B89F3473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8B-4D42-9E2E-B89F34739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38B-4D42-9E2E-B89F3473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38B-4D42-9E2E-B89F34739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Gráficas!$C$574:$C$578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Non-native English</a:t>
            </a:r>
            <a:r>
              <a:rPr lang="en-GB" baseline="0"/>
              <a:t> is easy to understand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95-481A-8EA5-427F66990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95-481A-8EA5-427F66990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95-481A-8EA5-427F66990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95-481A-8EA5-427F66990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95-481A-8EA5-427F669902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Gráficas!$C$591:$C$595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Gráficas!$D$591:$D$595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Indian and New Zealand accents</a:t>
            </a:r>
            <a:r>
              <a:rPr lang="en-GB" sz="1600" baseline="0"/>
              <a:t> are easy to understand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E6-4CB0-9356-C1E960B6D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E6-4CB0-9356-C1E960B6D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E6-4CB0-9356-C1E960B6D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E6-4CB0-9356-C1E960B6D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E6-4CB0-9356-C1E960B6D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Gráficas!$C$608:$C$612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Gráficas!$D$608:$D$612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A9-421C-BB63-9A3EE63E1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9-421C-BB63-9A3EE63E1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A9-421C-BB63-9A3EE63E17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A9-421C-BB63-9A3EE63E17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A9-421C-BB63-9A3EE63E1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Gráficas!$C$626:$C$630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People</a:t>
            </a:r>
            <a:r>
              <a:rPr lang="en-GB" sz="1400" baseline="0"/>
              <a:t> (who think </a:t>
            </a:r>
            <a:r>
              <a:rPr lang="en-GB" sz="1400"/>
              <a:t>that</a:t>
            </a:r>
            <a:r>
              <a:rPr lang="en-GB" sz="1400" baseline="0"/>
              <a:t> an accent is acceptable) that w</a:t>
            </a:r>
            <a:r>
              <a:rPr lang="en-GB" sz="1400"/>
              <a:t>ould live in India</a:t>
            </a:r>
            <a:r>
              <a:rPr lang="en-GB" sz="1400" baseline="0"/>
              <a:t> and New Zealand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4-4831-BB0C-117D40325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4-4831-BB0C-117D40325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Gráficas!$C$645:$C$646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Gráficas!$D$645:$D$646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People (who are embarrassed about their accent) that would live in India and New Zealand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C2-4C03-8003-96300AB4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C2-4C03-8003-96300AB46A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Gráficas!$C$660:$C$661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Gráficas!$D$660:$D$661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</a:t>
            </a:r>
            <a:r>
              <a:rPr lang="en-GB" sz="1400" b="1" baseline="0">
                <a:solidFill>
                  <a:sysClr val="windowText" lastClr="000000"/>
                </a:solidFill>
              </a:rPr>
              <a:t> British English are both correct by spoken languages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Gráficas!$C$694:$C$697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Gráficas!$D$694:$D$697</c:f>
              <c:numCache>
                <c:formatCode>0.00%</c:formatCode>
                <c:ptCount val="4"/>
                <c:pt idx="0">
                  <c:v>0.69565217391304346</c:v>
                </c:pt>
                <c:pt idx="1">
                  <c:v>0.84313725490196079</c:v>
                </c:pt>
                <c:pt idx="2">
                  <c:v>0.76470588235294112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0FD-837A-A3126AF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59584"/>
        <c:axId val="1358560416"/>
      </c:lineChart>
      <c:catAx>
        <c:axId val="13585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416"/>
        <c:crosses val="autoZero"/>
        <c:auto val="1"/>
        <c:lblAlgn val="ctr"/>
        <c:lblOffset val="100"/>
        <c:noMultiLvlLbl val="0"/>
      </c:catAx>
      <c:valAx>
        <c:axId val="135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Gráficas!$C$706:$C$710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Gráficas!$D$706:$D$710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3C8-B211-3E395312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60832"/>
        <c:axId val="1358562496"/>
      </c:lineChart>
      <c:catAx>
        <c:axId val="13585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2496"/>
        <c:crosses val="autoZero"/>
        <c:auto val="1"/>
        <c:lblAlgn val="ctr"/>
        <c:lblOffset val="100"/>
        <c:noMultiLvlLbl val="0"/>
      </c:catAx>
      <c:valAx>
        <c:axId val="135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spoken languages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Gráficas!$C$739:$C$742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Gráficas!$D$739:$D$742</c:f>
              <c:numCache>
                <c:formatCode>0.00%</c:formatCode>
                <c:ptCount val="4"/>
                <c:pt idx="0">
                  <c:v>0.43478260869565216</c:v>
                </c:pt>
                <c:pt idx="1">
                  <c:v>0.52941176470588236</c:v>
                </c:pt>
                <c:pt idx="2">
                  <c:v>0.58823529411764708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14-BDB9-098BDE2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920"/>
        <c:axId val="1350877584"/>
      </c:lineChart>
      <c:catAx>
        <c:axId val="13508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7584"/>
        <c:crosses val="autoZero"/>
        <c:auto val="1"/>
        <c:lblAlgn val="ctr"/>
        <c:lblOffset val="100"/>
        <c:noMultiLvlLbl val="0"/>
      </c:catAx>
      <c:valAx>
        <c:axId val="135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</a:t>
            </a:r>
            <a:r>
              <a:rPr lang="en-GB" sz="1400" b="1" i="0" u="none" strike="noStrike" baseline="0">
                <a:effectLst/>
              </a:rPr>
              <a:t>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Gráficas!$C$751:$C$755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Gráficas!$D$751:$D$755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A3A-928F-186A5569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17488"/>
        <c:axId val="1377617904"/>
      </c:lineChart>
      <c:catAx>
        <c:axId val="13776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7904"/>
        <c:crosses val="autoZero"/>
        <c:auto val="1"/>
        <c:lblAlgn val="ctr"/>
        <c:lblOffset val="100"/>
        <c:noMultiLvlLbl val="0"/>
      </c:catAx>
      <c:valAx>
        <c:axId val="137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154-BB1B-18E4C1791759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3-4154-BB1B-18E4C179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04048"/>
        <c:axId val="815101552"/>
      </c:lineChart>
      <c:catAx>
        <c:axId val="8151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01552"/>
        <c:crosses val="autoZero"/>
        <c:auto val="1"/>
        <c:lblAlgn val="ctr"/>
        <c:lblOffset val="100"/>
        <c:noMultiLvlLbl val="0"/>
      </c:catAx>
      <c:valAx>
        <c:axId val="815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D09-9D54-88676DB886B8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D09-9D54-88676DB886B8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D09-9D54-88676DB886B8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D09-9D54-88676DB8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75664"/>
        <c:axId val="1070881488"/>
      </c:lineChart>
      <c:catAx>
        <c:axId val="1070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1488"/>
        <c:crosses val="autoZero"/>
        <c:auto val="1"/>
        <c:lblAlgn val="ctr"/>
        <c:lblOffset val="100"/>
        <c:noMultiLvlLbl val="0"/>
      </c:catAx>
      <c:valAx>
        <c:axId val="1070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Gráficas!$C$303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Gráficas!$C$304:$C$307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0.47826086956521741</c:v>
                </c:pt>
                <c:pt idx="2">
                  <c:v>0.36956521739130432</c:v>
                </c:pt>
                <c:pt idx="3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DC4-ABF2-F17642CA1D09}"/>
            </c:ext>
          </c:extLst>
        </c:ser>
        <c:ser>
          <c:idx val="1"/>
          <c:order val="1"/>
          <c:tx>
            <c:strRef>
              <c:f>Gráficas!$D$303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Gráficas!$D$304:$D$307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0.39215686274509803</c:v>
                </c:pt>
                <c:pt idx="2">
                  <c:v>0.39215686274509803</c:v>
                </c:pt>
                <c:pt idx="3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4DC4-ABF2-F17642CA1D09}"/>
            </c:ext>
          </c:extLst>
        </c:ser>
        <c:ser>
          <c:idx val="2"/>
          <c:order val="2"/>
          <c:tx>
            <c:strRef>
              <c:f>Gráficas!$E$303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Gráficas!$E$304:$E$307</c:f>
              <c:numCache>
                <c:formatCode>0.00%</c:formatCode>
                <c:ptCount val="4"/>
                <c:pt idx="0">
                  <c:v>0</c:v>
                </c:pt>
                <c:pt idx="1">
                  <c:v>0.29411764705882354</c:v>
                </c:pt>
                <c:pt idx="2">
                  <c:v>0.29411764705882354</c:v>
                </c:pt>
                <c:pt idx="3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4DC4-ABF2-F17642CA1D09}"/>
            </c:ext>
          </c:extLst>
        </c:ser>
        <c:ser>
          <c:idx val="3"/>
          <c:order val="3"/>
          <c:tx>
            <c:strRef>
              <c:f>Gráficas!$F$303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Gráficas!$F$304:$F$307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2-4DC4-ABF2-F17642CA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02384"/>
        <c:axId val="1229204880"/>
      </c:lineChart>
      <c:catAx>
        <c:axId val="12292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04880"/>
        <c:crosses val="autoZero"/>
        <c:auto val="1"/>
        <c:lblAlgn val="ctr"/>
        <c:lblOffset val="100"/>
        <c:noMultiLvlLbl val="0"/>
      </c:catAx>
      <c:valAx>
        <c:axId val="1229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American and British English are both correct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Gráficas!$C$687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Gráficas!$C$688:$C$692</c:f>
              <c:numCache>
                <c:formatCode>0.00%</c:formatCode>
                <c:ptCount val="5"/>
                <c:pt idx="0">
                  <c:v>0.19565217391304349</c:v>
                </c:pt>
                <c:pt idx="1">
                  <c:v>0.5</c:v>
                </c:pt>
                <c:pt idx="2">
                  <c:v>0.15217391304347827</c:v>
                </c:pt>
                <c:pt idx="3">
                  <c:v>0.15217391304347827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844-B020-5CF713FEE067}"/>
            </c:ext>
          </c:extLst>
        </c:ser>
        <c:ser>
          <c:idx val="1"/>
          <c:order val="1"/>
          <c:tx>
            <c:strRef>
              <c:f>Gráficas!$D$687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Gráficas!$D$688:$D$692</c:f>
              <c:numCache>
                <c:formatCode>0.00%</c:formatCode>
                <c:ptCount val="5"/>
                <c:pt idx="0">
                  <c:v>0.56862745098039214</c:v>
                </c:pt>
                <c:pt idx="1">
                  <c:v>0.27450980392156865</c:v>
                </c:pt>
                <c:pt idx="2">
                  <c:v>0.13725490196078433</c:v>
                </c:pt>
                <c:pt idx="3">
                  <c:v>1.9607843137254902E-2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844-B020-5CF713FEE067}"/>
            </c:ext>
          </c:extLst>
        </c:ser>
        <c:ser>
          <c:idx val="2"/>
          <c:order val="2"/>
          <c:tx>
            <c:strRef>
              <c:f>Gráficas!$E$687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Gráficas!$E$688:$E$692</c:f>
              <c:numCache>
                <c:formatCode>0.00%</c:formatCode>
                <c:ptCount val="5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E-4844-B020-5CF713FEE067}"/>
            </c:ext>
          </c:extLst>
        </c:ser>
        <c:ser>
          <c:idx val="3"/>
          <c:order val="3"/>
          <c:tx>
            <c:strRef>
              <c:f>Gráficas!$F$687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Gráficas!$F$688:$F$692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E-4844-B020-5CF713FE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26048"/>
        <c:axId val="1316229376"/>
      </c:lineChart>
      <c:catAx>
        <c:axId val="13162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29376"/>
        <c:crosses val="autoZero"/>
        <c:auto val="1"/>
        <c:lblAlgn val="ctr"/>
        <c:lblOffset val="100"/>
        <c:noMultiLvlLbl val="0"/>
      </c:catAx>
      <c:valAx>
        <c:axId val="13162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Would live in India or New Zealand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Gráficas!$C$732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Gráficas!$C$733:$C$737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24E-ADA6-DBDA94CD458F}"/>
            </c:ext>
          </c:extLst>
        </c:ser>
        <c:ser>
          <c:idx val="1"/>
          <c:order val="1"/>
          <c:tx>
            <c:strRef>
              <c:f>Gráficas!$D$732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Gráficas!$D$733:$D$737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424E-ADA6-DBDA94CD458F}"/>
            </c:ext>
          </c:extLst>
        </c:ser>
        <c:ser>
          <c:idx val="2"/>
          <c:order val="2"/>
          <c:tx>
            <c:strRef>
              <c:f>Gráficas!$E$732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Gráficas!$E$733:$E$737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7-424E-ADA6-DBDA94CD458F}"/>
            </c:ext>
          </c:extLst>
        </c:ser>
        <c:ser>
          <c:idx val="3"/>
          <c:order val="3"/>
          <c:tx>
            <c:strRef>
              <c:f>Gráficas!$F$732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Gráficas!$F$733:$F$737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7-424E-ADA6-DBDA94C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21680"/>
        <c:axId val="702719184"/>
      </c:lineChart>
      <c:catAx>
        <c:axId val="7027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9184"/>
        <c:crosses val="autoZero"/>
        <c:auto val="1"/>
        <c:lblAlgn val="ctr"/>
        <c:lblOffset val="100"/>
        <c:noMultiLvlLbl val="0"/>
      </c:catAx>
      <c:valAx>
        <c:axId val="702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Ever</a:t>
            </a:r>
            <a:r>
              <a:rPr lang="es-ES" sz="1600" b="1" baseline="0">
                <a:solidFill>
                  <a:sysClr val="windowText" lastClr="000000"/>
                </a:solidFill>
              </a:rPr>
              <a:t> f</a:t>
            </a:r>
            <a:r>
              <a:rPr lang="es-ES" sz="1600" b="1">
                <a:solidFill>
                  <a:sysClr val="windowText" lastClr="000000"/>
                </a:solidFill>
              </a:rPr>
              <a:t>elt</a:t>
            </a:r>
            <a:r>
              <a:rPr lang="es-ES" sz="1600" b="1" baseline="0">
                <a:solidFill>
                  <a:sysClr val="windowText" lastClr="000000"/>
                </a:solidFill>
              </a:rPr>
              <a:t> judged because of accent by gender</a:t>
            </a:r>
            <a:endParaRPr lang="es-E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Gráficas!$E$769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Gráficas!$E$770:$E$774</c:f>
              <c:numCache>
                <c:formatCode>0.00%</c:formatCode>
                <c:ptCount val="5"/>
                <c:pt idx="0">
                  <c:v>5.2631578947368418E-2</c:v>
                </c:pt>
                <c:pt idx="1">
                  <c:v>0.36842105263157893</c:v>
                </c:pt>
                <c:pt idx="2">
                  <c:v>0.13157894736842105</c:v>
                </c:pt>
                <c:pt idx="3">
                  <c:v>0.26315789473684209</c:v>
                </c:pt>
                <c:pt idx="4">
                  <c:v>0.18421052631578946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D1E-A387-6001E65D09F0}"/>
            </c:ext>
          </c:extLst>
        </c:ser>
        <c:ser>
          <c:idx val="1"/>
          <c:order val="1"/>
          <c:tx>
            <c:strRef>
              <c:f>Gráficas!$F$769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Gráficas!$F$770:$F$774</c:f>
              <c:numCache>
                <c:formatCode>0.00%</c:formatCode>
                <c:ptCount val="5"/>
                <c:pt idx="0">
                  <c:v>0.14814814814814814</c:v>
                </c:pt>
                <c:pt idx="1">
                  <c:v>0.35802469135802467</c:v>
                </c:pt>
                <c:pt idx="2">
                  <c:v>0.14814814814814814</c:v>
                </c:pt>
                <c:pt idx="3">
                  <c:v>0.2839506172839506</c:v>
                </c:pt>
                <c:pt idx="4">
                  <c:v>6.1728395061728392E-2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A-4D1E-A387-6001E65D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119"/>
        <c:axId val="77361535"/>
      </c:lineChart>
      <c:catAx>
        <c:axId val="77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1535"/>
        <c:crosses val="autoZero"/>
        <c:auto val="1"/>
        <c:lblAlgn val="ctr"/>
        <c:lblOffset val="100"/>
        <c:noMultiLvlLbl val="0"/>
      </c:catAx>
      <c:valAx>
        <c:axId val="773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</a:t>
                </a:r>
                <a:r>
                  <a:rPr lang="en-GB"/>
                  <a:t>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Gráficas!$C$118:$C$122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Mixed</c:v>
                </c:pt>
                <c:pt idx="3">
                  <c:v>Doesn't care</c:v>
                </c:pt>
                <c:pt idx="4">
                  <c:v>Other</c:v>
                </c:pt>
              </c:strCache>
            </c:strRef>
          </c:cat>
          <c:val>
            <c:numRef>
              <c:f>Gráficas!$D$118:$D$122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Gráficas!$C$134:$C$140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Gráficas!$D$134:$D$140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19</xdr:row>
      <xdr:rowOff>87630</xdr:rowOff>
    </xdr:from>
    <xdr:to>
      <xdr:col>12</xdr:col>
      <xdr:colOff>247650</xdr:colOff>
      <xdr:row>33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287655</xdr:colOff>
      <xdr:row>2</xdr:row>
      <xdr:rowOff>22860</xdr:rowOff>
    </xdr:from>
    <xdr:to>
      <xdr:col>12</xdr:col>
      <xdr:colOff>318135</xdr:colOff>
      <xdr:row>16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158115</xdr:colOff>
      <xdr:row>38</xdr:row>
      <xdr:rowOff>102870</xdr:rowOff>
    </xdr:from>
    <xdr:to>
      <xdr:col>12</xdr:col>
      <xdr:colOff>188595</xdr:colOff>
      <xdr:row>52</xdr:row>
      <xdr:rowOff>158115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60</xdr:row>
      <xdr:rowOff>123825</xdr:rowOff>
    </xdr:from>
    <xdr:to>
      <xdr:col>12</xdr:col>
      <xdr:colOff>278130</xdr:colOff>
      <xdr:row>74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348615</xdr:colOff>
      <xdr:row>77</xdr:row>
      <xdr:rowOff>140970</xdr:rowOff>
    </xdr:from>
    <xdr:to>
      <xdr:col>12</xdr:col>
      <xdr:colOff>379095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201930</xdr:colOff>
      <xdr:row>95</xdr:row>
      <xdr:rowOff>97155</xdr:rowOff>
    </xdr:from>
    <xdr:to>
      <xdr:col>12</xdr:col>
      <xdr:colOff>232410</xdr:colOff>
      <xdr:row>109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74295</xdr:colOff>
      <xdr:row>112</xdr:row>
      <xdr:rowOff>182880</xdr:rowOff>
    </xdr:from>
    <xdr:to>
      <xdr:col>12</xdr:col>
      <xdr:colOff>104775</xdr:colOff>
      <xdr:row>127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278130</xdr:colOff>
      <xdr:row>129</xdr:row>
      <xdr:rowOff>165735</xdr:rowOff>
    </xdr:from>
    <xdr:to>
      <xdr:col>12</xdr:col>
      <xdr:colOff>57150</xdr:colOff>
      <xdr:row>144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279082</xdr:colOff>
      <xdr:row>148</xdr:row>
      <xdr:rowOff>134302</xdr:rowOff>
    </xdr:from>
    <xdr:to>
      <xdr:col>12</xdr:col>
      <xdr:colOff>309562</xdr:colOff>
      <xdr:row>162</xdr:row>
      <xdr:rowOff>180022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127635</xdr:colOff>
      <xdr:row>166</xdr:row>
      <xdr:rowOff>126682</xdr:rowOff>
    </xdr:from>
    <xdr:to>
      <xdr:col>12</xdr:col>
      <xdr:colOff>158115</xdr:colOff>
      <xdr:row>180</xdr:row>
      <xdr:rowOff>183832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720090</xdr:colOff>
      <xdr:row>185</xdr:row>
      <xdr:rowOff>49530</xdr:rowOff>
    </xdr:from>
    <xdr:to>
      <xdr:col>13</xdr:col>
      <xdr:colOff>140970</xdr:colOff>
      <xdr:row>199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72390</xdr:colOff>
      <xdr:row>311</xdr:row>
      <xdr:rowOff>87630</xdr:rowOff>
    </xdr:from>
    <xdr:to>
      <xdr:col>13</xdr:col>
      <xdr:colOff>116205</xdr:colOff>
      <xdr:row>325</xdr:row>
      <xdr:rowOff>127635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798195</xdr:colOff>
      <xdr:row>331</xdr:row>
      <xdr:rowOff>17145</xdr:rowOff>
    </xdr:from>
    <xdr:to>
      <xdr:col>13</xdr:col>
      <xdr:colOff>544830</xdr:colOff>
      <xdr:row>345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906780</xdr:colOff>
      <xdr:row>352</xdr:row>
      <xdr:rowOff>140970</xdr:rowOff>
    </xdr:from>
    <xdr:to>
      <xdr:col>14</xdr:col>
      <xdr:colOff>49530</xdr:colOff>
      <xdr:row>367</xdr:row>
      <xdr:rowOff>5715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1062990</xdr:colOff>
      <xdr:row>271</xdr:row>
      <xdr:rowOff>87630</xdr:rowOff>
    </xdr:from>
    <xdr:to>
      <xdr:col>14</xdr:col>
      <xdr:colOff>194310</xdr:colOff>
      <xdr:row>285</xdr:row>
      <xdr:rowOff>129540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466725</xdr:colOff>
      <xdr:row>252</xdr:row>
      <xdr:rowOff>26670</xdr:rowOff>
    </xdr:from>
    <xdr:to>
      <xdr:col>16</xdr:col>
      <xdr:colOff>160020</xdr:colOff>
      <xdr:row>266</xdr:row>
      <xdr:rowOff>78105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38100</xdr:colOff>
      <xdr:row>373</xdr:row>
      <xdr:rowOff>127635</xdr:rowOff>
    </xdr:from>
    <xdr:to>
      <xdr:col>11</xdr:col>
      <xdr:colOff>422910</xdr:colOff>
      <xdr:row>387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771525</xdr:colOff>
      <xdr:row>429</xdr:row>
      <xdr:rowOff>13335</xdr:rowOff>
    </xdr:from>
    <xdr:to>
      <xdr:col>11</xdr:col>
      <xdr:colOff>255270</xdr:colOff>
      <xdr:row>443</xdr:row>
      <xdr:rowOff>64770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843915</xdr:colOff>
      <xdr:row>448</xdr:row>
      <xdr:rowOff>177165</xdr:rowOff>
    </xdr:from>
    <xdr:to>
      <xdr:col>11</xdr:col>
      <xdr:colOff>41910</xdr:colOff>
      <xdr:row>463</xdr:row>
      <xdr:rowOff>28575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773430</xdr:colOff>
      <xdr:row>468</xdr:row>
      <xdr:rowOff>87630</xdr:rowOff>
    </xdr:from>
    <xdr:to>
      <xdr:col>13</xdr:col>
      <xdr:colOff>516255</xdr:colOff>
      <xdr:row>482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190500</xdr:colOff>
      <xdr:row>487</xdr:row>
      <xdr:rowOff>133350</xdr:rowOff>
    </xdr:from>
    <xdr:to>
      <xdr:col>14</xdr:col>
      <xdr:colOff>493395</xdr:colOff>
      <xdr:row>501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727710</xdr:colOff>
      <xdr:row>511</xdr:row>
      <xdr:rowOff>32385</xdr:rowOff>
    </xdr:from>
    <xdr:to>
      <xdr:col>14</xdr:col>
      <xdr:colOff>163830</xdr:colOff>
      <xdr:row>525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744855</xdr:colOff>
      <xdr:row>529</xdr:row>
      <xdr:rowOff>64770</xdr:rowOff>
    </xdr:from>
    <xdr:to>
      <xdr:col>14</xdr:col>
      <xdr:colOff>186690</xdr:colOff>
      <xdr:row>543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125730</xdr:colOff>
      <xdr:row>550</xdr:row>
      <xdr:rowOff>3810</xdr:rowOff>
    </xdr:from>
    <xdr:to>
      <xdr:col>11</xdr:col>
      <xdr:colOff>510540</xdr:colOff>
      <xdr:row>564</xdr:row>
      <xdr:rowOff>64770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803910</xdr:colOff>
      <xdr:row>567</xdr:row>
      <xdr:rowOff>169545</xdr:rowOff>
    </xdr:from>
    <xdr:to>
      <xdr:col>11</xdr:col>
      <xdr:colOff>293370</xdr:colOff>
      <xdr:row>582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697230</xdr:colOff>
      <xdr:row>585</xdr:row>
      <xdr:rowOff>64770</xdr:rowOff>
    </xdr:from>
    <xdr:to>
      <xdr:col>11</xdr:col>
      <xdr:colOff>188595</xdr:colOff>
      <xdr:row>599</xdr:row>
      <xdr:rowOff>118110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651510</xdr:colOff>
      <xdr:row>602</xdr:row>
      <xdr:rowOff>160020</xdr:rowOff>
    </xdr:from>
    <xdr:to>
      <xdr:col>11</xdr:col>
      <xdr:colOff>140970</xdr:colOff>
      <xdr:row>617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11430</xdr:colOff>
      <xdr:row>620</xdr:row>
      <xdr:rowOff>177165</xdr:rowOff>
    </xdr:from>
    <xdr:to>
      <xdr:col>11</xdr:col>
      <xdr:colOff>409575</xdr:colOff>
      <xdr:row>635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1061085</xdr:colOff>
      <xdr:row>637</xdr:row>
      <xdr:rowOff>169545</xdr:rowOff>
    </xdr:from>
    <xdr:to>
      <xdr:col>11</xdr:col>
      <xdr:colOff>240030</xdr:colOff>
      <xdr:row>652</xdr:row>
      <xdr:rowOff>30480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1080135</xdr:colOff>
      <xdr:row>654</xdr:row>
      <xdr:rowOff>72390</xdr:rowOff>
    </xdr:from>
    <xdr:to>
      <xdr:col>11</xdr:col>
      <xdr:colOff>262890</xdr:colOff>
      <xdr:row>668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87630</xdr:colOff>
      <xdr:row>676</xdr:row>
      <xdr:rowOff>108585</xdr:rowOff>
    </xdr:from>
    <xdr:to>
      <xdr:col>21</xdr:col>
      <xdr:colOff>396240</xdr:colOff>
      <xdr:row>690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622FC-6866-4451-A19C-C412986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1099185</xdr:colOff>
      <xdr:row>700</xdr:row>
      <xdr:rowOff>66675</xdr:rowOff>
    </xdr:from>
    <xdr:to>
      <xdr:col>11</xdr:col>
      <xdr:colOff>15240</xdr:colOff>
      <xdr:row>714</xdr:row>
      <xdr:rowOff>116205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479DBE-48E8-48C3-84DD-0564DDC1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60960</xdr:colOff>
      <xdr:row>721</xdr:row>
      <xdr:rowOff>11430</xdr:rowOff>
    </xdr:from>
    <xdr:to>
      <xdr:col>21</xdr:col>
      <xdr:colOff>350520</xdr:colOff>
      <xdr:row>735</xdr:row>
      <xdr:rowOff>68580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5BFF3E-AD43-4489-87C8-B2478913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944880</xdr:colOff>
      <xdr:row>745</xdr:row>
      <xdr:rowOff>72390</xdr:rowOff>
    </xdr:from>
    <xdr:to>
      <xdr:col>10</xdr:col>
      <xdr:colOff>173355</xdr:colOff>
      <xdr:row>759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9F0F84-243F-4719-AB6E-D6D8193B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480060</xdr:colOff>
      <xdr:row>204</xdr:row>
      <xdr:rowOff>120015</xdr:rowOff>
    </xdr:from>
    <xdr:to>
      <xdr:col>13</xdr:col>
      <xdr:colOff>537210</xdr:colOff>
      <xdr:row>218</xdr:row>
      <xdr:rowOff>175260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9B049CF-5311-4E4B-B38D-F8D8848E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605790</xdr:colOff>
      <xdr:row>226</xdr:row>
      <xdr:rowOff>156210</xdr:rowOff>
    </xdr:from>
    <xdr:to>
      <xdr:col>14</xdr:col>
      <xdr:colOff>59055</xdr:colOff>
      <xdr:row>241</xdr:row>
      <xdr:rowOff>28575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9B4F25-7501-40A6-96BB-AA52A307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586740</xdr:colOff>
      <xdr:row>292</xdr:row>
      <xdr:rowOff>0</xdr:rowOff>
    </xdr:from>
    <xdr:to>
      <xdr:col>13</xdr:col>
      <xdr:colOff>339090</xdr:colOff>
      <xdr:row>306</xdr:row>
      <xdr:rowOff>53340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A49525B-221C-4328-884D-EBDC8202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683895</xdr:colOff>
      <xdr:row>676</xdr:row>
      <xdr:rowOff>5715</xdr:rowOff>
    </xdr:from>
    <xdr:to>
      <xdr:col>13</xdr:col>
      <xdr:colOff>432435</xdr:colOff>
      <xdr:row>690</xdr:row>
      <xdr:rowOff>64770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DA6ECFA-8CC1-4606-A35A-B89FB3E2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478155</xdr:colOff>
      <xdr:row>721</xdr:row>
      <xdr:rowOff>20955</xdr:rowOff>
    </xdr:from>
    <xdr:to>
      <xdr:col>13</xdr:col>
      <xdr:colOff>228600</xdr:colOff>
      <xdr:row>735</xdr:row>
      <xdr:rowOff>72390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2F64129-1188-43A7-8676-B5DCF99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737235</xdr:colOff>
      <xdr:row>764</xdr:row>
      <xdr:rowOff>22860</xdr:rowOff>
    </xdr:from>
    <xdr:to>
      <xdr:col>13</xdr:col>
      <xdr:colOff>491490</xdr:colOff>
      <xdr:row>778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78B2A-8B5D-45AD-BA7C-C0159150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A102" zoomScaleNormal="100" workbookViewId="0">
      <selection activeCell="A2" sqref="A2:A120"/>
    </sheetView>
  </sheetViews>
  <sheetFormatPr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263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266</v>
      </c>
      <c r="M1" s="2" t="s">
        <v>295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290</v>
      </c>
      <c r="E2" s="2" t="s">
        <v>7</v>
      </c>
      <c r="F2" s="2" t="s">
        <v>245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293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246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293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247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293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246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293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246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293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246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293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294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290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293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290</v>
      </c>
      <c r="E10" s="2" t="s">
        <v>7</v>
      </c>
      <c r="F10" s="2" t="s">
        <v>245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293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10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246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294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11</v>
      </c>
      <c r="B12" s="2">
        <v>20</v>
      </c>
      <c r="C12" s="2" t="s">
        <v>43</v>
      </c>
      <c r="D12" s="2" t="s">
        <v>290</v>
      </c>
      <c r="E12" s="2" t="s">
        <v>7</v>
      </c>
      <c r="F12" s="2" t="s">
        <v>248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294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12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246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293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13</v>
      </c>
      <c r="B14" s="3">
        <v>19</v>
      </c>
      <c r="C14" s="2" t="s">
        <v>6</v>
      </c>
      <c r="D14" s="2" t="s">
        <v>290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294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14</v>
      </c>
      <c r="B15" s="3">
        <v>52</v>
      </c>
      <c r="C15" s="2" t="s">
        <v>6</v>
      </c>
      <c r="D15" s="2" t="s">
        <v>290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293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15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293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16</v>
      </c>
      <c r="B17" s="3">
        <v>56</v>
      </c>
      <c r="C17" s="2" t="s">
        <v>43</v>
      </c>
      <c r="D17" s="2" t="s">
        <v>290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293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17</v>
      </c>
      <c r="B18" s="3">
        <v>22</v>
      </c>
      <c r="C18" s="2" t="s">
        <v>6</v>
      </c>
      <c r="D18" s="2" t="s">
        <v>290</v>
      </c>
      <c r="E18" s="2" t="s">
        <v>7</v>
      </c>
      <c r="F18" s="2" t="s">
        <v>246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294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18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294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19</v>
      </c>
      <c r="B20" s="3">
        <v>53</v>
      </c>
      <c r="C20" s="2" t="s">
        <v>6</v>
      </c>
      <c r="D20" s="2" t="s">
        <v>290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293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20</v>
      </c>
      <c r="B21" s="3">
        <v>23</v>
      </c>
      <c r="C21" s="2" t="s">
        <v>6</v>
      </c>
      <c r="D21" s="2" t="s">
        <v>290</v>
      </c>
      <c r="E21" s="2" t="s">
        <v>7</v>
      </c>
      <c r="F21" s="2" t="s">
        <v>246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293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21</v>
      </c>
      <c r="B22" s="3">
        <v>21</v>
      </c>
      <c r="C22" s="2" t="s">
        <v>6</v>
      </c>
      <c r="D22" s="2" t="s">
        <v>290</v>
      </c>
      <c r="E22" s="2" t="s">
        <v>7</v>
      </c>
      <c r="F22" s="2" t="s">
        <v>246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293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22</v>
      </c>
      <c r="B23" s="3">
        <v>21</v>
      </c>
      <c r="C23" s="2" t="s">
        <v>6</v>
      </c>
      <c r="D23" s="2" t="s">
        <v>290</v>
      </c>
      <c r="E23" s="2" t="s">
        <v>7</v>
      </c>
      <c r="F23" s="2" t="s">
        <v>246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293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23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246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293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24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246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294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25</v>
      </c>
      <c r="B26" s="2">
        <v>20</v>
      </c>
      <c r="C26" s="2" t="s">
        <v>6</v>
      </c>
      <c r="D26" s="2" t="s">
        <v>290</v>
      </c>
      <c r="E26" s="2" t="s">
        <v>7</v>
      </c>
      <c r="F26" s="2" t="s">
        <v>246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293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26</v>
      </c>
      <c r="B27" s="3">
        <v>27</v>
      </c>
      <c r="C27" s="2" t="s">
        <v>69</v>
      </c>
      <c r="D27" s="2" t="s">
        <v>290</v>
      </c>
      <c r="E27" s="2" t="s">
        <v>7</v>
      </c>
      <c r="F27" s="2" t="s">
        <v>249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294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27</v>
      </c>
      <c r="B28" s="3">
        <v>22</v>
      </c>
      <c r="C28" s="2" t="s">
        <v>6</v>
      </c>
      <c r="D28" s="2" t="s">
        <v>290</v>
      </c>
      <c r="E28" s="2" t="s">
        <v>7</v>
      </c>
      <c r="F28" s="2" t="s">
        <v>246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293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28</v>
      </c>
      <c r="B29" s="3">
        <v>21</v>
      </c>
      <c r="C29" s="2" t="s">
        <v>6</v>
      </c>
      <c r="D29" s="2" t="s">
        <v>290</v>
      </c>
      <c r="E29" s="2" t="s">
        <v>7</v>
      </c>
      <c r="F29" s="2" t="s">
        <v>249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293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29</v>
      </c>
      <c r="B30" s="3">
        <v>20</v>
      </c>
      <c r="C30" s="2" t="s">
        <v>6</v>
      </c>
      <c r="D30" s="2" t="s">
        <v>290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294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30</v>
      </c>
      <c r="B31" s="3">
        <v>21</v>
      </c>
      <c r="C31" s="2" t="s">
        <v>6</v>
      </c>
      <c r="D31" s="2" t="s">
        <v>290</v>
      </c>
      <c r="E31" s="2" t="s">
        <v>7</v>
      </c>
      <c r="F31" s="2" t="s">
        <v>250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293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31</v>
      </c>
      <c r="B32" s="3">
        <v>23</v>
      </c>
      <c r="C32" s="2" t="s">
        <v>6</v>
      </c>
      <c r="D32" s="2" t="s">
        <v>290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293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32</v>
      </c>
      <c r="B33" s="3">
        <v>22</v>
      </c>
      <c r="C33" s="2" t="s">
        <v>6</v>
      </c>
      <c r="D33" s="2" t="s">
        <v>290</v>
      </c>
      <c r="E33" s="2" t="s">
        <v>39</v>
      </c>
      <c r="F33" s="2" t="s">
        <v>246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293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33</v>
      </c>
      <c r="B34" s="3">
        <v>22</v>
      </c>
      <c r="C34" s="2" t="s">
        <v>6</v>
      </c>
      <c r="D34" s="2" t="s">
        <v>290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293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34</v>
      </c>
      <c r="B35" s="3">
        <v>21</v>
      </c>
      <c r="C35" s="2" t="s">
        <v>6</v>
      </c>
      <c r="D35" s="2" t="s">
        <v>290</v>
      </c>
      <c r="E35" s="2" t="s">
        <v>7</v>
      </c>
      <c r="F35" s="2" t="s">
        <v>251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294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35</v>
      </c>
      <c r="B36" s="3">
        <v>22</v>
      </c>
      <c r="C36" s="2" t="s">
        <v>6</v>
      </c>
      <c r="D36" s="2" t="s">
        <v>290</v>
      </c>
      <c r="E36" s="2" t="s">
        <v>39</v>
      </c>
      <c r="F36" s="2" t="s">
        <v>248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293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36</v>
      </c>
      <c r="B37" s="3">
        <v>21</v>
      </c>
      <c r="C37" s="2" t="s">
        <v>6</v>
      </c>
      <c r="D37" s="2" t="s">
        <v>290</v>
      </c>
      <c r="E37" s="2" t="s">
        <v>7</v>
      </c>
      <c r="F37" s="2" t="s">
        <v>246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294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37</v>
      </c>
      <c r="B38" s="3">
        <v>46</v>
      </c>
      <c r="C38" s="2" t="s">
        <v>6</v>
      </c>
      <c r="D38" s="2" t="s">
        <v>290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294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38</v>
      </c>
      <c r="B39" s="3">
        <v>23</v>
      </c>
      <c r="C39" s="2" t="s">
        <v>89</v>
      </c>
      <c r="D39" s="2" t="s">
        <v>290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294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39</v>
      </c>
      <c r="B40" s="3">
        <v>18</v>
      </c>
      <c r="C40" s="2" t="s">
        <v>91</v>
      </c>
      <c r="D40" s="2" t="s">
        <v>290</v>
      </c>
      <c r="E40" s="2" t="s">
        <v>7</v>
      </c>
      <c r="F40" s="2" t="s">
        <v>246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294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40</v>
      </c>
      <c r="B41" s="3">
        <v>26</v>
      </c>
      <c r="C41" s="2" t="s">
        <v>93</v>
      </c>
      <c r="D41" s="2" t="s">
        <v>290</v>
      </c>
      <c r="E41" s="2" t="s">
        <v>7</v>
      </c>
      <c r="F41" s="2" t="s">
        <v>252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293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41</v>
      </c>
      <c r="B42" s="3">
        <v>24</v>
      </c>
      <c r="C42" s="2" t="s">
        <v>6</v>
      </c>
      <c r="D42" s="2" t="s">
        <v>290</v>
      </c>
      <c r="E42" s="2" t="s">
        <v>7</v>
      </c>
      <c r="F42" s="2" t="s">
        <v>253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293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42</v>
      </c>
      <c r="B43" s="3">
        <v>22</v>
      </c>
      <c r="C43" s="2" t="s">
        <v>89</v>
      </c>
      <c r="D43" s="2" t="s">
        <v>290</v>
      </c>
      <c r="E43" s="2" t="s">
        <v>39</v>
      </c>
      <c r="F43" s="2" t="s">
        <v>253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294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43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246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293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44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293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45</v>
      </c>
      <c r="B46" s="3">
        <v>21</v>
      </c>
      <c r="C46" s="2" t="s">
        <v>43</v>
      </c>
      <c r="D46" s="2" t="s">
        <v>290</v>
      </c>
      <c r="E46" s="2" t="s">
        <v>7</v>
      </c>
      <c r="F46" s="2" t="s">
        <v>246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293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46</v>
      </c>
      <c r="B47" s="3">
        <v>53</v>
      </c>
      <c r="C47" s="2" t="s">
        <v>6</v>
      </c>
      <c r="D47" s="2" t="s">
        <v>290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294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47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248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294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48</v>
      </c>
      <c r="B49" s="3">
        <v>45</v>
      </c>
      <c r="C49" s="2" t="s">
        <v>104</v>
      </c>
      <c r="D49" s="2" t="s">
        <v>290</v>
      </c>
      <c r="E49" s="2" t="s">
        <v>39</v>
      </c>
      <c r="F49" s="2" t="s">
        <v>254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294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49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294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50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250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293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51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293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52</v>
      </c>
      <c r="B53" s="3">
        <v>47</v>
      </c>
      <c r="C53" s="2" t="s">
        <v>6</v>
      </c>
      <c r="D53" s="2" t="s">
        <v>290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294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53</v>
      </c>
      <c r="B54" s="3">
        <v>24</v>
      </c>
      <c r="C54" s="2" t="s">
        <v>6</v>
      </c>
      <c r="D54" s="2" t="s">
        <v>290</v>
      </c>
      <c r="E54" s="2" t="s">
        <v>7</v>
      </c>
      <c r="F54" s="2" t="s">
        <v>246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293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54</v>
      </c>
      <c r="B55" s="3">
        <v>54</v>
      </c>
      <c r="C55" s="2" t="s">
        <v>6</v>
      </c>
      <c r="D55" s="2" t="s">
        <v>290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294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55</v>
      </c>
      <c r="B56" s="3">
        <v>61</v>
      </c>
      <c r="C56" s="2" t="s">
        <v>6</v>
      </c>
      <c r="D56" s="2" t="s">
        <v>290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294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56</v>
      </c>
      <c r="B57" s="3">
        <v>45</v>
      </c>
      <c r="C57" s="2" t="s">
        <v>6</v>
      </c>
      <c r="D57" s="2" t="s">
        <v>290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294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57</v>
      </c>
      <c r="B58" s="3">
        <v>64</v>
      </c>
      <c r="C58" s="2" t="s">
        <v>6</v>
      </c>
      <c r="D58" s="2" t="s">
        <v>290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293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58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246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293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59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246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294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60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293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61</v>
      </c>
      <c r="B62" s="3">
        <v>46</v>
      </c>
      <c r="C62" s="2" t="s">
        <v>43</v>
      </c>
      <c r="D62" s="2" t="s">
        <v>290</v>
      </c>
      <c r="E62" s="2" t="s">
        <v>39</v>
      </c>
      <c r="F62" s="2" t="s">
        <v>246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293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62</v>
      </c>
      <c r="B63" s="3">
        <v>27</v>
      </c>
      <c r="C63" s="2" t="s">
        <v>6</v>
      </c>
      <c r="D63" s="2" t="s">
        <v>290</v>
      </c>
      <c r="E63" s="2" t="s">
        <v>7</v>
      </c>
      <c r="F63" s="2" t="s">
        <v>246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293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63</v>
      </c>
      <c r="B64" s="3">
        <v>22</v>
      </c>
      <c r="C64" s="2" t="s">
        <v>43</v>
      </c>
      <c r="D64" s="2" t="s">
        <v>290</v>
      </c>
      <c r="E64" s="2" t="s">
        <v>7</v>
      </c>
      <c r="F64" s="2" t="s">
        <v>246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293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64</v>
      </c>
      <c r="B65" s="3">
        <v>24</v>
      </c>
      <c r="C65" s="2" t="s">
        <v>64</v>
      </c>
      <c r="D65" s="2" t="s">
        <v>290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294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65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246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294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66</v>
      </c>
      <c r="B67" s="3">
        <v>37</v>
      </c>
      <c r="C67" s="2" t="s">
        <v>43</v>
      </c>
      <c r="D67" s="2" t="s">
        <v>290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293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67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246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294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68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245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293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69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250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294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70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293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71</v>
      </c>
      <c r="B72" s="3">
        <v>24</v>
      </c>
      <c r="C72" s="2" t="s">
        <v>6</v>
      </c>
      <c r="D72" s="2" t="s">
        <v>290</v>
      </c>
      <c r="E72" s="2" t="s">
        <v>7</v>
      </c>
      <c r="F72" s="2" t="s">
        <v>246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293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72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294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73</v>
      </c>
      <c r="B74" s="3">
        <v>58</v>
      </c>
      <c r="C74" s="2" t="s">
        <v>43</v>
      </c>
      <c r="D74" s="2" t="s">
        <v>290</v>
      </c>
      <c r="E74" s="2" t="s">
        <v>39</v>
      </c>
      <c r="F74" s="2" t="s">
        <v>248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294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74</v>
      </c>
      <c r="B75" s="3">
        <v>23</v>
      </c>
      <c r="C75" s="2" t="s">
        <v>64</v>
      </c>
      <c r="D75" s="2" t="s">
        <v>290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293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75</v>
      </c>
      <c r="B76" s="3">
        <v>67</v>
      </c>
      <c r="C76" s="2" t="s">
        <v>6</v>
      </c>
      <c r="D76" s="2" t="s">
        <v>290</v>
      </c>
      <c r="E76" s="2" t="s">
        <v>39</v>
      </c>
      <c r="F76" s="2" t="s">
        <v>255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293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76</v>
      </c>
      <c r="B77" s="3">
        <v>40</v>
      </c>
      <c r="C77" s="2" t="s">
        <v>6</v>
      </c>
      <c r="D77" s="2" t="s">
        <v>290</v>
      </c>
      <c r="E77" s="2" t="s">
        <v>7</v>
      </c>
      <c r="F77" s="2" t="s">
        <v>256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293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77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257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293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78</v>
      </c>
      <c r="B79" s="3">
        <v>30</v>
      </c>
      <c r="C79" s="2" t="s">
        <v>142</v>
      </c>
      <c r="D79" s="2" t="s">
        <v>290</v>
      </c>
      <c r="E79" s="2" t="s">
        <v>7</v>
      </c>
      <c r="F79" s="2" t="s">
        <v>258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294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79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246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293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80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259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293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81</v>
      </c>
      <c r="B82" s="3">
        <v>22</v>
      </c>
      <c r="C82" s="2" t="s">
        <v>43</v>
      </c>
      <c r="D82" s="2" t="s">
        <v>290</v>
      </c>
      <c r="E82" s="2" t="s">
        <v>7</v>
      </c>
      <c r="F82" s="2" t="s">
        <v>246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294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82</v>
      </c>
      <c r="B83" s="3">
        <v>53</v>
      </c>
      <c r="C83" s="2" t="s">
        <v>6</v>
      </c>
      <c r="D83" s="2" t="s">
        <v>290</v>
      </c>
      <c r="E83" s="2" t="s">
        <v>39</v>
      </c>
      <c r="F83" s="2" t="s">
        <v>256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293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83</v>
      </c>
      <c r="B84" s="3">
        <v>27</v>
      </c>
      <c r="C84" s="2" t="s">
        <v>6</v>
      </c>
      <c r="D84" s="2" t="s">
        <v>290</v>
      </c>
      <c r="E84" s="2" t="s">
        <v>39</v>
      </c>
      <c r="F84" s="2" t="s">
        <v>246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294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84</v>
      </c>
      <c r="B85" s="3">
        <v>22</v>
      </c>
      <c r="C85" s="2" t="s">
        <v>6</v>
      </c>
      <c r="D85" s="2" t="s">
        <v>290</v>
      </c>
      <c r="E85" s="2" t="s">
        <v>7</v>
      </c>
      <c r="F85" s="2" t="s">
        <v>249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293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85</v>
      </c>
      <c r="B86" s="3">
        <v>22</v>
      </c>
      <c r="C86" s="2" t="s">
        <v>6</v>
      </c>
      <c r="D86" s="2" t="s">
        <v>290</v>
      </c>
      <c r="E86" s="2" t="s">
        <v>7</v>
      </c>
      <c r="F86" s="2" t="s">
        <v>246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293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86</v>
      </c>
      <c r="B87" s="3">
        <v>55</v>
      </c>
      <c r="C87" s="2" t="s">
        <v>6</v>
      </c>
      <c r="D87" s="2" t="s">
        <v>290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293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87</v>
      </c>
      <c r="B88" s="3">
        <v>23</v>
      </c>
      <c r="C88" s="2" t="s">
        <v>6</v>
      </c>
      <c r="D88" s="2" t="s">
        <v>290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294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88</v>
      </c>
      <c r="B89" s="3">
        <v>49</v>
      </c>
      <c r="C89" s="2" t="s">
        <v>6</v>
      </c>
      <c r="D89" s="2" t="s">
        <v>290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294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89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246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293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90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294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91</v>
      </c>
      <c r="B92" s="3">
        <v>59</v>
      </c>
      <c r="C92" s="2" t="s">
        <v>6</v>
      </c>
      <c r="D92" s="2" t="s">
        <v>290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293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92</v>
      </c>
      <c r="B93" s="3">
        <v>52</v>
      </c>
      <c r="C93" s="2" t="s">
        <v>64</v>
      </c>
      <c r="D93" s="2" t="s">
        <v>290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293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93</v>
      </c>
      <c r="B94" s="3">
        <v>57</v>
      </c>
      <c r="C94" s="2" t="s">
        <v>6</v>
      </c>
      <c r="D94" s="2" t="s">
        <v>290</v>
      </c>
      <c r="E94" s="2" t="s">
        <v>39</v>
      </c>
      <c r="F94" s="2" t="s">
        <v>246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293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94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246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294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95</v>
      </c>
      <c r="B96" s="3">
        <v>37</v>
      </c>
      <c r="C96" s="2" t="s">
        <v>162</v>
      </c>
      <c r="D96" s="2" t="s">
        <v>290</v>
      </c>
      <c r="E96" s="2" t="s">
        <v>39</v>
      </c>
      <c r="F96" s="2" t="s">
        <v>260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294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96</v>
      </c>
      <c r="B97" s="3">
        <v>24</v>
      </c>
      <c r="C97" s="2" t="s">
        <v>142</v>
      </c>
      <c r="D97" s="2" t="s">
        <v>290</v>
      </c>
      <c r="E97" s="2" t="s">
        <v>7</v>
      </c>
      <c r="F97" s="2" t="s">
        <v>246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294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97</v>
      </c>
      <c r="B98" s="3">
        <v>54</v>
      </c>
      <c r="C98" s="2" t="s">
        <v>43</v>
      </c>
      <c r="D98" s="2" t="s">
        <v>290</v>
      </c>
      <c r="E98" s="2" t="s">
        <v>39</v>
      </c>
      <c r="F98" s="2" t="s">
        <v>245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293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98</v>
      </c>
      <c r="B99" s="3">
        <v>57</v>
      </c>
      <c r="C99" s="2" t="s">
        <v>6</v>
      </c>
      <c r="D99" s="2" t="s">
        <v>290</v>
      </c>
      <c r="E99" s="2" t="s">
        <v>39</v>
      </c>
      <c r="F99" s="2" t="s">
        <v>246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293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99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246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294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100</v>
      </c>
      <c r="B101" s="3">
        <v>40</v>
      </c>
      <c r="C101" s="2" t="s">
        <v>168</v>
      </c>
      <c r="D101" s="2" t="s">
        <v>290</v>
      </c>
      <c r="E101" s="2" t="s">
        <v>39</v>
      </c>
      <c r="F101" s="2" t="s">
        <v>251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293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101</v>
      </c>
      <c r="B102" s="3">
        <v>62</v>
      </c>
      <c r="C102" s="2" t="s">
        <v>6</v>
      </c>
      <c r="D102" s="2" t="s">
        <v>290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294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102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293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103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293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104</v>
      </c>
      <c r="B105" s="3">
        <v>60</v>
      </c>
      <c r="C105" s="2" t="s">
        <v>6</v>
      </c>
      <c r="D105" s="2" t="s">
        <v>290</v>
      </c>
      <c r="E105" s="2" t="s">
        <v>39</v>
      </c>
      <c r="F105" s="2" t="s">
        <v>261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294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105</v>
      </c>
      <c r="B106" s="3">
        <v>48</v>
      </c>
      <c r="C106" s="2" t="s">
        <v>43</v>
      </c>
      <c r="D106" s="2" t="s">
        <v>290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293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106</v>
      </c>
      <c r="B107" s="3">
        <v>45</v>
      </c>
      <c r="C107" s="2" t="s">
        <v>6</v>
      </c>
      <c r="D107" s="2" t="s">
        <v>290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294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107</v>
      </c>
      <c r="B108" s="3">
        <v>59</v>
      </c>
      <c r="C108" s="2" t="s">
        <v>6</v>
      </c>
      <c r="D108" s="2" t="s">
        <v>290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293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108</v>
      </c>
      <c r="B109" s="3">
        <v>45</v>
      </c>
      <c r="C109" s="2" t="s">
        <v>6</v>
      </c>
      <c r="D109" s="2" t="s">
        <v>290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294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109</v>
      </c>
      <c r="B110" s="3">
        <v>54</v>
      </c>
      <c r="C110" s="2" t="s">
        <v>43</v>
      </c>
      <c r="D110" s="2" t="s">
        <v>290</v>
      </c>
      <c r="E110" s="2" t="s">
        <v>39</v>
      </c>
      <c r="F110" s="2" t="s">
        <v>246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293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110</v>
      </c>
      <c r="B111" s="3">
        <v>53</v>
      </c>
      <c r="C111" s="2" t="s">
        <v>6</v>
      </c>
      <c r="D111" s="2" t="s">
        <v>290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294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111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293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112</v>
      </c>
      <c r="B113" s="3">
        <v>36</v>
      </c>
      <c r="C113" s="2" t="s">
        <v>6</v>
      </c>
      <c r="D113" s="2" t="s">
        <v>290</v>
      </c>
      <c r="E113" s="2" t="s">
        <v>39</v>
      </c>
      <c r="F113" s="2" t="s">
        <v>246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294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113</v>
      </c>
      <c r="B114" s="2">
        <v>53</v>
      </c>
      <c r="C114" s="2" t="s">
        <v>6</v>
      </c>
      <c r="D114" s="2" t="s">
        <v>290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294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114</v>
      </c>
      <c r="B115" s="3">
        <v>36</v>
      </c>
      <c r="C115" s="2" t="s">
        <v>6</v>
      </c>
      <c r="D115" s="2" t="s">
        <v>290</v>
      </c>
      <c r="E115" s="2" t="s">
        <v>39</v>
      </c>
      <c r="F115" s="2" t="s">
        <v>246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294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115</v>
      </c>
      <c r="B116" s="3">
        <v>18</v>
      </c>
      <c r="C116" s="2" t="s">
        <v>183</v>
      </c>
      <c r="D116" s="2" t="s">
        <v>290</v>
      </c>
      <c r="E116" s="2" t="s">
        <v>39</v>
      </c>
      <c r="F116" s="2" t="s">
        <v>262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294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116</v>
      </c>
      <c r="B117" s="3">
        <v>53</v>
      </c>
      <c r="C117" s="2" t="s">
        <v>185</v>
      </c>
      <c r="D117" s="2" t="s">
        <v>290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293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117</v>
      </c>
      <c r="B118" s="3">
        <v>23</v>
      </c>
      <c r="C118" s="2" t="s">
        <v>6</v>
      </c>
      <c r="D118" s="2" t="s">
        <v>290</v>
      </c>
      <c r="E118" s="2" t="s">
        <v>7</v>
      </c>
      <c r="F118" s="2" t="s">
        <v>246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294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118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254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293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119</v>
      </c>
      <c r="B120" s="3">
        <v>21</v>
      </c>
      <c r="C120" s="2" t="s">
        <v>6</v>
      </c>
      <c r="D120" s="2" t="s">
        <v>290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293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N15" sqref="N15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95" t="s">
        <v>212</v>
      </c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x14ac:dyDescent="0.25">
      <c r="A2" s="5" t="s">
        <v>191</v>
      </c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x14ac:dyDescent="0.25">
      <c r="A3" s="5" t="s">
        <v>192</v>
      </c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x14ac:dyDescent="0.25">
      <c r="A4" s="5" t="s">
        <v>193</v>
      </c>
      <c r="B4" s="93" t="s">
        <v>213</v>
      </c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25">
      <c r="A5" s="5" t="s">
        <v>194</v>
      </c>
      <c r="B5" s="93" t="s">
        <v>214</v>
      </c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x14ac:dyDescent="0.25">
      <c r="A6" s="5" t="s">
        <v>195</v>
      </c>
      <c r="B6" s="93" t="s">
        <v>215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1:12" x14ac:dyDescent="0.25">
      <c r="A7" s="5" t="s">
        <v>196</v>
      </c>
      <c r="B7" s="93" t="s">
        <v>216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x14ac:dyDescent="0.25">
      <c r="A8" s="5" t="s">
        <v>197</v>
      </c>
      <c r="B8" s="93" t="s">
        <v>3</v>
      </c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x14ac:dyDescent="0.25">
      <c r="A9" s="5" t="s">
        <v>198</v>
      </c>
      <c r="B9" s="93" t="s">
        <v>217</v>
      </c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1:12" x14ac:dyDescent="0.25">
      <c r="A10" s="5" t="s">
        <v>199</v>
      </c>
      <c r="B10" s="93" t="s">
        <v>4</v>
      </c>
      <c r="C10" s="93"/>
      <c r="D10" s="93"/>
      <c r="E10" s="93"/>
      <c r="F10" s="93"/>
      <c r="G10" s="93"/>
      <c r="H10" s="93"/>
      <c r="I10" s="93"/>
      <c r="J10" s="93"/>
      <c r="K10" s="93"/>
      <c r="L10" s="94"/>
    </row>
    <row r="11" spans="1:12" x14ac:dyDescent="0.25">
      <c r="A11" s="5" t="s">
        <v>200</v>
      </c>
      <c r="B11" s="93" t="s">
        <v>5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</row>
    <row r="12" spans="1:12" x14ac:dyDescent="0.25">
      <c r="A12" s="5" t="s">
        <v>201</v>
      </c>
      <c r="B12" s="93" t="s">
        <v>218</v>
      </c>
      <c r="C12" s="93"/>
      <c r="D12" s="93"/>
      <c r="E12" s="93"/>
      <c r="F12" s="93"/>
      <c r="G12" s="93"/>
      <c r="H12" s="93"/>
      <c r="I12" s="93"/>
      <c r="J12" s="93"/>
      <c r="K12" s="93"/>
      <c r="L12" s="94"/>
    </row>
    <row r="13" spans="1:12" x14ac:dyDescent="0.25">
      <c r="A13" s="5" t="s">
        <v>202</v>
      </c>
      <c r="B13" s="93" t="s">
        <v>219</v>
      </c>
      <c r="C13" s="93"/>
      <c r="D13" s="93"/>
      <c r="E13" s="93"/>
      <c r="F13" s="93"/>
      <c r="G13" s="93"/>
      <c r="H13" s="93"/>
      <c r="I13" s="93"/>
      <c r="J13" s="93"/>
      <c r="K13" s="93"/>
      <c r="L13" s="94"/>
    </row>
    <row r="14" spans="1:12" x14ac:dyDescent="0.25">
      <c r="A14" s="5" t="s">
        <v>203</v>
      </c>
      <c r="B14" s="93" t="s">
        <v>220</v>
      </c>
      <c r="C14" s="93"/>
      <c r="D14" s="93"/>
      <c r="E14" s="93"/>
      <c r="F14" s="93"/>
      <c r="G14" s="93"/>
      <c r="H14" s="93"/>
      <c r="I14" s="93"/>
      <c r="J14" s="93"/>
      <c r="K14" s="93"/>
      <c r="L14" s="94"/>
    </row>
    <row r="15" spans="1:12" x14ac:dyDescent="0.25">
      <c r="A15" s="5" t="s">
        <v>204</v>
      </c>
      <c r="B15" s="93" t="s">
        <v>221</v>
      </c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1:12" x14ac:dyDescent="0.25">
      <c r="A16" s="5" t="s">
        <v>205</v>
      </c>
      <c r="B16" s="93" t="s">
        <v>222</v>
      </c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1:12" x14ac:dyDescent="0.25">
      <c r="A17" s="5" t="s">
        <v>206</v>
      </c>
      <c r="B17" s="93" t="s">
        <v>223</v>
      </c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18" spans="1:12" x14ac:dyDescent="0.25">
      <c r="A18" s="5" t="s">
        <v>207</v>
      </c>
      <c r="B18" s="93" t="s">
        <v>224</v>
      </c>
      <c r="C18" s="93"/>
      <c r="D18" s="93"/>
      <c r="E18" s="93"/>
      <c r="F18" s="93"/>
      <c r="G18" s="93"/>
      <c r="H18" s="93"/>
      <c r="I18" s="93"/>
      <c r="J18" s="93"/>
      <c r="K18" s="93"/>
      <c r="L18" s="94"/>
    </row>
    <row r="19" spans="1:12" x14ac:dyDescent="0.25">
      <c r="A19" s="5" t="s">
        <v>208</v>
      </c>
      <c r="B19" s="93" t="s">
        <v>328</v>
      </c>
      <c r="C19" s="93"/>
      <c r="D19" s="93"/>
      <c r="E19" s="93"/>
      <c r="F19" s="93"/>
      <c r="G19" s="93"/>
      <c r="H19" s="93"/>
      <c r="I19" s="93"/>
      <c r="J19" s="93"/>
      <c r="K19" s="93"/>
      <c r="L19" s="94"/>
    </row>
    <row r="20" spans="1:12" x14ac:dyDescent="0.25">
      <c r="A20" s="5" t="s">
        <v>209</v>
      </c>
      <c r="B20" s="93" t="s">
        <v>225</v>
      </c>
      <c r="C20" s="93"/>
      <c r="D20" s="93"/>
      <c r="E20" s="93"/>
      <c r="F20" s="93"/>
      <c r="G20" s="93"/>
      <c r="H20" s="93"/>
      <c r="I20" s="93"/>
      <c r="J20" s="93"/>
      <c r="K20" s="93"/>
      <c r="L20" s="94"/>
    </row>
    <row r="21" spans="1:12" x14ac:dyDescent="0.25">
      <c r="A21" s="5" t="s">
        <v>210</v>
      </c>
      <c r="B21" s="93" t="s">
        <v>226</v>
      </c>
      <c r="C21" s="93"/>
      <c r="D21" s="93"/>
      <c r="E21" s="93"/>
      <c r="F21" s="93"/>
      <c r="G21" s="93"/>
      <c r="H21" s="93"/>
      <c r="I21" s="93"/>
      <c r="J21" s="93"/>
      <c r="K21" s="93"/>
      <c r="L21" s="94"/>
    </row>
    <row r="22" spans="1:12" ht="15.75" thickBot="1" x14ac:dyDescent="0.3">
      <c r="A22" s="6" t="s">
        <v>211</v>
      </c>
      <c r="B22" s="97" t="s">
        <v>227</v>
      </c>
      <c r="C22" s="97"/>
      <c r="D22" s="97"/>
      <c r="E22" s="97"/>
      <c r="F22" s="97"/>
      <c r="G22" s="97"/>
      <c r="H22" s="97"/>
      <c r="I22" s="97"/>
      <c r="J22" s="97"/>
      <c r="K22" s="97"/>
      <c r="L22" s="98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780"/>
  <sheetViews>
    <sheetView topLeftCell="A764" zoomScaleNormal="100" workbookViewId="0">
      <selection activeCell="O774" sqref="O774"/>
    </sheetView>
  </sheetViews>
  <sheetFormatPr defaultRowHeight="15" x14ac:dyDescent="0.25"/>
  <cols>
    <col min="1" max="1" width="9.140625" style="1"/>
    <col min="2" max="3" width="18" style="1" bestFit="1" customWidth="1"/>
    <col min="4" max="4" width="18" style="1" customWidth="1"/>
    <col min="5" max="5" width="18" style="1" bestFit="1" customWidth="1"/>
    <col min="6" max="6" width="17.140625" style="1" customWidth="1"/>
    <col min="7" max="7" width="17.42578125" style="1" customWidth="1"/>
    <col min="8" max="11" width="9.140625" style="1" customWidth="1"/>
    <col min="12" max="16384" width="9.140625" style="1"/>
  </cols>
  <sheetData>
    <row r="6" spans="3:5" ht="15.75" thickBot="1" x14ac:dyDescent="0.3"/>
    <row r="7" spans="3:5" ht="15.75" thickBot="1" x14ac:dyDescent="0.3">
      <c r="C7" s="104" t="s">
        <v>193</v>
      </c>
      <c r="D7" s="115"/>
      <c r="E7" s="73"/>
    </row>
    <row r="8" spans="3:5" x14ac:dyDescent="0.25">
      <c r="C8" s="23" t="s">
        <v>231</v>
      </c>
      <c r="D8" s="24">
        <f>COUNTIF(Datos!E:E,Datos!E2)</f>
        <v>68</v>
      </c>
    </row>
    <row r="9" spans="3:5" ht="15.75" thickBot="1" x14ac:dyDescent="0.3">
      <c r="C9" s="25" t="s">
        <v>232</v>
      </c>
      <c r="D9" s="26">
        <f>COUNTIF(Datos!E:E,Datos!E20)</f>
        <v>51</v>
      </c>
    </row>
    <row r="10" spans="3:5" ht="15.75" thickBot="1" x14ac:dyDescent="0.3">
      <c r="C10" s="27" t="s">
        <v>228</v>
      </c>
      <c r="D10" s="28">
        <f>D8+D9</f>
        <v>119</v>
      </c>
    </row>
    <row r="23" spans="3:4" ht="15.75" thickBot="1" x14ac:dyDescent="0.3"/>
    <row r="24" spans="3:4" ht="15.75" thickBot="1" x14ac:dyDescent="0.3">
      <c r="C24" s="116" t="s">
        <v>192</v>
      </c>
      <c r="D24" s="117"/>
    </row>
    <row r="25" spans="3:4" x14ac:dyDescent="0.25">
      <c r="C25" s="29" t="s">
        <v>229</v>
      </c>
      <c r="D25" s="30">
        <f>COUNTIF(Datos!D:D,Datos!D3)</f>
        <v>38</v>
      </c>
    </row>
    <row r="26" spans="3:4" ht="15.75" thickBot="1" x14ac:dyDescent="0.3">
      <c r="C26" s="13" t="s">
        <v>230</v>
      </c>
      <c r="D26" s="14">
        <f>COUNTIF(Datos!D:D,Datos!D2)</f>
        <v>81</v>
      </c>
    </row>
    <row r="27" spans="3:4" ht="15.75" thickBot="1" x14ac:dyDescent="0.3">
      <c r="C27" s="31" t="s">
        <v>228</v>
      </c>
      <c r="D27" s="16">
        <f>D25+D26</f>
        <v>119</v>
      </c>
    </row>
    <row r="43" spans="3:4" ht="15.75" thickBot="1" x14ac:dyDescent="0.3"/>
    <row r="44" spans="3:4" ht="15.75" thickBot="1" x14ac:dyDescent="0.3">
      <c r="C44" s="110" t="s">
        <v>191</v>
      </c>
      <c r="D44" s="111"/>
    </row>
    <row r="45" spans="3:4" x14ac:dyDescent="0.25">
      <c r="C45" s="32" t="s">
        <v>233</v>
      </c>
      <c r="D45" s="22">
        <f>COUNTIF(Datos!C:C,"*España*")</f>
        <v>108</v>
      </c>
    </row>
    <row r="46" spans="3:4" ht="15.75" thickBot="1" x14ac:dyDescent="0.3">
      <c r="C46" s="33" t="s">
        <v>232</v>
      </c>
      <c r="D46" s="34">
        <f>119-D45</f>
        <v>11</v>
      </c>
    </row>
    <row r="47" spans="3:4" ht="15.75" thickBot="1" x14ac:dyDescent="0.3">
      <c r="C47" s="27" t="s">
        <v>228</v>
      </c>
      <c r="D47" s="16">
        <f>SUM(D45:D46)</f>
        <v>119</v>
      </c>
    </row>
    <row r="49" spans="3:4" x14ac:dyDescent="0.25">
      <c r="C49" s="1" t="s">
        <v>283</v>
      </c>
    </row>
    <row r="62" spans="3:4" ht="15.75" thickBot="1" x14ac:dyDescent="0.3"/>
    <row r="63" spans="3:4" ht="15.75" thickBot="1" x14ac:dyDescent="0.3">
      <c r="C63" s="74" t="s">
        <v>276</v>
      </c>
      <c r="D63" s="16">
        <f>AVERAGE(Datos!B:B)</f>
        <v>35.815126050420169</v>
      </c>
    </row>
    <row r="66" spans="3:4" ht="15.75" thickBot="1" x14ac:dyDescent="0.3"/>
    <row r="67" spans="3:4" x14ac:dyDescent="0.25">
      <c r="C67" s="121" t="s">
        <v>190</v>
      </c>
      <c r="D67" s="121"/>
    </row>
    <row r="68" spans="3:4" x14ac:dyDescent="0.25">
      <c r="C68" s="7" t="s">
        <v>234</v>
      </c>
      <c r="D68" s="7">
        <f>COUNTIFS(Datos!B:B,"&gt;=18",Datos!B:B,"&lt;25")</f>
        <v>53</v>
      </c>
    </row>
    <row r="69" spans="3:4" x14ac:dyDescent="0.25">
      <c r="C69" s="7" t="s">
        <v>281</v>
      </c>
      <c r="D69" s="7">
        <f>COUNTIFS(Datos!B:B,"&gt;=25", Datos!B:B,"&lt;35")</f>
        <v>12</v>
      </c>
    </row>
    <row r="70" spans="3:4" x14ac:dyDescent="0.25">
      <c r="C70" s="7" t="s">
        <v>282</v>
      </c>
      <c r="D70" s="7">
        <f>COUNTIFS(Datos!B:B,"&gt;=35", Datos!B:B,"&lt;50")</f>
        <v>21</v>
      </c>
    </row>
    <row r="71" spans="3:4" ht="15.75" thickBot="1" x14ac:dyDescent="0.3">
      <c r="C71" s="11" t="s">
        <v>235</v>
      </c>
      <c r="D71" s="11">
        <f>COUNTIF(Datos!B:B,"&gt;=50")</f>
        <v>33</v>
      </c>
    </row>
    <row r="72" spans="3:4" ht="15.75" thickBot="1" x14ac:dyDescent="0.3">
      <c r="C72" s="12" t="s">
        <v>228</v>
      </c>
      <c r="D72" s="12">
        <f>SUM(D68:D71)</f>
        <v>119</v>
      </c>
    </row>
    <row r="81" spans="3:4" ht="15.75" thickBot="1" x14ac:dyDescent="0.3"/>
    <row r="82" spans="3:4" x14ac:dyDescent="0.25">
      <c r="C82" s="108" t="s">
        <v>194</v>
      </c>
      <c r="D82" s="109"/>
    </row>
    <row r="83" spans="3:4" x14ac:dyDescent="0.25">
      <c r="C83" s="8" t="s">
        <v>236</v>
      </c>
      <c r="D83" s="9">
        <f>COUNTIF(Datos!G:G,1)</f>
        <v>46</v>
      </c>
    </row>
    <row r="84" spans="3:4" x14ac:dyDescent="0.25">
      <c r="C84" s="8" t="s">
        <v>237</v>
      </c>
      <c r="D84" s="9">
        <f>COUNTIF(Datos!G:G,2)</f>
        <v>51</v>
      </c>
    </row>
    <row r="85" spans="3:4" x14ac:dyDescent="0.25">
      <c r="C85" s="8" t="s">
        <v>238</v>
      </c>
      <c r="D85" s="9">
        <f>COUNTIF(Datos!G:G,3)</f>
        <v>17</v>
      </c>
    </row>
    <row r="86" spans="3:4" ht="15.75" thickBot="1" x14ac:dyDescent="0.3">
      <c r="C86" s="13" t="s">
        <v>239</v>
      </c>
      <c r="D86" s="14">
        <f>COUNTIF(Datos!G:G, "&gt;3")</f>
        <v>5</v>
      </c>
    </row>
    <row r="87" spans="3:4" ht="15.75" thickBot="1" x14ac:dyDescent="0.3">
      <c r="C87" s="15" t="s">
        <v>228</v>
      </c>
      <c r="D87" s="16">
        <f>SUM(D83:D86)</f>
        <v>119</v>
      </c>
    </row>
    <row r="98" spans="3:4" ht="15.75" thickBot="1" x14ac:dyDescent="0.3"/>
    <row r="99" spans="3:4" x14ac:dyDescent="0.25">
      <c r="C99" s="108" t="s">
        <v>195</v>
      </c>
      <c r="D99" s="109"/>
    </row>
    <row r="100" spans="3:4" x14ac:dyDescent="0.25">
      <c r="C100" s="8" t="s">
        <v>240</v>
      </c>
      <c r="D100" s="9">
        <f>COUNTIF(Datos!H:H,Datos!H2)</f>
        <v>11</v>
      </c>
    </row>
    <row r="101" spans="3:4" x14ac:dyDescent="0.25">
      <c r="C101" s="8" t="s">
        <v>241</v>
      </c>
      <c r="D101" s="9">
        <f>COUNTIF(Datos!H:H, "Muy bueno")</f>
        <v>23</v>
      </c>
    </row>
    <row r="102" spans="3:4" x14ac:dyDescent="0.25">
      <c r="C102" s="8" t="s">
        <v>242</v>
      </c>
      <c r="D102" s="9">
        <f>COUNTIF(Datos!H:H, "Bueno")</f>
        <v>30</v>
      </c>
    </row>
    <row r="103" spans="3:4" x14ac:dyDescent="0.25">
      <c r="C103" s="8" t="s">
        <v>243</v>
      </c>
      <c r="D103" s="9">
        <f>COUNTIF(Datos!H:H, "Regular")</f>
        <v>36</v>
      </c>
    </row>
    <row r="104" spans="3:4" ht="15.75" thickBot="1" x14ac:dyDescent="0.3">
      <c r="C104" s="33" t="s">
        <v>244</v>
      </c>
      <c r="D104" s="34">
        <f>COUNTIF(Datos!H:H, "Malo")</f>
        <v>19</v>
      </c>
    </row>
    <row r="105" spans="3:4" ht="15.75" thickBot="1" x14ac:dyDescent="0.3">
      <c r="C105" s="15" t="s">
        <v>228</v>
      </c>
      <c r="D105" s="16">
        <f>SUM(D100:D104)</f>
        <v>119</v>
      </c>
    </row>
    <row r="116" spans="3:5" ht="15.75" thickBot="1" x14ac:dyDescent="0.3"/>
    <row r="117" spans="3:5" ht="15.75" thickBot="1" x14ac:dyDescent="0.3">
      <c r="C117" s="110" t="s">
        <v>197</v>
      </c>
      <c r="D117" s="118"/>
      <c r="E117" s="73"/>
    </row>
    <row r="118" spans="3:5" x14ac:dyDescent="0.25">
      <c r="C118" s="78" t="s">
        <v>264</v>
      </c>
      <c r="D118" s="22">
        <f>COUNTIF(Datos!J:J, Datos!J11)</f>
        <v>25</v>
      </c>
    </row>
    <row r="119" spans="3:5" x14ac:dyDescent="0.25">
      <c r="C119" s="79" t="s">
        <v>265</v>
      </c>
      <c r="D119" s="9">
        <f>COUNTIF(Datos!J:J, Datos!J2)</f>
        <v>17</v>
      </c>
    </row>
    <row r="120" spans="3:5" x14ac:dyDescent="0.25">
      <c r="C120" s="79" t="s">
        <v>296</v>
      </c>
      <c r="D120" s="9">
        <f>COUNTIF(Datos!J:J, Datos!J26)</f>
        <v>6</v>
      </c>
    </row>
    <row r="121" spans="3:5" x14ac:dyDescent="0.25">
      <c r="C121" s="79" t="s">
        <v>297</v>
      </c>
      <c r="D121" s="9">
        <f>COUNTIF(Datos!J:J, Datos!J19)</f>
        <v>59</v>
      </c>
    </row>
    <row r="122" spans="3:5" ht="15.75" thickBot="1" x14ac:dyDescent="0.3">
      <c r="C122" s="80" t="s">
        <v>232</v>
      </c>
      <c r="D122" s="34">
        <f>COUNTIF(Datos!J:J, Datos!J38)</f>
        <v>12</v>
      </c>
    </row>
    <row r="123" spans="3:5" ht="15.75" thickBot="1" x14ac:dyDescent="0.3">
      <c r="C123" s="75" t="s">
        <v>228</v>
      </c>
      <c r="D123" s="16">
        <f>SUM(D118:D122)</f>
        <v>119</v>
      </c>
    </row>
    <row r="132" spans="3:6" ht="15.75" thickBot="1" x14ac:dyDescent="0.3"/>
    <row r="133" spans="3:6" ht="15.75" thickBot="1" x14ac:dyDescent="0.3">
      <c r="C133" s="110" t="s">
        <v>196</v>
      </c>
      <c r="D133" s="118"/>
      <c r="E133" s="73"/>
      <c r="F133" s="76"/>
    </row>
    <row r="134" spans="3:6" x14ac:dyDescent="0.25">
      <c r="C134" s="32" t="s">
        <v>267</v>
      </c>
      <c r="D134" s="22">
        <f>COUNTIF(Datos!I:I, "*Son un recurso muy importante para buscar trabajo y para mejorar mi currículum*")</f>
        <v>57</v>
      </c>
      <c r="E134" s="10"/>
    </row>
    <row r="135" spans="3:6" x14ac:dyDescent="0.25">
      <c r="C135" s="79" t="s">
        <v>268</v>
      </c>
      <c r="D135" s="9">
        <f>COUNTIF(Datos!I:I, "*Quiero sacar buenas notas en la asignatura*")</f>
        <v>1</v>
      </c>
      <c r="E135" s="10"/>
    </row>
    <row r="136" spans="3:6" x14ac:dyDescent="0.25">
      <c r="C136" s="79" t="s">
        <v>269</v>
      </c>
      <c r="D136" s="9">
        <f>COUNTIF(Datos!I:I, "*Quiero comunicarme con personas de diferentes países y hacer amigos*")</f>
        <v>45</v>
      </c>
      <c r="E136" s="10"/>
    </row>
    <row r="137" spans="3:6" x14ac:dyDescent="0.25">
      <c r="C137" s="79" t="s">
        <v>298</v>
      </c>
      <c r="D137" s="9">
        <f>COUNTIF(Datos!I:I, "*Quiero ser capaz de entender series, música y libros en el idioma original*")</f>
        <v>45</v>
      </c>
      <c r="E137" s="10"/>
    </row>
    <row r="138" spans="3:6" x14ac:dyDescent="0.25">
      <c r="C138" s="79" t="s">
        <v>270</v>
      </c>
      <c r="D138" s="9">
        <f>COUNTIF(Datos!I:I, "*¡Me encantan! Incluso estudio idiomas por mi cuenta*")</f>
        <v>29</v>
      </c>
      <c r="E138" s="10"/>
    </row>
    <row r="139" spans="3:6" x14ac:dyDescent="0.25">
      <c r="C139" s="79" t="s">
        <v>271</v>
      </c>
      <c r="D139" s="9">
        <f>COUNTIF(Datos!I:I, "*Me parecen un rollo, pero no me queda otra porque es un requisito académico para la graduación*")</f>
        <v>10</v>
      </c>
      <c r="E139" s="10"/>
    </row>
    <row r="140" spans="3:6" ht="15.75" thickBot="1" x14ac:dyDescent="0.3">
      <c r="C140" s="80" t="s">
        <v>232</v>
      </c>
      <c r="D140" s="34">
        <f>COUNTIF(Datos!I:I, "*Otro*")</f>
        <v>23</v>
      </c>
      <c r="E140" s="25"/>
    </row>
    <row r="152" spans="3:4" ht="15.75" thickBot="1" x14ac:dyDescent="0.3"/>
    <row r="153" spans="3:4" x14ac:dyDescent="0.25">
      <c r="C153" s="119" t="s">
        <v>198</v>
      </c>
      <c r="D153" s="120"/>
    </row>
    <row r="154" spans="3:4" x14ac:dyDescent="0.25">
      <c r="C154" s="8" t="s">
        <v>272</v>
      </c>
      <c r="D154" s="9">
        <f>COUNTIF(Datos!M:M, 3)</f>
        <v>22</v>
      </c>
    </row>
    <row r="155" spans="3:4" x14ac:dyDescent="0.25">
      <c r="C155" s="8" t="s">
        <v>273</v>
      </c>
      <c r="D155" s="9">
        <f>COUNTIF(Datos!M:M, 2)</f>
        <v>44</v>
      </c>
    </row>
    <row r="156" spans="3:4" x14ac:dyDescent="0.25">
      <c r="C156" s="8" t="s">
        <v>274</v>
      </c>
      <c r="D156" s="9">
        <f>COUNTIF(Datos!M:M, 1)</f>
        <v>47</v>
      </c>
    </row>
    <row r="157" spans="3:4" ht="15.75" thickBot="1" x14ac:dyDescent="0.3">
      <c r="C157" s="33" t="s">
        <v>275</v>
      </c>
      <c r="D157" s="34">
        <f>COUNTIF(Datos!M:M, 0)</f>
        <v>6</v>
      </c>
    </row>
    <row r="158" spans="3:4" ht="15.75" thickBot="1" x14ac:dyDescent="0.3">
      <c r="C158" s="77" t="s">
        <v>228</v>
      </c>
      <c r="D158" s="16">
        <f>SUM(D154:D157)</f>
        <v>119</v>
      </c>
    </row>
    <row r="170" spans="3:4" ht="15.75" thickBot="1" x14ac:dyDescent="0.3"/>
    <row r="171" spans="3:4" x14ac:dyDescent="0.25">
      <c r="C171" s="99" t="s">
        <v>199</v>
      </c>
      <c r="D171" s="101"/>
    </row>
    <row r="172" spans="3:4" x14ac:dyDescent="0.25">
      <c r="C172" s="8" t="s">
        <v>277</v>
      </c>
      <c r="D172" s="9">
        <f>COUNTIF(Datos!N:N, "Totalmente de acuerdo")</f>
        <v>16</v>
      </c>
    </row>
    <row r="173" spans="3:4" x14ac:dyDescent="0.25">
      <c r="C173" s="8" t="s">
        <v>278</v>
      </c>
      <c r="D173" s="9">
        <f>COUNTIF(Datos!N:N, "De acuerdo")</f>
        <v>23</v>
      </c>
    </row>
    <row r="174" spans="3:4" x14ac:dyDescent="0.25">
      <c r="C174" s="8" t="s">
        <v>24</v>
      </c>
      <c r="D174" s="9">
        <f>COUNTIF(Datos!N:N, "Neutral")</f>
        <v>41</v>
      </c>
    </row>
    <row r="175" spans="3:4" x14ac:dyDescent="0.25">
      <c r="C175" s="8" t="s">
        <v>279</v>
      </c>
      <c r="D175" s="9">
        <f>COUNTIF(Datos!N:N, "En desacuerdo")</f>
        <v>26</v>
      </c>
    </row>
    <row r="176" spans="3:4" ht="15.75" thickBot="1" x14ac:dyDescent="0.3">
      <c r="C176" s="33" t="s">
        <v>280</v>
      </c>
      <c r="D176" s="34">
        <f>COUNTIF(Datos!N:N, "Totalmente en desacuerdo")</f>
        <v>13</v>
      </c>
    </row>
    <row r="177" spans="2:5" ht="15.75" thickBot="1" x14ac:dyDescent="0.3">
      <c r="C177" s="38" t="s">
        <v>228</v>
      </c>
      <c r="D177" s="16">
        <f>SUM(D172:D176)</f>
        <v>119</v>
      </c>
    </row>
    <row r="189" spans="2:5" ht="15.75" thickBot="1" x14ac:dyDescent="0.3"/>
    <row r="190" spans="2:5" x14ac:dyDescent="0.25">
      <c r="B190" s="99" t="s">
        <v>299</v>
      </c>
      <c r="C190" s="100"/>
      <c r="D190" s="100"/>
      <c r="E190" s="101"/>
    </row>
    <row r="191" spans="2:5" x14ac:dyDescent="0.25">
      <c r="B191" s="17" t="s">
        <v>284</v>
      </c>
      <c r="C191" s="18" t="s">
        <v>285</v>
      </c>
      <c r="D191" s="18" t="s">
        <v>286</v>
      </c>
      <c r="E191" s="19" t="s">
        <v>287</v>
      </c>
    </row>
    <row r="192" spans="2:5" x14ac:dyDescent="0.25">
      <c r="B192" s="8" t="s">
        <v>234</v>
      </c>
      <c r="C192" s="36">
        <f>COUNTIFS(Datos!B:B,"&gt;=18",Datos!B:B,"&lt;25")</f>
        <v>53</v>
      </c>
      <c r="D192" s="39">
        <f>COUNTIFS(Table1[P1],"&gt;=18",Table1[P1],"&lt;25",Table1[P19],"Totalmente de acuerdo") + COUNTIFS(Table1[P1],"&gt;=18",Table1[P1],"&lt;25",Table1[P19],"De acuerdo")</f>
        <v>26</v>
      </c>
      <c r="E192" s="40">
        <f>D192/C192</f>
        <v>0.49056603773584906</v>
      </c>
    </row>
    <row r="193" spans="2:6" x14ac:dyDescent="0.25">
      <c r="B193" s="8" t="s">
        <v>281</v>
      </c>
      <c r="C193" s="36">
        <f>COUNTIFS(Datos!B:B,"&gt;=25",Datos!B:B,"&lt;35")</f>
        <v>12</v>
      </c>
      <c r="D193" s="39">
        <f>COUNTIFS(Table1[P1],"&gt;=25",Table1[P1],"&lt;35",Table1[P19],"Totalmente de acuerdo") + COUNTIFS(Table1[P1],"&gt;=25",Table1[P1],"&lt;35",Table1[P19],"De acuerdo")</f>
        <v>6</v>
      </c>
      <c r="E193" s="40">
        <f t="shared" ref="E193:E195" si="0">D193/C193</f>
        <v>0.5</v>
      </c>
    </row>
    <row r="194" spans="2:6" x14ac:dyDescent="0.25">
      <c r="B194" s="13" t="s">
        <v>282</v>
      </c>
      <c r="C194" s="41">
        <f>COUNTIFS(Datos!B:B,"&gt;=35",Datos!B:B,"&lt;50")</f>
        <v>21</v>
      </c>
      <c r="D194" s="42">
        <f>COUNTIFS(Table1[P1],"&gt;=35",Table1[P1],"&lt;50",Table1[P19],"Totalmente de acuerdo") + COUNTIFS(Table1[P1],"&gt;=35",Table1[P1],"&lt;50",Table1[P19],"De acuerdo")</f>
        <v>12</v>
      </c>
      <c r="E194" s="40">
        <f t="shared" si="0"/>
        <v>0.5714285714285714</v>
      </c>
    </row>
    <row r="195" spans="2:6" ht="15.75" thickBot="1" x14ac:dyDescent="0.3">
      <c r="B195" s="43" t="s">
        <v>235</v>
      </c>
      <c r="C195" s="37">
        <f>COUNTIF(Datos!B:B,"&gt;=50")</f>
        <v>33</v>
      </c>
      <c r="D195" s="44">
        <f>COUNTIFS(Table1[P1],"&gt;=50",Table1[P19],"Totalmente de acuerdo") + COUNTIFS(Table1[P1],"&gt;=50",Table1[P19],"De acuerdo")</f>
        <v>15</v>
      </c>
      <c r="E195" s="40">
        <f t="shared" si="0"/>
        <v>0.45454545454545453</v>
      </c>
    </row>
    <row r="196" spans="2:6" ht="15.75" thickBot="1" x14ac:dyDescent="0.3">
      <c r="B196" s="15" t="s">
        <v>228</v>
      </c>
      <c r="C196" s="45">
        <f>SUM(C192:C195)</f>
        <v>119</v>
      </c>
      <c r="D196" s="45"/>
      <c r="E196" s="16"/>
    </row>
    <row r="207" spans="2:6" ht="15.75" thickBot="1" x14ac:dyDescent="0.3"/>
    <row r="208" spans="2:6" x14ac:dyDescent="0.25">
      <c r="B208" s="112" t="s">
        <v>300</v>
      </c>
      <c r="C208" s="113"/>
      <c r="D208" s="113"/>
      <c r="E208" s="113"/>
      <c r="F208" s="114"/>
    </row>
    <row r="209" spans="2:6" x14ac:dyDescent="0.25">
      <c r="B209" s="17" t="s">
        <v>286</v>
      </c>
      <c r="C209" s="18" t="s">
        <v>288</v>
      </c>
      <c r="D209" s="20" t="s">
        <v>289</v>
      </c>
      <c r="E209" s="18" t="s">
        <v>229</v>
      </c>
      <c r="F209" s="19" t="s">
        <v>230</v>
      </c>
    </row>
    <row r="210" spans="2:6" x14ac:dyDescent="0.25">
      <c r="B210" s="8" t="s">
        <v>277</v>
      </c>
      <c r="C210" s="36">
        <f>COUNTIFS(Datos!D:D,"Masculino", Datos!W:W,"Totalmente de acuerdo")</f>
        <v>7</v>
      </c>
      <c r="D210" s="39">
        <f>COUNTIFS(Datos!D:D,"Femenino", Datos!W:W,"Totalmente de acuerdo")</f>
        <v>17</v>
      </c>
      <c r="E210" s="46">
        <f>C210/C$215</f>
        <v>0.18421052631578946</v>
      </c>
      <c r="F210" s="61">
        <f>D210/D$215</f>
        <v>0.20987654320987653</v>
      </c>
    </row>
    <row r="211" spans="2:6" x14ac:dyDescent="0.25">
      <c r="B211" s="8" t="s">
        <v>278</v>
      </c>
      <c r="C211" s="36">
        <f>COUNTIFS(Datos!D:D,"Masculino", Datos!W:W,"De acuerdo")</f>
        <v>9</v>
      </c>
      <c r="D211" s="39">
        <f>COUNTIFS(Datos!D:D,"Femenino", Datos!W:W,"De acuerdo")</f>
        <v>26</v>
      </c>
      <c r="E211" s="46">
        <f t="shared" ref="E211:F214" si="1">C211/C$215</f>
        <v>0.23684210526315788</v>
      </c>
      <c r="F211" s="61">
        <f t="shared" si="1"/>
        <v>0.32098765432098764</v>
      </c>
    </row>
    <row r="212" spans="2:6" x14ac:dyDescent="0.25">
      <c r="B212" s="13" t="s">
        <v>24</v>
      </c>
      <c r="C212" s="41">
        <f>COUNTIFS(Datos!D:D,"Masculino", Datos!W:W,"Neutral")</f>
        <v>12</v>
      </c>
      <c r="D212" s="42">
        <f>COUNTIFS(Datos!D:D,"Femenino", Datos!W:W,"Neutral")</f>
        <v>17</v>
      </c>
      <c r="E212" s="46">
        <f t="shared" si="1"/>
        <v>0.31578947368421051</v>
      </c>
      <c r="F212" s="61">
        <f t="shared" si="1"/>
        <v>0.20987654320987653</v>
      </c>
    </row>
    <row r="213" spans="2:6" x14ac:dyDescent="0.25">
      <c r="B213" s="47" t="s">
        <v>279</v>
      </c>
      <c r="C213" s="41">
        <f>COUNTIFS(Datos!D:D,"Masculino", Datos!W:W,"En desacuerdo")</f>
        <v>5</v>
      </c>
      <c r="D213" s="42">
        <f>COUNTIFS(Datos!D:D,"Femenino", Datos!W:W,"En desacuerdo")</f>
        <v>14</v>
      </c>
      <c r="E213" s="46">
        <f t="shared" si="1"/>
        <v>0.13157894736842105</v>
      </c>
      <c r="F213" s="61">
        <f t="shared" si="1"/>
        <v>0.1728395061728395</v>
      </c>
    </row>
    <row r="214" spans="2:6" ht="15.75" thickBot="1" x14ac:dyDescent="0.3">
      <c r="B214" s="43" t="s">
        <v>280</v>
      </c>
      <c r="C214" s="37">
        <f>COUNTIFS(Datos!D:D,"Masculino", Datos!W:W,"Totalmente en desacuerdo")</f>
        <v>5</v>
      </c>
      <c r="D214" s="44">
        <f>COUNTIFS(Datos!D:D,"Femenino", Datos!W:W,"Totalmente en desacuerdo")</f>
        <v>7</v>
      </c>
      <c r="E214" s="46">
        <f t="shared" si="1"/>
        <v>0.13157894736842105</v>
      </c>
      <c r="F214" s="62">
        <f t="shared" si="1"/>
        <v>8.6419753086419748E-2</v>
      </c>
    </row>
    <row r="215" spans="2:6" x14ac:dyDescent="0.25">
      <c r="B215" s="48" t="s">
        <v>228</v>
      </c>
      <c r="C215" s="21">
        <f>SUM(C210:C214)</f>
        <v>38</v>
      </c>
      <c r="D215" s="50">
        <f>SUM(D210:D214)</f>
        <v>81</v>
      </c>
      <c r="E215" s="21"/>
      <c r="F215" s="22"/>
    </row>
    <row r="216" spans="2:6" ht="15.75" thickBot="1" x14ac:dyDescent="0.3">
      <c r="B216" s="43" t="s">
        <v>291</v>
      </c>
      <c r="C216" s="37">
        <f>SUM(C215:D215)</f>
        <v>119</v>
      </c>
      <c r="D216" s="44"/>
      <c r="E216" s="37"/>
      <c r="F216" s="34"/>
    </row>
    <row r="225" spans="2:6" ht="15.75" thickBot="1" x14ac:dyDescent="0.3"/>
    <row r="226" spans="2:6" x14ac:dyDescent="0.25">
      <c r="B226" s="112" t="s">
        <v>301</v>
      </c>
      <c r="C226" s="113"/>
      <c r="D226" s="113"/>
      <c r="E226" s="113"/>
      <c r="F226" s="114"/>
    </row>
    <row r="227" spans="2:6" x14ac:dyDescent="0.25">
      <c r="B227" s="17" t="s">
        <v>286</v>
      </c>
      <c r="C227" s="18" t="s">
        <v>236</v>
      </c>
      <c r="D227" s="20" t="s">
        <v>237</v>
      </c>
      <c r="E227" s="18" t="s">
        <v>238</v>
      </c>
      <c r="F227" s="19" t="s">
        <v>239</v>
      </c>
    </row>
    <row r="228" spans="2:6" x14ac:dyDescent="0.25">
      <c r="B228" s="8" t="s">
        <v>277</v>
      </c>
      <c r="C228" s="36">
        <f>COUNTIFS(Datos!G:G,1,Datos!W:W,"Totalmente de acuerdo")</f>
        <v>4</v>
      </c>
      <c r="D228" s="39">
        <f>COUNTIFS(Datos!G:G,2,Datos!W:W,"Totalmente de acuerdo")</f>
        <v>12</v>
      </c>
      <c r="E228" s="49">
        <f>COUNTIFS(Datos!G:G,3,Datos!W:W,"Totalmente de acuerdo")</f>
        <v>7</v>
      </c>
      <c r="F228" s="63">
        <f>COUNTIFS(Datos!G:G,"&gt;3",Datos!W:W,"Totalmente de acuerdo")</f>
        <v>1</v>
      </c>
    </row>
    <row r="229" spans="2:6" x14ac:dyDescent="0.25">
      <c r="B229" s="8" t="s">
        <v>278</v>
      </c>
      <c r="C229" s="36">
        <f>COUNTIFS(Datos!G:G,1,Datos!W:W,"De acuerdo")</f>
        <v>16</v>
      </c>
      <c r="D229" s="39">
        <f>COUNTIFS(Datos!G:G,2,Datos!W:W,"De acuerdo")</f>
        <v>15</v>
      </c>
      <c r="E229" s="49">
        <f>COUNTIFS(Datos!G:G,3,Datos!W:W,"De acuerdo")</f>
        <v>3</v>
      </c>
      <c r="F229" s="63">
        <f>COUNTIFS(Datos!G:G,"&gt;3",Datos!W:W,"De acuerdo")</f>
        <v>1</v>
      </c>
    </row>
    <row r="230" spans="2:6" x14ac:dyDescent="0.25">
      <c r="B230" s="13" t="s">
        <v>24</v>
      </c>
      <c r="C230" s="41">
        <f>COUNTIFS(Datos!G:G,1,Datos!W:W,"Neutral")</f>
        <v>11</v>
      </c>
      <c r="D230" s="42">
        <f>COUNTIFS(Datos!G:G,2,Datos!W:W,"Neutral")</f>
        <v>12</v>
      </c>
      <c r="E230" s="49">
        <f>COUNTIFS(Datos!G:G,3,Datos!W:W,"Neutral")</f>
        <v>4</v>
      </c>
      <c r="F230" s="63">
        <f>COUNTIFS(Datos!G:G,"&gt;3",Datos!W:W,"Neutral")</f>
        <v>2</v>
      </c>
    </row>
    <row r="231" spans="2:6" x14ac:dyDescent="0.25">
      <c r="B231" s="47" t="s">
        <v>279</v>
      </c>
      <c r="C231" s="41">
        <f>COUNTIFS(Datos!G:G,1,Datos!W:W,"En desacuerdo")</f>
        <v>10</v>
      </c>
      <c r="D231" s="42">
        <f>COUNTIFS(Datos!G:G,2,Datos!W:W,"En desacuerdo")</f>
        <v>8</v>
      </c>
      <c r="E231" s="49">
        <f>COUNTIFS(Datos!G:G,3,Datos!W:W,"En desacuerdo")</f>
        <v>0</v>
      </c>
      <c r="F231" s="63">
        <f>COUNTIFS(Datos!G:G,"&gt;3",Datos!W:W,"En desacuerdo")</f>
        <v>1</v>
      </c>
    </row>
    <row r="232" spans="2:6" ht="15.75" thickBot="1" x14ac:dyDescent="0.3">
      <c r="B232" s="43" t="s">
        <v>280</v>
      </c>
      <c r="C232" s="37">
        <f>COUNTIFS(Datos!G:G,1,Datos!W:W,"Totalmente en desacuerdo")</f>
        <v>5</v>
      </c>
      <c r="D232" s="44">
        <f>COUNTIFS(Datos!G:G,2,Datos!W:W,"Totalmente en desacuerdo")</f>
        <v>4</v>
      </c>
      <c r="E232" s="49">
        <f>COUNTIFS(Datos!G:G,3,Datos!W:W,"Totalmente en desacuerdo")</f>
        <v>3</v>
      </c>
      <c r="F232" s="64">
        <f>COUNTIFS(Datos!G:G,"&gt;3",Datos!W:W,"Totalmente en desacuerdo")</f>
        <v>0</v>
      </c>
    </row>
    <row r="233" spans="2:6" x14ac:dyDescent="0.25">
      <c r="B233" s="48" t="s">
        <v>228</v>
      </c>
      <c r="C233" s="21">
        <f>SUM(C228:C232)</f>
        <v>46</v>
      </c>
      <c r="D233" s="50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43" t="s">
        <v>291</v>
      </c>
      <c r="C234" s="37">
        <f>SUM(C233:F233)</f>
        <v>119</v>
      </c>
      <c r="D234" s="44"/>
      <c r="E234" s="37"/>
      <c r="F234" s="34"/>
    </row>
    <row r="236" spans="2:6" ht="15.75" thickBot="1" x14ac:dyDescent="0.3"/>
    <row r="237" spans="2:6" x14ac:dyDescent="0.25">
      <c r="B237" s="112" t="s">
        <v>301</v>
      </c>
      <c r="C237" s="113"/>
      <c r="D237" s="113"/>
      <c r="E237" s="113"/>
      <c r="F237" s="114"/>
    </row>
    <row r="238" spans="2:6" x14ac:dyDescent="0.25">
      <c r="B238" s="17" t="s">
        <v>286</v>
      </c>
      <c r="C238" s="18" t="s">
        <v>236</v>
      </c>
      <c r="D238" s="20" t="s">
        <v>237</v>
      </c>
      <c r="E238" s="18" t="s">
        <v>238</v>
      </c>
      <c r="F238" s="19" t="s">
        <v>239</v>
      </c>
    </row>
    <row r="239" spans="2:6" x14ac:dyDescent="0.25">
      <c r="B239" s="8" t="s">
        <v>277</v>
      </c>
      <c r="C239" s="51">
        <f>C228/C$233</f>
        <v>8.6956521739130432E-2</v>
      </c>
      <c r="D239" s="51">
        <f>D228/D$233</f>
        <v>0.23529411764705882</v>
      </c>
      <c r="E239" s="51">
        <f>E228/E$233</f>
        <v>0.41176470588235292</v>
      </c>
      <c r="F239" s="40">
        <f>F228/F$233</f>
        <v>0.2</v>
      </c>
    </row>
    <row r="240" spans="2:6" x14ac:dyDescent="0.25">
      <c r="B240" s="8" t="s">
        <v>278</v>
      </c>
      <c r="C240" s="51">
        <f t="shared" ref="C240:D243" si="2">C229/C$233</f>
        <v>0.34782608695652173</v>
      </c>
      <c r="D240" s="51">
        <f t="shared" si="2"/>
        <v>0.29411764705882354</v>
      </c>
      <c r="E240" s="51">
        <f t="shared" ref="E240:F240" si="3">E229/E$233</f>
        <v>0.17647058823529413</v>
      </c>
      <c r="F240" s="40">
        <f t="shared" si="3"/>
        <v>0.2</v>
      </c>
    </row>
    <row r="241" spans="2:7" x14ac:dyDescent="0.25">
      <c r="B241" s="13" t="s">
        <v>24</v>
      </c>
      <c r="C241" s="51">
        <f t="shared" si="2"/>
        <v>0.2391304347826087</v>
      </c>
      <c r="D241" s="51">
        <f t="shared" si="2"/>
        <v>0.23529411764705882</v>
      </c>
      <c r="E241" s="51">
        <f t="shared" ref="E241:F241" si="4">E230/E$233</f>
        <v>0.23529411764705882</v>
      </c>
      <c r="F241" s="40">
        <f t="shared" si="4"/>
        <v>0.4</v>
      </c>
    </row>
    <row r="242" spans="2:7" x14ac:dyDescent="0.25">
      <c r="B242" s="47" t="s">
        <v>279</v>
      </c>
      <c r="C242" s="51">
        <f t="shared" si="2"/>
        <v>0.21739130434782608</v>
      </c>
      <c r="D242" s="51">
        <f t="shared" si="2"/>
        <v>0.15686274509803921</v>
      </c>
      <c r="E242" s="51">
        <f t="shared" ref="E242:F242" si="5">E231/E$233</f>
        <v>0</v>
      </c>
      <c r="F242" s="40">
        <f t="shared" si="5"/>
        <v>0.2</v>
      </c>
    </row>
    <row r="243" spans="2:7" ht="15.75" thickBot="1" x14ac:dyDescent="0.3">
      <c r="B243" s="43" t="s">
        <v>280</v>
      </c>
      <c r="C243" s="52">
        <f t="shared" si="2"/>
        <v>0.10869565217391304</v>
      </c>
      <c r="D243" s="52">
        <f t="shared" si="2"/>
        <v>7.8431372549019607E-2</v>
      </c>
      <c r="E243" s="52">
        <f t="shared" ref="E243:F243" si="6">E232/E$233</f>
        <v>0.17647058823529413</v>
      </c>
      <c r="F243" s="53">
        <f t="shared" si="6"/>
        <v>0</v>
      </c>
    </row>
    <row r="244" spans="2:7" x14ac:dyDescent="0.25">
      <c r="B244" s="54"/>
      <c r="C244" s="54"/>
      <c r="D244" s="54"/>
      <c r="E244" s="54"/>
      <c r="F244" s="54"/>
    </row>
    <row r="245" spans="2:7" x14ac:dyDescent="0.25">
      <c r="B245" s="54"/>
      <c r="C245" s="54"/>
      <c r="D245" s="54"/>
      <c r="E245" s="54"/>
      <c r="F245" s="54"/>
    </row>
    <row r="252" spans="2:7" ht="15.75" thickBot="1" x14ac:dyDescent="0.3"/>
    <row r="253" spans="2:7" x14ac:dyDescent="0.25">
      <c r="B253" s="99" t="s">
        <v>302</v>
      </c>
      <c r="C253" s="100"/>
      <c r="D253" s="100"/>
      <c r="E253" s="100"/>
      <c r="F253" s="100"/>
      <c r="G253" s="101"/>
    </row>
    <row r="254" spans="2:7" x14ac:dyDescent="0.25">
      <c r="B254" s="17" t="s">
        <v>284</v>
      </c>
      <c r="C254" s="18" t="s">
        <v>285</v>
      </c>
      <c r="D254" s="18" t="s">
        <v>303</v>
      </c>
      <c r="E254" s="20" t="s">
        <v>273</v>
      </c>
      <c r="F254" s="18" t="s">
        <v>274</v>
      </c>
      <c r="G254" s="19" t="s">
        <v>275</v>
      </c>
    </row>
    <row r="255" spans="2:7" x14ac:dyDescent="0.25">
      <c r="B255" s="8" t="s">
        <v>234</v>
      </c>
      <c r="C255" s="36">
        <f>COUNTIFS(Datos!B:B,"&gt;=18",Datos!B:B,"&lt;25")</f>
        <v>53</v>
      </c>
      <c r="D255" s="39">
        <f>COUNTIFS(Datos!B:B,"&gt;=18",Datos!B:B,"&lt;25",Datos!M:M,0)</f>
        <v>3</v>
      </c>
      <c r="E255" s="55">
        <f>COUNTIFS(Datos!B:B,"&gt;=18",Datos!B:B,"&lt;25",Datos!M:M,1)</f>
        <v>21</v>
      </c>
      <c r="F255" s="3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281</v>
      </c>
      <c r="C256" s="36">
        <f>COUNTIFS(Datos!B:B,"&gt;=25",Datos!B:B,"&lt;35")</f>
        <v>12</v>
      </c>
      <c r="D256" s="39">
        <f>COUNTIFS(Datos!B:B,"&gt;=25",Datos!B:B,"&lt;35",Datos!M:M,0)</f>
        <v>0</v>
      </c>
      <c r="E256" s="55">
        <f>COUNTIFS(Datos!B:B,"&gt;=25",Datos!B:B,"&lt;35",Datos!M:M,1)</f>
        <v>2</v>
      </c>
      <c r="F256" s="3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282</v>
      </c>
      <c r="C257" s="41">
        <f>COUNTIFS(Datos!B:B,"&gt;=35",Datos!B:B,"&lt;50")</f>
        <v>21</v>
      </c>
      <c r="D257" s="42">
        <f>COUNTIFS(Datos!B:B,"&gt;=35",Datos!B:B,"&lt;50",Datos!M:M,0)</f>
        <v>1</v>
      </c>
      <c r="E257" s="55">
        <f>COUNTIFS(Datos!B:B,"&gt;=35",Datos!B:B,"&lt;50",Datos!M:M,1)</f>
        <v>12</v>
      </c>
      <c r="F257" s="3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43" t="s">
        <v>235</v>
      </c>
      <c r="C258" s="37">
        <f>COUNTIF(Datos!B:B,"&gt;=50")</f>
        <v>33</v>
      </c>
      <c r="D258" s="44">
        <f>COUNTIFS(Datos!B:B,"&gt;=50",Datos!M:M,0)</f>
        <v>2</v>
      </c>
      <c r="E258" s="55">
        <f>COUNTIFS(Datos!B:B,"&gt;=50",Datos!M:M,1)</f>
        <v>12</v>
      </c>
      <c r="F258" s="41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228</v>
      </c>
      <c r="C259" s="45">
        <f>SUM(D255:G258)</f>
        <v>119</v>
      </c>
      <c r="D259" s="45"/>
      <c r="E259" s="56"/>
      <c r="F259" s="45"/>
      <c r="G259" s="16"/>
    </row>
    <row r="261" spans="2:8" ht="15.75" thickBot="1" x14ac:dyDescent="0.3"/>
    <row r="262" spans="2:8" x14ac:dyDescent="0.25">
      <c r="B262" s="99" t="s">
        <v>302</v>
      </c>
      <c r="C262" s="100"/>
      <c r="D262" s="100"/>
      <c r="E262" s="100"/>
      <c r="F262" s="100"/>
      <c r="G262" s="101"/>
    </row>
    <row r="263" spans="2:8" x14ac:dyDescent="0.25">
      <c r="B263" s="17" t="s">
        <v>284</v>
      </c>
      <c r="C263" s="18" t="s">
        <v>285</v>
      </c>
      <c r="D263" s="18" t="s">
        <v>303</v>
      </c>
      <c r="E263" s="20" t="s">
        <v>273</v>
      </c>
      <c r="F263" s="18" t="s">
        <v>274</v>
      </c>
      <c r="G263" s="19" t="s">
        <v>275</v>
      </c>
    </row>
    <row r="264" spans="2:8" x14ac:dyDescent="0.25">
      <c r="B264" s="8" t="s">
        <v>234</v>
      </c>
      <c r="C264" s="36">
        <f>COUNTIFS(Datos!B:B,"&gt;=18",Datos!B:B,"&lt;25")</f>
        <v>53</v>
      </c>
      <c r="D264" s="58">
        <f>D255/C255</f>
        <v>5.6603773584905662E-2</v>
      </c>
      <c r="E264" s="58">
        <f>E255/C264</f>
        <v>0.39622641509433965</v>
      </c>
      <c r="F264" s="51">
        <f>F255/C255</f>
        <v>0.32075471698113206</v>
      </c>
      <c r="G264" s="40">
        <f>G255/C255</f>
        <v>0.22641509433962265</v>
      </c>
      <c r="H264" s="59"/>
    </row>
    <row r="265" spans="2:8" x14ac:dyDescent="0.25">
      <c r="B265" s="8" t="s">
        <v>281</v>
      </c>
      <c r="C265" s="36">
        <f>COUNTIFS(Datos!B:B,"&gt;=25",Datos!B:B,"&lt;35")</f>
        <v>12</v>
      </c>
      <c r="D265" s="58">
        <f>D256/C256</f>
        <v>0</v>
      </c>
      <c r="E265" s="58">
        <f t="shared" ref="E265:E267" si="7">E256/C265</f>
        <v>0.16666666666666666</v>
      </c>
      <c r="F265" s="51">
        <f t="shared" ref="F265:F267" si="8">F256/C256</f>
        <v>0.66666666666666663</v>
      </c>
      <c r="G265" s="40">
        <f t="shared" ref="G265:G267" si="9">G256/C256</f>
        <v>0.16666666666666666</v>
      </c>
    </row>
    <row r="266" spans="2:8" x14ac:dyDescent="0.25">
      <c r="B266" s="13" t="s">
        <v>282</v>
      </c>
      <c r="C266" s="41">
        <f>COUNTIFS(Datos!B:B,"&gt;=35",Datos!B:B,"&lt;50")</f>
        <v>21</v>
      </c>
      <c r="D266" s="58">
        <f>D257/C257</f>
        <v>4.7619047619047616E-2</v>
      </c>
      <c r="E266" s="58">
        <f t="shared" si="7"/>
        <v>0.5714285714285714</v>
      </c>
      <c r="F266" s="51">
        <f t="shared" si="8"/>
        <v>0.2857142857142857</v>
      </c>
      <c r="G266" s="40">
        <f t="shared" si="9"/>
        <v>9.5238095238095233E-2</v>
      </c>
    </row>
    <row r="267" spans="2:8" ht="15.75" thickBot="1" x14ac:dyDescent="0.3">
      <c r="B267" s="43" t="s">
        <v>235</v>
      </c>
      <c r="C267" s="37">
        <f>COUNTIF(Datos!B:B,"&gt;=50")</f>
        <v>33</v>
      </c>
      <c r="D267" s="58">
        <f>D258/C258</f>
        <v>6.0606060606060608E-2</v>
      </c>
      <c r="E267" s="58">
        <f t="shared" si="7"/>
        <v>0.36363636363636365</v>
      </c>
      <c r="F267" s="51">
        <f t="shared" si="8"/>
        <v>0.39393939393939392</v>
      </c>
      <c r="G267" s="40">
        <f t="shared" si="9"/>
        <v>0.18181818181818182</v>
      </c>
    </row>
    <row r="268" spans="2:8" x14ac:dyDescent="0.25">
      <c r="B268" s="57"/>
      <c r="C268" s="35"/>
      <c r="D268" s="35"/>
      <c r="E268" s="35"/>
      <c r="F268" s="35"/>
      <c r="G268" s="35"/>
    </row>
    <row r="275" spans="2:6" ht="15.75" thickBot="1" x14ac:dyDescent="0.3"/>
    <row r="276" spans="2:6" x14ac:dyDescent="0.25">
      <c r="B276" s="112" t="s">
        <v>321</v>
      </c>
      <c r="C276" s="113"/>
      <c r="D276" s="113"/>
      <c r="E276" s="113"/>
      <c r="F276" s="114"/>
    </row>
    <row r="277" spans="2:6" x14ac:dyDescent="0.25">
      <c r="B277" s="17" t="s">
        <v>304</v>
      </c>
      <c r="C277" s="18" t="s">
        <v>288</v>
      </c>
      <c r="D277" s="20" t="s">
        <v>289</v>
      </c>
      <c r="E277" s="18" t="s">
        <v>229</v>
      </c>
      <c r="F277" s="19" t="s">
        <v>230</v>
      </c>
    </row>
    <row r="278" spans="2:6" x14ac:dyDescent="0.25">
      <c r="B278" s="8" t="s">
        <v>303</v>
      </c>
      <c r="C278" s="36">
        <f>COUNTIFS(Datos!D:D,"Masculino",Datos!M:M,0)</f>
        <v>1</v>
      </c>
      <c r="D278" s="39">
        <f>COUNTIFS(Datos!D:D,"Femenino",Datos!M:M,0)</f>
        <v>5</v>
      </c>
      <c r="E278" s="46">
        <f t="shared" ref="E278:F281" si="10">C278/C$282</f>
        <v>2.6315789473684209E-2</v>
      </c>
      <c r="F278" s="61">
        <f t="shared" si="10"/>
        <v>6.1728395061728392E-2</v>
      </c>
    </row>
    <row r="279" spans="2:6" x14ac:dyDescent="0.25">
      <c r="B279" s="8" t="s">
        <v>273</v>
      </c>
      <c r="C279" s="36">
        <f>COUNTIFS(Datos!D:D,"Masculino",Datos!M:M,1)</f>
        <v>13</v>
      </c>
      <c r="D279" s="39">
        <f>COUNTIFS(Datos!D:D,"Femenino",Datos!M:M,1)</f>
        <v>34</v>
      </c>
      <c r="E279" s="46">
        <f t="shared" si="10"/>
        <v>0.34210526315789475</v>
      </c>
      <c r="F279" s="61">
        <f t="shared" si="10"/>
        <v>0.41975308641975306</v>
      </c>
    </row>
    <row r="280" spans="2:6" x14ac:dyDescent="0.25">
      <c r="B280" s="13" t="s">
        <v>274</v>
      </c>
      <c r="C280" s="41">
        <f>COUNTIFS(Datos!D:D,"Masculino",Datos!M:M,2)</f>
        <v>15</v>
      </c>
      <c r="D280" s="42">
        <f>COUNTIFS(Datos!D:D,"Femenino",Datos!M:M,2)</f>
        <v>29</v>
      </c>
      <c r="E280" s="46">
        <f t="shared" si="10"/>
        <v>0.39473684210526316</v>
      </c>
      <c r="F280" s="61">
        <f t="shared" si="10"/>
        <v>0.35802469135802467</v>
      </c>
    </row>
    <row r="281" spans="2:6" ht="15.75" thickBot="1" x14ac:dyDescent="0.3">
      <c r="B281" s="47" t="s">
        <v>275</v>
      </c>
      <c r="C281" s="41">
        <f>COUNTIFS(Datos!D:D,"Masculino",Datos!M:M,3)</f>
        <v>9</v>
      </c>
      <c r="D281" s="42">
        <f>COUNTIFS(Datos!D:D,"Femenino",Datos!M:M,3)</f>
        <v>13</v>
      </c>
      <c r="E281" s="46">
        <f t="shared" si="10"/>
        <v>0.23684210526315788</v>
      </c>
      <c r="F281" s="62">
        <f t="shared" si="10"/>
        <v>0.16049382716049382</v>
      </c>
    </row>
    <row r="282" spans="2:6" x14ac:dyDescent="0.25">
      <c r="B282" s="48" t="s">
        <v>228</v>
      </c>
      <c r="C282" s="21">
        <f>SUM(C278:C281)</f>
        <v>38</v>
      </c>
      <c r="D282" s="50">
        <f>SUM(D278:D281)</f>
        <v>81</v>
      </c>
      <c r="E282" s="21"/>
      <c r="F282" s="22"/>
    </row>
    <row r="283" spans="2:6" ht="15.75" thickBot="1" x14ac:dyDescent="0.3">
      <c r="B283" s="43" t="s">
        <v>291</v>
      </c>
      <c r="C283" s="37">
        <f>SUM(C282:D282)</f>
        <v>119</v>
      </c>
      <c r="D283" s="44"/>
      <c r="E283" s="37"/>
      <c r="F283" s="34"/>
    </row>
    <row r="290" spans="2:6" ht="15.75" thickBot="1" x14ac:dyDescent="0.3"/>
    <row r="291" spans="2:6" x14ac:dyDescent="0.25">
      <c r="B291" s="112" t="s">
        <v>305</v>
      </c>
      <c r="C291" s="113"/>
      <c r="D291" s="113"/>
      <c r="E291" s="113"/>
      <c r="F291" s="114"/>
    </row>
    <row r="292" spans="2:6" x14ac:dyDescent="0.25">
      <c r="B292" s="17" t="s">
        <v>304</v>
      </c>
      <c r="C292" s="18" t="s">
        <v>236</v>
      </c>
      <c r="D292" s="20" t="s">
        <v>237</v>
      </c>
      <c r="E292" s="18" t="s">
        <v>238</v>
      </c>
      <c r="F292" s="19" t="s">
        <v>239</v>
      </c>
    </row>
    <row r="293" spans="2:6" x14ac:dyDescent="0.25">
      <c r="B293" s="8" t="s">
        <v>303</v>
      </c>
      <c r="C293" s="36">
        <f>COUNTIFS(Datos!G:G,1,Datos!M:M,0)</f>
        <v>3</v>
      </c>
      <c r="D293" s="39">
        <f>COUNTIFS(Datos!G:G,2,Datos!M:M,0)</f>
        <v>3</v>
      </c>
      <c r="E293" s="49">
        <f>COUNTIFS(Datos!G:G,3,Datos!M:M,0)</f>
        <v>0</v>
      </c>
      <c r="F293" s="63">
        <f>COUNTIFS(Datos!G:G,"&gt;3",Datos!M:M,0)</f>
        <v>0</v>
      </c>
    </row>
    <row r="294" spans="2:6" x14ac:dyDescent="0.25">
      <c r="B294" s="8" t="s">
        <v>273</v>
      </c>
      <c r="C294" s="36">
        <f>COUNTIFS(Datos!G:G,1,Datos!M:M,1)</f>
        <v>22</v>
      </c>
      <c r="D294" s="39">
        <f>COUNTIFS(Datos!G:G,2,Datos!M:M,1)</f>
        <v>20</v>
      </c>
      <c r="E294" s="49">
        <f>COUNTIFS(Datos!G:G,3,Datos!M:M,1)</f>
        <v>5</v>
      </c>
      <c r="F294" s="63">
        <f>COUNTIFS(Datos!G:G,"&gt;3",Datos!M:M,1)</f>
        <v>0</v>
      </c>
    </row>
    <row r="295" spans="2:6" x14ac:dyDescent="0.25">
      <c r="B295" s="13" t="s">
        <v>274</v>
      </c>
      <c r="C295" s="41">
        <f>COUNTIFS(Datos!G:G,1,Datos!M:M,2)</f>
        <v>17</v>
      </c>
      <c r="D295" s="42">
        <f>COUNTIFS(Datos!G:G,2,Datos!M:M,2)</f>
        <v>20</v>
      </c>
      <c r="E295" s="49">
        <f>COUNTIFS(Datos!G:G,3,Datos!M:M,2)</f>
        <v>5</v>
      </c>
      <c r="F295" s="63">
        <f>COUNTIFS(Datos!G:G,"&gt;3",Datos!M:M,2)</f>
        <v>2</v>
      </c>
    </row>
    <row r="296" spans="2:6" ht="15.75" thickBot="1" x14ac:dyDescent="0.3">
      <c r="B296" s="47" t="s">
        <v>275</v>
      </c>
      <c r="C296" s="41">
        <f>COUNTIFS(Datos!G:G,1,Datos!M:M,3)</f>
        <v>4</v>
      </c>
      <c r="D296" s="42">
        <f>COUNTIFS(Datos!G:G,2,Datos!M:M,3)</f>
        <v>8</v>
      </c>
      <c r="E296" s="49">
        <f>COUNTIFS(Datos!G:G,3,Datos!M:M,3)</f>
        <v>7</v>
      </c>
      <c r="F296" s="64">
        <f>COUNTIFS(Datos!G:G,"&gt;3",Datos!M:M,3)</f>
        <v>3</v>
      </c>
    </row>
    <row r="297" spans="2:6" x14ac:dyDescent="0.25">
      <c r="B297" s="48" t="s">
        <v>228</v>
      </c>
      <c r="C297" s="21">
        <f>SUM(C293:C296)</f>
        <v>46</v>
      </c>
      <c r="D297" s="50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43" t="s">
        <v>291</v>
      </c>
      <c r="C298" s="37">
        <f>SUM(C297:F297)</f>
        <v>119</v>
      </c>
      <c r="D298" s="44"/>
      <c r="E298" s="37"/>
      <c r="F298" s="34"/>
    </row>
    <row r="301" spans="2:6" ht="15.75" thickBot="1" x14ac:dyDescent="0.3"/>
    <row r="302" spans="2:6" x14ac:dyDescent="0.25">
      <c r="B302" s="112" t="s">
        <v>305</v>
      </c>
      <c r="C302" s="113"/>
      <c r="D302" s="113"/>
      <c r="E302" s="113"/>
      <c r="F302" s="114"/>
    </row>
    <row r="303" spans="2:6" x14ac:dyDescent="0.25">
      <c r="B303" s="17" t="s">
        <v>304</v>
      </c>
      <c r="C303" s="18" t="s">
        <v>236</v>
      </c>
      <c r="D303" s="20" t="s">
        <v>237</v>
      </c>
      <c r="E303" s="18" t="s">
        <v>238</v>
      </c>
      <c r="F303" s="19" t="s">
        <v>239</v>
      </c>
    </row>
    <row r="304" spans="2:6" x14ac:dyDescent="0.25">
      <c r="B304" s="8" t="s">
        <v>303</v>
      </c>
      <c r="C304" s="51">
        <f>C293/C$297</f>
        <v>6.5217391304347824E-2</v>
      </c>
      <c r="D304" s="51">
        <f>D293/D$297</f>
        <v>5.8823529411764705E-2</v>
      </c>
      <c r="E304" s="51">
        <f>E293/E$297</f>
        <v>0</v>
      </c>
      <c r="F304" s="40">
        <f>F293/F$297</f>
        <v>0</v>
      </c>
    </row>
    <row r="305" spans="2:6" x14ac:dyDescent="0.25">
      <c r="B305" s="8" t="s">
        <v>273</v>
      </c>
      <c r="C305" s="51">
        <f t="shared" ref="C305:D307" si="11">C294/C$297</f>
        <v>0.47826086956521741</v>
      </c>
      <c r="D305" s="51">
        <f t="shared" si="11"/>
        <v>0.39215686274509803</v>
      </c>
      <c r="E305" s="51">
        <f t="shared" ref="E305:F305" si="12">E294/E$297</f>
        <v>0.29411764705882354</v>
      </c>
      <c r="F305" s="40">
        <f t="shared" si="12"/>
        <v>0</v>
      </c>
    </row>
    <row r="306" spans="2:6" x14ac:dyDescent="0.25">
      <c r="B306" s="13" t="s">
        <v>274</v>
      </c>
      <c r="C306" s="51">
        <f t="shared" si="11"/>
        <v>0.36956521739130432</v>
      </c>
      <c r="D306" s="51">
        <f t="shared" si="11"/>
        <v>0.39215686274509803</v>
      </c>
      <c r="E306" s="51">
        <f t="shared" ref="E306:F306" si="13">E295/E$297</f>
        <v>0.29411764705882354</v>
      </c>
      <c r="F306" s="40">
        <f t="shared" si="13"/>
        <v>0.4</v>
      </c>
    </row>
    <row r="307" spans="2:6" ht="15.75" thickBot="1" x14ac:dyDescent="0.3">
      <c r="B307" s="47" t="s">
        <v>275</v>
      </c>
      <c r="C307" s="51">
        <f t="shared" si="11"/>
        <v>8.6956521739130432E-2</v>
      </c>
      <c r="D307" s="51">
        <f t="shared" si="11"/>
        <v>0.15686274509803921</v>
      </c>
      <c r="E307" s="51">
        <f t="shared" ref="E307:F307" si="14">E296/E$297</f>
        <v>0.41176470588235292</v>
      </c>
      <c r="F307" s="53">
        <f t="shared" si="14"/>
        <v>0.6</v>
      </c>
    </row>
    <row r="308" spans="2:6" x14ac:dyDescent="0.25">
      <c r="B308" s="57"/>
      <c r="C308" s="60"/>
      <c r="D308" s="60"/>
      <c r="E308" s="60"/>
      <c r="F308" s="60"/>
    </row>
    <row r="315" spans="2:6" ht="15.75" thickBot="1" x14ac:dyDescent="0.3"/>
    <row r="316" spans="2:6" x14ac:dyDescent="0.25">
      <c r="B316" s="99" t="s">
        <v>307</v>
      </c>
      <c r="C316" s="100"/>
      <c r="D316" s="100"/>
      <c r="E316" s="101"/>
    </row>
    <row r="317" spans="2:6" x14ac:dyDescent="0.25">
      <c r="B317" s="17" t="s">
        <v>284</v>
      </c>
      <c r="C317" s="18" t="s">
        <v>285</v>
      </c>
      <c r="D317" s="18" t="s">
        <v>306</v>
      </c>
      <c r="E317" s="19" t="s">
        <v>308</v>
      </c>
    </row>
    <row r="318" spans="2:6" x14ac:dyDescent="0.25">
      <c r="B318" s="8" t="s">
        <v>234</v>
      </c>
      <c r="C318" s="36">
        <f>COUNTIFS(Datos!B:B,"&gt;=18",Datos!B:B,"&lt;25")</f>
        <v>53</v>
      </c>
      <c r="D318" s="39">
        <f>COUNTIFS(Table1[P1],"&gt;=18",Table1[P1],"&lt;25",Table1[P10],"Totalmente de acuerdo") + COUNTIFS(Table1[P1],"&gt;=18",Table1[P1],"&lt;25",Table1[P10],"De acuerdo")</f>
        <v>25</v>
      </c>
      <c r="E318" s="40">
        <f>D318/C318</f>
        <v>0.47169811320754718</v>
      </c>
    </row>
    <row r="319" spans="2:6" x14ac:dyDescent="0.25">
      <c r="B319" s="8" t="s">
        <v>281</v>
      </c>
      <c r="C319" s="36">
        <f>COUNTIFS(Datos!B:B,"&gt;=25",Datos!B:B,"&lt;35")</f>
        <v>12</v>
      </c>
      <c r="D319" s="39">
        <f>COUNTIFS(Table1[P1],"&gt;=25",Table1[P1],"&lt;35",Table1[P10],"Totalmente de acuerdo") + COUNTIFS(Table1[P1],"&gt;=25",Table1[P1],"&lt;35",Table1[P10],"De acuerdo")</f>
        <v>1</v>
      </c>
      <c r="E319" s="40">
        <f t="shared" ref="E319:E321" si="15">D319/C319</f>
        <v>8.3333333333333329E-2</v>
      </c>
    </row>
    <row r="320" spans="2:6" x14ac:dyDescent="0.25">
      <c r="B320" s="13" t="s">
        <v>282</v>
      </c>
      <c r="C320" s="41">
        <f>COUNTIFS(Datos!B:B,"&gt;=35",Datos!B:B,"&lt;50")</f>
        <v>21</v>
      </c>
      <c r="D320" s="42">
        <f>COUNTIFS(Table1[P1],"&gt;=35",Table1[P1],"&lt;50",Table1[P10],"Totalmente de acuerdo") + COUNTIFS(Table1[P1],"&gt;=35",Table1[P1],"&lt;50",Table1[P10],"De acuerdo")</f>
        <v>2</v>
      </c>
      <c r="E320" s="40">
        <f t="shared" si="15"/>
        <v>9.5238095238095233E-2</v>
      </c>
    </row>
    <row r="321" spans="2:6" ht="15.75" thickBot="1" x14ac:dyDescent="0.3">
      <c r="B321" s="43" t="s">
        <v>235</v>
      </c>
      <c r="C321" s="37">
        <f>COUNTIF(Datos!B:B,"&gt;=50")</f>
        <v>33</v>
      </c>
      <c r="D321" s="44">
        <f>COUNTIFS(Table1[P1],"&gt;=50",Table1[P19],"Totalmente de acuerdo") + COUNTIFS(Table1[P1],"&gt;=50",Table1[P19],"De acuerdo")</f>
        <v>15</v>
      </c>
      <c r="E321" s="40">
        <f t="shared" si="15"/>
        <v>0.45454545454545453</v>
      </c>
    </row>
    <row r="322" spans="2:6" ht="15.75" thickBot="1" x14ac:dyDescent="0.3">
      <c r="B322" s="15" t="s">
        <v>228</v>
      </c>
      <c r="C322" s="45">
        <f>SUM(C318:C321)</f>
        <v>119</v>
      </c>
      <c r="D322" s="45"/>
      <c r="E322" s="16"/>
    </row>
    <row r="333" spans="2:6" ht="15.75" thickBot="1" x14ac:dyDescent="0.3"/>
    <row r="334" spans="2:6" x14ac:dyDescent="0.25">
      <c r="B334" s="112" t="s">
        <v>309</v>
      </c>
      <c r="C334" s="113"/>
      <c r="D334" s="113"/>
      <c r="E334" s="113"/>
      <c r="F334" s="114"/>
    </row>
    <row r="335" spans="2:6" x14ac:dyDescent="0.25">
      <c r="B335" s="17" t="s">
        <v>306</v>
      </c>
      <c r="C335" s="18" t="s">
        <v>288</v>
      </c>
      <c r="D335" s="20" t="s">
        <v>289</v>
      </c>
      <c r="E335" s="18" t="s">
        <v>229</v>
      </c>
      <c r="F335" s="19" t="s">
        <v>230</v>
      </c>
    </row>
    <row r="336" spans="2:6" x14ac:dyDescent="0.25">
      <c r="B336" s="8" t="s">
        <v>277</v>
      </c>
      <c r="C336" s="36">
        <f>COUNTIFS(Datos!D:D,"Masculino", Datos!N:N,"Totalmente de acuerdo")</f>
        <v>3</v>
      </c>
      <c r="D336" s="39">
        <f>COUNTIFS(Datos!D:D,"Femenino", Datos!N:N,"Totalmente de acuerdo")</f>
        <v>13</v>
      </c>
      <c r="E336" s="46">
        <f>C336/C$341</f>
        <v>7.8947368421052627E-2</v>
      </c>
      <c r="F336" s="61">
        <f>D336/D$341</f>
        <v>0.16049382716049382</v>
      </c>
    </row>
    <row r="337" spans="2:6" x14ac:dyDescent="0.25">
      <c r="B337" s="8" t="s">
        <v>278</v>
      </c>
      <c r="C337" s="36">
        <f>COUNTIFS(Datos!D:D,"Masculino", Datos!N:N,"De acuerdo")</f>
        <v>5</v>
      </c>
      <c r="D337" s="39">
        <f>COUNTIFS(Datos!D:D,"Femenino", Datos!N:N,"De acuerdo")</f>
        <v>18</v>
      </c>
      <c r="E337" s="46">
        <f t="shared" ref="E337:F340" si="16">C337/C$341</f>
        <v>0.13157894736842105</v>
      </c>
      <c r="F337" s="61">
        <f t="shared" si="16"/>
        <v>0.22222222222222221</v>
      </c>
    </row>
    <row r="338" spans="2:6" x14ac:dyDescent="0.25">
      <c r="B338" s="13" t="s">
        <v>24</v>
      </c>
      <c r="C338" s="41">
        <f>COUNTIFS(Datos!D:D,"Masculino", Datos!N:N,"Neutral")</f>
        <v>16</v>
      </c>
      <c r="D338" s="42">
        <f>COUNTIFS(Datos!D:D,"Femenino", Datos!N:N,"Neutral")</f>
        <v>25</v>
      </c>
      <c r="E338" s="46">
        <f t="shared" si="16"/>
        <v>0.42105263157894735</v>
      </c>
      <c r="F338" s="61">
        <f t="shared" si="16"/>
        <v>0.30864197530864196</v>
      </c>
    </row>
    <row r="339" spans="2:6" x14ac:dyDescent="0.25">
      <c r="B339" s="47" t="s">
        <v>279</v>
      </c>
      <c r="C339" s="41">
        <f>COUNTIFS(Datos!D:D,"Masculino", Datos!N:N,"En desacuerdo")</f>
        <v>8</v>
      </c>
      <c r="D339" s="42">
        <f>COUNTIFS(Datos!D:D,"Femenino", Datos!N:N,"En desacuerdo")</f>
        <v>18</v>
      </c>
      <c r="E339" s="46">
        <f t="shared" si="16"/>
        <v>0.21052631578947367</v>
      </c>
      <c r="F339" s="61">
        <f t="shared" si="16"/>
        <v>0.22222222222222221</v>
      </c>
    </row>
    <row r="340" spans="2:6" ht="15.75" thickBot="1" x14ac:dyDescent="0.3">
      <c r="B340" s="43" t="s">
        <v>280</v>
      </c>
      <c r="C340" s="37">
        <f>COUNTIFS(Datos!D:D,"Masculino", Datos!N:N,"Totalmente en desacuerdo")</f>
        <v>6</v>
      </c>
      <c r="D340" s="44">
        <f>COUNTIFS(Datos!D:D,"Femenino", Datos!N:N,"Totalmente en desacuerdo")</f>
        <v>7</v>
      </c>
      <c r="E340" s="46">
        <f t="shared" si="16"/>
        <v>0.15789473684210525</v>
      </c>
      <c r="F340" s="62">
        <f t="shared" si="16"/>
        <v>8.6419753086419748E-2</v>
      </c>
    </row>
    <row r="341" spans="2:6" x14ac:dyDescent="0.25">
      <c r="B341" s="48" t="s">
        <v>228</v>
      </c>
      <c r="C341" s="21">
        <f>SUM(C336:C340)</f>
        <v>38</v>
      </c>
      <c r="D341" s="50">
        <f>SUM(D336:D340)</f>
        <v>81</v>
      </c>
      <c r="E341" s="21"/>
      <c r="F341" s="22"/>
    </row>
    <row r="342" spans="2:6" ht="15.75" thickBot="1" x14ac:dyDescent="0.3">
      <c r="B342" s="43" t="s">
        <v>291</v>
      </c>
      <c r="C342" s="37">
        <f>SUM(C341:D341)</f>
        <v>119</v>
      </c>
      <c r="D342" s="44"/>
      <c r="E342" s="37"/>
      <c r="F342" s="34"/>
    </row>
    <row r="351" spans="2:6" ht="15.75" thickBot="1" x14ac:dyDescent="0.3"/>
    <row r="352" spans="2:6" x14ac:dyDescent="0.25">
      <c r="B352" s="112" t="s">
        <v>310</v>
      </c>
      <c r="C352" s="113"/>
      <c r="D352" s="113"/>
      <c r="E352" s="113"/>
      <c r="F352" s="114"/>
    </row>
    <row r="353" spans="2:6" x14ac:dyDescent="0.25">
      <c r="B353" s="17" t="s">
        <v>312</v>
      </c>
      <c r="C353" s="18" t="s">
        <v>236</v>
      </c>
      <c r="D353" s="20" t="s">
        <v>237</v>
      </c>
      <c r="E353" s="18" t="s">
        <v>238</v>
      </c>
      <c r="F353" s="19" t="s">
        <v>239</v>
      </c>
    </row>
    <row r="354" spans="2:6" x14ac:dyDescent="0.25">
      <c r="B354" s="8" t="s">
        <v>277</v>
      </c>
      <c r="C354" s="36">
        <f>COUNTIFS(Datos!G:G,1,Datos!N:N,"Totalmente de acuerdo")</f>
        <v>6</v>
      </c>
      <c r="D354" s="39">
        <f>COUNTIFS(Datos!G:G,2,Datos!N:N,"Totalmente de acuerdo")</f>
        <v>7</v>
      </c>
      <c r="E354" s="49">
        <f>COUNTIFS(Datos!G:G,3,Datos!N:N,"Totalmente de acuerdo")</f>
        <v>3</v>
      </c>
      <c r="F354" s="63">
        <f>COUNTIFS(Datos!G:G,"&gt;3",Datos!N:N,"Totalmente de acuerdo")</f>
        <v>0</v>
      </c>
    </row>
    <row r="355" spans="2:6" x14ac:dyDescent="0.25">
      <c r="B355" s="8" t="s">
        <v>278</v>
      </c>
      <c r="C355" s="36">
        <f>COUNTIFS(Datos!G:G,1,Datos!N:N,"De acuerdo")</f>
        <v>11</v>
      </c>
      <c r="D355" s="39">
        <f>COUNTIFS(Datos!G:G,2,Datos!N:N,"De acuerdo")</f>
        <v>7</v>
      </c>
      <c r="E355" s="49">
        <f>COUNTIFS(Datos!G:G,3,Datos!N:N,"De acuerdo")</f>
        <v>4</v>
      </c>
      <c r="F355" s="63">
        <f>COUNTIFS(Datos!G:G,"&gt;3",Datos!N:N,"De acuerdo")</f>
        <v>1</v>
      </c>
    </row>
    <row r="356" spans="2:6" x14ac:dyDescent="0.25">
      <c r="B356" s="13" t="s">
        <v>24</v>
      </c>
      <c r="C356" s="41">
        <f>COUNTIFS(Datos!G:G,1,Datos!N:N,"Neutral")</f>
        <v>18</v>
      </c>
      <c r="D356" s="42">
        <f>COUNTIFS(Datos!G:G,2,Datos!N:N,"Neutral")</f>
        <v>16</v>
      </c>
      <c r="E356" s="49">
        <f>COUNTIFS(Datos!G:G,3,Datos!N:N,"Neutral")</f>
        <v>5</v>
      </c>
      <c r="F356" s="63">
        <f>COUNTIFS(Datos!G:G,"&gt;3",Datos!N:N,"Neutral")</f>
        <v>2</v>
      </c>
    </row>
    <row r="357" spans="2:6" x14ac:dyDescent="0.25">
      <c r="B357" s="47" t="s">
        <v>279</v>
      </c>
      <c r="C357" s="41">
        <f>COUNTIFS(Datos!G:G,1,Datos!N:N,"En desacuerdo")</f>
        <v>7</v>
      </c>
      <c r="D357" s="42">
        <f>COUNTIFS(Datos!G:G,2,Datos!N:N,"En desacuerdo")</f>
        <v>13</v>
      </c>
      <c r="E357" s="49">
        <f>COUNTIFS(Datos!G:G,3,Datos!N:N,"En desacuerdo")</f>
        <v>4</v>
      </c>
      <c r="F357" s="63">
        <f>COUNTIFS(Datos!G:G,"&gt;3",Datos!N:N,"En desacuerdo")</f>
        <v>2</v>
      </c>
    </row>
    <row r="358" spans="2:6" ht="15.75" thickBot="1" x14ac:dyDescent="0.3">
      <c r="B358" s="43" t="s">
        <v>280</v>
      </c>
      <c r="C358" s="37">
        <f>COUNTIFS(Datos!G:G,1,Datos!N:N,"Totalmente en desacuerdo")</f>
        <v>4</v>
      </c>
      <c r="D358" s="44">
        <f>COUNTIFS(Datos!G:G,2,Datos!N:N,"Totalmente en desacuerdo")</f>
        <v>8</v>
      </c>
      <c r="E358" s="49">
        <f>COUNTIFS(Datos!G:G,3,Datos!N:N,"Totalmente en desacuerdo")</f>
        <v>1</v>
      </c>
      <c r="F358" s="64">
        <f>COUNTIFS(Datos!G:G,"&gt;3",Datos!N:N,"Totalmente en desacuerdo")</f>
        <v>0</v>
      </c>
    </row>
    <row r="359" spans="2:6" x14ac:dyDescent="0.25">
      <c r="B359" s="48" t="s">
        <v>228</v>
      </c>
      <c r="C359" s="21">
        <f>SUM(C354:C358)</f>
        <v>46</v>
      </c>
      <c r="D359" s="50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43" t="s">
        <v>291</v>
      </c>
      <c r="C360" s="37">
        <f>SUM(C359:F359)</f>
        <v>119</v>
      </c>
      <c r="D360" s="44"/>
      <c r="E360" s="37"/>
      <c r="F360" s="34"/>
    </row>
    <row r="362" spans="2:6" ht="15.75" thickBot="1" x14ac:dyDescent="0.3"/>
    <row r="363" spans="2:6" x14ac:dyDescent="0.25">
      <c r="B363" s="112" t="s">
        <v>310</v>
      </c>
      <c r="C363" s="113"/>
      <c r="D363" s="113"/>
      <c r="E363" s="113"/>
      <c r="F363" s="114"/>
    </row>
    <row r="364" spans="2:6" x14ac:dyDescent="0.25">
      <c r="B364" s="17" t="s">
        <v>312</v>
      </c>
      <c r="C364" s="18" t="s">
        <v>236</v>
      </c>
      <c r="D364" s="20" t="s">
        <v>237</v>
      </c>
      <c r="E364" s="18" t="s">
        <v>238</v>
      </c>
      <c r="F364" s="19" t="s">
        <v>239</v>
      </c>
    </row>
    <row r="365" spans="2:6" x14ac:dyDescent="0.25">
      <c r="B365" s="8" t="s">
        <v>277</v>
      </c>
      <c r="C365" s="51">
        <f>C354/C$359</f>
        <v>0.13043478260869565</v>
      </c>
      <c r="D365" s="51">
        <f>D354/D$359</f>
        <v>0.13725490196078433</v>
      </c>
      <c r="E365" s="51">
        <f>E354/E$359</f>
        <v>0.17647058823529413</v>
      </c>
      <c r="F365" s="40">
        <f>F354/F$359</f>
        <v>0</v>
      </c>
    </row>
    <row r="366" spans="2:6" x14ac:dyDescent="0.25">
      <c r="B366" s="8" t="s">
        <v>278</v>
      </c>
      <c r="C366" s="51">
        <f t="shared" ref="C366:D369" si="17">C355/C$359</f>
        <v>0.2391304347826087</v>
      </c>
      <c r="D366" s="51">
        <f t="shared" si="17"/>
        <v>0.13725490196078433</v>
      </c>
      <c r="E366" s="51">
        <f t="shared" ref="E366:F366" si="18">E355/E$359</f>
        <v>0.23529411764705882</v>
      </c>
      <c r="F366" s="40">
        <f t="shared" si="18"/>
        <v>0.2</v>
      </c>
    </row>
    <row r="367" spans="2:6" x14ac:dyDescent="0.25">
      <c r="B367" s="13" t="s">
        <v>24</v>
      </c>
      <c r="C367" s="51">
        <f t="shared" si="17"/>
        <v>0.39130434782608697</v>
      </c>
      <c r="D367" s="51">
        <f t="shared" si="17"/>
        <v>0.31372549019607843</v>
      </c>
      <c r="E367" s="51">
        <f t="shared" ref="E367:F367" si="19">E356/E$359</f>
        <v>0.29411764705882354</v>
      </c>
      <c r="F367" s="40">
        <f t="shared" si="19"/>
        <v>0.4</v>
      </c>
    </row>
    <row r="368" spans="2:6" x14ac:dyDescent="0.25">
      <c r="B368" s="47" t="s">
        <v>279</v>
      </c>
      <c r="C368" s="51">
        <f t="shared" si="17"/>
        <v>0.15217391304347827</v>
      </c>
      <c r="D368" s="51">
        <f t="shared" si="17"/>
        <v>0.25490196078431371</v>
      </c>
      <c r="E368" s="51">
        <f t="shared" ref="E368:F368" si="20">E357/E$359</f>
        <v>0.23529411764705882</v>
      </c>
      <c r="F368" s="40">
        <f t="shared" si="20"/>
        <v>0.4</v>
      </c>
    </row>
    <row r="369" spans="2:6" ht="15.75" thickBot="1" x14ac:dyDescent="0.3">
      <c r="B369" s="43" t="s">
        <v>280</v>
      </c>
      <c r="C369" s="52">
        <f t="shared" si="17"/>
        <v>8.6956521739130432E-2</v>
      </c>
      <c r="D369" s="52">
        <f t="shared" si="17"/>
        <v>0.15686274509803921</v>
      </c>
      <c r="E369" s="52">
        <f t="shared" ref="E369:F369" si="21">E358/E$359</f>
        <v>5.8823529411764705E-2</v>
      </c>
      <c r="F369" s="53">
        <f t="shared" si="21"/>
        <v>0</v>
      </c>
    </row>
    <row r="377" spans="2:6" ht="15.75" thickBot="1" x14ac:dyDescent="0.3"/>
    <row r="378" spans="2:6" x14ac:dyDescent="0.25">
      <c r="C378" s="99" t="s">
        <v>207</v>
      </c>
      <c r="D378" s="101"/>
    </row>
    <row r="379" spans="2:6" x14ac:dyDescent="0.25">
      <c r="C379" s="8" t="s">
        <v>277</v>
      </c>
      <c r="D379" s="9">
        <f>COUNTIF(Datos!V:V, "Totalmente de acuerdo")</f>
        <v>47</v>
      </c>
    </row>
    <row r="380" spans="2:6" x14ac:dyDescent="0.25">
      <c r="C380" s="8" t="s">
        <v>278</v>
      </c>
      <c r="D380" s="9">
        <f>COUNTIF(Datos!V:V, "De acuerdo")</f>
        <v>46</v>
      </c>
    </row>
    <row r="381" spans="2:6" x14ac:dyDescent="0.25">
      <c r="C381" s="8" t="s">
        <v>24</v>
      </c>
      <c r="D381" s="9">
        <f>COUNTIF(Datos!V:V, "Neutral")</f>
        <v>13</v>
      </c>
    </row>
    <row r="382" spans="2:6" x14ac:dyDescent="0.25">
      <c r="C382" s="8" t="s">
        <v>279</v>
      </c>
      <c r="D382" s="9">
        <f>COUNTIF(Datos!V:V, "En desacuerdo")</f>
        <v>9</v>
      </c>
    </row>
    <row r="383" spans="2:6" ht="15.75" thickBot="1" x14ac:dyDescent="0.3">
      <c r="C383" s="33" t="s">
        <v>280</v>
      </c>
      <c r="D383" s="34">
        <f>COUNTIF(Datos!V:V, "Totalmente en desacuerdo")</f>
        <v>4</v>
      </c>
    </row>
    <row r="384" spans="2:6" ht="15.75" thickBot="1" x14ac:dyDescent="0.3">
      <c r="C384" s="38" t="s">
        <v>228</v>
      </c>
      <c r="D384" s="16">
        <f>SUM(D379:D383)</f>
        <v>119</v>
      </c>
    </row>
    <row r="395" spans="2:6" ht="15.75" thickBot="1" x14ac:dyDescent="0.3"/>
    <row r="396" spans="2:6" x14ac:dyDescent="0.25">
      <c r="B396" s="112" t="s">
        <v>311</v>
      </c>
      <c r="C396" s="113"/>
      <c r="D396" s="113"/>
      <c r="E396" s="113"/>
      <c r="F396" s="114"/>
    </row>
    <row r="397" spans="2:6" x14ac:dyDescent="0.25">
      <c r="B397" s="17" t="s">
        <v>312</v>
      </c>
      <c r="C397" s="18" t="s">
        <v>236</v>
      </c>
      <c r="D397" s="18" t="s">
        <v>239</v>
      </c>
      <c r="E397" s="18" t="s">
        <v>236</v>
      </c>
      <c r="F397" s="19" t="s">
        <v>239</v>
      </c>
    </row>
    <row r="398" spans="2:6" x14ac:dyDescent="0.25">
      <c r="B398" s="81" t="s">
        <v>277</v>
      </c>
      <c r="C398" s="36">
        <f>COUNTIFS(Datos!G:G,1,Datos!P:P,"Totalmente de acuerdo")</f>
        <v>5</v>
      </c>
      <c r="D398" s="49">
        <f>COUNTIFS(Datos!G:G,"&gt;3",Datos!P:P,"Totalmente de acuerdo")</f>
        <v>0</v>
      </c>
      <c r="E398" s="58">
        <f t="shared" ref="E398:F402" si="22">C398/C$403</f>
        <v>0.10869565217391304</v>
      </c>
      <c r="F398" s="61">
        <f t="shared" si="22"/>
        <v>0</v>
      </c>
    </row>
    <row r="399" spans="2:6" x14ac:dyDescent="0.25">
      <c r="B399" s="82" t="s">
        <v>278</v>
      </c>
      <c r="C399" s="36">
        <f>COUNTIFS(Datos!G:G,1,Datos!P:P,"De acuerdo")</f>
        <v>16</v>
      </c>
      <c r="D399" s="49">
        <f>COUNTIFS(Datos!G:G,"&gt;3",Datos!P:P,"De acuerdo")</f>
        <v>0</v>
      </c>
      <c r="E399" s="58">
        <f t="shared" si="22"/>
        <v>0.34782608695652173</v>
      </c>
      <c r="F399" s="61">
        <f t="shared" si="22"/>
        <v>0</v>
      </c>
    </row>
    <row r="400" spans="2:6" x14ac:dyDescent="0.25">
      <c r="B400" s="83" t="s">
        <v>24</v>
      </c>
      <c r="C400" s="41">
        <f>COUNTIFS(Datos!G:G,1,Datos!P:P,"Neutral")</f>
        <v>20</v>
      </c>
      <c r="D400" s="49">
        <f>COUNTIFS(Datos!G:G,"&gt;3",Datos!P:P,"Neutral")</f>
        <v>4</v>
      </c>
      <c r="E400" s="58">
        <f t="shared" si="22"/>
        <v>0.43478260869565216</v>
      </c>
      <c r="F400" s="61">
        <f t="shared" si="22"/>
        <v>0.8</v>
      </c>
    </row>
    <row r="401" spans="2:6" x14ac:dyDescent="0.25">
      <c r="B401" s="84" t="s">
        <v>279</v>
      </c>
      <c r="C401" s="41">
        <f>COUNTIFS(Datos!G:G,1,Datos!P:P,"En desacuerdo")</f>
        <v>3</v>
      </c>
      <c r="D401" s="49">
        <f>COUNTIFS(Datos!G:G,"&gt;3",Datos!P:P,"En desacuerdo")</f>
        <v>1</v>
      </c>
      <c r="E401" s="58">
        <f t="shared" si="22"/>
        <v>6.5217391304347824E-2</v>
      </c>
      <c r="F401" s="61">
        <f t="shared" si="22"/>
        <v>0.2</v>
      </c>
    </row>
    <row r="402" spans="2:6" ht="15.75" thickBot="1" x14ac:dyDescent="0.3">
      <c r="B402" s="85" t="s">
        <v>280</v>
      </c>
      <c r="C402" s="37">
        <f>COUNTIFS(Datos!G:G,1,Datos!P:P,"Totalmente en desacuerdo")</f>
        <v>2</v>
      </c>
      <c r="D402" s="49">
        <f>COUNTIFS(Datos!G:G,"&gt;3",Datos!P:P,"Totalmente en desacuerdo")</f>
        <v>0</v>
      </c>
      <c r="E402" s="71">
        <f t="shared" si="22"/>
        <v>4.3478260869565216E-2</v>
      </c>
      <c r="F402" s="62">
        <f t="shared" si="22"/>
        <v>0</v>
      </c>
    </row>
    <row r="403" spans="2:6" ht="15.75" thickBot="1" x14ac:dyDescent="0.3">
      <c r="B403" s="68" t="s">
        <v>228</v>
      </c>
      <c r="C403" s="69">
        <f>SUM(C398:C402)</f>
        <v>46</v>
      </c>
      <c r="D403" s="69">
        <f>SUM(D398:D402)</f>
        <v>5</v>
      </c>
      <c r="E403" s="45"/>
      <c r="F403" s="70"/>
    </row>
    <row r="404" spans="2:6" x14ac:dyDescent="0.25">
      <c r="B404" s="57"/>
      <c r="C404" s="35"/>
      <c r="D404" s="35"/>
      <c r="E404" s="35"/>
      <c r="F404" s="35"/>
    </row>
    <row r="414" spans="2:6" ht="15.75" thickBot="1" x14ac:dyDescent="0.3"/>
    <row r="415" spans="2:6" x14ac:dyDescent="0.25">
      <c r="B415" s="112" t="s">
        <v>313</v>
      </c>
      <c r="C415" s="113"/>
      <c r="D415" s="113"/>
      <c r="E415" s="113"/>
      <c r="F415" s="114"/>
    </row>
    <row r="416" spans="2:6" x14ac:dyDescent="0.25">
      <c r="B416" s="17" t="s">
        <v>312</v>
      </c>
      <c r="C416" s="18" t="s">
        <v>236</v>
      </c>
      <c r="D416" s="18" t="s">
        <v>239</v>
      </c>
      <c r="E416" s="18" t="s">
        <v>236</v>
      </c>
      <c r="F416" s="19" t="s">
        <v>239</v>
      </c>
    </row>
    <row r="417" spans="2:6" x14ac:dyDescent="0.25">
      <c r="B417" s="81" t="s">
        <v>277</v>
      </c>
      <c r="C417" s="36">
        <f>COUNTIFS(Datos!G:G,1,Datos!Z:Z,"Totalmente de acuerdo")</f>
        <v>0</v>
      </c>
      <c r="D417" s="49">
        <f>COUNTIFS(Datos!G:G,"&gt;3",Datos!Z:Z,"Totalmente de acuerdo")</f>
        <v>0</v>
      </c>
      <c r="E417" s="58">
        <f t="shared" ref="E417:F421" si="23">C417/C$403</f>
        <v>0</v>
      </c>
      <c r="F417" s="61">
        <f t="shared" si="23"/>
        <v>0</v>
      </c>
    </row>
    <row r="418" spans="2:6" x14ac:dyDescent="0.25">
      <c r="B418" s="82" t="s">
        <v>278</v>
      </c>
      <c r="C418" s="36">
        <f>COUNTIFS(Datos!G:G,1,Datos!Z:Z,"De acuerdo")</f>
        <v>7</v>
      </c>
      <c r="D418" s="49">
        <f>COUNTIFS(Datos!G:G,"&gt;3",Datos!Z:Z,"De acuerdo")</f>
        <v>0</v>
      </c>
      <c r="E418" s="58">
        <f t="shared" si="23"/>
        <v>0.15217391304347827</v>
      </c>
      <c r="F418" s="61">
        <f t="shared" si="23"/>
        <v>0</v>
      </c>
    </row>
    <row r="419" spans="2:6" x14ac:dyDescent="0.25">
      <c r="B419" s="83" t="s">
        <v>24</v>
      </c>
      <c r="C419" s="41">
        <f>COUNTIFS(Datos!G:G,1,Datos!Z:Z,"Neutral")</f>
        <v>7</v>
      </c>
      <c r="D419" s="49">
        <f>COUNTIFS(Datos!G:G,"&gt;3",Datos!Z:Z,"Neutral")</f>
        <v>0</v>
      </c>
      <c r="E419" s="58">
        <f t="shared" si="23"/>
        <v>0.15217391304347827</v>
      </c>
      <c r="F419" s="61">
        <f t="shared" si="23"/>
        <v>0</v>
      </c>
    </row>
    <row r="420" spans="2:6" x14ac:dyDescent="0.25">
      <c r="B420" s="84" t="s">
        <v>279</v>
      </c>
      <c r="C420" s="41">
        <f>COUNTIFS(Datos!G:G,1,Datos!Z:Z,"En desacuerdo")</f>
        <v>20</v>
      </c>
      <c r="D420" s="49">
        <f>COUNTIFS(Datos!G:G,"&gt;3",Datos!Z:Z,"En desacuerdo")</f>
        <v>3</v>
      </c>
      <c r="E420" s="58">
        <f t="shared" si="23"/>
        <v>0.43478260869565216</v>
      </c>
      <c r="F420" s="61">
        <f t="shared" si="23"/>
        <v>0.6</v>
      </c>
    </row>
    <row r="421" spans="2:6" ht="15.75" thickBot="1" x14ac:dyDescent="0.3">
      <c r="B421" s="85" t="s">
        <v>280</v>
      </c>
      <c r="C421" s="37">
        <f>COUNTIFS(Datos!G:G,1,Datos!Z:Z,"Totalmente en desacuerdo")</f>
        <v>12</v>
      </c>
      <c r="D421" s="49">
        <f>COUNTIFS(Datos!G:G,"&gt;3",Datos!Z:Z,"Totalmente en desacuerdo")</f>
        <v>2</v>
      </c>
      <c r="E421" s="71">
        <f t="shared" si="23"/>
        <v>0.2608695652173913</v>
      </c>
      <c r="F421" s="62">
        <f t="shared" si="23"/>
        <v>0.4</v>
      </c>
    </row>
    <row r="422" spans="2:6" ht="15.75" thickBot="1" x14ac:dyDescent="0.3">
      <c r="B422" s="15" t="s">
        <v>228</v>
      </c>
      <c r="C422" s="45">
        <f>SUM(C417:C421)</f>
        <v>46</v>
      </c>
      <c r="D422" s="45">
        <f>SUM(D417:D421)</f>
        <v>5</v>
      </c>
      <c r="E422" s="45"/>
      <c r="F422" s="16"/>
    </row>
    <row r="433" spans="3:4" ht="15.75" thickBot="1" x14ac:dyDescent="0.3"/>
    <row r="434" spans="3:4" x14ac:dyDescent="0.25">
      <c r="C434" s="99" t="s">
        <v>202</v>
      </c>
      <c r="D434" s="101"/>
    </row>
    <row r="435" spans="3:4" x14ac:dyDescent="0.25">
      <c r="C435" s="8" t="s">
        <v>277</v>
      </c>
      <c r="D435" s="9">
        <f>COUNTIF(Datos!Q:Q, "Totalmente de acuerdo")</f>
        <v>10</v>
      </c>
    </row>
    <row r="436" spans="3:4" x14ac:dyDescent="0.25">
      <c r="C436" s="8" t="s">
        <v>278</v>
      </c>
      <c r="D436" s="9">
        <f>COUNTIF(Datos!Q:Q, "De acuerdo")</f>
        <v>30</v>
      </c>
    </row>
    <row r="437" spans="3:4" x14ac:dyDescent="0.25">
      <c r="C437" s="8" t="s">
        <v>24</v>
      </c>
      <c r="D437" s="9">
        <f>COUNTIF(Datos!Q:Q, "Neutral")</f>
        <v>60</v>
      </c>
    </row>
    <row r="438" spans="3:4" x14ac:dyDescent="0.25">
      <c r="C438" s="8" t="s">
        <v>279</v>
      </c>
      <c r="D438" s="9">
        <f>COUNTIF(Datos!Q:Q, "En desacuerdo")</f>
        <v>14</v>
      </c>
    </row>
    <row r="439" spans="3:4" ht="15.75" thickBot="1" x14ac:dyDescent="0.3">
      <c r="C439" s="33" t="s">
        <v>280</v>
      </c>
      <c r="D439" s="34">
        <f>COUNTIF(Datos!Q:Q, "Totalmente en desacuerdo")</f>
        <v>5</v>
      </c>
    </row>
    <row r="440" spans="3:4" ht="15.75" thickBot="1" x14ac:dyDescent="0.3">
      <c r="C440" s="38" t="s">
        <v>228</v>
      </c>
      <c r="D440" s="16">
        <f>SUM(D435:D439)</f>
        <v>119</v>
      </c>
    </row>
    <row r="452" spans="3:4" ht="15.75" thickBot="1" x14ac:dyDescent="0.3"/>
    <row r="453" spans="3:4" ht="15.75" thickBot="1" x14ac:dyDescent="0.3">
      <c r="C453" s="104" t="s">
        <v>314</v>
      </c>
      <c r="D453" s="105"/>
    </row>
    <row r="454" spans="3:4" x14ac:dyDescent="0.25">
      <c r="C454" s="32" t="s">
        <v>292</v>
      </c>
      <c r="D454" s="22">
        <f>COUNTIF(Datos!L:L,"Y")</f>
        <v>69</v>
      </c>
    </row>
    <row r="455" spans="3:4" ht="15.75" thickBot="1" x14ac:dyDescent="0.3">
      <c r="C455" s="33" t="s">
        <v>39</v>
      </c>
      <c r="D455" s="34">
        <f>COUNTIF(Datos!L:L,"N")</f>
        <v>50</v>
      </c>
    </row>
    <row r="456" spans="3:4" ht="15.75" thickBot="1" x14ac:dyDescent="0.3">
      <c r="C456" s="27" t="s">
        <v>228</v>
      </c>
      <c r="D456" s="16">
        <f>D454+D455</f>
        <v>119</v>
      </c>
    </row>
    <row r="459" spans="3:4" ht="15.75" thickBot="1" x14ac:dyDescent="0.3"/>
    <row r="460" spans="3:4" x14ac:dyDescent="0.25">
      <c r="C460" s="106" t="s">
        <v>315</v>
      </c>
      <c r="D460" s="86">
        <f>COUNTIF(Datos!K:K,"*Inglaterra*")</f>
        <v>34</v>
      </c>
    </row>
    <row r="461" spans="3:4" ht="15.75" thickBot="1" x14ac:dyDescent="0.3">
      <c r="C461" s="107"/>
      <c r="D461" s="87">
        <f>D460/D455</f>
        <v>0.68</v>
      </c>
    </row>
    <row r="471" spans="2:6" ht="15.75" thickBot="1" x14ac:dyDescent="0.3"/>
    <row r="472" spans="2:6" x14ac:dyDescent="0.25">
      <c r="B472" s="99" t="s">
        <v>316</v>
      </c>
      <c r="C472" s="100"/>
      <c r="D472" s="100"/>
      <c r="E472" s="100"/>
      <c r="F472" s="101"/>
    </row>
    <row r="473" spans="2:6" x14ac:dyDescent="0.25">
      <c r="B473" s="17" t="s">
        <v>312</v>
      </c>
      <c r="C473" s="18" t="s">
        <v>234</v>
      </c>
      <c r="D473" s="18" t="s">
        <v>235</v>
      </c>
      <c r="E473" s="18" t="s">
        <v>234</v>
      </c>
      <c r="F473" s="19" t="s">
        <v>235</v>
      </c>
    </row>
    <row r="474" spans="2:6" x14ac:dyDescent="0.25">
      <c r="B474" s="81" t="s">
        <v>277</v>
      </c>
      <c r="C474" s="36">
        <f>COUNTIFS(Datos!B:B,"&gt;=18",Datos!B:B,"&lt;25",Datos!R:R,"Totalmente de acuerdo")</f>
        <v>31</v>
      </c>
      <c r="D474" s="39">
        <f>COUNTIFS(Datos!B:B,"&gt;50",Datos!R:R,"Totalmente de acuerdo")</f>
        <v>6</v>
      </c>
      <c r="E474" s="58">
        <f>C474/C$479</f>
        <v>0.58490566037735847</v>
      </c>
      <c r="F474" s="40">
        <f>D474/D$479</f>
        <v>0.1875</v>
      </c>
    </row>
    <row r="475" spans="2:6" x14ac:dyDescent="0.25">
      <c r="B475" s="82" t="s">
        <v>278</v>
      </c>
      <c r="C475" s="36">
        <f>COUNTIFS(Datos!B:B,"&gt;=18",Datos!B:B,"&lt;25",Datos!R:R,"De acuerdo")</f>
        <v>15</v>
      </c>
      <c r="D475" s="39">
        <f>COUNTIFS(Datos!B:B,"&gt;50",Datos!R:R,"De acuerdo")</f>
        <v>16</v>
      </c>
      <c r="E475" s="58">
        <f t="shared" ref="E475:F478" si="24">C475/C$479</f>
        <v>0.28301886792452829</v>
      </c>
      <c r="F475" s="40">
        <f t="shared" si="24"/>
        <v>0.5</v>
      </c>
    </row>
    <row r="476" spans="2:6" x14ac:dyDescent="0.25">
      <c r="B476" s="83" t="s">
        <v>24</v>
      </c>
      <c r="C476" s="41">
        <f>COUNTIFS(Datos!B:B,"&gt;=18",Datos!B:B,"&lt;25",Datos!R:R,"Neutral")</f>
        <v>6</v>
      </c>
      <c r="D476" s="42">
        <f>COUNTIFS(Datos!B:B,"&gt;50",Datos!R:R,"Neutral")</f>
        <v>6</v>
      </c>
      <c r="E476" s="58">
        <f t="shared" si="24"/>
        <v>0.11320754716981132</v>
      </c>
      <c r="F476" s="40">
        <f t="shared" si="24"/>
        <v>0.1875</v>
      </c>
    </row>
    <row r="477" spans="2:6" x14ac:dyDescent="0.25">
      <c r="B477" s="84" t="s">
        <v>279</v>
      </c>
      <c r="C477" s="41">
        <f>COUNTIFS(Datos!B:B,"&gt;=18",Datos!B:B,"&lt;25",Datos!R:R,"En desacuerdo")</f>
        <v>1</v>
      </c>
      <c r="D477" s="42">
        <f>COUNTIFS(Datos!B:B,"&gt;50",Datos!R:R,"En desacuerdo")</f>
        <v>4</v>
      </c>
      <c r="E477" s="58">
        <f t="shared" si="24"/>
        <v>1.8867924528301886E-2</v>
      </c>
      <c r="F477" s="40">
        <f t="shared" si="24"/>
        <v>0.125</v>
      </c>
    </row>
    <row r="478" spans="2:6" ht="15.75" thickBot="1" x14ac:dyDescent="0.3">
      <c r="B478" s="85" t="s">
        <v>280</v>
      </c>
      <c r="C478" s="37">
        <f>COUNTIFS(Datos!B:B,"&gt;=18",Datos!B:B,"&lt;25",Datos!R:R,"Totalmente en desacuerdo")</f>
        <v>0</v>
      </c>
      <c r="D478" s="37">
        <f>COUNTIFS(Datos!B:B,"&gt;50",Datos!R:R,"Totalmente en desacuerdo")</f>
        <v>0</v>
      </c>
      <c r="E478" s="58">
        <f t="shared" si="24"/>
        <v>0</v>
      </c>
      <c r="F478" s="53">
        <f t="shared" si="24"/>
        <v>0</v>
      </c>
    </row>
    <row r="479" spans="2:6" ht="15.75" thickBot="1" x14ac:dyDescent="0.3">
      <c r="B479" s="65" t="s">
        <v>228</v>
      </c>
      <c r="C479" s="66">
        <f>SUM(C474:C478)</f>
        <v>53</v>
      </c>
      <c r="D479" s="66">
        <f>SUM(D474:D478)</f>
        <v>32</v>
      </c>
      <c r="E479" s="56"/>
      <c r="F479" s="16"/>
    </row>
    <row r="481" spans="2:6" ht="15.75" thickBot="1" x14ac:dyDescent="0.3"/>
    <row r="482" spans="2:6" ht="15.75" thickBot="1" x14ac:dyDescent="0.3">
      <c r="C482" s="102" t="s">
        <v>317</v>
      </c>
      <c r="D482" s="103"/>
    </row>
    <row r="483" spans="2:6" x14ac:dyDescent="0.25">
      <c r="C483" s="32" t="s">
        <v>234</v>
      </c>
      <c r="D483" s="88">
        <f>SUM(E474:E475)</f>
        <v>0.86792452830188682</v>
      </c>
    </row>
    <row r="484" spans="2:6" ht="15.75" thickBot="1" x14ac:dyDescent="0.3">
      <c r="C484" s="33" t="s">
        <v>235</v>
      </c>
      <c r="D484" s="53">
        <f>SUM(F474:F475)</f>
        <v>0.6875</v>
      </c>
    </row>
    <row r="491" spans="2:6" ht="15.75" thickBot="1" x14ac:dyDescent="0.3"/>
    <row r="492" spans="2:6" x14ac:dyDescent="0.25">
      <c r="B492" s="99" t="s">
        <v>318</v>
      </c>
      <c r="C492" s="100"/>
      <c r="D492" s="100"/>
      <c r="E492" s="100"/>
      <c r="F492" s="101"/>
    </row>
    <row r="493" spans="2:6" x14ac:dyDescent="0.25">
      <c r="B493" s="17" t="s">
        <v>312</v>
      </c>
      <c r="C493" s="18" t="s">
        <v>234</v>
      </c>
      <c r="D493" s="18" t="s">
        <v>235</v>
      </c>
      <c r="E493" s="18" t="s">
        <v>234</v>
      </c>
      <c r="F493" s="19" t="s">
        <v>235</v>
      </c>
    </row>
    <row r="494" spans="2:6" x14ac:dyDescent="0.25">
      <c r="B494" s="81" t="s">
        <v>277</v>
      </c>
      <c r="C494" s="36">
        <f>COUNTIFS(Datos!B:B,"&gt;=18",Datos!B:B,"&lt;25",Datos!W:W,"Totalmente de acuerdo")</f>
        <v>11</v>
      </c>
      <c r="D494" s="39">
        <f>COUNTIFS(Datos!B:B,"&gt;50",Datos!W:W,"Totalmente de acuerdo")</f>
        <v>5</v>
      </c>
      <c r="E494" s="58">
        <f>C494/C$479</f>
        <v>0.20754716981132076</v>
      </c>
      <c r="F494" s="40">
        <f>D494/D$479</f>
        <v>0.15625</v>
      </c>
    </row>
    <row r="495" spans="2:6" x14ac:dyDescent="0.25">
      <c r="B495" s="82" t="s">
        <v>278</v>
      </c>
      <c r="C495" s="36">
        <f>COUNTIFS(Datos!B:B,"&gt;=18",Datos!B:B,"&lt;25",Datos!W:W,"De acuerdo")</f>
        <v>15</v>
      </c>
      <c r="D495" s="39">
        <f>COUNTIFS(Datos!B:B,"&gt;50",Datos!W:W,"De acuerdo")</f>
        <v>9</v>
      </c>
      <c r="E495" s="58">
        <f t="shared" ref="E495:E498" si="25">C495/C$479</f>
        <v>0.28301886792452829</v>
      </c>
      <c r="F495" s="40">
        <f t="shared" ref="F495:F498" si="26">D495/D$479</f>
        <v>0.28125</v>
      </c>
    </row>
    <row r="496" spans="2:6" x14ac:dyDescent="0.25">
      <c r="B496" s="83" t="s">
        <v>24</v>
      </c>
      <c r="C496" s="41">
        <f>COUNTIFS(Datos!B:B,"&gt;=18",Datos!B:B,"&lt;25",Datos!W:W,"Neutral")</f>
        <v>10</v>
      </c>
      <c r="D496" s="42">
        <f>COUNTIFS(Datos!B:B,"&gt;50",Datos!W:W,"Neutral")</f>
        <v>10</v>
      </c>
      <c r="E496" s="58">
        <f t="shared" si="25"/>
        <v>0.18867924528301888</v>
      </c>
      <c r="F496" s="40">
        <f t="shared" si="26"/>
        <v>0.3125</v>
      </c>
    </row>
    <row r="497" spans="2:6" x14ac:dyDescent="0.25">
      <c r="B497" s="84" t="s">
        <v>279</v>
      </c>
      <c r="C497" s="41">
        <f>COUNTIFS(Datos!B:B,"&gt;=18",Datos!B:B,"&lt;25",Datos!W:W,"En desacuerdo")</f>
        <v>12</v>
      </c>
      <c r="D497" s="42">
        <f>COUNTIFS(Datos!B:B,"&gt;50",Datos!W:W,"En desacuerdo")</f>
        <v>6</v>
      </c>
      <c r="E497" s="58">
        <f t="shared" si="25"/>
        <v>0.22641509433962265</v>
      </c>
      <c r="F497" s="40">
        <f t="shared" si="26"/>
        <v>0.1875</v>
      </c>
    </row>
    <row r="498" spans="2:6" ht="15.75" thickBot="1" x14ac:dyDescent="0.3">
      <c r="B498" s="85" t="s">
        <v>280</v>
      </c>
      <c r="C498" s="37">
        <f>COUNTIFS(Datos!B:B,"&gt;=18",Datos!B:B,"&lt;25",Datos!W:W,"Totalmente en desacuerdo")</f>
        <v>5</v>
      </c>
      <c r="D498" s="37">
        <f>COUNTIFS(Datos!B:B,"&gt;50",Datos!W:W,"Totalmente en desacuerdo")</f>
        <v>2</v>
      </c>
      <c r="E498" s="58">
        <f t="shared" si="25"/>
        <v>9.4339622641509441E-2</v>
      </c>
      <c r="F498" s="53">
        <f t="shared" si="26"/>
        <v>6.25E-2</v>
      </c>
    </row>
    <row r="499" spans="2:6" ht="15.75" thickBot="1" x14ac:dyDescent="0.3">
      <c r="B499" s="65" t="s">
        <v>228</v>
      </c>
      <c r="C499" s="66">
        <f>SUM(C494:C498)</f>
        <v>53</v>
      </c>
      <c r="D499" s="66">
        <f>SUM(D494:D498)</f>
        <v>32</v>
      </c>
      <c r="E499" s="56"/>
      <c r="F499" s="16"/>
    </row>
    <row r="501" spans="2:6" ht="15.75" thickBot="1" x14ac:dyDescent="0.3"/>
    <row r="502" spans="2:6" ht="15.75" thickBot="1" x14ac:dyDescent="0.3">
      <c r="C502" s="102" t="s">
        <v>317</v>
      </c>
      <c r="D502" s="103"/>
    </row>
    <row r="503" spans="2:6" x14ac:dyDescent="0.25">
      <c r="C503" s="32" t="s">
        <v>234</v>
      </c>
      <c r="D503" s="88">
        <f>SUM(E494:E495)</f>
        <v>0.49056603773584906</v>
      </c>
    </row>
    <row r="504" spans="2:6" ht="15.75" thickBot="1" x14ac:dyDescent="0.3">
      <c r="C504" s="33" t="s">
        <v>235</v>
      </c>
      <c r="D504" s="53">
        <f>SUM(F494:F495)</f>
        <v>0.4375</v>
      </c>
    </row>
    <row r="513" spans="2:6" ht="15.75" thickBot="1" x14ac:dyDescent="0.3"/>
    <row r="514" spans="2:6" x14ac:dyDescent="0.25">
      <c r="B514" s="99" t="s">
        <v>319</v>
      </c>
      <c r="C514" s="100"/>
      <c r="D514" s="100"/>
      <c r="E514" s="100"/>
      <c r="F514" s="101"/>
    </row>
    <row r="515" spans="2:6" x14ac:dyDescent="0.25">
      <c r="B515" s="17" t="s">
        <v>286</v>
      </c>
      <c r="C515" s="18" t="s">
        <v>288</v>
      </c>
      <c r="D515" s="18" t="s">
        <v>289</v>
      </c>
      <c r="E515" s="18" t="s">
        <v>229</v>
      </c>
      <c r="F515" s="19" t="s">
        <v>230</v>
      </c>
    </row>
    <row r="516" spans="2:6" x14ac:dyDescent="0.25">
      <c r="B516" s="81" t="s">
        <v>277</v>
      </c>
      <c r="C516" s="36">
        <f>COUNTIFS(Datos!D:D,"Masculino",Datos!R:R,"Totalmente de acuerdo")</f>
        <v>12</v>
      </c>
      <c r="D516" s="39">
        <f>COUNTIFS(Datos!D:D,"Femenino",Datos!R:R,"Totalmente de acuerdo")</f>
        <v>39</v>
      </c>
      <c r="E516" s="58">
        <f>C516/C$521</f>
        <v>0.31578947368421051</v>
      </c>
      <c r="F516" s="40">
        <f>D516/D$521</f>
        <v>0.48148148148148145</v>
      </c>
    </row>
    <row r="517" spans="2:6" x14ac:dyDescent="0.25">
      <c r="B517" s="82" t="s">
        <v>278</v>
      </c>
      <c r="C517" s="36">
        <f>COUNTIFS(Datos!D:D,"Masculino",Datos!R:R,"De acuerdo")</f>
        <v>15</v>
      </c>
      <c r="D517" s="39">
        <f>COUNTIFS(Datos!D:D,"Femenino",Datos!R:R,"De acuerdo")</f>
        <v>27</v>
      </c>
      <c r="E517" s="58">
        <f t="shared" ref="E517:E520" si="27">C517/C$521</f>
        <v>0.39473684210526316</v>
      </c>
      <c r="F517" s="40">
        <f t="shared" ref="F517:F520" si="28">D517/D$521</f>
        <v>0.33333333333333331</v>
      </c>
    </row>
    <row r="518" spans="2:6" x14ac:dyDescent="0.25">
      <c r="B518" s="83" t="s">
        <v>24</v>
      </c>
      <c r="C518" s="41">
        <f>COUNTIFS(Datos!D:D,"Masculino",Datos!R:R,"Neutral")</f>
        <v>7</v>
      </c>
      <c r="D518" s="42">
        <f>COUNTIFS(Datos!D:D,"Femenino",Datos!R:R,"Neutral")</f>
        <v>11</v>
      </c>
      <c r="E518" s="58">
        <f t="shared" si="27"/>
        <v>0.18421052631578946</v>
      </c>
      <c r="F518" s="40">
        <f t="shared" si="28"/>
        <v>0.13580246913580246</v>
      </c>
    </row>
    <row r="519" spans="2:6" x14ac:dyDescent="0.25">
      <c r="B519" s="84" t="s">
        <v>279</v>
      </c>
      <c r="C519" s="41">
        <f>COUNTIFS(Datos!D:D,"Masculino",Datos!R:R,"En desacuerdo")</f>
        <v>4</v>
      </c>
      <c r="D519" s="42">
        <f>COUNTIFS(Datos!D:D,"Femenino",Datos!R:R,"En desacuerdo")</f>
        <v>4</v>
      </c>
      <c r="E519" s="58">
        <f t="shared" si="27"/>
        <v>0.10526315789473684</v>
      </c>
      <c r="F519" s="40">
        <f t="shared" si="28"/>
        <v>4.9382716049382713E-2</v>
      </c>
    </row>
    <row r="520" spans="2:6" ht="15.75" thickBot="1" x14ac:dyDescent="0.3">
      <c r="B520" s="85" t="s">
        <v>280</v>
      </c>
      <c r="C520" s="37">
        <f>COUNTIFS(Datos!D:D,"Masculino",Datos!R:R,"Totalmente en desacuerdo")</f>
        <v>0</v>
      </c>
      <c r="D520" s="37">
        <f>COUNTIFS(Datos!D:D,"Femenino",Datos!R:R,"Totalmente en desacuerdo")</f>
        <v>0</v>
      </c>
      <c r="E520" s="58">
        <f t="shared" si="27"/>
        <v>0</v>
      </c>
      <c r="F520" s="40">
        <f t="shared" si="28"/>
        <v>0</v>
      </c>
    </row>
    <row r="521" spans="2:6" ht="15.75" thickBot="1" x14ac:dyDescent="0.3">
      <c r="B521" s="65" t="s">
        <v>228</v>
      </c>
      <c r="C521" s="66">
        <f>SUM(C516:C520)</f>
        <v>38</v>
      </c>
      <c r="D521" s="66">
        <f>SUM(D516:D520)</f>
        <v>81</v>
      </c>
      <c r="E521" s="56"/>
      <c r="F521" s="16"/>
    </row>
    <row r="523" spans="2:6" ht="15.75" thickBot="1" x14ac:dyDescent="0.3"/>
    <row r="524" spans="2:6" ht="15.75" thickBot="1" x14ac:dyDescent="0.3">
      <c r="C524" s="102" t="s">
        <v>317</v>
      </c>
      <c r="D524" s="103"/>
    </row>
    <row r="525" spans="2:6" x14ac:dyDescent="0.25">
      <c r="C525" s="32" t="s">
        <v>288</v>
      </c>
      <c r="D525" s="88">
        <f>SUM(E516:E517)</f>
        <v>0.71052631578947367</v>
      </c>
    </row>
    <row r="526" spans="2:6" ht="15.75" thickBot="1" x14ac:dyDescent="0.3">
      <c r="C526" s="33" t="s">
        <v>289</v>
      </c>
      <c r="D526" s="53">
        <f>SUM(F516:F517)</f>
        <v>0.81481481481481477</v>
      </c>
    </row>
    <row r="533" spans="2:6" ht="15.75" thickBot="1" x14ac:dyDescent="0.3"/>
    <row r="534" spans="2:6" x14ac:dyDescent="0.25">
      <c r="B534" s="99" t="s">
        <v>320</v>
      </c>
      <c r="C534" s="100"/>
      <c r="D534" s="100"/>
      <c r="E534" s="100"/>
      <c r="F534" s="101"/>
    </row>
    <row r="535" spans="2:6" x14ac:dyDescent="0.25">
      <c r="B535" s="17" t="s">
        <v>286</v>
      </c>
      <c r="C535" s="18" t="s">
        <v>288</v>
      </c>
      <c r="D535" s="18" t="s">
        <v>289</v>
      </c>
      <c r="E535" s="89" t="s">
        <v>229</v>
      </c>
      <c r="F535" s="90" t="s">
        <v>230</v>
      </c>
    </row>
    <row r="536" spans="2:6" x14ac:dyDescent="0.25">
      <c r="B536" s="81" t="s">
        <v>277</v>
      </c>
      <c r="C536" s="36">
        <f>COUNTIFS(Datos!D:D, "Masculino",Datos!W:W,"Totalmente de acuerdo")</f>
        <v>7</v>
      </c>
      <c r="D536" s="39">
        <f>COUNTIFS(Datos!D:D, "Femenino",Datos!W:W,"Totalmente de acuerdo")</f>
        <v>17</v>
      </c>
      <c r="E536" s="58">
        <f>C536/C$541</f>
        <v>0.18421052631578946</v>
      </c>
      <c r="F536" s="40">
        <f>D536/D$541</f>
        <v>0.20987654320987653</v>
      </c>
    </row>
    <row r="537" spans="2:6" x14ac:dyDescent="0.25">
      <c r="B537" s="82" t="s">
        <v>278</v>
      </c>
      <c r="C537" s="36">
        <f>COUNTIFS(Datos!D:D, "Masculino",Datos!W:W,"De acuerdo")</f>
        <v>9</v>
      </c>
      <c r="D537" s="39">
        <f>COUNTIFS(Datos!D:D, "Femenino",Datos!W:W,"De acuerdo")</f>
        <v>26</v>
      </c>
      <c r="E537" s="58">
        <f t="shared" ref="E537:E540" si="29">C537/C$541</f>
        <v>0.23684210526315788</v>
      </c>
      <c r="F537" s="40">
        <f t="shared" ref="F537:F540" si="30">D537/D$541</f>
        <v>0.32098765432098764</v>
      </c>
    </row>
    <row r="538" spans="2:6" x14ac:dyDescent="0.25">
      <c r="B538" s="83" t="s">
        <v>24</v>
      </c>
      <c r="C538" s="41">
        <f>COUNTIFS(Datos!D:D, "Masculino",Datos!W:W,"Neutral")</f>
        <v>12</v>
      </c>
      <c r="D538" s="42">
        <f>COUNTIFS(Datos!D:D, "Femenino",Datos!W:W,"Neutral")</f>
        <v>17</v>
      </c>
      <c r="E538" s="58">
        <f t="shared" si="29"/>
        <v>0.31578947368421051</v>
      </c>
      <c r="F538" s="40">
        <f t="shared" si="30"/>
        <v>0.20987654320987653</v>
      </c>
    </row>
    <row r="539" spans="2:6" x14ac:dyDescent="0.25">
      <c r="B539" s="84" t="s">
        <v>279</v>
      </c>
      <c r="C539" s="41">
        <f>COUNTIFS(Datos!D:D, "Masculino",Datos!W:W,"En desacuerdo")</f>
        <v>5</v>
      </c>
      <c r="D539" s="42">
        <f>COUNTIFS(Datos!D:D, "Femenino",Datos!W:W,"En desacuerdo")</f>
        <v>14</v>
      </c>
      <c r="E539" s="58">
        <f t="shared" si="29"/>
        <v>0.13157894736842105</v>
      </c>
      <c r="F539" s="40">
        <f t="shared" si="30"/>
        <v>0.1728395061728395</v>
      </c>
    </row>
    <row r="540" spans="2:6" ht="15.75" thickBot="1" x14ac:dyDescent="0.3">
      <c r="B540" s="85" t="s">
        <v>280</v>
      </c>
      <c r="C540" s="37">
        <f>COUNTIFS(Datos!D:D, "Masculino",Datos!W:W,"Totalmente en desacuerdo")</f>
        <v>5</v>
      </c>
      <c r="D540" s="37">
        <f>COUNTIFS(Datos!D:D, "Femenino",Datos!W:W,"Totalmente en desacuerdo")</f>
        <v>7</v>
      </c>
      <c r="E540" s="58">
        <f t="shared" si="29"/>
        <v>0.13157894736842105</v>
      </c>
      <c r="F540" s="40">
        <f t="shared" si="30"/>
        <v>8.6419753086419748E-2</v>
      </c>
    </row>
    <row r="541" spans="2:6" ht="15.75" thickBot="1" x14ac:dyDescent="0.3">
      <c r="B541" s="65" t="s">
        <v>228</v>
      </c>
      <c r="C541" s="66">
        <f>SUM(C536:C540)</f>
        <v>38</v>
      </c>
      <c r="D541" s="66">
        <f>SUM(D536:D540)</f>
        <v>81</v>
      </c>
      <c r="E541" s="56"/>
      <c r="F541" s="16"/>
    </row>
    <row r="543" spans="2:6" ht="15.75" thickBot="1" x14ac:dyDescent="0.3"/>
    <row r="544" spans="2:6" ht="15.75" thickBot="1" x14ac:dyDescent="0.3">
      <c r="C544" s="102" t="s">
        <v>317</v>
      </c>
      <c r="D544" s="103"/>
    </row>
    <row r="545" spans="3:4" x14ac:dyDescent="0.25">
      <c r="C545" s="32" t="s">
        <v>288</v>
      </c>
      <c r="D545" s="88">
        <f>SUM(E536:E537)</f>
        <v>0.42105263157894735</v>
      </c>
    </row>
    <row r="546" spans="3:4" ht="15.75" thickBot="1" x14ac:dyDescent="0.3">
      <c r="C546" s="33" t="s">
        <v>289</v>
      </c>
      <c r="D546" s="53">
        <f>SUM(F536:F537)</f>
        <v>0.53086419753086411</v>
      </c>
    </row>
    <row r="554" spans="3:4" ht="15.75" thickBot="1" x14ac:dyDescent="0.3"/>
    <row r="555" spans="3:4" x14ac:dyDescent="0.25">
      <c r="C555" s="99" t="s">
        <v>200</v>
      </c>
      <c r="D555" s="101"/>
    </row>
    <row r="556" spans="3:4" x14ac:dyDescent="0.25">
      <c r="C556" s="8" t="s">
        <v>277</v>
      </c>
      <c r="D556" s="9">
        <f>COUNTIF(Datos!O:O, "Totalmente de acuerdo")</f>
        <v>27</v>
      </c>
    </row>
    <row r="557" spans="3:4" x14ac:dyDescent="0.25">
      <c r="C557" s="8" t="s">
        <v>278</v>
      </c>
      <c r="D557" s="9">
        <f>COUNTIF(Datos!O:O, "De acuerdo")</f>
        <v>30</v>
      </c>
    </row>
    <row r="558" spans="3:4" x14ac:dyDescent="0.25">
      <c r="C558" s="8" t="s">
        <v>24</v>
      </c>
      <c r="D558" s="9">
        <f>COUNTIF(Datos!O:O, "Neutral")</f>
        <v>46</v>
      </c>
    </row>
    <row r="559" spans="3:4" x14ac:dyDescent="0.25">
      <c r="C559" s="8" t="s">
        <v>279</v>
      </c>
      <c r="D559" s="9">
        <f>COUNTIF(Datos!O:O, "En desacuerdo")</f>
        <v>11</v>
      </c>
    </row>
    <row r="560" spans="3:4" ht="15.75" thickBot="1" x14ac:dyDescent="0.3">
      <c r="C560" s="33" t="s">
        <v>280</v>
      </c>
      <c r="D560" s="34">
        <f>COUNTIF(Datos!O:O, "Totalmente en desacuerdo")</f>
        <v>5</v>
      </c>
    </row>
    <row r="561" spans="3:4" ht="15.75" thickBot="1" x14ac:dyDescent="0.3">
      <c r="C561" s="67" t="s">
        <v>228</v>
      </c>
      <c r="D561" s="16">
        <f>SUM(D556:D560)</f>
        <v>119</v>
      </c>
    </row>
    <row r="572" spans="3:4" ht="15.75" thickBot="1" x14ac:dyDescent="0.3"/>
    <row r="573" spans="3:4" x14ac:dyDescent="0.25">
      <c r="C573" s="99" t="s">
        <v>206</v>
      </c>
      <c r="D573" s="101"/>
    </row>
    <row r="574" spans="3:4" x14ac:dyDescent="0.25">
      <c r="C574" s="8" t="s">
        <v>277</v>
      </c>
      <c r="D574" s="9">
        <f>COUNTIF(Datos!U:U, "Totalmente de acuerdo")</f>
        <v>10</v>
      </c>
    </row>
    <row r="575" spans="3:4" x14ac:dyDescent="0.25">
      <c r="C575" s="8" t="s">
        <v>278</v>
      </c>
      <c r="D575" s="9">
        <f>COUNTIF(Datos!U:U, "De acuerdo")</f>
        <v>49</v>
      </c>
    </row>
    <row r="576" spans="3:4" x14ac:dyDescent="0.25">
      <c r="C576" s="8" t="s">
        <v>24</v>
      </c>
      <c r="D576" s="9">
        <f>COUNTIF(Datos!U:U, "Neutral")</f>
        <v>39</v>
      </c>
    </row>
    <row r="577" spans="3:4" x14ac:dyDescent="0.25">
      <c r="C577" s="8" t="s">
        <v>279</v>
      </c>
      <c r="D577" s="9">
        <f>COUNTIF(Datos!U:U, "En desacuerdo")</f>
        <v>14</v>
      </c>
    </row>
    <row r="578" spans="3:4" ht="15.75" thickBot="1" x14ac:dyDescent="0.3">
      <c r="C578" s="33" t="s">
        <v>280</v>
      </c>
      <c r="D578" s="34">
        <f>COUNTIF(Datos!U:U, "Totalmente en desacuerdo")</f>
        <v>7</v>
      </c>
    </row>
    <row r="579" spans="3:4" ht="15.75" thickBot="1" x14ac:dyDescent="0.3">
      <c r="C579" s="67" t="s">
        <v>228</v>
      </c>
      <c r="D579" s="16">
        <f>SUM(D574:D578)</f>
        <v>119</v>
      </c>
    </row>
    <row r="589" spans="3:4" ht="15.75" thickBot="1" x14ac:dyDescent="0.3"/>
    <row r="590" spans="3:4" x14ac:dyDescent="0.25">
      <c r="C590" s="99" t="s">
        <v>204</v>
      </c>
      <c r="D590" s="101"/>
    </row>
    <row r="591" spans="3:4" x14ac:dyDescent="0.25">
      <c r="C591" s="8" t="s">
        <v>277</v>
      </c>
      <c r="D591" s="9">
        <f>COUNTIF(Datos!S:S, "Totalmente de acuerdo")</f>
        <v>8</v>
      </c>
    </row>
    <row r="592" spans="3:4" x14ac:dyDescent="0.25">
      <c r="C592" s="8" t="s">
        <v>278</v>
      </c>
      <c r="D592" s="9">
        <f>COUNTIF(Datos!S:S, "De acuerdo")</f>
        <v>51</v>
      </c>
    </row>
    <row r="593" spans="3:4" x14ac:dyDescent="0.25">
      <c r="C593" s="8" t="s">
        <v>24</v>
      </c>
      <c r="D593" s="9">
        <f>COUNTIF(Datos!S:S, "Neutral")</f>
        <v>39</v>
      </c>
    </row>
    <row r="594" spans="3:4" x14ac:dyDescent="0.25">
      <c r="C594" s="8" t="s">
        <v>279</v>
      </c>
      <c r="D594" s="9">
        <f>COUNTIF(Datos!S:S, "En desacuerdo")</f>
        <v>18</v>
      </c>
    </row>
    <row r="595" spans="3:4" ht="15.75" thickBot="1" x14ac:dyDescent="0.3">
      <c r="C595" s="33" t="s">
        <v>280</v>
      </c>
      <c r="D595" s="34">
        <f>COUNTIF(Datos!S:S, "Totalmente en desacuerdo")</f>
        <v>3</v>
      </c>
    </row>
    <row r="596" spans="3:4" ht="15.75" thickBot="1" x14ac:dyDescent="0.3">
      <c r="C596" s="67" t="s">
        <v>228</v>
      </c>
      <c r="D596" s="16">
        <f>SUM(D591:D595)</f>
        <v>119</v>
      </c>
    </row>
    <row r="606" spans="3:4" ht="15.75" thickBot="1" x14ac:dyDescent="0.3"/>
    <row r="607" spans="3:4" x14ac:dyDescent="0.25">
      <c r="C607" s="99" t="s">
        <v>205</v>
      </c>
      <c r="D607" s="101"/>
    </row>
    <row r="608" spans="3:4" x14ac:dyDescent="0.25">
      <c r="C608" s="8" t="s">
        <v>277</v>
      </c>
      <c r="D608" s="9">
        <f>COUNTIF(Datos!T:T, "Totalmente de acuerdo")</f>
        <v>2</v>
      </c>
    </row>
    <row r="609" spans="3:4" x14ac:dyDescent="0.25">
      <c r="C609" s="8" t="s">
        <v>278</v>
      </c>
      <c r="D609" s="9">
        <f>COUNTIF(Datos!T:T, "De acuerdo")</f>
        <v>18</v>
      </c>
    </row>
    <row r="610" spans="3:4" x14ac:dyDescent="0.25">
      <c r="C610" s="8" t="s">
        <v>24</v>
      </c>
      <c r="D610" s="9">
        <f>COUNTIF(Datos!T:T, "Neutral")</f>
        <v>59</v>
      </c>
    </row>
    <row r="611" spans="3:4" x14ac:dyDescent="0.25">
      <c r="C611" s="8" t="s">
        <v>279</v>
      </c>
      <c r="D611" s="9">
        <f>COUNTIF(Datos!T:T, "En desacuerdo")</f>
        <v>34</v>
      </c>
    </row>
    <row r="612" spans="3:4" ht="15.75" thickBot="1" x14ac:dyDescent="0.3">
      <c r="C612" s="33" t="s">
        <v>280</v>
      </c>
      <c r="D612" s="34">
        <f>COUNTIF(Datos!T:T, "Totalmente en desacuerdo")</f>
        <v>6</v>
      </c>
    </row>
    <row r="613" spans="3:4" ht="15.75" thickBot="1" x14ac:dyDescent="0.3">
      <c r="C613" s="67" t="s">
        <v>228</v>
      </c>
      <c r="D613" s="16">
        <f>SUM(D608:D612)</f>
        <v>119</v>
      </c>
    </row>
    <row r="624" spans="3:4" ht="15.75" thickBot="1" x14ac:dyDescent="0.3"/>
    <row r="625" spans="3:4" x14ac:dyDescent="0.25">
      <c r="C625" s="99" t="s">
        <v>209</v>
      </c>
      <c r="D625" s="101"/>
    </row>
    <row r="626" spans="3:4" x14ac:dyDescent="0.25">
      <c r="C626" s="8" t="s">
        <v>277</v>
      </c>
      <c r="D626" s="9">
        <f>COUNTIF(Datos!X:X, "Totalmente de acuerdo")</f>
        <v>33</v>
      </c>
    </row>
    <row r="627" spans="3:4" x14ac:dyDescent="0.25">
      <c r="C627" s="8" t="s">
        <v>278</v>
      </c>
      <c r="D627" s="9">
        <f>COUNTIF(Datos!X:X, "De acuerdo")</f>
        <v>65</v>
      </c>
    </row>
    <row r="628" spans="3:4" x14ac:dyDescent="0.25">
      <c r="C628" s="8" t="s">
        <v>24</v>
      </c>
      <c r="D628" s="9">
        <f>COUNTIF(Datos!X:X, "Neutral")</f>
        <v>15</v>
      </c>
    </row>
    <row r="629" spans="3:4" x14ac:dyDescent="0.25">
      <c r="C629" s="8" t="s">
        <v>279</v>
      </c>
      <c r="D629" s="9">
        <f>COUNTIF(Datos!X:X, "En desacuerdo")</f>
        <v>6</v>
      </c>
    </row>
    <row r="630" spans="3:4" ht="15.75" thickBot="1" x14ac:dyDescent="0.3">
      <c r="C630" s="33" t="s">
        <v>280</v>
      </c>
      <c r="D630" s="34">
        <f>COUNTIF(Datos!X:X, "Totalmente en desacuerdo")</f>
        <v>0</v>
      </c>
    </row>
    <row r="631" spans="3:4" ht="15.75" thickBot="1" x14ac:dyDescent="0.3">
      <c r="C631" s="67" t="s">
        <v>228</v>
      </c>
      <c r="D631" s="16">
        <f>SUM(D626:D630)</f>
        <v>119</v>
      </c>
    </row>
    <row r="643" spans="2:4" ht="15.75" thickBot="1" x14ac:dyDescent="0.3"/>
    <row r="644" spans="2:4" x14ac:dyDescent="0.25">
      <c r="C644" s="99" t="s">
        <v>322</v>
      </c>
      <c r="D644" s="101"/>
    </row>
    <row r="645" spans="2:4" x14ac:dyDescent="0.25">
      <c r="C645" s="8" t="s">
        <v>39</v>
      </c>
      <c r="D645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46" spans="2:4" ht="15.75" thickBot="1" x14ac:dyDescent="0.3">
      <c r="C646" s="33" t="s">
        <v>7</v>
      </c>
      <c r="D646" s="3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47" spans="2:4" x14ac:dyDescent="0.25">
      <c r="B647" s="10"/>
      <c r="C647" s="10"/>
      <c r="D647" s="10"/>
    </row>
    <row r="648" spans="2:4" x14ac:dyDescent="0.25">
      <c r="B648" s="54"/>
      <c r="C648" s="10"/>
      <c r="D648" s="10"/>
    </row>
    <row r="658" spans="3:4" ht="15.75" thickBot="1" x14ac:dyDescent="0.3"/>
    <row r="659" spans="3:4" x14ac:dyDescent="0.25">
      <c r="C659" s="99" t="s">
        <v>323</v>
      </c>
      <c r="D659" s="101"/>
    </row>
    <row r="660" spans="3:4" x14ac:dyDescent="0.25">
      <c r="C660" s="8" t="s">
        <v>39</v>
      </c>
      <c r="D660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61" spans="3:4" ht="15.75" thickBot="1" x14ac:dyDescent="0.3">
      <c r="C661" s="33" t="s">
        <v>7</v>
      </c>
      <c r="D661" s="34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  <row r="674" spans="2:6" ht="15.75" thickBot="1" x14ac:dyDescent="0.3"/>
    <row r="675" spans="2:6" x14ac:dyDescent="0.25">
      <c r="B675" s="112" t="s">
        <v>324</v>
      </c>
      <c r="C675" s="113"/>
      <c r="D675" s="113"/>
      <c r="E675" s="113"/>
      <c r="F675" s="114"/>
    </row>
    <row r="676" spans="2:6" x14ac:dyDescent="0.25">
      <c r="B676" s="17" t="s">
        <v>312</v>
      </c>
      <c r="C676" s="18" t="s">
        <v>236</v>
      </c>
      <c r="D676" s="20" t="s">
        <v>237</v>
      </c>
      <c r="E676" s="18" t="s">
        <v>238</v>
      </c>
      <c r="F676" s="19" t="s">
        <v>239</v>
      </c>
    </row>
    <row r="677" spans="2:6" x14ac:dyDescent="0.25">
      <c r="B677" s="81" t="s">
        <v>277</v>
      </c>
      <c r="C677" s="36">
        <f>COUNTIFS(Datos!G:G,1,Datos!R:R,"Totalmente de acuerdo")</f>
        <v>9</v>
      </c>
      <c r="D677" s="39">
        <f>COUNTIFS(Datos!G:G,2,Datos!R:R,"Totalmente de acuerdo")</f>
        <v>29</v>
      </c>
      <c r="E677" s="49">
        <f>COUNTIFS(Datos!G:G,3,Datos!R:R,"Totalmente de acuerdo")</f>
        <v>8</v>
      </c>
      <c r="F677" s="63">
        <f>COUNTIFS(Datos!G:G,"&gt;3",Datos!R:R,"Totalmente de acuerdo")</f>
        <v>5</v>
      </c>
    </row>
    <row r="678" spans="2:6" x14ac:dyDescent="0.25">
      <c r="B678" s="82" t="s">
        <v>278</v>
      </c>
      <c r="C678" s="36">
        <f>COUNTIFS(Datos!G:G,1,Datos!R:R,"De acuerdo")</f>
        <v>23</v>
      </c>
      <c r="D678" s="39">
        <f>COUNTIFS(Datos!G:G,2,Datos!R:R,"De acuerdo")</f>
        <v>14</v>
      </c>
      <c r="E678" s="49">
        <f>COUNTIFS(Datos!G:G,3,Datos!R:R,"De acuerdo")</f>
        <v>5</v>
      </c>
      <c r="F678" s="63">
        <f>COUNTIFS(Datos!G:G,"&gt;3",Datos!R:R,"De acuerdo")</f>
        <v>0</v>
      </c>
    </row>
    <row r="679" spans="2:6" x14ac:dyDescent="0.25">
      <c r="B679" s="83" t="s">
        <v>24</v>
      </c>
      <c r="C679" s="41">
        <f>COUNTIFS(Datos!G:G,1,Datos!R:R,"Neutral")</f>
        <v>7</v>
      </c>
      <c r="D679" s="42">
        <f>COUNTIFS(Datos!G:G,2,Datos!R:R,"Neutral")</f>
        <v>7</v>
      </c>
      <c r="E679" s="49">
        <f>COUNTIFS(Datos!G:G,3,Datos!R:R,"Neutral")</f>
        <v>4</v>
      </c>
      <c r="F679" s="63">
        <f>COUNTIFS(Datos!G:G,"&gt;3",Datos!R:R,"Neutral")</f>
        <v>0</v>
      </c>
    </row>
    <row r="680" spans="2:6" x14ac:dyDescent="0.25">
      <c r="B680" s="84" t="s">
        <v>279</v>
      </c>
      <c r="C680" s="41">
        <f>COUNTIFS(Datos!G:G,1,Datos!R:R,"En desacuerdo")</f>
        <v>7</v>
      </c>
      <c r="D680" s="42">
        <f>COUNTIFS(Datos!G:G,2,Datos!R:R,"En desacuerdo")</f>
        <v>1</v>
      </c>
      <c r="E680" s="49">
        <f>COUNTIFS(Datos!G:G,3,Datos!R:R,"En desacuerdo")</f>
        <v>0</v>
      </c>
      <c r="F680" s="63">
        <f>COUNTIFS(Datos!G:G,"&gt;3",Datos!R:R,"En desacuerdo")</f>
        <v>0</v>
      </c>
    </row>
    <row r="681" spans="2:6" ht="15.75" thickBot="1" x14ac:dyDescent="0.3">
      <c r="B681" s="85" t="s">
        <v>280</v>
      </c>
      <c r="C681" s="37">
        <f>COUNTIFS(Datos!G:G,1,Datos!R:R,"Totalmente en desacuerdo")</f>
        <v>0</v>
      </c>
      <c r="D681" s="44">
        <f>COUNTIFS(Datos!G:G,2,Datos!R:R,"Totalmente en desacuerdo")</f>
        <v>0</v>
      </c>
      <c r="E681" s="49">
        <f>COUNTIFS(Datos!G:G,3,Datos!R:R,"Totalmente en desacuerdo")</f>
        <v>0</v>
      </c>
      <c r="F681" s="64">
        <f>COUNTIFS(Datos!G:G,"&gt;3",Datos!R:R,"Totalmente en desacuerdo")</f>
        <v>0</v>
      </c>
    </row>
    <row r="682" spans="2:6" x14ac:dyDescent="0.25">
      <c r="B682" s="48" t="s">
        <v>228</v>
      </c>
      <c r="C682" s="21">
        <f>SUM(C677:C681)</f>
        <v>46</v>
      </c>
      <c r="D682" s="50">
        <f>SUM(D677:D681)</f>
        <v>51</v>
      </c>
      <c r="E682" s="21">
        <f>SUM(E677:E681)</f>
        <v>17</v>
      </c>
      <c r="F682" s="22">
        <f>SUM(F677:F681)</f>
        <v>5</v>
      </c>
    </row>
    <row r="683" spans="2:6" ht="15.75" thickBot="1" x14ac:dyDescent="0.3">
      <c r="B683" s="43" t="s">
        <v>291</v>
      </c>
      <c r="C683" s="37">
        <f>SUM(C682:F682)</f>
        <v>119</v>
      </c>
      <c r="D683" s="44"/>
      <c r="E683" s="37"/>
      <c r="F683" s="34"/>
    </row>
    <row r="685" spans="2:6" ht="15.75" thickBot="1" x14ac:dyDescent="0.3"/>
    <row r="686" spans="2:6" x14ac:dyDescent="0.25">
      <c r="B686" s="112" t="s">
        <v>324</v>
      </c>
      <c r="C686" s="113"/>
      <c r="D686" s="113"/>
      <c r="E686" s="113"/>
      <c r="F686" s="114"/>
    </row>
    <row r="687" spans="2:6" x14ac:dyDescent="0.25">
      <c r="B687" s="17" t="s">
        <v>312</v>
      </c>
      <c r="C687" s="18" t="s">
        <v>236</v>
      </c>
      <c r="D687" s="20" t="s">
        <v>237</v>
      </c>
      <c r="E687" s="18" t="s">
        <v>238</v>
      </c>
      <c r="F687" s="19" t="s">
        <v>239</v>
      </c>
    </row>
    <row r="688" spans="2:6" x14ac:dyDescent="0.25">
      <c r="B688" s="81" t="s">
        <v>277</v>
      </c>
      <c r="C688" s="51">
        <f>C677/C$682</f>
        <v>0.19565217391304349</v>
      </c>
      <c r="D688" s="51">
        <f t="shared" ref="D688:F688" si="31">D677/D$682</f>
        <v>0.56862745098039214</v>
      </c>
      <c r="E688" s="51">
        <f t="shared" si="31"/>
        <v>0.47058823529411764</v>
      </c>
      <c r="F688" s="40">
        <f t="shared" si="31"/>
        <v>1</v>
      </c>
    </row>
    <row r="689" spans="2:6" x14ac:dyDescent="0.25">
      <c r="B689" s="82" t="s">
        <v>278</v>
      </c>
      <c r="C689" s="51">
        <f t="shared" ref="C689:F692" si="32">C678/C$682</f>
        <v>0.5</v>
      </c>
      <c r="D689" s="51">
        <f t="shared" si="32"/>
        <v>0.27450980392156865</v>
      </c>
      <c r="E689" s="51">
        <f t="shared" si="32"/>
        <v>0.29411764705882354</v>
      </c>
      <c r="F689" s="40">
        <f t="shared" si="32"/>
        <v>0</v>
      </c>
    </row>
    <row r="690" spans="2:6" x14ac:dyDescent="0.25">
      <c r="B690" s="83" t="s">
        <v>24</v>
      </c>
      <c r="C690" s="51">
        <f t="shared" si="32"/>
        <v>0.15217391304347827</v>
      </c>
      <c r="D690" s="51">
        <f t="shared" si="32"/>
        <v>0.13725490196078433</v>
      </c>
      <c r="E690" s="51">
        <f t="shared" si="32"/>
        <v>0.23529411764705882</v>
      </c>
      <c r="F690" s="40">
        <f t="shared" si="32"/>
        <v>0</v>
      </c>
    </row>
    <row r="691" spans="2:6" x14ac:dyDescent="0.25">
      <c r="B691" s="84" t="s">
        <v>279</v>
      </c>
      <c r="C691" s="51">
        <f t="shared" si="32"/>
        <v>0.15217391304347827</v>
      </c>
      <c r="D691" s="51">
        <f t="shared" si="32"/>
        <v>1.9607843137254902E-2</v>
      </c>
      <c r="E691" s="51">
        <f t="shared" si="32"/>
        <v>0</v>
      </c>
      <c r="F691" s="40">
        <f t="shared" si="32"/>
        <v>0</v>
      </c>
    </row>
    <row r="692" spans="2:6" ht="15.75" thickBot="1" x14ac:dyDescent="0.3">
      <c r="B692" s="85" t="s">
        <v>280</v>
      </c>
      <c r="C692" s="52">
        <f t="shared" si="32"/>
        <v>0</v>
      </c>
      <c r="D692" s="52">
        <f t="shared" si="32"/>
        <v>0</v>
      </c>
      <c r="E692" s="52">
        <f t="shared" si="32"/>
        <v>0</v>
      </c>
      <c r="F692" s="53">
        <f t="shared" si="32"/>
        <v>0</v>
      </c>
    </row>
    <row r="693" spans="2:6" ht="15.75" thickBot="1" x14ac:dyDescent="0.3"/>
    <row r="694" spans="2:6" x14ac:dyDescent="0.25">
      <c r="C694" s="91" t="s">
        <v>236</v>
      </c>
      <c r="D694" s="88">
        <f>SUM(C688:C689)</f>
        <v>0.69565217391304346</v>
      </c>
    </row>
    <row r="695" spans="2:6" x14ac:dyDescent="0.25">
      <c r="C695" s="17" t="s">
        <v>237</v>
      </c>
      <c r="D695" s="40">
        <f>SUM(D688:D689)</f>
        <v>0.84313725490196079</v>
      </c>
    </row>
    <row r="696" spans="2:6" x14ac:dyDescent="0.25">
      <c r="C696" s="17" t="s">
        <v>238</v>
      </c>
      <c r="D696" s="40">
        <f>SUM(E688:E689)</f>
        <v>0.76470588235294112</v>
      </c>
    </row>
    <row r="697" spans="2:6" ht="15.75" thickBot="1" x14ac:dyDescent="0.3">
      <c r="C697" s="92" t="s">
        <v>239</v>
      </c>
      <c r="D697" s="53">
        <f>SUM(F688:F689)</f>
        <v>1</v>
      </c>
    </row>
    <row r="704" spans="2:6" ht="15.75" thickBot="1" x14ac:dyDescent="0.3"/>
    <row r="705" spans="2:6" x14ac:dyDescent="0.25">
      <c r="C705" s="99" t="s">
        <v>327</v>
      </c>
      <c r="D705" s="101"/>
    </row>
    <row r="706" spans="2:6" x14ac:dyDescent="0.25">
      <c r="C706" s="8" t="s">
        <v>277</v>
      </c>
      <c r="D706" s="9">
        <f>COUNTIFS(Datos!H:H,"Excelente", Datos!R:R,"Totalmente de acuerdo") + COUNTIFS(Datos!H:H,"Muy bueno", Datos!R:R,"Totalmente de acuerdo")</f>
        <v>20</v>
      </c>
    </row>
    <row r="707" spans="2:6" x14ac:dyDescent="0.25">
      <c r="C707" s="8" t="s">
        <v>278</v>
      </c>
      <c r="D707" s="9">
        <f>COUNTIFS(Datos!H:H,"Excelente", Datos!R:R,"De acuerdo") + COUNTIFS(Datos!H:H,"Muy bueno", Datos!R:R,"De acuerdo")</f>
        <v>10</v>
      </c>
    </row>
    <row r="708" spans="2:6" x14ac:dyDescent="0.25">
      <c r="C708" s="8" t="s">
        <v>24</v>
      </c>
      <c r="D708" s="9">
        <f>COUNTIFS(Datos!H:H,"Excelente", Datos!R:R,"Neutral") + COUNTIFS(Datos!H:H,"Muy bueno", Datos!R:R,"Neutral")</f>
        <v>4</v>
      </c>
    </row>
    <row r="709" spans="2:6" x14ac:dyDescent="0.25">
      <c r="C709" s="8" t="s">
        <v>279</v>
      </c>
      <c r="D709" s="9">
        <f>COUNTIFS(Datos!H:H,"Excelente", Datos!R:R,"En desacuerdo") + COUNTIFS(Datos!H:H,"Muy bueno", Datos!R:R,"En desacuerdo")</f>
        <v>0</v>
      </c>
    </row>
    <row r="710" spans="2:6" ht="15.75" thickBot="1" x14ac:dyDescent="0.3">
      <c r="C710" s="33" t="s">
        <v>280</v>
      </c>
      <c r="D710" s="34">
        <f>COUNTIFS(Datos!H:H,"Excelente", Datos!R:R,"Totalmente en desacuerdo") + COUNTIFS(Datos!H:H,"Muy bueno", Datos!R:R,"Totalmente en desacuerdo")</f>
        <v>0</v>
      </c>
    </row>
    <row r="711" spans="2:6" ht="15.75" thickBot="1" x14ac:dyDescent="0.3">
      <c r="C711" s="72" t="s">
        <v>228</v>
      </c>
      <c r="D711" s="16">
        <f>SUM(D706:D710)</f>
        <v>34</v>
      </c>
    </row>
    <row r="719" spans="2:6" ht="15.75" thickBot="1" x14ac:dyDescent="0.3"/>
    <row r="720" spans="2:6" x14ac:dyDescent="0.25">
      <c r="B720" s="112" t="s">
        <v>325</v>
      </c>
      <c r="C720" s="113"/>
      <c r="D720" s="113"/>
      <c r="E720" s="113"/>
      <c r="F720" s="114"/>
    </row>
    <row r="721" spans="2:6" x14ac:dyDescent="0.25">
      <c r="B721" s="17" t="s">
        <v>312</v>
      </c>
      <c r="C721" s="18" t="s">
        <v>236</v>
      </c>
      <c r="D721" s="20" t="s">
        <v>237</v>
      </c>
      <c r="E721" s="18" t="s">
        <v>238</v>
      </c>
      <c r="F721" s="19" t="s">
        <v>239</v>
      </c>
    </row>
    <row r="722" spans="2:6" x14ac:dyDescent="0.25">
      <c r="B722" s="81" t="s">
        <v>277</v>
      </c>
      <c r="C722" s="36">
        <f>COUNTIFS(Datos!G:G,1,Datos!W:W,"Totalmente de acuerdo")</f>
        <v>4</v>
      </c>
      <c r="D722" s="39">
        <f>COUNTIFS(Datos!G:G,2,Datos!W:W,"Totalmente de acuerdo")</f>
        <v>12</v>
      </c>
      <c r="E722" s="49">
        <f>COUNTIFS(Datos!G:G,3,Datos!W:W,"Totalmente de acuerdo")</f>
        <v>7</v>
      </c>
      <c r="F722" s="63">
        <f>COUNTIFS(Datos!G:G,"&gt;3",Datos!W:W,"Totalmente de acuerdo")</f>
        <v>1</v>
      </c>
    </row>
    <row r="723" spans="2:6" x14ac:dyDescent="0.25">
      <c r="B723" s="82" t="s">
        <v>278</v>
      </c>
      <c r="C723" s="36">
        <f>COUNTIFS(Datos!G:G,1,Datos!W:W,"De acuerdo")</f>
        <v>16</v>
      </c>
      <c r="D723" s="39">
        <f>COUNTIFS(Datos!G:G,2,Datos!W:W,"De acuerdo")</f>
        <v>15</v>
      </c>
      <c r="E723" s="49">
        <f>COUNTIFS(Datos!G:G,3,Datos!W:W,"De acuerdo")</f>
        <v>3</v>
      </c>
      <c r="F723" s="63">
        <f>COUNTIFS(Datos!G:G,"&gt;3",Datos!W:W,"De acuerdo")</f>
        <v>1</v>
      </c>
    </row>
    <row r="724" spans="2:6" x14ac:dyDescent="0.25">
      <c r="B724" s="83" t="s">
        <v>24</v>
      </c>
      <c r="C724" s="41">
        <f>COUNTIFS(Datos!G:G,1,Datos!W:W,"Neutral")</f>
        <v>11</v>
      </c>
      <c r="D724" s="42">
        <f>COUNTIFS(Datos!G:G,2,Datos!W:W,"Neutral")</f>
        <v>12</v>
      </c>
      <c r="E724" s="49">
        <f>COUNTIFS(Datos!G:G,3,Datos!W:W,"Neutral")</f>
        <v>4</v>
      </c>
      <c r="F724" s="63">
        <f>COUNTIFS(Datos!G:G,"&gt;3",Datos!W:W,"Neutral")</f>
        <v>2</v>
      </c>
    </row>
    <row r="725" spans="2:6" x14ac:dyDescent="0.25">
      <c r="B725" s="84" t="s">
        <v>279</v>
      </c>
      <c r="C725" s="41">
        <f>COUNTIFS(Datos!G:G,1,Datos!W:W,"En desacuerdo")</f>
        <v>10</v>
      </c>
      <c r="D725" s="42">
        <f>COUNTIFS(Datos!G:G,2,Datos!W:W,"En desacuerdo")</f>
        <v>8</v>
      </c>
      <c r="E725" s="49">
        <f>COUNTIFS(Datos!G:G,3,Datos!W:W,"En desacuerdo")</f>
        <v>0</v>
      </c>
      <c r="F725" s="63">
        <f>COUNTIFS(Datos!G:G,"&gt;3",Datos!W:W,"En desacuerdo")</f>
        <v>1</v>
      </c>
    </row>
    <row r="726" spans="2:6" ht="15.75" thickBot="1" x14ac:dyDescent="0.3">
      <c r="B726" s="85" t="s">
        <v>280</v>
      </c>
      <c r="C726" s="37">
        <f>COUNTIFS(Datos!G:G,1,Datos!W:W,"Totalmente en desacuerdo")</f>
        <v>5</v>
      </c>
      <c r="D726" s="44">
        <f>COUNTIFS(Datos!G:G,2,Datos!W:W,"Totalmente en desacuerdo")</f>
        <v>4</v>
      </c>
      <c r="E726" s="49">
        <f>COUNTIFS(Datos!G:G,3,Datos!W:W,"Totalmente en desacuerdo")</f>
        <v>3</v>
      </c>
      <c r="F726" s="64">
        <f>COUNTIFS(Datos!G:G,"&gt;3",Datos!W:W,"Totalmente en desacuerdo")</f>
        <v>0</v>
      </c>
    </row>
    <row r="727" spans="2:6" x14ac:dyDescent="0.25">
      <c r="B727" s="48" t="s">
        <v>228</v>
      </c>
      <c r="C727" s="21">
        <f>SUM(C722:C726)</f>
        <v>46</v>
      </c>
      <c r="D727" s="50">
        <f>SUM(D722:D726)</f>
        <v>51</v>
      </c>
      <c r="E727" s="21">
        <f>SUM(E722:E726)</f>
        <v>17</v>
      </c>
      <c r="F727" s="22">
        <f>SUM(F722:F726)</f>
        <v>5</v>
      </c>
    </row>
    <row r="728" spans="2:6" ht="15.75" thickBot="1" x14ac:dyDescent="0.3">
      <c r="B728" s="43" t="s">
        <v>291</v>
      </c>
      <c r="C728" s="37">
        <f>SUM(C727:F727)</f>
        <v>119</v>
      </c>
      <c r="D728" s="44"/>
      <c r="E728" s="37"/>
      <c r="F728" s="34"/>
    </row>
    <row r="730" spans="2:6" ht="15.75" thickBot="1" x14ac:dyDescent="0.3"/>
    <row r="731" spans="2:6" x14ac:dyDescent="0.25">
      <c r="B731" s="112" t="s">
        <v>325</v>
      </c>
      <c r="C731" s="113"/>
      <c r="D731" s="113"/>
      <c r="E731" s="113"/>
      <c r="F731" s="114"/>
    </row>
    <row r="732" spans="2:6" x14ac:dyDescent="0.25">
      <c r="B732" s="17" t="s">
        <v>312</v>
      </c>
      <c r="C732" s="18" t="s">
        <v>236</v>
      </c>
      <c r="D732" s="20" t="s">
        <v>237</v>
      </c>
      <c r="E732" s="18" t="s">
        <v>238</v>
      </c>
      <c r="F732" s="19" t="s">
        <v>239</v>
      </c>
    </row>
    <row r="733" spans="2:6" x14ac:dyDescent="0.25">
      <c r="B733" s="81" t="s">
        <v>277</v>
      </c>
      <c r="C733" s="51">
        <f>C722/C$727</f>
        <v>8.6956521739130432E-2</v>
      </c>
      <c r="D733" s="51">
        <f t="shared" ref="D733:F733" si="33">D722/D$727</f>
        <v>0.23529411764705882</v>
      </c>
      <c r="E733" s="51">
        <f t="shared" si="33"/>
        <v>0.41176470588235292</v>
      </c>
      <c r="F733" s="40">
        <f t="shared" si="33"/>
        <v>0.2</v>
      </c>
    </row>
    <row r="734" spans="2:6" x14ac:dyDescent="0.25">
      <c r="B734" s="82" t="s">
        <v>278</v>
      </c>
      <c r="C734" s="51">
        <f t="shared" ref="C734:F737" si="34">C723/C$727</f>
        <v>0.34782608695652173</v>
      </c>
      <c r="D734" s="51">
        <f t="shared" si="34"/>
        <v>0.29411764705882354</v>
      </c>
      <c r="E734" s="51">
        <f t="shared" si="34"/>
        <v>0.17647058823529413</v>
      </c>
      <c r="F734" s="40">
        <f t="shared" si="34"/>
        <v>0.2</v>
      </c>
    </row>
    <row r="735" spans="2:6" x14ac:dyDescent="0.25">
      <c r="B735" s="83" t="s">
        <v>24</v>
      </c>
      <c r="C735" s="51">
        <f t="shared" si="34"/>
        <v>0.2391304347826087</v>
      </c>
      <c r="D735" s="51">
        <f t="shared" si="34"/>
        <v>0.23529411764705882</v>
      </c>
      <c r="E735" s="51">
        <f t="shared" si="34"/>
        <v>0.23529411764705882</v>
      </c>
      <c r="F735" s="40">
        <f t="shared" si="34"/>
        <v>0.4</v>
      </c>
    </row>
    <row r="736" spans="2:6" x14ac:dyDescent="0.25">
      <c r="B736" s="84" t="s">
        <v>279</v>
      </c>
      <c r="C736" s="51">
        <f t="shared" si="34"/>
        <v>0.21739130434782608</v>
      </c>
      <c r="D736" s="51">
        <f t="shared" si="34"/>
        <v>0.15686274509803921</v>
      </c>
      <c r="E736" s="51">
        <f t="shared" si="34"/>
        <v>0</v>
      </c>
      <c r="F736" s="40">
        <f t="shared" si="34"/>
        <v>0.2</v>
      </c>
    </row>
    <row r="737" spans="2:6" ht="15.75" thickBot="1" x14ac:dyDescent="0.3">
      <c r="B737" s="85" t="s">
        <v>280</v>
      </c>
      <c r="C737" s="52">
        <f t="shared" si="34"/>
        <v>0.10869565217391304</v>
      </c>
      <c r="D737" s="52">
        <f t="shared" si="34"/>
        <v>7.8431372549019607E-2</v>
      </c>
      <c r="E737" s="52">
        <f t="shared" si="34"/>
        <v>0.17647058823529413</v>
      </c>
      <c r="F737" s="53">
        <f t="shared" si="34"/>
        <v>0</v>
      </c>
    </row>
    <row r="738" spans="2:6" ht="15.75" thickBot="1" x14ac:dyDescent="0.3"/>
    <row r="739" spans="2:6" x14ac:dyDescent="0.25">
      <c r="C739" s="91" t="s">
        <v>236</v>
      </c>
      <c r="D739" s="88">
        <f>SUM(C733:C734)</f>
        <v>0.43478260869565216</v>
      </c>
    </row>
    <row r="740" spans="2:6" x14ac:dyDescent="0.25">
      <c r="C740" s="17" t="s">
        <v>237</v>
      </c>
      <c r="D740" s="40">
        <f>SUM(D733:D734)</f>
        <v>0.52941176470588236</v>
      </c>
    </row>
    <row r="741" spans="2:6" x14ac:dyDescent="0.25">
      <c r="C741" s="17" t="s">
        <v>238</v>
      </c>
      <c r="D741" s="40">
        <f>SUM(E733:E734)</f>
        <v>0.58823529411764708</v>
      </c>
    </row>
    <row r="742" spans="2:6" ht="15.75" thickBot="1" x14ac:dyDescent="0.3">
      <c r="C742" s="92" t="s">
        <v>239</v>
      </c>
      <c r="D742" s="53">
        <f>SUM(F733:F734)</f>
        <v>0.4</v>
      </c>
    </row>
    <row r="749" spans="2:6" ht="15.75" thickBot="1" x14ac:dyDescent="0.3"/>
    <row r="750" spans="2:6" x14ac:dyDescent="0.25">
      <c r="C750" s="99" t="s">
        <v>326</v>
      </c>
      <c r="D750" s="101"/>
    </row>
    <row r="751" spans="2:6" x14ac:dyDescent="0.25">
      <c r="C751" s="8" t="s">
        <v>277</v>
      </c>
      <c r="D751" s="9">
        <f>COUNTIFS(Datos!H:H,"Excelente", Datos!W:W,"Totalmente de acuerdo") + COUNTIFS(Datos!H:H,"Muy bueno", Datos!W:W,"Totalmente de acuerdo")</f>
        <v>8</v>
      </c>
    </row>
    <row r="752" spans="2:6" x14ac:dyDescent="0.25">
      <c r="C752" s="8" t="s">
        <v>278</v>
      </c>
      <c r="D752" s="9">
        <f>COUNTIFS(Datos!H:H,"Excelente", Datos!W:W,"De acuerdo") + COUNTIFS(Datos!H:H,"Muy bueno", Datos!W:W,"De acuerdo")</f>
        <v>9</v>
      </c>
    </row>
    <row r="753" spans="2:6" x14ac:dyDescent="0.25">
      <c r="C753" s="8" t="s">
        <v>24</v>
      </c>
      <c r="D753" s="9">
        <f>COUNTIFS(Datos!H:H,"Excelente", Datos!W:W,"Neutral") + COUNTIFS(Datos!H:H,"Muy bueno", Datos!W:W,"Neutral")</f>
        <v>8</v>
      </c>
    </row>
    <row r="754" spans="2:6" x14ac:dyDescent="0.25">
      <c r="C754" s="8" t="s">
        <v>279</v>
      </c>
      <c r="D754" s="9">
        <f>COUNTIFS(Datos!H:H,"Excelente", Datos!W:W,"En desacuerdo") + COUNTIFS(Datos!H:H,"Muy bueno", Datos!W:W,"En desacuerdo")</f>
        <v>5</v>
      </c>
    </row>
    <row r="755" spans="2:6" ht="15.75" thickBot="1" x14ac:dyDescent="0.3">
      <c r="C755" s="33" t="s">
        <v>280</v>
      </c>
      <c r="D755" s="34">
        <f>COUNTIFS(Datos!H:H,"Excelente", Datos!W:W,"Totalmente en desacuerdo") + COUNTIFS(Datos!H:H,"Muy bueno", Datos!W:W,"Totalmente en desacuerdo")</f>
        <v>4</v>
      </c>
    </row>
    <row r="756" spans="2:6" ht="15.75" thickBot="1" x14ac:dyDescent="0.3">
      <c r="C756" s="72" t="s">
        <v>228</v>
      </c>
      <c r="D756" s="16">
        <f>SUM(D751:D755)</f>
        <v>34</v>
      </c>
    </row>
    <row r="767" spans="2:6" ht="15.75" thickBot="1" x14ac:dyDescent="0.3"/>
    <row r="768" spans="2:6" x14ac:dyDescent="0.25">
      <c r="B768" s="99" t="s">
        <v>329</v>
      </c>
      <c r="C768" s="100"/>
      <c r="D768" s="100"/>
      <c r="E768" s="100"/>
      <c r="F768" s="101"/>
    </row>
    <row r="769" spans="2:6" x14ac:dyDescent="0.25">
      <c r="B769" s="17" t="s">
        <v>286</v>
      </c>
      <c r="C769" s="18" t="s">
        <v>288</v>
      </c>
      <c r="D769" s="18" t="s">
        <v>289</v>
      </c>
      <c r="E769" s="89" t="s">
        <v>229</v>
      </c>
      <c r="F769" s="90" t="s">
        <v>230</v>
      </c>
    </row>
    <row r="770" spans="2:6" x14ac:dyDescent="0.25">
      <c r="B770" s="81" t="s">
        <v>277</v>
      </c>
      <c r="C770" s="36">
        <f>COUNTIFS(Datos!D:D, "Masculino",Datos!Y:Y,"Totalmente de acuerdo")</f>
        <v>2</v>
      </c>
      <c r="D770" s="39">
        <f>COUNTIFS(Datos!D:D, "Femenino",Datos!Y:Y,"Totalmente de acuerdo")</f>
        <v>12</v>
      </c>
      <c r="E770" s="58">
        <f>C770/C$775</f>
        <v>5.2631578947368418E-2</v>
      </c>
      <c r="F770" s="40">
        <f>D770/D$775</f>
        <v>0.14814814814814814</v>
      </c>
    </row>
    <row r="771" spans="2:6" x14ac:dyDescent="0.25">
      <c r="B771" s="82" t="s">
        <v>278</v>
      </c>
      <c r="C771" s="36">
        <f>COUNTIFS(Datos!D:D, "Masculino",Datos!Y:Y,"De acuerdo")</f>
        <v>14</v>
      </c>
      <c r="D771" s="39">
        <f>COUNTIFS(Datos!D:D, "Femenino",Datos!Y:Y,"De acuerdo")</f>
        <v>29</v>
      </c>
      <c r="E771" s="58">
        <f t="shared" ref="E771:F774" si="35">C771/C$775</f>
        <v>0.36842105263157893</v>
      </c>
      <c r="F771" s="40">
        <f t="shared" si="35"/>
        <v>0.35802469135802467</v>
      </c>
    </row>
    <row r="772" spans="2:6" x14ac:dyDescent="0.25">
      <c r="B772" s="83" t="s">
        <v>24</v>
      </c>
      <c r="C772" s="41">
        <f>COUNTIFS(Datos!D:D, "Masculino",Datos!Y:Y,"Neutral")</f>
        <v>5</v>
      </c>
      <c r="D772" s="42">
        <f>COUNTIFS(Datos!D:D, "Femenino",Datos!Y:Y,"Neutral")</f>
        <v>12</v>
      </c>
      <c r="E772" s="58">
        <f t="shared" si="35"/>
        <v>0.13157894736842105</v>
      </c>
      <c r="F772" s="40">
        <f t="shared" si="35"/>
        <v>0.14814814814814814</v>
      </c>
    </row>
    <row r="773" spans="2:6" x14ac:dyDescent="0.25">
      <c r="B773" s="84" t="s">
        <v>279</v>
      </c>
      <c r="C773" s="41">
        <f>COUNTIFS(Datos!D:D, "Masculino",Datos!Y:Y,"En desacuerdo")</f>
        <v>10</v>
      </c>
      <c r="D773" s="42">
        <f>COUNTIFS(Datos!D:D, "Femenino",Datos!Y:Y,"En desacuerdo")</f>
        <v>23</v>
      </c>
      <c r="E773" s="58">
        <f t="shared" si="35"/>
        <v>0.26315789473684209</v>
      </c>
      <c r="F773" s="40">
        <f t="shared" si="35"/>
        <v>0.2839506172839506</v>
      </c>
    </row>
    <row r="774" spans="2:6" ht="15.75" thickBot="1" x14ac:dyDescent="0.3">
      <c r="B774" s="85" t="s">
        <v>280</v>
      </c>
      <c r="C774" s="37">
        <f>COUNTIFS(Datos!D:D, "Masculino",Datos!Y:Y,"Totalmente en desacuerdo")</f>
        <v>7</v>
      </c>
      <c r="D774" s="37">
        <f>COUNTIFS(Datos!D:D, "Femenino",Datos!Y:Y,"Totalmente en desacuerdo")</f>
        <v>5</v>
      </c>
      <c r="E774" s="58">
        <f t="shared" si="35"/>
        <v>0.18421052631578946</v>
      </c>
      <c r="F774" s="53">
        <f t="shared" si="35"/>
        <v>6.1728395061728392E-2</v>
      </c>
    </row>
    <row r="775" spans="2:6" ht="15.75" thickBot="1" x14ac:dyDescent="0.3">
      <c r="B775" s="65" t="s">
        <v>228</v>
      </c>
      <c r="C775" s="66">
        <f>SUM(C770:C774)</f>
        <v>38</v>
      </c>
      <c r="D775" s="66">
        <f>SUM(D770:D774)</f>
        <v>81</v>
      </c>
      <c r="E775" s="56"/>
      <c r="F775" s="16"/>
    </row>
    <row r="777" spans="2:6" ht="15.75" thickBot="1" x14ac:dyDescent="0.3"/>
    <row r="778" spans="2:6" ht="15.75" thickBot="1" x14ac:dyDescent="0.3">
      <c r="C778" s="102" t="s">
        <v>317</v>
      </c>
      <c r="D778" s="103"/>
    </row>
    <row r="779" spans="2:6" x14ac:dyDescent="0.25">
      <c r="C779" s="32" t="s">
        <v>288</v>
      </c>
      <c r="D779" s="88">
        <f>SUM(E770:E771)</f>
        <v>0.42105263157894735</v>
      </c>
    </row>
    <row r="780" spans="2:6" ht="15.75" thickBot="1" x14ac:dyDescent="0.3">
      <c r="C780" s="33" t="s">
        <v>289</v>
      </c>
      <c r="D780" s="53">
        <f>SUM(F770:F771)</f>
        <v>0.50617283950617287</v>
      </c>
    </row>
  </sheetData>
  <mergeCells count="52">
    <mergeCell ref="C7:D7"/>
    <mergeCell ref="B675:F675"/>
    <mergeCell ref="B686:F686"/>
    <mergeCell ref="B720:F720"/>
    <mergeCell ref="B731:F731"/>
    <mergeCell ref="C705:D705"/>
    <mergeCell ref="C24:D24"/>
    <mergeCell ref="B237:F237"/>
    <mergeCell ref="B190:E190"/>
    <mergeCell ref="B208:F208"/>
    <mergeCell ref="B226:F226"/>
    <mergeCell ref="C117:D117"/>
    <mergeCell ref="C133:D133"/>
    <mergeCell ref="C153:D153"/>
    <mergeCell ref="C171:D171"/>
    <mergeCell ref="C67:D67"/>
    <mergeCell ref="C82:D82"/>
    <mergeCell ref="C99:D99"/>
    <mergeCell ref="C44:D44"/>
    <mergeCell ref="B396:F396"/>
    <mergeCell ref="B415:F415"/>
    <mergeCell ref="C378:D378"/>
    <mergeCell ref="B253:G253"/>
    <mergeCell ref="B262:G262"/>
    <mergeCell ref="B276:F276"/>
    <mergeCell ref="B291:F291"/>
    <mergeCell ref="B302:F302"/>
    <mergeCell ref="B316:E316"/>
    <mergeCell ref="B334:F334"/>
    <mergeCell ref="B352:F352"/>
    <mergeCell ref="B363:F363"/>
    <mergeCell ref="C555:D555"/>
    <mergeCell ref="C573:D573"/>
    <mergeCell ref="C590:D590"/>
    <mergeCell ref="C607:D607"/>
    <mergeCell ref="C434:D434"/>
    <mergeCell ref="C453:D453"/>
    <mergeCell ref="C460:C461"/>
    <mergeCell ref="B514:F514"/>
    <mergeCell ref="C524:D524"/>
    <mergeCell ref="B534:F534"/>
    <mergeCell ref="C544:D544"/>
    <mergeCell ref="B472:F472"/>
    <mergeCell ref="C482:D482"/>
    <mergeCell ref="B492:F492"/>
    <mergeCell ref="C502:D502"/>
    <mergeCell ref="B768:F768"/>
    <mergeCell ref="C778:D778"/>
    <mergeCell ref="C750:D750"/>
    <mergeCell ref="C625:D625"/>
    <mergeCell ref="C644:D644"/>
    <mergeCell ref="C659:D659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Silvia M Bravo Palomares</cp:lastModifiedBy>
  <dcterms:created xsi:type="dcterms:W3CDTF">2021-04-22T12:46:38Z</dcterms:created>
  <dcterms:modified xsi:type="dcterms:W3CDTF">2021-05-14T16:40:31Z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