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BDA1B1A2-5E8C-4830-A820-2EC142DFE631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9" i="2" l="1"/>
  <c r="E788" i="2"/>
  <c r="E787" i="2"/>
  <c r="E786" i="2"/>
  <c r="E785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C769" i="2"/>
  <c r="C770" i="2"/>
  <c r="C771" i="2"/>
  <c r="C772" i="2"/>
  <c r="C768" i="2"/>
  <c r="F761" i="2"/>
  <c r="F760" i="2"/>
  <c r="F759" i="2"/>
  <c r="F758" i="2"/>
  <c r="F757" i="2"/>
  <c r="E761" i="2"/>
  <c r="E760" i="2"/>
  <c r="E759" i="2"/>
  <c r="E758" i="2"/>
  <c r="E757" i="2"/>
  <c r="D761" i="2"/>
  <c r="D760" i="2"/>
  <c r="D759" i="2"/>
  <c r="D758" i="2"/>
  <c r="D757" i="2"/>
  <c r="C761" i="2"/>
  <c r="C760" i="2"/>
  <c r="C759" i="2"/>
  <c r="C758" i="2"/>
  <c r="C757" i="2"/>
  <c r="E744" i="2"/>
  <c r="E743" i="2"/>
  <c r="E742" i="2"/>
  <c r="E741" i="2"/>
  <c r="E740" i="2"/>
  <c r="D732" i="2"/>
  <c r="D731" i="2"/>
  <c r="D730" i="2"/>
  <c r="D729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C724" i="2"/>
  <c r="C725" i="2"/>
  <c r="C726" i="2"/>
  <c r="C727" i="2"/>
  <c r="C723" i="2"/>
  <c r="F716" i="2"/>
  <c r="F715" i="2"/>
  <c r="F714" i="2"/>
  <c r="F713" i="2"/>
  <c r="F712" i="2"/>
  <c r="E716" i="2"/>
  <c r="E715" i="2"/>
  <c r="E714" i="2"/>
  <c r="E713" i="2"/>
  <c r="E712" i="2"/>
  <c r="D716" i="2"/>
  <c r="D715" i="2"/>
  <c r="D714" i="2"/>
  <c r="D713" i="2"/>
  <c r="D712" i="2"/>
  <c r="C716" i="2"/>
  <c r="C715" i="2"/>
  <c r="C714" i="2"/>
  <c r="C713" i="2"/>
  <c r="C712" i="2"/>
  <c r="D696" i="2"/>
  <c r="D695" i="2"/>
  <c r="D679" i="2"/>
  <c r="D678" i="2"/>
  <c r="D664" i="2"/>
  <c r="D663" i="2"/>
  <c r="D662" i="2"/>
  <c r="D661" i="2"/>
  <c r="D660" i="2"/>
  <c r="D647" i="2"/>
  <c r="D646" i="2"/>
  <c r="D645" i="2"/>
  <c r="D644" i="2"/>
  <c r="D643" i="2"/>
  <c r="D630" i="2"/>
  <c r="D629" i="2"/>
  <c r="D628" i="2"/>
  <c r="D627" i="2"/>
  <c r="D626" i="2"/>
  <c r="D610" i="2"/>
  <c r="D613" i="2"/>
  <c r="D612" i="2"/>
  <c r="D611" i="2"/>
  <c r="D609" i="2"/>
  <c r="D596" i="2"/>
  <c r="D595" i="2"/>
  <c r="D594" i="2"/>
  <c r="D593" i="2"/>
  <c r="D592" i="2"/>
  <c r="D578" i="2"/>
  <c r="D577" i="2"/>
  <c r="D576" i="2"/>
  <c r="D575" i="2"/>
  <c r="D574" i="2"/>
  <c r="F555" i="2"/>
  <c r="F556" i="2"/>
  <c r="F557" i="2"/>
  <c r="F558" i="2"/>
  <c r="E555" i="2"/>
  <c r="E556" i="2"/>
  <c r="E557" i="2"/>
  <c r="E558" i="2"/>
  <c r="D558" i="2"/>
  <c r="D557" i="2"/>
  <c r="D556" i="2"/>
  <c r="D555" i="2"/>
  <c r="D554" i="2"/>
  <c r="C558" i="2"/>
  <c r="C557" i="2"/>
  <c r="C556" i="2"/>
  <c r="C555" i="2"/>
  <c r="C554" i="2"/>
  <c r="D538" i="2"/>
  <c r="D537" i="2"/>
  <c r="D536" i="2"/>
  <c r="D535" i="2"/>
  <c r="D534" i="2"/>
  <c r="C538" i="2"/>
  <c r="C537" i="2"/>
  <c r="C536" i="2"/>
  <c r="C535" i="2"/>
  <c r="C534" i="2"/>
  <c r="D516" i="2"/>
  <c r="D515" i="2"/>
  <c r="D514" i="2"/>
  <c r="D513" i="2"/>
  <c r="D512" i="2"/>
  <c r="C516" i="2"/>
  <c r="C515" i="2"/>
  <c r="C514" i="2"/>
  <c r="C513" i="2"/>
  <c r="C512" i="2"/>
  <c r="D496" i="2"/>
  <c r="D495" i="2"/>
  <c r="D494" i="2"/>
  <c r="D493" i="2"/>
  <c r="D492" i="2"/>
  <c r="C496" i="2"/>
  <c r="C495" i="2"/>
  <c r="C494" i="2"/>
  <c r="C493" i="2"/>
  <c r="C492" i="2"/>
  <c r="D479" i="2"/>
  <c r="D478" i="2"/>
  <c r="E473" i="2"/>
  <c r="E472" i="2"/>
  <c r="E455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0" i="2"/>
  <c r="D279" i="2"/>
  <c r="D278" i="2"/>
  <c r="D277" i="2"/>
  <c r="C280" i="2"/>
  <c r="C279" i="2"/>
  <c r="C278" i="2"/>
  <c r="C277" i="2"/>
  <c r="C267" i="2"/>
  <c r="C266" i="2"/>
  <c r="C265" i="2"/>
  <c r="C264" i="2"/>
  <c r="G258" i="2"/>
  <c r="G267" i="2" s="1"/>
  <c r="G257" i="2"/>
  <c r="G256" i="2"/>
  <c r="G255" i="2"/>
  <c r="F258" i="2"/>
  <c r="F257" i="2"/>
  <c r="F256" i="2"/>
  <c r="F255" i="2"/>
  <c r="E258" i="2"/>
  <c r="E267" i="2" s="1"/>
  <c r="E257" i="2"/>
  <c r="E266" i="2" s="1"/>
  <c r="E256" i="2"/>
  <c r="E265" i="2" s="1"/>
  <c r="E255" i="2"/>
  <c r="E264" i="2" s="1"/>
  <c r="D258" i="2"/>
  <c r="D267" i="2" s="1"/>
  <c r="D257" i="2"/>
  <c r="D266" i="2" s="1"/>
  <c r="D256" i="2"/>
  <c r="D265" i="2" s="1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E193" i="2" s="1"/>
  <c r="C192" i="2"/>
  <c r="C196" i="2" s="1"/>
  <c r="D195" i="2"/>
  <c r="E195" i="2" s="1"/>
  <c r="D194" i="2"/>
  <c r="E194" i="2" s="1"/>
  <c r="D193" i="2"/>
  <c r="D70" i="2"/>
  <c r="D69" i="2"/>
  <c r="D68" i="2"/>
  <c r="E9" i="2"/>
  <c r="E8" i="2"/>
  <c r="D192" i="2"/>
  <c r="E192" i="2" s="1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E790" i="2" l="1"/>
  <c r="F762" i="2"/>
  <c r="E762" i="2"/>
  <c r="D762" i="2"/>
  <c r="C762" i="2"/>
  <c r="D774" i="2"/>
  <c r="D775" i="2"/>
  <c r="D776" i="2"/>
  <c r="D777" i="2"/>
  <c r="E745" i="2"/>
  <c r="C717" i="2"/>
  <c r="D717" i="2"/>
  <c r="E717" i="2"/>
  <c r="F717" i="2"/>
  <c r="D665" i="2"/>
  <c r="D648" i="2"/>
  <c r="D631" i="2"/>
  <c r="D614" i="2"/>
  <c r="D597" i="2"/>
  <c r="D579" i="2"/>
  <c r="E538" i="2"/>
  <c r="E536" i="2"/>
  <c r="E537" i="2"/>
  <c r="E534" i="2"/>
  <c r="D543" i="2" s="1"/>
  <c r="E535" i="2"/>
  <c r="C497" i="2"/>
  <c r="E494" i="2" s="1"/>
  <c r="D72" i="2"/>
  <c r="F265" i="2"/>
  <c r="F266" i="2"/>
  <c r="F267" i="2"/>
  <c r="D264" i="2"/>
  <c r="G264" i="2"/>
  <c r="G265" i="2"/>
  <c r="G266" i="2"/>
  <c r="E516" i="2"/>
  <c r="D559" i="2"/>
  <c r="F554" i="2" s="1"/>
  <c r="C559" i="2"/>
  <c r="E554" i="2" s="1"/>
  <c r="D539" i="2"/>
  <c r="F538" i="2" s="1"/>
  <c r="C539" i="2"/>
  <c r="D517" i="2"/>
  <c r="C517" i="2"/>
  <c r="E512" i="2"/>
  <c r="F512" i="2"/>
  <c r="D497" i="2"/>
  <c r="F514" i="2" s="1"/>
  <c r="F264" i="2"/>
  <c r="E211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D233" i="2" s="1"/>
  <c r="F230" i="2"/>
  <c r="C295" i="2"/>
  <c r="F296" i="2"/>
  <c r="E319" i="2"/>
  <c r="C356" i="2"/>
  <c r="E358" i="2"/>
  <c r="C421" i="2"/>
  <c r="E456" i="2"/>
  <c r="E457" i="2" s="1"/>
  <c r="C232" i="2"/>
  <c r="D229" i="2"/>
  <c r="F231" i="2"/>
  <c r="C296" i="2"/>
  <c r="D296" i="2"/>
  <c r="E320" i="2"/>
  <c r="C357" i="2"/>
  <c r="F354" i="2"/>
  <c r="E474" i="2"/>
  <c r="D440" i="2"/>
  <c r="D422" i="2"/>
  <c r="D384" i="2"/>
  <c r="D359" i="2"/>
  <c r="C341" i="2"/>
  <c r="E340" i="2" s="1"/>
  <c r="D341" i="2"/>
  <c r="F340" i="2" s="1"/>
  <c r="D281" i="2"/>
  <c r="C281" i="2"/>
  <c r="D215" i="2"/>
  <c r="C216" i="2" s="1"/>
  <c r="D105" i="2"/>
  <c r="D85" i="2"/>
  <c r="D86" i="2"/>
  <c r="E123" i="2"/>
  <c r="D176" i="2"/>
  <c r="D158" i="2"/>
  <c r="D83" i="2"/>
  <c r="D84" i="2"/>
  <c r="D27" i="2"/>
  <c r="E10" i="2"/>
  <c r="C763" i="2" l="1"/>
  <c r="C718" i="2"/>
  <c r="E297" i="2"/>
  <c r="F493" i="2"/>
  <c r="E513" i="2"/>
  <c r="F515" i="2"/>
  <c r="F535" i="2"/>
  <c r="F536" i="2"/>
  <c r="F492" i="2"/>
  <c r="D502" i="2" s="1"/>
  <c r="D564" i="2"/>
  <c r="D563" i="2"/>
  <c r="F537" i="2"/>
  <c r="F494" i="2"/>
  <c r="F495" i="2"/>
  <c r="F513" i="2"/>
  <c r="C359" i="2"/>
  <c r="C368" i="2" s="1"/>
  <c r="D522" i="2"/>
  <c r="E495" i="2"/>
  <c r="E496" i="2"/>
  <c r="F534" i="2"/>
  <c r="D544" i="2" s="1"/>
  <c r="D521" i="2"/>
  <c r="E493" i="2"/>
  <c r="E515" i="2"/>
  <c r="F496" i="2"/>
  <c r="F516" i="2"/>
  <c r="E492" i="2"/>
  <c r="D501" i="2" s="1"/>
  <c r="E514" i="2"/>
  <c r="C282" i="2"/>
  <c r="C367" i="2"/>
  <c r="D243" i="2"/>
  <c r="E277" i="2"/>
  <c r="F213" i="2"/>
  <c r="F280" i="2"/>
  <c r="F279" i="2"/>
  <c r="F278" i="2"/>
  <c r="F277" i="2"/>
  <c r="C369" i="2"/>
  <c r="F211" i="2"/>
  <c r="F297" i="2"/>
  <c r="F306" i="2" s="1"/>
  <c r="E365" i="2"/>
  <c r="F369" i="2"/>
  <c r="E339" i="2"/>
  <c r="E307" i="2"/>
  <c r="D367" i="2"/>
  <c r="F338" i="2"/>
  <c r="E338" i="2"/>
  <c r="E304" i="2"/>
  <c r="F367" i="2"/>
  <c r="D241" i="2"/>
  <c r="F212" i="2"/>
  <c r="C403" i="2"/>
  <c r="E418" i="2" s="1"/>
  <c r="E233" i="2"/>
  <c r="D365" i="2"/>
  <c r="E337" i="2"/>
  <c r="C297" i="2"/>
  <c r="C306" i="2" s="1"/>
  <c r="D369" i="2"/>
  <c r="F337" i="2"/>
  <c r="E336" i="2"/>
  <c r="E367" i="2"/>
  <c r="C365" i="2"/>
  <c r="E306" i="2"/>
  <c r="F420" i="2"/>
  <c r="D242" i="2"/>
  <c r="E278" i="2"/>
  <c r="F210" i="2"/>
  <c r="D239" i="2"/>
  <c r="F359" i="2"/>
  <c r="F365" i="2" s="1"/>
  <c r="D240" i="2"/>
  <c r="E359" i="2"/>
  <c r="E368" i="2" s="1"/>
  <c r="E213" i="2"/>
  <c r="E214" i="2"/>
  <c r="E212" i="2"/>
  <c r="F336" i="2"/>
  <c r="E280" i="2"/>
  <c r="D297" i="2"/>
  <c r="D307" i="2" s="1"/>
  <c r="D368" i="2"/>
  <c r="F368" i="2"/>
  <c r="F233" i="2"/>
  <c r="F243" i="2" s="1"/>
  <c r="F242" i="2"/>
  <c r="C233" i="2"/>
  <c r="C422" i="2"/>
  <c r="D366" i="2"/>
  <c r="E279" i="2"/>
  <c r="C366" i="2"/>
  <c r="E305" i="2"/>
  <c r="D403" i="2"/>
  <c r="F419" i="2" s="1"/>
  <c r="F339" i="2"/>
  <c r="F214" i="2"/>
  <c r="C342" i="2"/>
  <c r="D87" i="2"/>
  <c r="C234" i="2" l="1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<sst xmlns="http://schemas.openxmlformats.org/spreadsheetml/2006/main" count="3126" uniqueCount="359">
  <si>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</si>
  <si>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</si>
  <si>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</si>
  <si>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</si>
  <si>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</si>
  <si>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</si>
  <si>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</si>
  <si>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</si>
  <si>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</si>
  <si>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</si>
  <si>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</si>
  <si>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</si>
  <si>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</si>
  <si>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</si>
  <si>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</si>
  <si>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</si>
  <si>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</si>
  <si>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</si>
  <si>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</si>
  <si>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</si>
  <si>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</si>
  <si>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</si>
  <si>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</si>
  <si>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</si>
  <si>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</si>
  <si>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</si>
  <si>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</si>
  <si>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</si>
  <si>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</si>
  <si>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</si>
  <si>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</si>
  <si>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</si>
  <si>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</si>
  <si>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</si>
  <si>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</si>
  <si>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</si>
  <si>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</si>
  <si>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</si>
  <si>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</si>
  <si>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</si>
  <si>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</si>
  <si>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</si>
  <si>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</si>
  <si>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</si>
  <si>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</si>
  <si>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</si>
  <si>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</si>
  <si>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</si>
  <si>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</si>
  <si>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</si>
  <si>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</si>
  <si>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</si>
  <si>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</si>
  <si>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</si>
  <si>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</si>
  <si>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</si>
  <si>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</si>
  <si>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</si>
  <si>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</si>
  <si>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</si>
  <si>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</si>
  <si>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</si>
  <si>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</si>
  <si>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</si>
  <si>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</si>
  <si>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</si>
  <si>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</si>
  <si>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</si>
  <si>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</si>
  <si>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</si>
  <si>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</si>
  <si>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</si>
  <si>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</si>
  <si>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</si>
  <si>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</si>
  <si>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</si>
  <si>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</si>
  <si>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</si>
  <si>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</si>
  <si>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</si>
  <si>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</si>
  <si>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</si>
  <si>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</si>
  <si>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</si>
  <si>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</si>
  <si>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</si>
  <si>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</si>
  <si>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</si>
  <si>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</si>
  <si>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</si>
  <si>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</si>
  <si>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</si>
  <si>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</si>
  <si>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</si>
  <si>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</si>
  <si>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</si>
  <si>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</si>
  <si>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</si>
  <si>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</si>
  <si>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</si>
  <si>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</si>
  <si>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</si>
  <si>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</si>
  <si>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</si>
  <si>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</si>
  <si>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</si>
  <si>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</si>
  <si>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</si>
  <si>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</si>
  <si>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</si>
  <si>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</si>
  <si>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</si>
  <si>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</si>
  <si>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</si>
  <si>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</si>
  <si>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</si>
  <si>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</si>
  <si>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</si>
  <si>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</si>
  <si>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</si>
  <si>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</si>
  <si>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</si>
  <si>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</si>
  <si>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</si>
  <si>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</si>
  <si>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</si>
  <si>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</si>
  <si>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</si>
  <si>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</si>
  <si>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</si>
  <si>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</si>
  <si>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</si>
  <si>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</si>
  <si>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</si>
  <si>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</si>
  <si>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</si>
  <si>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</si>
  <si>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</si>
  <si>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</si>
  <si>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</si>
  <si>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</si>
  <si>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</si>
  <si>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</si>
  <si>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</si>
  <si>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</si>
  <si>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</si>
  <si>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</si>
  <si>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</si>
  <si>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</si>
  <si>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</si>
  <si>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</si>
  <si>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</si>
  <si>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</si>
  <si>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</si>
  <si>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</si>
  <si>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</si>
  <si>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</si>
  <si>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</si>
  <si>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</si>
  <si>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</si>
  <si>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</si>
  <si>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</si>
  <si>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</si>
  <si>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</si>
  <si>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</si>
  <si>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</si>
  <si>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</si>
  <si>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</si>
  <si>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</si>
  <si>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</si>
  <si>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</si>
  <si>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</si>
  <si>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</si>
  <si>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</si>
  <si>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</si>
  <si>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</si>
  <si>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</si>
  <si>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</si>
  <si>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</si>
  <si>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</si>
  <si>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</si>
  <si>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</si>
  <si>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</si>
  <si>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</si>
  <si>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</si>
  <si>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</si>
  <si>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</si>
  <si>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</si>
  <si>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</si>
  <si>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</si>
  <si>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</si>
  <si>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</si>
  <si>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</si>
  <si>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</si>
  <si>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</si>
  <si>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</si>
  <si>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</si>
  <si>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</si>
  <si>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</si>
  <si>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</si>
  <si>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</si>
  <si>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</si>
  <si>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</si>
  <si>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</si>
  <si>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</si>
  <si>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</si>
  <si>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</si>
  <si>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</si>
  <si>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</si>
  <si>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</si>
  <si>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</si>
  <si>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</si>
  <si>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</si>
  <si>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</si>
  <si>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</si>
  <si>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</si>
  <si>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</si>
  <si>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</si>
  <si>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</si>
  <si>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</si>
  <si>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</si>
  <si>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</si>
  <si>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</si>
  <si>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</si>
  <si>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</si>
  <si>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</si>
  <si>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</si>
  <si>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</si>
  <si>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</si>
  <si>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</si>
  <si>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</si>
  <si>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</si>
  <si>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</si>
  <si>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</si>
  <si>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</si>
  <si>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</si>
  <si>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</si>
  <si>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</si>
  <si>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</si>
  <si>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18-25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</si>
  <si>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</si>
  <si>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</si>
  <si>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</si>
  <si>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</si>
  <si>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</si>
  <si>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</si>
  <si>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</si>
  <si>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</si>
  <si>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</si>
  <si>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</si>
  <si>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</si>
  <si>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</si>
  <si>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</si>
  <si>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</si>
  <si>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</si>
  <si>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</si>
  <si>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</si>
  <si>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</si>
  <si>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</si>
  <si>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</si>
  <si>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</si>
  <si>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</si>
  <si>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</si>
  <si>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</si>
  <si>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</si>
  <si>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</si>
  <si>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</si>
  <si>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</si>
  <si>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</si>
  <si>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</si>
  <si>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</si>
  <si>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</si>
  <si>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</si>
  <si>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</si>
  <si>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</si>
  <si>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</si>
  <si>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</si>
  <si>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</si>
  <si>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</si>
  <si>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</si>
  <si>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</si>
  <si>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</si>
  <si>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</si>
  <si>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</si>
  <si>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</si>
  <si>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</si>
  <si>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</si>
  <si>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</si>
  <si>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</si>
  <si>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</si>
  <si>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</si>
  <si>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</si>
  <si>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</si>
  <si>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</si>
  <si>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</si>
  <si>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25-35</t>
  </si>
  <si>
    <t>35-50</t>
  </si>
  <si>
    <t>Ojo al total!</t>
  </si>
  <si>
    <t>Age Range</t>
  </si>
  <si>
    <t>Totally Agree</t>
  </si>
  <si>
    <t># of people</t>
  </si>
  <si>
    <t>Acceptability</t>
  </si>
  <si>
    <t>% of Accep.</t>
  </si>
  <si>
    <t>Totally Agree and Agree having accent is acceptable by age</t>
  </si>
  <si>
    <t>Accent acceptability by gender</t>
  </si>
  <si>
    <t>Males</t>
  </si>
  <si>
    <t>Females</t>
  </si>
  <si>
    <t>Ddisagree</t>
  </si>
  <si>
    <t>Totally disagree</t>
  </si>
  <si>
    <t>Femenino</t>
  </si>
  <si>
    <t>Total Total</t>
  </si>
  <si>
    <t>% Males</t>
  </si>
  <si>
    <t>% Females</t>
  </si>
  <si>
    <t>Accent acceptability by number on languages</t>
  </si>
  <si>
    <t>% Monolingual</t>
  </si>
  <si>
    <t>% Bilingual</t>
  </si>
  <si>
    <t>% Trilingual</t>
  </si>
  <si>
    <t>% Multilingual</t>
  </si>
  <si>
    <t>Familiarity by age</t>
  </si>
  <si>
    <t>1 Fam</t>
  </si>
  <si>
    <t>2 Fam</t>
  </si>
  <si>
    <t>3 Fam</t>
  </si>
  <si>
    <t>0 Fam</t>
  </si>
  <si>
    <t>% 0 Fam</t>
  </si>
  <si>
    <t>% 1 Fam</t>
  </si>
  <si>
    <t>% 2 Fam</t>
  </si>
  <si>
    <t>% 3 Fam</t>
  </si>
  <si>
    <t>Verguenza acento by age</t>
  </si>
  <si>
    <t>Verguenza acento by gender</t>
  </si>
  <si>
    <t>Verguenza acento by number of languages</t>
  </si>
  <si>
    <t>Living in UK and USA (not india)</t>
  </si>
  <si>
    <t>% Multi</t>
  </si>
  <si>
    <t>Acento igual que nativo para expresar ideas claramente</t>
  </si>
  <si>
    <t>British english most correct by number of languages spoken</t>
  </si>
  <si>
    <t>Lear more about india and New Zeland accents</t>
  </si>
  <si>
    <t>Procurar hablar con acento británico</t>
  </si>
  <si>
    <t>Yes</t>
  </si>
  <si>
    <t>Gente que ha puesto UK y EEUU</t>
  </si>
  <si>
    <t>Y</t>
  </si>
  <si>
    <t>N</t>
  </si>
  <si>
    <t>P9.52</t>
  </si>
  <si>
    <t>Inglés americano y británico igual de válidos</t>
  </si>
  <si>
    <t>% 18-25</t>
  </si>
  <si>
    <t>% &gt;50</t>
  </si>
  <si>
    <t>Totally Disagree</t>
  </si>
  <si>
    <t>Agree y Totally Agree</t>
  </si>
  <si>
    <t>Viviria en australia o india durante un tiempo</t>
  </si>
  <si>
    <t>pregunta 11</t>
  </si>
  <si>
    <t>Pregunta 17</t>
  </si>
  <si>
    <t>Pregunta 15</t>
  </si>
  <si>
    <t>Pregunta 16</t>
  </si>
  <si>
    <t>Pregunta 10</t>
  </si>
  <si>
    <t>Pregunta 20</t>
  </si>
  <si>
    <t>Pregunta 10 + 19</t>
  </si>
  <si>
    <t>Pregunta 20 + 19</t>
  </si>
  <si>
    <t>Pregunta 14</t>
  </si>
  <si>
    <t>Pregunta 14 para gente con nivel excelente y muy bueno</t>
  </si>
  <si>
    <t>Pregunta 19</t>
  </si>
  <si>
    <t>Pregunta 19 para gente con nivel excelente y muy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</si>
</sst>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52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%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EF-877F-66A91AAC8ECC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%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EF-877F-66A91AA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98959"/>
        <c:axId val="372599375"/>
        <c:axId val="0"/>
      </c:bar3DChart>
      <c:catAx>
        <c:axId val="3725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9375"/>
        <c:crosses val="autoZero"/>
        <c:auto val="1"/>
        <c:lblAlgn val="ctr"/>
        <c:lblOffset val="100"/>
        <c:noMultiLvlLbl val="0"/>
      </c:catAx>
      <c:valAx>
        <c:axId val="3725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acceptabilty</a:t>
            </a:r>
            <a:r>
              <a:rPr lang="en-GB" sz="1600" b="1" baseline="0">
                <a:solidFill>
                  <a:sysClr val="windowText" lastClr="000000"/>
                </a:solidFill>
              </a:rPr>
              <a:t> by languages spoken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C57-AAEF-81F026FCD7F2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C57-AAEF-81F026FCD7F2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C57-AAEF-81F026FCD7F2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C57-AAEF-81F026FC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47343"/>
        <c:axId val="573163983"/>
        <c:axId val="0"/>
      </c:bar3DChart>
      <c:catAx>
        <c:axId val="5731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983"/>
        <c:crosses val="autoZero"/>
        <c:auto val="1"/>
        <c:lblAlgn val="ctr"/>
        <c:lblOffset val="100"/>
        <c:noMultiLvlLbl val="0"/>
      </c:catAx>
      <c:valAx>
        <c:axId val="573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9A7-9390-5ECBEAE7BF11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9A7-9390-5ECBEAE7BF11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9A7-9390-5ECBEAE7BF11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B-49A7-9390-5ECBEAE7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227583"/>
        <c:axId val="2062228831"/>
        <c:axId val="0"/>
      </c:bar3DChart>
      <c:catAx>
        <c:axId val="206222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8831"/>
        <c:crosses val="autoZero"/>
        <c:auto val="1"/>
        <c:lblAlgn val="ctr"/>
        <c:lblOffset val="100"/>
        <c:noMultiLvlLbl val="0"/>
      </c:catAx>
      <c:valAx>
        <c:axId val="20622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Gráficas!$B$304</c:f>
              <c:strCache>
                <c:ptCount val="1"/>
                <c:pt idx="0">
                  <c:v>0 Fam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Gráficas!$C$304:$F$304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D32-823F-447B0C0D1806}"/>
            </c:ext>
          </c:extLst>
        </c:ser>
        <c:ser>
          <c:idx val="1"/>
          <c:order val="1"/>
          <c:tx>
            <c:strRef>
              <c:f>Gráficas!$B$305</c:f>
              <c:strCache>
                <c:ptCount val="1"/>
                <c:pt idx="0">
                  <c:v>1 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Gráficas!$C$305:$F$305</c:f>
              <c:numCache>
                <c:formatCode>0.00%</c:formatCode>
                <c:ptCount val="4"/>
                <c:pt idx="0">
                  <c:v>0.47826086956521741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A-4D32-823F-447B0C0D1806}"/>
            </c:ext>
          </c:extLst>
        </c:ser>
        <c:ser>
          <c:idx val="2"/>
          <c:order val="2"/>
          <c:tx>
            <c:strRef>
              <c:f>Gráficas!$B$306</c:f>
              <c:strCache>
                <c:ptCount val="1"/>
                <c:pt idx="0">
                  <c:v>2 Fam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Gráficas!$C$306:$F$306</c:f>
              <c:numCache>
                <c:formatCode>0.00%</c:formatCode>
                <c:ptCount val="4"/>
                <c:pt idx="0">
                  <c:v>0.36956521739130432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A-4D32-823F-447B0C0D1806}"/>
            </c:ext>
          </c:extLst>
        </c:ser>
        <c:ser>
          <c:idx val="3"/>
          <c:order val="3"/>
          <c:tx>
            <c:strRef>
              <c:f>Gráficas!$B$307</c:f>
              <c:strCache>
                <c:ptCount val="1"/>
                <c:pt idx="0">
                  <c:v>3 Fam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Gráficas!$C$307:$F$307</c:f>
              <c:numCache>
                <c:formatCode>0.00%</c:formatCode>
                <c:ptCount val="4"/>
                <c:pt idx="0">
                  <c:v>8.6956521739130432E-2</c:v>
                </c:pt>
                <c:pt idx="1">
                  <c:v>0.15686274509803921</c:v>
                </c:pt>
                <c:pt idx="2">
                  <c:v>0.41176470588235292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A-4D32-823F-447B0C0D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16127"/>
        <c:axId val="188019871"/>
        <c:axId val="0"/>
      </c:bar3DChart>
      <c:catAx>
        <c:axId val="18801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9871"/>
        <c:crosses val="autoZero"/>
        <c:auto val="1"/>
        <c:lblAlgn val="ctr"/>
        <c:lblOffset val="100"/>
        <c:noMultiLvlLbl val="0"/>
      </c:catAx>
      <c:valAx>
        <c:axId val="1880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Accep.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5C2-AA67-E6603FDF4746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5C2-AA67-E6603FDF4746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5C2-AA67-E6603FDF4746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8-45C2-AA67-E6603FD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17759"/>
        <c:axId val="52819007"/>
        <c:axId val="0"/>
      </c:bar3DChart>
      <c:catAx>
        <c:axId val="528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007"/>
        <c:crosses val="autoZero"/>
        <c:auto val="1"/>
        <c:lblAlgn val="ctr"/>
        <c:lblOffset val="100"/>
        <c:noMultiLvlLbl val="0"/>
      </c:catAx>
      <c:valAx>
        <c:axId val="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Gráficas!$E$276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Gráficas!$E$277:$E$280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Gráficas!$F$276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Gráficas!$F$277:$F$280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Living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Gráficas!$B$379:$B$383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British most correct by lenguas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Acneto igual</a:t>
            </a:r>
            <a:r>
              <a:rPr lang="en-GB" baseline="0"/>
              <a:t> que nativo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  <a:r>
              <a:rPr lang="en-GB" baseline="0"/>
              <a:t> and New Zeland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Gráficas!$B$435:$B$439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Hablar con acento británico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8C-48D6-A8F4-75DF606A3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8C-48D6-A8F4-75DF606A3E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Gráficas!$B$455:$B$456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Gráficas!$E$455:$E$456</c:f>
              <c:numCache>
                <c:formatCode>General</c:formatCode>
                <c:ptCount val="2"/>
                <c:pt idx="0">
                  <c:v>25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2F-882F-D713625D41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Gráficas!$B$472:$B$473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Gráficas!$E$472:$E$473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Gráficas!$E$491</c:f>
              <c:strCache>
                <c:ptCount val="1"/>
                <c:pt idx="0">
                  <c:v>% 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Gráficas!$B$492:$B$496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Gráficas!$E$492:$E$496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Gráficas!$F$491</c:f>
              <c:strCache>
                <c:ptCount val="1"/>
                <c:pt idx="0">
                  <c:v>% 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Gráficas!$B$492:$B$496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Gráficas!$F$492:$F$496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Gráficas!$B$8:$B$9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Gráficas!$E$8:$E$9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2B-47F7-B5B9-DDDFF50E19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2B-47F7-B5B9-DDDFF50E1938}"/>
              </c:ext>
            </c:extLst>
          </c:dPt>
          <c:cat>
            <c:strRef>
              <c:f>Gráficas!$C$501:$C$502</c:f>
              <c:strCache>
                <c:ptCount val="2"/>
                <c:pt idx="0">
                  <c:v>18-25</c:v>
                </c:pt>
                <c:pt idx="1">
                  <c:v>&gt;50</c:v>
                </c:pt>
              </c:strCache>
            </c:strRef>
          </c:cat>
          <c:val>
            <c:numRef>
              <c:f>Gráficas!$D$501:$D$502</c:f>
              <c:numCache>
                <c:formatCode>0.00%</c:formatCode>
                <c:ptCount val="2"/>
                <c:pt idx="0">
                  <c:v>0.86792452830188682</c:v>
                </c:pt>
                <c:pt idx="1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1-4FCC-926D-C144725C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Gráficas!$E$511</c:f>
              <c:strCache>
                <c:ptCount val="1"/>
                <c:pt idx="0">
                  <c:v>% 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Gráficas!$B$512:$B$516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Gráficas!$E$512:$E$516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Gráficas!$F$511</c:f>
              <c:strCache>
                <c:ptCount val="1"/>
                <c:pt idx="0">
                  <c:v>% 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Gráficas!$B$512:$B$516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Gráficas!$F$512:$F$516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Gráficas!$E$533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Gráficas!$B$534:$B$538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Gráficas!$E$534:$E$538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Gráficas!$F$533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Gráficas!$B$534:$B$538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Gráficas!$F$534:$F$538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CB-4CB9-9BC1-95961BBE2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CB-4CB9-9BC1-95961BBE294A}"/>
              </c:ext>
            </c:extLst>
          </c:dPt>
          <c:cat>
            <c:strRef>
              <c:f>Gráficas!$C$543:$C$544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Gráficas!$D$543:$D$544</c:f>
              <c:numCache>
                <c:formatCode>0.00%</c:formatCode>
                <c:ptCount val="2"/>
                <c:pt idx="0">
                  <c:v>0.71052631578947367</c:v>
                </c:pt>
                <c:pt idx="1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4E8-9775-3C45ED7B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Gráficas!$E$553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Gráficas!$B$554:$B$558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Gráficas!$E$554:$E$558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Gráficas!$F$553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Gráficas!$B$554:$B$558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Gráficas!$F$554:$F$558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3E-4010-A4C4-ADD09A22D5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3E-4010-A4C4-ADD09A22D519}"/>
              </c:ext>
            </c:extLst>
          </c:dPt>
          <c:cat>
            <c:strRef>
              <c:f>Gráficas!$C$563:$C$564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Gráficas!$D$563:$D$564</c:f>
              <c:numCache>
                <c:formatCode>0.00%</c:formatCode>
                <c:ptCount val="2"/>
                <c:pt idx="0">
                  <c:v>0.42105263157894735</c:v>
                </c:pt>
                <c:pt idx="1">
                  <c:v>0.53086419753086411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C-47FB-B917-2BE42016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Gráficas!$B$574:$B$578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Gráficas!$B$592:$B$596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Gráficas!$D$592:$D$596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Gráficas!$B$609:$B$613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Gráficas!$D$609:$D$613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Gráficas!$B$626:$B$630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34-4D64-8EB0-782DB3CDD8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34-4D64-8EB0-782DB3CDD8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134-4D64-8EB0-782DB3CDD8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134-4D64-8EB0-782DB3CDD8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134-4D64-8EB0-782DB3CDD8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Gráficas!$B$643:$B$647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Gráficas!$D$643:$D$647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6-4ED2-9D8D-E759C9ADA8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Gráficas!$B$660:$B$664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Gráficas!$D$660:$D$664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Gráficas!$B$678:$B$679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Gráficas!$D$678:$D$679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Gráficas!$B$695:$B$696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Gráficas!$D$695:$D$696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Gráficas!$C$729:$C$732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Gráficas!$D$729:$D$732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Gráficas!$C$740:$C$744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Gráficas!$E$740:$E$744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Gráficas!$C$774:$C$777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Gráficas!$D$774:$D$777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Gráficas!$C$785:$C$789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Gráficas!$E$785:$E$789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58</xdr:row>
      <xdr:rowOff>163830</xdr:rowOff>
    </xdr:from>
    <xdr:to>
      <xdr:col>13</xdr:col>
      <xdr:colOff>567690</xdr:colOff>
      <xdr:row>73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195262</xdr:colOff>
      <xdr:row>148</xdr:row>
      <xdr:rowOff>73342</xdr:rowOff>
    </xdr:from>
    <xdr:to>
      <xdr:col>13</xdr:col>
      <xdr:colOff>500062</xdr:colOff>
      <xdr:row>162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312420</xdr:colOff>
      <xdr:row>166</xdr:row>
      <xdr:rowOff>119062</xdr:rowOff>
    </xdr:from>
    <xdr:to>
      <xdr:col>14</xdr:col>
      <xdr:colOff>7620</xdr:colOff>
      <xdr:row>180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441960</xdr:colOff>
      <xdr:row>184</xdr:row>
      <xdr:rowOff>148590</xdr:rowOff>
    </xdr:from>
    <xdr:to>
      <xdr:col>14</xdr:col>
      <xdr:colOff>137160</xdr:colOff>
      <xdr:row>199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628650</xdr:colOff>
      <xdr:row>203</xdr:row>
      <xdr:rowOff>104775</xdr:rowOff>
    </xdr:from>
    <xdr:to>
      <xdr:col>14</xdr:col>
      <xdr:colOff>321945</xdr:colOff>
      <xdr:row>217</xdr:row>
      <xdr:rowOff>158115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B0DC49-520B-424E-8085-5C7726E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60960</xdr:colOff>
      <xdr:row>226</xdr:row>
      <xdr:rowOff>137160</xdr:rowOff>
    </xdr:from>
    <xdr:to>
      <xdr:col>14</xdr:col>
      <xdr:colOff>363855</xdr:colOff>
      <xdr:row>240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872D51-052E-4459-9190-E2BCDFCC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525780</xdr:colOff>
      <xdr:row>252</xdr:row>
      <xdr:rowOff>121920</xdr:rowOff>
    </xdr:from>
    <xdr:to>
      <xdr:col>16</xdr:col>
      <xdr:colOff>219075</xdr:colOff>
      <xdr:row>266</xdr:row>
      <xdr:rowOff>173355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5D8502-13D3-40F6-95AF-423754D4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388620</xdr:colOff>
      <xdr:row>291</xdr:row>
      <xdr:rowOff>99060</xdr:rowOff>
    </xdr:from>
    <xdr:to>
      <xdr:col>15</xdr:col>
      <xdr:colOff>81915</xdr:colOff>
      <xdr:row>305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04442D-0B13-47F3-BB0B-1A81F8D5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310</xdr:row>
      <xdr:rowOff>15240</xdr:rowOff>
    </xdr:from>
    <xdr:to>
      <xdr:col>13</xdr:col>
      <xdr:colOff>394335</xdr:colOff>
      <xdr:row>324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659130</xdr:colOff>
      <xdr:row>353</xdr:row>
      <xdr:rowOff>137160</xdr:rowOff>
    </xdr:from>
    <xdr:to>
      <xdr:col>14</xdr:col>
      <xdr:colOff>93345</xdr:colOff>
      <xdr:row>367</xdr:row>
      <xdr:rowOff>184785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C9A17B-5D99-4767-97D8-45F9B115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224790</xdr:colOff>
      <xdr:row>330</xdr:row>
      <xdr:rowOff>158115</xdr:rowOff>
    </xdr:from>
    <xdr:to>
      <xdr:col>14</xdr:col>
      <xdr:colOff>521970</xdr:colOff>
      <xdr:row>345</xdr:row>
      <xdr:rowOff>13335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306705</xdr:colOff>
      <xdr:row>354</xdr:row>
      <xdr:rowOff>11430</xdr:rowOff>
    </xdr:from>
    <xdr:to>
      <xdr:col>22</xdr:col>
      <xdr:colOff>1905</xdr:colOff>
      <xdr:row>368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457200</xdr:colOff>
      <xdr:row>271</xdr:row>
      <xdr:rowOff>41910</xdr:rowOff>
    </xdr:from>
    <xdr:to>
      <xdr:col>16</xdr:col>
      <xdr:colOff>150495</xdr:colOff>
      <xdr:row>285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302895</xdr:colOff>
      <xdr:row>252</xdr:row>
      <xdr:rowOff>120015</xdr:rowOff>
    </xdr:from>
    <xdr:to>
      <xdr:col>23</xdr:col>
      <xdr:colOff>605790</xdr:colOff>
      <xdr:row>266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419100</xdr:colOff>
      <xdr:row>373</xdr:row>
      <xdr:rowOff>45720</xdr:rowOff>
    </xdr:from>
    <xdr:to>
      <xdr:col>12</xdr:col>
      <xdr:colOff>196215</xdr:colOff>
      <xdr:row>387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782955</xdr:colOff>
      <xdr:row>428</xdr:row>
      <xdr:rowOff>179070</xdr:rowOff>
    </xdr:from>
    <xdr:to>
      <xdr:col>11</xdr:col>
      <xdr:colOff>272415</xdr:colOff>
      <xdr:row>443</xdr:row>
      <xdr:rowOff>43815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621030</xdr:colOff>
      <xdr:row>447</xdr:row>
      <xdr:rowOff>140970</xdr:rowOff>
    </xdr:from>
    <xdr:to>
      <xdr:col>12</xdr:col>
      <xdr:colOff>400050</xdr:colOff>
      <xdr:row>461</xdr:row>
      <xdr:rowOff>182880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DD1CDD-D8D0-4405-AFEB-2B61D642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809625</xdr:colOff>
      <xdr:row>465</xdr:row>
      <xdr:rowOff>64770</xdr:rowOff>
    </xdr:from>
    <xdr:to>
      <xdr:col>12</xdr:col>
      <xdr:colOff>598170</xdr:colOff>
      <xdr:row>479</xdr:row>
      <xdr:rowOff>108585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542925</xdr:colOff>
      <xdr:row>486</xdr:row>
      <xdr:rowOff>62865</xdr:rowOff>
    </xdr:from>
    <xdr:to>
      <xdr:col>15</xdr:col>
      <xdr:colOff>236220</xdr:colOff>
      <xdr:row>500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459105</xdr:colOff>
      <xdr:row>486</xdr:row>
      <xdr:rowOff>110490</xdr:rowOff>
    </xdr:from>
    <xdr:to>
      <xdr:col>23</xdr:col>
      <xdr:colOff>156210</xdr:colOff>
      <xdr:row>500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5BB0331-C299-4AFE-A92E-6B569966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190500</xdr:colOff>
      <xdr:row>505</xdr:row>
      <xdr:rowOff>133350</xdr:rowOff>
    </xdr:from>
    <xdr:to>
      <xdr:col>14</xdr:col>
      <xdr:colOff>493395</xdr:colOff>
      <xdr:row>519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727710</xdr:colOff>
      <xdr:row>529</xdr:row>
      <xdr:rowOff>32385</xdr:rowOff>
    </xdr:from>
    <xdr:to>
      <xdr:col>14</xdr:col>
      <xdr:colOff>163830</xdr:colOff>
      <xdr:row>543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335280</xdr:colOff>
      <xdr:row>529</xdr:row>
      <xdr:rowOff>22860</xdr:rowOff>
    </xdr:from>
    <xdr:to>
      <xdr:col>22</xdr:col>
      <xdr:colOff>28575</xdr:colOff>
      <xdr:row>543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556CDD9-27CB-4B71-94AF-98DE6FFD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744855</xdr:colOff>
      <xdr:row>547</xdr:row>
      <xdr:rowOff>64770</xdr:rowOff>
    </xdr:from>
    <xdr:to>
      <xdr:col>14</xdr:col>
      <xdr:colOff>186690</xdr:colOff>
      <xdr:row>561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426720</xdr:colOff>
      <xdr:row>547</xdr:row>
      <xdr:rowOff>89535</xdr:rowOff>
    </xdr:from>
    <xdr:to>
      <xdr:col>22</xdr:col>
      <xdr:colOff>120015</xdr:colOff>
      <xdr:row>561</xdr:row>
      <xdr:rowOff>137160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8736260-85D7-492D-8BCE-0F43EEBE4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251460</xdr:colOff>
      <xdr:row>567</xdr:row>
      <xdr:rowOff>156210</xdr:rowOff>
    </xdr:from>
    <xdr:to>
      <xdr:col>12</xdr:col>
      <xdr:colOff>28575</xdr:colOff>
      <xdr:row>582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803910</xdr:colOff>
      <xdr:row>585</xdr:row>
      <xdr:rowOff>169545</xdr:rowOff>
    </xdr:from>
    <xdr:to>
      <xdr:col>11</xdr:col>
      <xdr:colOff>293370</xdr:colOff>
      <xdr:row>600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803910</xdr:colOff>
      <xdr:row>603</xdr:row>
      <xdr:rowOff>62865</xdr:rowOff>
    </xdr:from>
    <xdr:to>
      <xdr:col>11</xdr:col>
      <xdr:colOff>293370</xdr:colOff>
      <xdr:row>617</xdr:row>
      <xdr:rowOff>120015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651510</xdr:colOff>
      <xdr:row>620</xdr:row>
      <xdr:rowOff>160020</xdr:rowOff>
    </xdr:from>
    <xdr:to>
      <xdr:col>11</xdr:col>
      <xdr:colOff>140970</xdr:colOff>
      <xdr:row>635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373380</xdr:colOff>
      <xdr:row>637</xdr:row>
      <xdr:rowOff>133350</xdr:rowOff>
    </xdr:from>
    <xdr:to>
      <xdr:col>12</xdr:col>
      <xdr:colOff>150495</xdr:colOff>
      <xdr:row>651</xdr:row>
      <xdr:rowOff>186690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41151F0-09B0-4731-8F10-2B49CD0A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310515</xdr:colOff>
      <xdr:row>654</xdr:row>
      <xdr:rowOff>173355</xdr:rowOff>
    </xdr:from>
    <xdr:to>
      <xdr:col>12</xdr:col>
      <xdr:colOff>93345</xdr:colOff>
      <xdr:row>669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217170</xdr:colOff>
      <xdr:row>672</xdr:row>
      <xdr:rowOff>22860</xdr:rowOff>
    </xdr:from>
    <xdr:to>
      <xdr:col>11</xdr:col>
      <xdr:colOff>605790</xdr:colOff>
      <xdr:row>686</xdr:row>
      <xdr:rowOff>70485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179070</xdr:colOff>
      <xdr:row>689</xdr:row>
      <xdr:rowOff>15240</xdr:rowOff>
    </xdr:from>
    <xdr:to>
      <xdr:col>11</xdr:col>
      <xdr:colOff>565785</xdr:colOff>
      <xdr:row>703</xdr:row>
      <xdr:rowOff>68580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140970</xdr:colOff>
      <xdr:row>710</xdr:row>
      <xdr:rowOff>72390</xdr:rowOff>
    </xdr:from>
    <xdr:to>
      <xdr:col>14</xdr:col>
      <xdr:colOff>440055</xdr:colOff>
      <xdr:row>724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750570</xdr:colOff>
      <xdr:row>733</xdr:row>
      <xdr:rowOff>26670</xdr:rowOff>
    </xdr:from>
    <xdr:to>
      <xdr:col>14</xdr:col>
      <xdr:colOff>192405</xdr:colOff>
      <xdr:row>747</xdr:row>
      <xdr:rowOff>80010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167640</xdr:colOff>
      <xdr:row>757</xdr:row>
      <xdr:rowOff>3810</xdr:rowOff>
    </xdr:from>
    <xdr:to>
      <xdr:col>14</xdr:col>
      <xdr:colOff>470535</xdr:colOff>
      <xdr:row>771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228600</xdr:colOff>
      <xdr:row>776</xdr:row>
      <xdr:rowOff>120015</xdr:rowOff>
    </xdr:from>
    <xdr:to>
      <xdr:col>14</xdr:col>
      <xdr:colOff>531495</xdr:colOff>
      <xdr:row>790</xdr:row>
      <xdr:rowOff>175260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P1" zoomScaleNormal="100" workbookViewId="0">
      <selection activeCell="R1" sqref="R1:R1048576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270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276</v>
      </c>
      <c r="M1" s="2" t="s">
        <v>340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309</v>
      </c>
      <c r="E2" s="2" t="s">
        <v>7</v>
      </c>
      <c r="F2" s="2" t="s">
        <v>252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338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253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338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254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338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253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338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253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338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253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338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339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309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338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309</v>
      </c>
      <c r="E10" s="2" t="s">
        <v>7</v>
      </c>
      <c r="F10" s="2" t="s">
        <v>252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338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11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253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339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12</v>
      </c>
      <c r="B12" s="2">
        <v>20</v>
      </c>
      <c r="C12" s="2" t="s">
        <v>43</v>
      </c>
      <c r="D12" s="2" t="s">
        <v>309</v>
      </c>
      <c r="E12" s="2" t="s">
        <v>7</v>
      </c>
      <c r="F12" s="2" t="s">
        <v>255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339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13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253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338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14</v>
      </c>
      <c r="B14" s="3">
        <v>19</v>
      </c>
      <c r="C14" s="2" t="s">
        <v>6</v>
      </c>
      <c r="D14" s="2" t="s">
        <v>309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339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15</v>
      </c>
      <c r="B15" s="3">
        <v>52</v>
      </c>
      <c r="C15" s="2" t="s">
        <v>6</v>
      </c>
      <c r="D15" s="2" t="s">
        <v>309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338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16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338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17</v>
      </c>
      <c r="B17" s="3">
        <v>56</v>
      </c>
      <c r="C17" s="2" t="s">
        <v>43</v>
      </c>
      <c r="D17" s="2" t="s">
        <v>309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338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18</v>
      </c>
      <c r="B18" s="3">
        <v>22</v>
      </c>
      <c r="C18" s="2" t="s">
        <v>6</v>
      </c>
      <c r="D18" s="2" t="s">
        <v>309</v>
      </c>
      <c r="E18" s="2" t="s">
        <v>7</v>
      </c>
      <c r="F18" s="2" t="s">
        <v>253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339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19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339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20</v>
      </c>
      <c r="B20" s="3">
        <v>53</v>
      </c>
      <c r="C20" s="2" t="s">
        <v>6</v>
      </c>
      <c r="D20" s="2" t="s">
        <v>309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338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21</v>
      </c>
      <c r="B21" s="3">
        <v>23</v>
      </c>
      <c r="C21" s="2" t="s">
        <v>6</v>
      </c>
      <c r="D21" s="2" t="s">
        <v>309</v>
      </c>
      <c r="E21" s="2" t="s">
        <v>7</v>
      </c>
      <c r="F21" s="2" t="s">
        <v>253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338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22</v>
      </c>
      <c r="B22" s="3">
        <v>21</v>
      </c>
      <c r="C22" s="2" t="s">
        <v>6</v>
      </c>
      <c r="D22" s="2" t="s">
        <v>309</v>
      </c>
      <c r="E22" s="2" t="s">
        <v>7</v>
      </c>
      <c r="F22" s="2" t="s">
        <v>253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338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23</v>
      </c>
      <c r="B23" s="3">
        <v>21</v>
      </c>
      <c r="C23" s="2" t="s">
        <v>6</v>
      </c>
      <c r="D23" s="2" t="s">
        <v>309</v>
      </c>
      <c r="E23" s="2" t="s">
        <v>7</v>
      </c>
      <c r="F23" s="2" t="s">
        <v>253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338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24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253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338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25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253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339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26</v>
      </c>
      <c r="B26" s="2">
        <v>20</v>
      </c>
      <c r="C26" s="2" t="s">
        <v>6</v>
      </c>
      <c r="D26" s="2" t="s">
        <v>309</v>
      </c>
      <c r="E26" s="2" t="s">
        <v>7</v>
      </c>
      <c r="F26" s="2" t="s">
        <v>253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338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27</v>
      </c>
      <c r="B27" s="3">
        <v>27</v>
      </c>
      <c r="C27" s="2" t="s">
        <v>69</v>
      </c>
      <c r="D27" s="2" t="s">
        <v>309</v>
      </c>
      <c r="E27" s="2" t="s">
        <v>7</v>
      </c>
      <c r="F27" s="2" t="s">
        <v>256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339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28</v>
      </c>
      <c r="B28" s="3">
        <v>22</v>
      </c>
      <c r="C28" s="2" t="s">
        <v>6</v>
      </c>
      <c r="D28" s="2" t="s">
        <v>309</v>
      </c>
      <c r="E28" s="2" t="s">
        <v>7</v>
      </c>
      <c r="F28" s="2" t="s">
        <v>253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338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29</v>
      </c>
      <c r="B29" s="3">
        <v>21</v>
      </c>
      <c r="C29" s="2" t="s">
        <v>6</v>
      </c>
      <c r="D29" s="2" t="s">
        <v>309</v>
      </c>
      <c r="E29" s="2" t="s">
        <v>7</v>
      </c>
      <c r="F29" s="2" t="s">
        <v>256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338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30</v>
      </c>
      <c r="B30" s="3">
        <v>20</v>
      </c>
      <c r="C30" s="2" t="s">
        <v>6</v>
      </c>
      <c r="D30" s="2" t="s">
        <v>309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339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31</v>
      </c>
      <c r="B31" s="3">
        <v>21</v>
      </c>
      <c r="C31" s="2" t="s">
        <v>6</v>
      </c>
      <c r="D31" s="2" t="s">
        <v>309</v>
      </c>
      <c r="E31" s="2" t="s">
        <v>7</v>
      </c>
      <c r="F31" s="2" t="s">
        <v>257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338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33</v>
      </c>
      <c r="B32" s="3">
        <v>23</v>
      </c>
      <c r="C32" s="2" t="s">
        <v>6</v>
      </c>
      <c r="D32" s="2" t="s">
        <v>309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338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34</v>
      </c>
      <c r="B33" s="3">
        <v>22</v>
      </c>
      <c r="C33" s="2" t="s">
        <v>6</v>
      </c>
      <c r="D33" s="2" t="s">
        <v>309</v>
      </c>
      <c r="E33" s="2" t="s">
        <v>39</v>
      </c>
      <c r="F33" s="2" t="s">
        <v>253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338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35</v>
      </c>
      <c r="B34" s="3">
        <v>22</v>
      </c>
      <c r="C34" s="2" t="s">
        <v>6</v>
      </c>
      <c r="D34" s="2" t="s">
        <v>309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338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36</v>
      </c>
      <c r="B35" s="3">
        <v>21</v>
      </c>
      <c r="C35" s="2" t="s">
        <v>6</v>
      </c>
      <c r="D35" s="2" t="s">
        <v>309</v>
      </c>
      <c r="E35" s="2" t="s">
        <v>7</v>
      </c>
      <c r="F35" s="2" t="s">
        <v>258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339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37</v>
      </c>
      <c r="B36" s="3">
        <v>22</v>
      </c>
      <c r="C36" s="2" t="s">
        <v>6</v>
      </c>
      <c r="D36" s="2" t="s">
        <v>309</v>
      </c>
      <c r="E36" s="2" t="s">
        <v>39</v>
      </c>
      <c r="F36" s="2" t="s">
        <v>255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338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38</v>
      </c>
      <c r="B37" s="3">
        <v>21</v>
      </c>
      <c r="C37" s="2" t="s">
        <v>6</v>
      </c>
      <c r="D37" s="2" t="s">
        <v>309</v>
      </c>
      <c r="E37" s="2" t="s">
        <v>7</v>
      </c>
      <c r="F37" s="2" t="s">
        <v>253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339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39</v>
      </c>
      <c r="B38" s="3">
        <v>46</v>
      </c>
      <c r="C38" s="2" t="s">
        <v>6</v>
      </c>
      <c r="D38" s="2" t="s">
        <v>309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339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40</v>
      </c>
      <c r="B39" s="3">
        <v>23</v>
      </c>
      <c r="C39" s="2" t="s">
        <v>89</v>
      </c>
      <c r="D39" s="2" t="s">
        <v>309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339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41</v>
      </c>
      <c r="B40" s="3">
        <v>18</v>
      </c>
      <c r="C40" s="2" t="s">
        <v>91</v>
      </c>
      <c r="D40" s="2" t="s">
        <v>309</v>
      </c>
      <c r="E40" s="2" t="s">
        <v>7</v>
      </c>
      <c r="F40" s="2" t="s">
        <v>253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339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42</v>
      </c>
      <c r="B41" s="3">
        <v>26</v>
      </c>
      <c r="C41" s="2" t="s">
        <v>93</v>
      </c>
      <c r="D41" s="2" t="s">
        <v>309</v>
      </c>
      <c r="E41" s="2" t="s">
        <v>7</v>
      </c>
      <c r="F41" s="2" t="s">
        <v>259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338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43</v>
      </c>
      <c r="B42" s="3">
        <v>24</v>
      </c>
      <c r="C42" s="2" t="s">
        <v>6</v>
      </c>
      <c r="D42" s="2" t="s">
        <v>309</v>
      </c>
      <c r="E42" s="2" t="s">
        <v>7</v>
      </c>
      <c r="F42" s="2" t="s">
        <v>260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338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44</v>
      </c>
      <c r="B43" s="3">
        <v>22</v>
      </c>
      <c r="C43" s="2" t="s">
        <v>89</v>
      </c>
      <c r="D43" s="2" t="s">
        <v>309</v>
      </c>
      <c r="E43" s="2" t="s">
        <v>39</v>
      </c>
      <c r="F43" s="2" t="s">
        <v>260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339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45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253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338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46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338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47</v>
      </c>
      <c r="B46" s="3">
        <v>21</v>
      </c>
      <c r="C46" s="2" t="s">
        <v>43</v>
      </c>
      <c r="D46" s="2" t="s">
        <v>309</v>
      </c>
      <c r="E46" s="2" t="s">
        <v>7</v>
      </c>
      <c r="F46" s="2" t="s">
        <v>253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338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48</v>
      </c>
      <c r="B47" s="3">
        <v>53</v>
      </c>
      <c r="C47" s="2" t="s">
        <v>6</v>
      </c>
      <c r="D47" s="2" t="s">
        <v>309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339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49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255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339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50</v>
      </c>
      <c r="B49" s="3">
        <v>45</v>
      </c>
      <c r="C49" s="2" t="s">
        <v>104</v>
      </c>
      <c r="D49" s="2" t="s">
        <v>309</v>
      </c>
      <c r="E49" s="2" t="s">
        <v>39</v>
      </c>
      <c r="F49" s="2" t="s">
        <v>261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339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51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339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52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257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338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53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338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54</v>
      </c>
      <c r="B53" s="3">
        <v>47</v>
      </c>
      <c r="C53" s="2" t="s">
        <v>6</v>
      </c>
      <c r="D53" s="2" t="s">
        <v>309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339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55</v>
      </c>
      <c r="B54" s="3">
        <v>24</v>
      </c>
      <c r="C54" s="2" t="s">
        <v>6</v>
      </c>
      <c r="D54" s="2" t="s">
        <v>309</v>
      </c>
      <c r="E54" s="2" t="s">
        <v>7</v>
      </c>
      <c r="F54" s="2" t="s">
        <v>253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338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56</v>
      </c>
      <c r="B55" s="3">
        <v>54</v>
      </c>
      <c r="C55" s="2" t="s">
        <v>6</v>
      </c>
      <c r="D55" s="2" t="s">
        <v>309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339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57</v>
      </c>
      <c r="B56" s="3">
        <v>61</v>
      </c>
      <c r="C56" s="2" t="s">
        <v>6</v>
      </c>
      <c r="D56" s="2" t="s">
        <v>309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339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58</v>
      </c>
      <c r="B57" s="3">
        <v>45</v>
      </c>
      <c r="C57" s="2" t="s">
        <v>6</v>
      </c>
      <c r="D57" s="2" t="s">
        <v>309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339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59</v>
      </c>
      <c r="B58" s="3">
        <v>64</v>
      </c>
      <c r="C58" s="2" t="s">
        <v>6</v>
      </c>
      <c r="D58" s="2" t="s">
        <v>309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338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60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253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338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61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253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339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62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338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63</v>
      </c>
      <c r="B62" s="3">
        <v>46</v>
      </c>
      <c r="C62" s="2" t="s">
        <v>43</v>
      </c>
      <c r="D62" s="2" t="s">
        <v>309</v>
      </c>
      <c r="E62" s="2" t="s">
        <v>39</v>
      </c>
      <c r="F62" s="2" t="s">
        <v>253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338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64</v>
      </c>
      <c r="B63" s="3">
        <v>27</v>
      </c>
      <c r="C63" s="2" t="s">
        <v>6</v>
      </c>
      <c r="D63" s="2" t="s">
        <v>309</v>
      </c>
      <c r="E63" s="2" t="s">
        <v>7</v>
      </c>
      <c r="F63" s="2" t="s">
        <v>253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338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65</v>
      </c>
      <c r="B64" s="3">
        <v>22</v>
      </c>
      <c r="C64" s="2" t="s">
        <v>43</v>
      </c>
      <c r="D64" s="2" t="s">
        <v>309</v>
      </c>
      <c r="E64" s="2" t="s">
        <v>7</v>
      </c>
      <c r="F64" s="2" t="s">
        <v>253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338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66</v>
      </c>
      <c r="B65" s="3">
        <v>24</v>
      </c>
      <c r="C65" s="2" t="s">
        <v>64</v>
      </c>
      <c r="D65" s="2" t="s">
        <v>309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339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67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253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339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68</v>
      </c>
      <c r="B67" s="3">
        <v>37</v>
      </c>
      <c r="C67" s="2" t="s">
        <v>43</v>
      </c>
      <c r="D67" s="2" t="s">
        <v>309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338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69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253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339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70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252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338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71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257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339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72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338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73</v>
      </c>
      <c r="B72" s="3">
        <v>24</v>
      </c>
      <c r="C72" s="2" t="s">
        <v>6</v>
      </c>
      <c r="D72" s="2" t="s">
        <v>309</v>
      </c>
      <c r="E72" s="2" t="s">
        <v>7</v>
      </c>
      <c r="F72" s="2" t="s">
        <v>253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338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74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339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75</v>
      </c>
      <c r="B74" s="3">
        <v>58</v>
      </c>
      <c r="C74" s="2" t="s">
        <v>43</v>
      </c>
      <c r="D74" s="2" t="s">
        <v>309</v>
      </c>
      <c r="E74" s="2" t="s">
        <v>39</v>
      </c>
      <c r="F74" s="2" t="s">
        <v>255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339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76</v>
      </c>
      <c r="B75" s="3">
        <v>23</v>
      </c>
      <c r="C75" s="2" t="s">
        <v>64</v>
      </c>
      <c r="D75" s="2" t="s">
        <v>309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338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77</v>
      </c>
      <c r="B76" s="3">
        <v>67</v>
      </c>
      <c r="C76" s="2" t="s">
        <v>6</v>
      </c>
      <c r="D76" s="2" t="s">
        <v>309</v>
      </c>
      <c r="E76" s="2" t="s">
        <v>39</v>
      </c>
      <c r="F76" s="2" t="s">
        <v>262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338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78</v>
      </c>
      <c r="B77" s="3">
        <v>40</v>
      </c>
      <c r="C77" s="2" t="s">
        <v>6</v>
      </c>
      <c r="D77" s="2" t="s">
        <v>309</v>
      </c>
      <c r="E77" s="2" t="s">
        <v>7</v>
      </c>
      <c r="F77" s="2" t="s">
        <v>263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338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79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264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338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80</v>
      </c>
      <c r="B79" s="3">
        <v>30</v>
      </c>
      <c r="C79" s="2" t="s">
        <v>142</v>
      </c>
      <c r="D79" s="2" t="s">
        <v>309</v>
      </c>
      <c r="E79" s="2" t="s">
        <v>7</v>
      </c>
      <c r="F79" s="2" t="s">
        <v>265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339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81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253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338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82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266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338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83</v>
      </c>
      <c r="B82" s="3">
        <v>22</v>
      </c>
      <c r="C82" s="2" t="s">
        <v>43</v>
      </c>
      <c r="D82" s="2" t="s">
        <v>309</v>
      </c>
      <c r="E82" s="2" t="s">
        <v>7</v>
      </c>
      <c r="F82" s="2" t="s">
        <v>253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339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84</v>
      </c>
      <c r="B83" s="3">
        <v>53</v>
      </c>
      <c r="C83" s="2" t="s">
        <v>6</v>
      </c>
      <c r="D83" s="2" t="s">
        <v>309</v>
      </c>
      <c r="E83" s="2" t="s">
        <v>39</v>
      </c>
      <c r="F83" s="2" t="s">
        <v>263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338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85</v>
      </c>
      <c r="B84" s="3">
        <v>27</v>
      </c>
      <c r="C84" s="2" t="s">
        <v>6</v>
      </c>
      <c r="D84" s="2" t="s">
        <v>309</v>
      </c>
      <c r="E84" s="2" t="s">
        <v>39</v>
      </c>
      <c r="F84" s="2" t="s">
        <v>253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339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86</v>
      </c>
      <c r="B85" s="3">
        <v>22</v>
      </c>
      <c r="C85" s="2" t="s">
        <v>6</v>
      </c>
      <c r="D85" s="2" t="s">
        <v>309</v>
      </c>
      <c r="E85" s="2" t="s">
        <v>7</v>
      </c>
      <c r="F85" s="2" t="s">
        <v>256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338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87</v>
      </c>
      <c r="B86" s="3">
        <v>22</v>
      </c>
      <c r="C86" s="2" t="s">
        <v>6</v>
      </c>
      <c r="D86" s="2" t="s">
        <v>309</v>
      </c>
      <c r="E86" s="2" t="s">
        <v>7</v>
      </c>
      <c r="F86" s="2" t="s">
        <v>253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338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88</v>
      </c>
      <c r="B87" s="3">
        <v>55</v>
      </c>
      <c r="C87" s="2" t="s">
        <v>6</v>
      </c>
      <c r="D87" s="2" t="s">
        <v>309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338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89</v>
      </c>
      <c r="B88" s="3">
        <v>23</v>
      </c>
      <c r="C88" s="2" t="s">
        <v>6</v>
      </c>
      <c r="D88" s="2" t="s">
        <v>309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339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90</v>
      </c>
      <c r="B89" s="3">
        <v>49</v>
      </c>
      <c r="C89" s="2" t="s">
        <v>6</v>
      </c>
      <c r="D89" s="2" t="s">
        <v>309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339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91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253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338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92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339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93</v>
      </c>
      <c r="B92" s="3">
        <v>59</v>
      </c>
      <c r="C92" s="2" t="s">
        <v>6</v>
      </c>
      <c r="D92" s="2" t="s">
        <v>309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338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94</v>
      </c>
      <c r="B93" s="3">
        <v>52</v>
      </c>
      <c r="C93" s="2" t="s">
        <v>64</v>
      </c>
      <c r="D93" s="2" t="s">
        <v>309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338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95</v>
      </c>
      <c r="B94" s="3">
        <v>57</v>
      </c>
      <c r="C94" s="2" t="s">
        <v>6</v>
      </c>
      <c r="D94" s="2" t="s">
        <v>309</v>
      </c>
      <c r="E94" s="2" t="s">
        <v>39</v>
      </c>
      <c r="F94" s="2" t="s">
        <v>253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338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96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253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339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97</v>
      </c>
      <c r="B96" s="3">
        <v>37</v>
      </c>
      <c r="C96" s="2" t="s">
        <v>162</v>
      </c>
      <c r="D96" s="2" t="s">
        <v>309</v>
      </c>
      <c r="E96" s="2" t="s">
        <v>39</v>
      </c>
      <c r="F96" s="2" t="s">
        <v>267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339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98</v>
      </c>
      <c r="B97" s="3">
        <v>24</v>
      </c>
      <c r="C97" s="2" t="s">
        <v>142</v>
      </c>
      <c r="D97" s="2" t="s">
        <v>309</v>
      </c>
      <c r="E97" s="2" t="s">
        <v>7</v>
      </c>
      <c r="F97" s="2" t="s">
        <v>253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339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99</v>
      </c>
      <c r="B98" s="3">
        <v>54</v>
      </c>
      <c r="C98" s="2" t="s">
        <v>43</v>
      </c>
      <c r="D98" s="2" t="s">
        <v>309</v>
      </c>
      <c r="E98" s="2" t="s">
        <v>39</v>
      </c>
      <c r="F98" s="2" t="s">
        <v>252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338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100</v>
      </c>
      <c r="B99" s="3">
        <v>57</v>
      </c>
      <c r="C99" s="2" t="s">
        <v>6</v>
      </c>
      <c r="D99" s="2" t="s">
        <v>309</v>
      </c>
      <c r="E99" s="2" t="s">
        <v>39</v>
      </c>
      <c r="F99" s="2" t="s">
        <v>253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338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101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253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339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102</v>
      </c>
      <c r="B101" s="3">
        <v>40</v>
      </c>
      <c r="C101" s="2" t="s">
        <v>168</v>
      </c>
      <c r="D101" s="2" t="s">
        <v>309</v>
      </c>
      <c r="E101" s="2" t="s">
        <v>39</v>
      </c>
      <c r="F101" s="2" t="s">
        <v>258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338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103</v>
      </c>
      <c r="B102" s="3">
        <v>62</v>
      </c>
      <c r="C102" s="2" t="s">
        <v>6</v>
      </c>
      <c r="D102" s="2" t="s">
        <v>309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339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104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338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105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338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106</v>
      </c>
      <c r="B105" s="3">
        <v>60</v>
      </c>
      <c r="C105" s="2" t="s">
        <v>6</v>
      </c>
      <c r="D105" s="2" t="s">
        <v>309</v>
      </c>
      <c r="E105" s="2" t="s">
        <v>39</v>
      </c>
      <c r="F105" s="2" t="s">
        <v>268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339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107</v>
      </c>
      <c r="B106" s="3">
        <v>48</v>
      </c>
      <c r="C106" s="2" t="s">
        <v>43</v>
      </c>
      <c r="D106" s="2" t="s">
        <v>309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338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108</v>
      </c>
      <c r="B107" s="3">
        <v>45</v>
      </c>
      <c r="C107" s="2" t="s">
        <v>6</v>
      </c>
      <c r="D107" s="2" t="s">
        <v>309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339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109</v>
      </c>
      <c r="B108" s="3">
        <v>59</v>
      </c>
      <c r="C108" s="2" t="s">
        <v>6</v>
      </c>
      <c r="D108" s="2" t="s">
        <v>309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338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110</v>
      </c>
      <c r="B109" s="3">
        <v>45</v>
      </c>
      <c r="C109" s="2" t="s">
        <v>6</v>
      </c>
      <c r="D109" s="2" t="s">
        <v>309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339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111</v>
      </c>
      <c r="B110" s="3">
        <v>54</v>
      </c>
      <c r="C110" s="2" t="s">
        <v>43</v>
      </c>
      <c r="D110" s="2" t="s">
        <v>309</v>
      </c>
      <c r="E110" s="2" t="s">
        <v>39</v>
      </c>
      <c r="F110" s="2" t="s">
        <v>253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338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112</v>
      </c>
      <c r="B111" s="3">
        <v>53</v>
      </c>
      <c r="C111" s="2" t="s">
        <v>6</v>
      </c>
      <c r="D111" s="2" t="s">
        <v>309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339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113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338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114</v>
      </c>
      <c r="B113" s="3">
        <v>36</v>
      </c>
      <c r="C113" s="2" t="s">
        <v>6</v>
      </c>
      <c r="D113" s="2" t="s">
        <v>309</v>
      </c>
      <c r="E113" s="2" t="s">
        <v>39</v>
      </c>
      <c r="F113" s="2" t="s">
        <v>253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339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115</v>
      </c>
      <c r="B114" s="2">
        <v>53</v>
      </c>
      <c r="C114" s="2" t="s">
        <v>6</v>
      </c>
      <c r="D114" s="2" t="s">
        <v>309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339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116</v>
      </c>
      <c r="B115" s="3">
        <v>36</v>
      </c>
      <c r="C115" s="2" t="s">
        <v>6</v>
      </c>
      <c r="D115" s="2" t="s">
        <v>309</v>
      </c>
      <c r="E115" s="2" t="s">
        <v>39</v>
      </c>
      <c r="F115" s="2" t="s">
        <v>253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339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118</v>
      </c>
      <c r="B116" s="3">
        <v>18</v>
      </c>
      <c r="C116" s="2" t="s">
        <v>183</v>
      </c>
      <c r="D116" s="2" t="s">
        <v>309</v>
      </c>
      <c r="E116" s="2" t="s">
        <v>39</v>
      </c>
      <c r="F116" s="2" t="s">
        <v>269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339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119</v>
      </c>
      <c r="B117" s="3">
        <v>53</v>
      </c>
      <c r="C117" s="2" t="s">
        <v>185</v>
      </c>
      <c r="D117" s="2" t="s">
        <v>309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338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120</v>
      </c>
      <c r="B118" s="3">
        <v>23</v>
      </c>
      <c r="C118" s="2" t="s">
        <v>6</v>
      </c>
      <c r="D118" s="2" t="s">
        <v>309</v>
      </c>
      <c r="E118" s="2" t="s">
        <v>7</v>
      </c>
      <c r="F118" s="2" t="s">
        <v>253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339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121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261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338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122</v>
      </c>
      <c r="B120" s="3">
        <v>21</v>
      </c>
      <c r="C120" s="2" t="s">
        <v>6</v>
      </c>
      <c r="D120" s="2" t="s">
        <v>309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338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14" sqref="B14:L14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89" t="s">
        <v>212</v>
      </c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2" x14ac:dyDescent="0.25">
      <c r="A2" s="5" t="s">
        <v>191</v>
      </c>
      <c r="B2" s="87" t="s">
        <v>1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1:12" x14ac:dyDescent="0.25">
      <c r="A3" s="5" t="s">
        <v>192</v>
      </c>
      <c r="B3" s="87" t="s">
        <v>2</v>
      </c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1:12" x14ac:dyDescent="0.25">
      <c r="A4" s="5" t="s">
        <v>193</v>
      </c>
      <c r="B4" s="87" t="s">
        <v>213</v>
      </c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2" x14ac:dyDescent="0.25">
      <c r="A5" s="5" t="s">
        <v>194</v>
      </c>
      <c r="B5" s="87" t="s">
        <v>214</v>
      </c>
      <c r="C5" s="87"/>
      <c r="D5" s="87"/>
      <c r="E5" s="87"/>
      <c r="F5" s="87"/>
      <c r="G5" s="87"/>
      <c r="H5" s="87"/>
      <c r="I5" s="87"/>
      <c r="J5" s="87"/>
      <c r="K5" s="87"/>
      <c r="L5" s="88"/>
    </row>
    <row r="6" spans="1:12" x14ac:dyDescent="0.25">
      <c r="A6" s="5" t="s">
        <v>195</v>
      </c>
      <c r="B6" s="87" t="s">
        <v>215</v>
      </c>
      <c r="C6" s="87"/>
      <c r="D6" s="87"/>
      <c r="E6" s="87"/>
      <c r="F6" s="87"/>
      <c r="G6" s="87"/>
      <c r="H6" s="87"/>
      <c r="I6" s="87"/>
      <c r="J6" s="87"/>
      <c r="K6" s="87"/>
      <c r="L6" s="88"/>
    </row>
    <row r="7" spans="1:12" x14ac:dyDescent="0.25">
      <c r="A7" s="5" t="s">
        <v>196</v>
      </c>
      <c r="B7" s="87" t="s">
        <v>216</v>
      </c>
      <c r="C7" s="87"/>
      <c r="D7" s="87"/>
      <c r="E7" s="87"/>
      <c r="F7" s="87"/>
      <c r="G7" s="87"/>
      <c r="H7" s="87"/>
      <c r="I7" s="87"/>
      <c r="J7" s="87"/>
      <c r="K7" s="87"/>
      <c r="L7" s="88"/>
    </row>
    <row r="8" spans="1:12" x14ac:dyDescent="0.25">
      <c r="A8" s="5" t="s">
        <v>197</v>
      </c>
      <c r="B8" s="87" t="s">
        <v>3</v>
      </c>
      <c r="C8" s="87"/>
      <c r="D8" s="87"/>
      <c r="E8" s="87"/>
      <c r="F8" s="87"/>
      <c r="G8" s="87"/>
      <c r="H8" s="87"/>
      <c r="I8" s="87"/>
      <c r="J8" s="87"/>
      <c r="K8" s="87"/>
      <c r="L8" s="88"/>
    </row>
    <row r="9" spans="1:12" x14ac:dyDescent="0.25">
      <c r="A9" s="5" t="s">
        <v>198</v>
      </c>
      <c r="B9" s="87" t="s">
        <v>217</v>
      </c>
      <c r="C9" s="87"/>
      <c r="D9" s="87"/>
      <c r="E9" s="87"/>
      <c r="F9" s="87"/>
      <c r="G9" s="87"/>
      <c r="H9" s="87"/>
      <c r="I9" s="87"/>
      <c r="J9" s="87"/>
      <c r="K9" s="87"/>
      <c r="L9" s="88"/>
    </row>
    <row r="10" spans="1:12" x14ac:dyDescent="0.25">
      <c r="A10" s="5" t="s">
        <v>199</v>
      </c>
      <c r="B10" s="87" t="s">
        <v>4</v>
      </c>
      <c r="C10" s="87"/>
      <c r="D10" s="87"/>
      <c r="E10" s="87"/>
      <c r="F10" s="87"/>
      <c r="G10" s="87"/>
      <c r="H10" s="87"/>
      <c r="I10" s="87"/>
      <c r="J10" s="87"/>
      <c r="K10" s="87"/>
      <c r="L10" s="88"/>
    </row>
    <row r="11" spans="1:12" x14ac:dyDescent="0.25">
      <c r="A11" s="5" t="s">
        <v>200</v>
      </c>
      <c r="B11" s="87" t="s">
        <v>5</v>
      </c>
      <c r="C11" s="87"/>
      <c r="D11" s="87"/>
      <c r="E11" s="87"/>
      <c r="F11" s="87"/>
      <c r="G11" s="87"/>
      <c r="H11" s="87"/>
      <c r="I11" s="87"/>
      <c r="J11" s="87"/>
      <c r="K11" s="87"/>
      <c r="L11" s="88"/>
    </row>
    <row r="12" spans="1:12" x14ac:dyDescent="0.25">
      <c r="A12" s="5" t="s">
        <v>201</v>
      </c>
      <c r="B12" s="87" t="s">
        <v>218</v>
      </c>
      <c r="C12" s="87"/>
      <c r="D12" s="87"/>
      <c r="E12" s="87"/>
      <c r="F12" s="87"/>
      <c r="G12" s="87"/>
      <c r="H12" s="87"/>
      <c r="I12" s="87"/>
      <c r="J12" s="87"/>
      <c r="K12" s="87"/>
      <c r="L12" s="88"/>
    </row>
    <row r="13" spans="1:12" x14ac:dyDescent="0.25">
      <c r="A13" s="5" t="s">
        <v>202</v>
      </c>
      <c r="B13" s="87" t="s">
        <v>219</v>
      </c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2" x14ac:dyDescent="0.25">
      <c r="A14" s="5" t="s">
        <v>203</v>
      </c>
      <c r="B14" s="87" t="s">
        <v>220</v>
      </c>
      <c r="C14" s="87"/>
      <c r="D14" s="87"/>
      <c r="E14" s="87"/>
      <c r="F14" s="87"/>
      <c r="G14" s="87"/>
      <c r="H14" s="87"/>
      <c r="I14" s="87"/>
      <c r="J14" s="87"/>
      <c r="K14" s="87"/>
      <c r="L14" s="88"/>
    </row>
    <row r="15" spans="1:12" x14ac:dyDescent="0.25">
      <c r="A15" s="5" t="s">
        <v>204</v>
      </c>
      <c r="B15" s="87" t="s">
        <v>221</v>
      </c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16" spans="1:12" x14ac:dyDescent="0.25">
      <c r="A16" s="5" t="s">
        <v>205</v>
      </c>
      <c r="B16" s="87" t="s">
        <v>222</v>
      </c>
      <c r="C16" s="87"/>
      <c r="D16" s="87"/>
      <c r="E16" s="87"/>
      <c r="F16" s="87"/>
      <c r="G16" s="87"/>
      <c r="H16" s="87"/>
      <c r="I16" s="87"/>
      <c r="J16" s="87"/>
      <c r="K16" s="87"/>
      <c r="L16" s="88"/>
    </row>
    <row r="17" spans="1:12" x14ac:dyDescent="0.25">
      <c r="A17" s="5" t="s">
        <v>206</v>
      </c>
      <c r="B17" s="87" t="s">
        <v>223</v>
      </c>
      <c r="C17" s="87"/>
      <c r="D17" s="87"/>
      <c r="E17" s="87"/>
      <c r="F17" s="87"/>
      <c r="G17" s="87"/>
      <c r="H17" s="87"/>
      <c r="I17" s="87"/>
      <c r="J17" s="87"/>
      <c r="K17" s="87"/>
      <c r="L17" s="88"/>
    </row>
    <row r="18" spans="1:12" x14ac:dyDescent="0.25">
      <c r="A18" s="5" t="s">
        <v>207</v>
      </c>
      <c r="B18" s="87" t="s">
        <v>224</v>
      </c>
      <c r="C18" s="87"/>
      <c r="D18" s="87"/>
      <c r="E18" s="87"/>
      <c r="F18" s="87"/>
      <c r="G18" s="87"/>
      <c r="H18" s="87"/>
      <c r="I18" s="87"/>
      <c r="J18" s="87"/>
      <c r="K18" s="87"/>
      <c r="L18" s="88"/>
    </row>
    <row r="19" spans="1:12" x14ac:dyDescent="0.25">
      <c r="A19" s="5" t="s">
        <v>208</v>
      </c>
      <c r="B19" s="87" t="s">
        <v>225</v>
      </c>
      <c r="C19" s="87"/>
      <c r="D19" s="87"/>
      <c r="E19" s="87"/>
      <c r="F19" s="87"/>
      <c r="G19" s="87"/>
      <c r="H19" s="87"/>
      <c r="I19" s="87"/>
      <c r="J19" s="87"/>
      <c r="K19" s="87"/>
      <c r="L19" s="88"/>
    </row>
    <row r="20" spans="1:12" x14ac:dyDescent="0.25">
      <c r="A20" s="5" t="s">
        <v>209</v>
      </c>
      <c r="B20" s="87" t="s">
        <v>226</v>
      </c>
      <c r="C20" s="87"/>
      <c r="D20" s="87"/>
      <c r="E20" s="87"/>
      <c r="F20" s="87"/>
      <c r="G20" s="87"/>
      <c r="H20" s="87"/>
      <c r="I20" s="87"/>
      <c r="J20" s="87"/>
      <c r="K20" s="87"/>
      <c r="L20" s="88"/>
    </row>
    <row r="21" spans="1:12" x14ac:dyDescent="0.25">
      <c r="A21" s="5" t="s">
        <v>210</v>
      </c>
      <c r="B21" s="87" t="s">
        <v>227</v>
      </c>
      <c r="C21" s="87"/>
      <c r="D21" s="87"/>
      <c r="E21" s="87"/>
      <c r="F21" s="87"/>
      <c r="G21" s="87"/>
      <c r="H21" s="87"/>
      <c r="I21" s="87"/>
      <c r="J21" s="87"/>
      <c r="K21" s="87"/>
      <c r="L21" s="88"/>
    </row>
    <row r="22" spans="1:12" ht="15.75" thickBot="1" x14ac:dyDescent="0.3">
      <c r="A22" s="6" t="s">
        <v>211</v>
      </c>
      <c r="B22" s="91" t="s">
        <v>228</v>
      </c>
      <c r="C22" s="91"/>
      <c r="D22" s="91"/>
      <c r="E22" s="91"/>
      <c r="F22" s="91"/>
      <c r="G22" s="91"/>
      <c r="H22" s="91"/>
      <c r="I22" s="91"/>
      <c r="J22" s="91"/>
      <c r="K22" s="91"/>
      <c r="L22" s="92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790"/>
  <sheetViews>
    <sheetView tabSelected="1" zoomScaleNormal="100" workbookViewId="0">
      <selection activeCell="G780" sqref="G780"/>
    </sheetView>
  </sheetViews>
  <sheetFormatPr defaultRowHeight="15" x14ac:dyDescent="0.25"/>
  <cols>
    <col min="1" max="1" width="9.140625" style="1"/>
    <col min="2" max="2" width="15.7109375" style="1" customWidth="1"/>
    <col min="3" max="3" width="13.85546875" style="1" customWidth="1"/>
    <col min="4" max="5" width="13.42578125" style="1" customWidth="1"/>
    <col min="6" max="6" width="13.28515625" style="1" customWidth="1"/>
    <col min="7" max="7" width="12.85546875" style="1" customWidth="1"/>
    <col min="8" max="11" width="9.140625" style="1" customWidth="1"/>
    <col min="12" max="16384" width="9.140625" style="1"/>
  </cols>
  <sheetData>
    <row r="6" spans="2:5" ht="15.75" thickBot="1" x14ac:dyDescent="0.3"/>
    <row r="7" spans="2:5" ht="15.75" thickBot="1" x14ac:dyDescent="0.3">
      <c r="B7" s="105" t="s">
        <v>229</v>
      </c>
      <c r="C7" s="106"/>
      <c r="D7" s="106"/>
      <c r="E7" s="107"/>
    </row>
    <row r="8" spans="2:5" x14ac:dyDescent="0.25">
      <c r="B8" s="23" t="s">
        <v>233</v>
      </c>
      <c r="E8" s="24">
        <f>COUNTIF(Datos!E:E,Datos!E2)</f>
        <v>68</v>
      </c>
    </row>
    <row r="9" spans="2:5" ht="15.75" thickBot="1" x14ac:dyDescent="0.3">
      <c r="B9" s="25" t="s">
        <v>234</v>
      </c>
      <c r="E9" s="26">
        <f>COUNTIF(Datos!E:E,Datos!E20)</f>
        <v>51</v>
      </c>
    </row>
    <row r="10" spans="2:5" ht="15.75" thickBot="1" x14ac:dyDescent="0.3">
      <c r="B10" s="27" t="s">
        <v>230</v>
      </c>
      <c r="C10" s="28"/>
      <c r="D10" s="28"/>
      <c r="E10" s="29">
        <f>E8+E9</f>
        <v>119</v>
      </c>
    </row>
    <row r="23" spans="3:4" ht="15.75" thickBot="1" x14ac:dyDescent="0.3"/>
    <row r="24" spans="3:4" ht="15.75" thickBot="1" x14ac:dyDescent="0.3">
      <c r="C24" s="101" t="s">
        <v>235</v>
      </c>
      <c r="D24" s="102"/>
    </row>
    <row r="25" spans="3:4" x14ac:dyDescent="0.25">
      <c r="C25" s="30" t="s">
        <v>231</v>
      </c>
      <c r="D25" s="31">
        <f>COUNTIF(Datos!D:D,Datos!D3)</f>
        <v>38</v>
      </c>
    </row>
    <row r="26" spans="3:4" ht="15.75" thickBot="1" x14ac:dyDescent="0.3">
      <c r="C26" s="13" t="s">
        <v>232</v>
      </c>
      <c r="D26" s="14">
        <f>COUNTIF(Datos!D:D,Datos!D2)</f>
        <v>81</v>
      </c>
    </row>
    <row r="27" spans="3:4" ht="15.75" thickBot="1" x14ac:dyDescent="0.3">
      <c r="C27" s="32" t="s">
        <v>230</v>
      </c>
      <c r="D27" s="16">
        <f>D25+D26</f>
        <v>119</v>
      </c>
    </row>
    <row r="43" spans="3:4" ht="15.75" thickBot="1" x14ac:dyDescent="0.3"/>
    <row r="44" spans="3:4" ht="15.75" thickBot="1" x14ac:dyDescent="0.3">
      <c r="C44" s="112" t="s">
        <v>236</v>
      </c>
      <c r="D44" s="114"/>
    </row>
    <row r="45" spans="3:4" x14ac:dyDescent="0.25">
      <c r="C45" s="33" t="s">
        <v>237</v>
      </c>
      <c r="D45" s="22">
        <f>COUNTIF(Datos!C:C,"*España*")</f>
        <v>108</v>
      </c>
    </row>
    <row r="46" spans="3:4" ht="15.75" thickBot="1" x14ac:dyDescent="0.3">
      <c r="C46" s="34" t="s">
        <v>234</v>
      </c>
      <c r="D46" s="35">
        <f>119-D45</f>
        <v>11</v>
      </c>
    </row>
    <row r="47" spans="3:4" ht="15.75" thickBot="1" x14ac:dyDescent="0.3">
      <c r="C47" s="27" t="s">
        <v>230</v>
      </c>
      <c r="D47" s="16">
        <f>SUM(D45:D46)</f>
        <v>119</v>
      </c>
    </row>
    <row r="49" spans="3:4" x14ac:dyDescent="0.25">
      <c r="C49" s="1" t="s">
        <v>297</v>
      </c>
    </row>
    <row r="62" spans="3:4" ht="15.75" thickBot="1" x14ac:dyDescent="0.3"/>
    <row r="63" spans="3:4" ht="15.75" thickBot="1" x14ac:dyDescent="0.3">
      <c r="C63" s="27" t="s">
        <v>289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08" t="s">
        <v>238</v>
      </c>
      <c r="D67" s="108"/>
    </row>
    <row r="68" spans="3:4" x14ac:dyDescent="0.25">
      <c r="C68" s="7" t="s">
        <v>239</v>
      </c>
      <c r="D68" s="7">
        <f>COUNTIFS(Datos!B:B,"&gt;=18",Datos!B:B,"&lt;25")</f>
        <v>53</v>
      </c>
    </row>
    <row r="69" spans="3:4" x14ac:dyDescent="0.25">
      <c r="C69" s="7" t="s">
        <v>295</v>
      </c>
      <c r="D69" s="7">
        <f>COUNTIFS(Datos!B:B,"&gt;=25", Datos!B:B,"&lt;35")</f>
        <v>12</v>
      </c>
    </row>
    <row r="70" spans="3:4" x14ac:dyDescent="0.25">
      <c r="C70" s="7" t="s">
        <v>296</v>
      </c>
      <c r="D70" s="7">
        <f>COUNTIFS(Datos!B:B,"&gt;=35", Datos!B:B,"&lt;50")</f>
        <v>21</v>
      </c>
    </row>
    <row r="71" spans="3:4" ht="15.75" thickBot="1" x14ac:dyDescent="0.3">
      <c r="C71" s="11" t="s">
        <v>240</v>
      </c>
      <c r="D71" s="11">
        <f>COUNTIF(Datos!B:B,"&gt;=50")</f>
        <v>33</v>
      </c>
    </row>
    <row r="72" spans="3:4" ht="15.75" thickBot="1" x14ac:dyDescent="0.3">
      <c r="C72" s="12" t="s">
        <v>230</v>
      </c>
      <c r="D72" s="12">
        <f>SUM(D68:D71)</f>
        <v>119</v>
      </c>
    </row>
    <row r="81" spans="3:4" ht="15.75" thickBot="1" x14ac:dyDescent="0.3"/>
    <row r="82" spans="3:4" x14ac:dyDescent="0.25">
      <c r="C82" s="109" t="s">
        <v>241</v>
      </c>
      <c r="D82" s="110"/>
    </row>
    <row r="83" spans="3:4" x14ac:dyDescent="0.25">
      <c r="C83" s="8" t="s">
        <v>242</v>
      </c>
      <c r="D83" s="9">
        <f>COUNTIF(Datos!G:G,1)</f>
        <v>46</v>
      </c>
    </row>
    <row r="84" spans="3:4" x14ac:dyDescent="0.25">
      <c r="C84" s="8" t="s">
        <v>243</v>
      </c>
      <c r="D84" s="9">
        <f>COUNTIF(Datos!G:G,2)</f>
        <v>51</v>
      </c>
    </row>
    <row r="85" spans="3:4" x14ac:dyDescent="0.25">
      <c r="C85" s="8" t="s">
        <v>244</v>
      </c>
      <c r="D85" s="9">
        <f>COUNTIF(Datos!G:G,3)</f>
        <v>17</v>
      </c>
    </row>
    <row r="86" spans="3:4" ht="15.75" thickBot="1" x14ac:dyDescent="0.3">
      <c r="C86" s="13" t="s">
        <v>245</v>
      </c>
      <c r="D86" s="14">
        <f>COUNTIF(Datos!G:G, "&gt;3")</f>
        <v>5</v>
      </c>
    </row>
    <row r="87" spans="3:4" ht="15.75" thickBot="1" x14ac:dyDescent="0.3">
      <c r="C87" s="15" t="s">
        <v>230</v>
      </c>
      <c r="D87" s="16">
        <f>SUM(D83:D86)</f>
        <v>119</v>
      </c>
    </row>
    <row r="98" spans="3:4" ht="15.75" thickBot="1" x14ac:dyDescent="0.3"/>
    <row r="99" spans="3:4" x14ac:dyDescent="0.25">
      <c r="C99" s="109" t="s">
        <v>246</v>
      </c>
      <c r="D99" s="110"/>
    </row>
    <row r="100" spans="3:4" x14ac:dyDescent="0.25">
      <c r="C100" s="8" t="s">
        <v>247</v>
      </c>
      <c r="D100" s="9">
        <f>COUNTIF(Datos!H:H,Datos!H2)</f>
        <v>11</v>
      </c>
    </row>
    <row r="101" spans="3:4" x14ac:dyDescent="0.25">
      <c r="C101" s="8" t="s">
        <v>248</v>
      </c>
      <c r="D101" s="9">
        <f>COUNTIF(Datos!H:H, "Muy bueno")</f>
        <v>23</v>
      </c>
    </row>
    <row r="102" spans="3:4" x14ac:dyDescent="0.25">
      <c r="C102" s="8" t="s">
        <v>249</v>
      </c>
      <c r="D102" s="9">
        <f>COUNTIF(Datos!H:H, "Bueno")</f>
        <v>30</v>
      </c>
    </row>
    <row r="103" spans="3:4" x14ac:dyDescent="0.25">
      <c r="C103" s="8" t="s">
        <v>250</v>
      </c>
      <c r="D103" s="9">
        <f>COUNTIF(Datos!H:H, "Regular")</f>
        <v>36</v>
      </c>
    </row>
    <row r="104" spans="3:4" ht="15.75" thickBot="1" x14ac:dyDescent="0.3">
      <c r="C104" s="34" t="s">
        <v>251</v>
      </c>
      <c r="D104" s="35">
        <f>COUNTIF(Datos!H:H, "Malo")</f>
        <v>19</v>
      </c>
    </row>
    <row r="105" spans="3:4" ht="15.75" thickBot="1" x14ac:dyDescent="0.3">
      <c r="C105" s="15" t="s">
        <v>230</v>
      </c>
      <c r="D105" s="16">
        <f>SUM(D100:D104)</f>
        <v>119</v>
      </c>
    </row>
    <row r="116" spans="2:5" ht="15.75" thickBot="1" x14ac:dyDescent="0.3"/>
    <row r="117" spans="2:5" ht="15.75" thickBot="1" x14ac:dyDescent="0.3">
      <c r="B117" s="115" t="s">
        <v>271</v>
      </c>
      <c r="C117" s="116"/>
      <c r="D117" s="116"/>
      <c r="E117" s="117"/>
    </row>
    <row r="118" spans="2:5" x14ac:dyDescent="0.25">
      <c r="B118" s="25" t="s">
        <v>272</v>
      </c>
      <c r="C118" s="36"/>
      <c r="D118" s="37"/>
      <c r="E118" s="26">
        <f>COUNTIF(Datos!J:J, Datos!J11)</f>
        <v>25</v>
      </c>
    </row>
    <row r="119" spans="2:5" x14ac:dyDescent="0.25">
      <c r="B119" s="25" t="s">
        <v>273</v>
      </c>
      <c r="C119" s="10"/>
      <c r="D119" s="38"/>
      <c r="E119" s="26">
        <f>COUNTIF(Datos!J:J, Datos!J2)</f>
        <v>17</v>
      </c>
    </row>
    <row r="120" spans="2:5" x14ac:dyDescent="0.25">
      <c r="B120" s="25" t="s">
        <v>274</v>
      </c>
      <c r="C120" s="10"/>
      <c r="D120" s="38"/>
      <c r="E120" s="39">
        <f>COUNTIF(Datos!J:J, Datos!J26)</f>
        <v>6</v>
      </c>
    </row>
    <row r="121" spans="2:5" x14ac:dyDescent="0.25">
      <c r="B121" s="25" t="s">
        <v>275</v>
      </c>
      <c r="C121" s="10"/>
      <c r="D121" s="38"/>
      <c r="E121" s="39">
        <f>COUNTIF(Datos!J:J, Datos!J19)</f>
        <v>59</v>
      </c>
    </row>
    <row r="122" spans="2:5" ht="15.75" thickBot="1" x14ac:dyDescent="0.3">
      <c r="B122" s="40" t="s">
        <v>234</v>
      </c>
      <c r="C122" s="41"/>
      <c r="D122" s="42"/>
      <c r="E122" s="43">
        <f>COUNTIF(Datos!J:J, Datos!J38)</f>
        <v>12</v>
      </c>
    </row>
    <row r="123" spans="2:5" ht="15.75" thickBot="1" x14ac:dyDescent="0.3">
      <c r="B123" s="118" t="s">
        <v>230</v>
      </c>
      <c r="C123" s="119"/>
      <c r="D123" s="119"/>
      <c r="E123" s="16">
        <f>SUM(E118:E122)</f>
        <v>119</v>
      </c>
    </row>
    <row r="132" spans="2:6" ht="15.75" thickBot="1" x14ac:dyDescent="0.3"/>
    <row r="133" spans="2:6" ht="15.75" thickBot="1" x14ac:dyDescent="0.3">
      <c r="B133" s="112" t="s">
        <v>277</v>
      </c>
      <c r="C133" s="113"/>
      <c r="D133" s="113"/>
      <c r="E133" s="113"/>
      <c r="F133" s="114"/>
    </row>
    <row r="134" spans="2:6" x14ac:dyDescent="0.25">
      <c r="B134" s="44" t="s">
        <v>278</v>
      </c>
      <c r="C134" s="45"/>
      <c r="D134" s="36"/>
      <c r="E134" s="10"/>
      <c r="F134" s="39">
        <f>COUNTIF(Datos!I:I, "*Son un recurso muy importante para buscar trabajo y para mejorar mi currículum*")</f>
        <v>57</v>
      </c>
    </row>
    <row r="135" spans="2:6" x14ac:dyDescent="0.25">
      <c r="B135" s="25" t="s">
        <v>279</v>
      </c>
      <c r="C135" s="10"/>
      <c r="D135" s="10"/>
      <c r="E135" s="10"/>
      <c r="F135" s="39">
        <f>COUNTIF(Datos!I:I, "*Quiero sacar buenas notas en la asignatura*")</f>
        <v>1</v>
      </c>
    </row>
    <row r="136" spans="2:6" x14ac:dyDescent="0.25">
      <c r="B136" s="25" t="s">
        <v>281</v>
      </c>
      <c r="C136" s="10"/>
      <c r="D136" s="10"/>
      <c r="E136" s="10"/>
      <c r="F136" s="39">
        <f>COUNTIF(Datos!I:I, "*Quiero comunicarme con personas de diferentes países y hacer amigos*")</f>
        <v>45</v>
      </c>
    </row>
    <row r="137" spans="2:6" x14ac:dyDescent="0.25">
      <c r="B137" s="25" t="s">
        <v>280</v>
      </c>
      <c r="C137" s="10"/>
      <c r="D137" s="10"/>
      <c r="E137" s="10"/>
      <c r="F137" s="39">
        <f>COUNTIF(Datos!I:I, "*Quiero ser capaz de entender series, música y libros en el idioma original*")</f>
        <v>45</v>
      </c>
    </row>
    <row r="138" spans="2:6" x14ac:dyDescent="0.25">
      <c r="B138" s="25" t="s">
        <v>282</v>
      </c>
      <c r="C138" s="10"/>
      <c r="D138" s="10"/>
      <c r="E138" s="10"/>
      <c r="F138" s="39">
        <f>COUNTIF(Datos!I:I, "*¡Me encantan! Incluso estudio idiomas por mi cuenta*")</f>
        <v>29</v>
      </c>
    </row>
    <row r="139" spans="2:6" x14ac:dyDescent="0.25">
      <c r="B139" s="25" t="s">
        <v>283</v>
      </c>
      <c r="C139" s="10"/>
      <c r="D139" s="10"/>
      <c r="E139" s="10"/>
      <c r="F139" s="39">
        <f>COUNTIF(Datos!I:I, "*Me parecen un rollo, pero no me queda otra porque es un requisito académico para la graduación*")</f>
        <v>10</v>
      </c>
    </row>
    <row r="140" spans="2:6" ht="15.75" thickBot="1" x14ac:dyDescent="0.3">
      <c r="B140" s="40" t="s">
        <v>234</v>
      </c>
      <c r="C140" s="41"/>
      <c r="D140" s="41"/>
      <c r="E140" s="41"/>
      <c r="F140" s="43">
        <f>COUNTIF(Datos!I:I, "*Otro*")</f>
        <v>23</v>
      </c>
    </row>
    <row r="152" spans="2:4" ht="15.75" thickBot="1" x14ac:dyDescent="0.3"/>
    <row r="153" spans="2:4" x14ac:dyDescent="0.25">
      <c r="B153" s="109" t="s">
        <v>284</v>
      </c>
      <c r="C153" s="111"/>
      <c r="D153" s="110"/>
    </row>
    <row r="154" spans="2:4" x14ac:dyDescent="0.25">
      <c r="B154" s="8" t="s">
        <v>285</v>
      </c>
      <c r="C154" s="46"/>
      <c r="D154" s="9">
        <f>COUNTIF(Datos!M:M, 3)</f>
        <v>22</v>
      </c>
    </row>
    <row r="155" spans="2:4" x14ac:dyDescent="0.25">
      <c r="B155" s="8" t="s">
        <v>286</v>
      </c>
      <c r="C155" s="46"/>
      <c r="D155" s="9">
        <f>COUNTIF(Datos!M:M, 2)</f>
        <v>44</v>
      </c>
    </row>
    <row r="156" spans="2:4" x14ac:dyDescent="0.25">
      <c r="B156" s="8" t="s">
        <v>287</v>
      </c>
      <c r="C156" s="46"/>
      <c r="D156" s="9">
        <f>COUNTIF(Datos!M:M, 1)</f>
        <v>47</v>
      </c>
    </row>
    <row r="157" spans="2:4" ht="15.75" thickBot="1" x14ac:dyDescent="0.3">
      <c r="B157" s="34" t="s">
        <v>288</v>
      </c>
      <c r="C157" s="47"/>
      <c r="D157" s="35">
        <f>COUNTIF(Datos!M:M, 0)</f>
        <v>6</v>
      </c>
    </row>
    <row r="158" spans="2:4" ht="15.75" thickBot="1" x14ac:dyDescent="0.3">
      <c r="B158" s="103" t="s">
        <v>230</v>
      </c>
      <c r="C158" s="104"/>
      <c r="D158" s="16">
        <f>SUM(D154:D157)</f>
        <v>119</v>
      </c>
    </row>
    <row r="169" spans="2:4" ht="15.75" thickBot="1" x14ac:dyDescent="0.3"/>
    <row r="170" spans="2:4" x14ac:dyDescent="0.25">
      <c r="B170" s="93" t="s">
        <v>294</v>
      </c>
      <c r="C170" s="94"/>
      <c r="D170" s="95"/>
    </row>
    <row r="171" spans="2:4" x14ac:dyDescent="0.25">
      <c r="B171" s="48" t="s">
        <v>290</v>
      </c>
      <c r="C171" s="49"/>
      <c r="D171" s="9">
        <f>COUNTIF(Datos!N:N, "Totalmente de acuerdo")</f>
        <v>16</v>
      </c>
    </row>
    <row r="172" spans="2:4" x14ac:dyDescent="0.25">
      <c r="B172" s="25" t="s">
        <v>291</v>
      </c>
      <c r="C172" s="38"/>
      <c r="D172" s="9">
        <f>COUNTIF(Datos!N:N, "De acuerdo")</f>
        <v>23</v>
      </c>
    </row>
    <row r="173" spans="2:4" x14ac:dyDescent="0.25">
      <c r="B173" s="25" t="s">
        <v>24</v>
      </c>
      <c r="C173" s="38"/>
      <c r="D173" s="9">
        <f>COUNTIF(Datos!N:N, "Neutral")</f>
        <v>41</v>
      </c>
    </row>
    <row r="174" spans="2:4" x14ac:dyDescent="0.25">
      <c r="B174" s="25" t="s">
        <v>292</v>
      </c>
      <c r="C174" s="38"/>
      <c r="D174" s="9">
        <f>COUNTIF(Datos!N:N, "En desacuerdo")</f>
        <v>26</v>
      </c>
    </row>
    <row r="175" spans="2:4" ht="15.75" thickBot="1" x14ac:dyDescent="0.3">
      <c r="B175" s="40" t="s">
        <v>293</v>
      </c>
      <c r="C175" s="42"/>
      <c r="D175" s="35">
        <f>COUNTIF(Datos!N:N, "Totalmente en desacuerdo")</f>
        <v>13</v>
      </c>
    </row>
    <row r="176" spans="2:4" ht="15.75" thickBot="1" x14ac:dyDescent="0.3">
      <c r="B176" s="50" t="s">
        <v>230</v>
      </c>
      <c r="C176" s="28"/>
      <c r="D176" s="16">
        <f>SUM(D171:D175)</f>
        <v>119</v>
      </c>
    </row>
    <row r="189" spans="2:5" ht="15.75" thickBot="1" x14ac:dyDescent="0.3"/>
    <row r="190" spans="2:5" x14ac:dyDescent="0.25">
      <c r="B190" s="93" t="s">
        <v>303</v>
      </c>
      <c r="C190" s="94"/>
      <c r="D190" s="94"/>
      <c r="E190" s="95"/>
    </row>
    <row r="191" spans="2:5" x14ac:dyDescent="0.25">
      <c r="B191" s="17" t="s">
        <v>298</v>
      </c>
      <c r="C191" s="18" t="s">
        <v>300</v>
      </c>
      <c r="D191" s="18" t="s">
        <v>301</v>
      </c>
      <c r="E191" s="19" t="s">
        <v>302</v>
      </c>
    </row>
    <row r="192" spans="2:5" x14ac:dyDescent="0.25">
      <c r="B192" s="8" t="s">
        <v>239</v>
      </c>
      <c r="C192" s="46">
        <f>COUNTIFS(Datos!B:B,"&gt;=18",Datos!B:B,"&lt;25")</f>
        <v>53</v>
      </c>
      <c r="D192" s="51">
        <f>COUNTIFS(Table1[P1],"&gt;=18",Table1[P1],"&lt;25",Table1[P19],"Totalmente de acuerdo") + COUNTIFS(Table1[P1],"&gt;=18",Table1[P1],"&lt;25",Table1[P19],"De acuerdo")</f>
        <v>26</v>
      </c>
      <c r="E192" s="52">
        <f>D192/C192</f>
        <v>0.49056603773584906</v>
      </c>
    </row>
    <row r="193" spans="2:6" x14ac:dyDescent="0.25">
      <c r="B193" s="8" t="s">
        <v>295</v>
      </c>
      <c r="C193" s="46">
        <f>COUNTIFS(Datos!B:B,"&gt;=25",Datos!B:B,"&lt;35")</f>
        <v>12</v>
      </c>
      <c r="D193" s="51">
        <f>COUNTIFS(Table1[P1],"&gt;=25",Table1[P1],"&lt;35",Table1[P19],"Totalmente de acuerdo") + COUNTIFS(Table1[P1],"&gt;=25",Table1[P1],"&lt;35",Table1[P19],"De acuerdo")</f>
        <v>6</v>
      </c>
      <c r="E193" s="52">
        <f t="shared" ref="E193:E195" si="0">D193/C193</f>
        <v>0.5</v>
      </c>
    </row>
    <row r="194" spans="2:6" x14ac:dyDescent="0.25">
      <c r="B194" s="13" t="s">
        <v>296</v>
      </c>
      <c r="C194" s="53">
        <f>COUNTIFS(Datos!B:B,"&gt;=35",Datos!B:B,"&lt;50")</f>
        <v>21</v>
      </c>
      <c r="D194" s="54">
        <f>COUNTIFS(Table1[P1],"&gt;=35",Table1[P1],"&lt;50",Table1[P19],"Totalmente de acuerdo") + COUNTIFS(Table1[P1],"&gt;=35",Table1[P1],"&lt;50",Table1[P19],"De acuerdo")</f>
        <v>12</v>
      </c>
      <c r="E194" s="52">
        <f t="shared" si="0"/>
        <v>0.5714285714285714</v>
      </c>
    </row>
    <row r="195" spans="2:6" ht="15.75" thickBot="1" x14ac:dyDescent="0.3">
      <c r="B195" s="55" t="s">
        <v>240</v>
      </c>
      <c r="C195" s="47">
        <f>COUNTIF(Datos!B:B,"&gt;=50")</f>
        <v>33</v>
      </c>
      <c r="D195" s="56">
        <f>COUNTIFS(Table1[P1],"&gt;=50",Table1[P19],"Totalmente de acuerdo") + COUNTIFS(Table1[P1],"&gt;=50",Table1[P19],"De acuerdo")</f>
        <v>15</v>
      </c>
      <c r="E195" s="52">
        <f t="shared" si="0"/>
        <v>0.45454545454545453</v>
      </c>
    </row>
    <row r="196" spans="2:6" ht="15.75" thickBot="1" x14ac:dyDescent="0.3">
      <c r="B196" s="15" t="s">
        <v>230</v>
      </c>
      <c r="C196" s="57">
        <f>SUM(C192:C195)</f>
        <v>119</v>
      </c>
      <c r="D196" s="57"/>
      <c r="E196" s="16"/>
    </row>
    <row r="207" spans="2:6" ht="15.75" thickBot="1" x14ac:dyDescent="0.3"/>
    <row r="208" spans="2:6" x14ac:dyDescent="0.25">
      <c r="B208" s="98" t="s">
        <v>304</v>
      </c>
      <c r="C208" s="99"/>
      <c r="D208" s="99"/>
      <c r="E208" s="99"/>
      <c r="F208" s="100"/>
    </row>
    <row r="209" spans="2:6" x14ac:dyDescent="0.25">
      <c r="B209" s="17" t="s">
        <v>301</v>
      </c>
      <c r="C209" s="18" t="s">
        <v>305</v>
      </c>
      <c r="D209" s="20" t="s">
        <v>306</v>
      </c>
      <c r="E209" s="18" t="s">
        <v>311</v>
      </c>
      <c r="F209" s="19" t="s">
        <v>312</v>
      </c>
    </row>
    <row r="210" spans="2:6" x14ac:dyDescent="0.25">
      <c r="B210" s="8" t="s">
        <v>299</v>
      </c>
      <c r="C210" s="46">
        <f>COUNTIFS(Datos!D:D,"Masculino", Datos!W:W,"Totalmente de acuerdo")</f>
        <v>7</v>
      </c>
      <c r="D210" s="51">
        <f>COUNTIFS(Datos!D:D,"Femenino", Datos!W:W,"Totalmente de acuerdo")</f>
        <v>17</v>
      </c>
      <c r="E210" s="58">
        <f>C210/C$215</f>
        <v>0.18421052631578946</v>
      </c>
      <c r="F210" s="73">
        <f>D210/D$215</f>
        <v>0.20987654320987653</v>
      </c>
    </row>
    <row r="211" spans="2:6" x14ac:dyDescent="0.25">
      <c r="B211" s="8" t="s">
        <v>291</v>
      </c>
      <c r="C211" s="46">
        <f>COUNTIFS(Datos!D:D,"Masculino", Datos!W:W,"De acuerdo")</f>
        <v>9</v>
      </c>
      <c r="D211" s="51">
        <f>COUNTIFS(Datos!D:D,"Femenino", Datos!W:W,"De acuerdo")</f>
        <v>26</v>
      </c>
      <c r="E211" s="58">
        <f t="shared" ref="E211:F214" si="1">C211/C$215</f>
        <v>0.23684210526315788</v>
      </c>
      <c r="F211" s="73">
        <f t="shared" si="1"/>
        <v>0.32098765432098764</v>
      </c>
    </row>
    <row r="212" spans="2:6" x14ac:dyDescent="0.25">
      <c r="B212" s="13" t="s">
        <v>24</v>
      </c>
      <c r="C212" s="53">
        <f>COUNTIFS(Datos!D:D,"Masculino", Datos!W:W,"Neutral")</f>
        <v>12</v>
      </c>
      <c r="D212" s="54">
        <f>COUNTIFS(Datos!D:D,"Femenino", Datos!W:W,"Neutral")</f>
        <v>17</v>
      </c>
      <c r="E212" s="58">
        <f t="shared" si="1"/>
        <v>0.31578947368421051</v>
      </c>
      <c r="F212" s="73">
        <f t="shared" si="1"/>
        <v>0.20987654320987653</v>
      </c>
    </row>
    <row r="213" spans="2:6" x14ac:dyDescent="0.25">
      <c r="B213" s="59" t="s">
        <v>307</v>
      </c>
      <c r="C213" s="53">
        <f>COUNTIFS(Datos!D:D,"Masculino", Datos!W:W,"En desacuerdo")</f>
        <v>5</v>
      </c>
      <c r="D213" s="54">
        <f>COUNTIFS(Datos!D:D,"Femenino", Datos!W:W,"En desacuerdo")</f>
        <v>14</v>
      </c>
      <c r="E213" s="58">
        <f t="shared" si="1"/>
        <v>0.13157894736842105</v>
      </c>
      <c r="F213" s="73">
        <f t="shared" si="1"/>
        <v>0.1728395061728395</v>
      </c>
    </row>
    <row r="214" spans="2:6" ht="15.75" thickBot="1" x14ac:dyDescent="0.3">
      <c r="B214" s="55" t="s">
        <v>308</v>
      </c>
      <c r="C214" s="47">
        <f>COUNTIFS(Datos!D:D,"Masculino", Datos!W:W,"Totalmente en desacuerdo")</f>
        <v>5</v>
      </c>
      <c r="D214" s="56">
        <f>COUNTIFS(Datos!D:D,"Femenino", Datos!W:W,"Totalmente en desacuerdo")</f>
        <v>7</v>
      </c>
      <c r="E214" s="58">
        <f t="shared" si="1"/>
        <v>0.13157894736842105</v>
      </c>
      <c r="F214" s="74">
        <f t="shared" si="1"/>
        <v>8.6419753086419748E-2</v>
      </c>
    </row>
    <row r="215" spans="2:6" x14ac:dyDescent="0.25">
      <c r="B215" s="60" t="s">
        <v>230</v>
      </c>
      <c r="C215" s="21">
        <f>SUM(C210:C214)</f>
        <v>38</v>
      </c>
      <c r="D215" s="22">
        <f>SUM(D210:D214)</f>
        <v>81</v>
      </c>
      <c r="E215" s="33"/>
      <c r="F215" s="22"/>
    </row>
    <row r="216" spans="2:6" ht="15.75" thickBot="1" x14ac:dyDescent="0.3">
      <c r="B216" s="55" t="s">
        <v>310</v>
      </c>
      <c r="C216" s="47">
        <f>SUM(C215:D215)</f>
        <v>119</v>
      </c>
      <c r="D216" s="35"/>
      <c r="E216" s="34"/>
      <c r="F216" s="35"/>
    </row>
    <row r="225" spans="2:6" ht="15.75" thickBot="1" x14ac:dyDescent="0.3"/>
    <row r="226" spans="2:6" x14ac:dyDescent="0.25">
      <c r="B226" s="98" t="s">
        <v>313</v>
      </c>
      <c r="C226" s="99"/>
      <c r="D226" s="99"/>
      <c r="E226" s="99"/>
      <c r="F226" s="100"/>
    </row>
    <row r="227" spans="2:6" x14ac:dyDescent="0.25">
      <c r="B227" s="17" t="s">
        <v>301</v>
      </c>
      <c r="C227" s="18" t="s">
        <v>242</v>
      </c>
      <c r="D227" s="20" t="s">
        <v>243</v>
      </c>
      <c r="E227" s="18" t="s">
        <v>244</v>
      </c>
      <c r="F227" s="19" t="s">
        <v>245</v>
      </c>
    </row>
    <row r="228" spans="2:6" x14ac:dyDescent="0.25">
      <c r="B228" s="8" t="s">
        <v>299</v>
      </c>
      <c r="C228" s="46">
        <f>COUNTIFS(Datos!G:G,1,Datos!W:W,"Totalmente de acuerdo")</f>
        <v>4</v>
      </c>
      <c r="D228" s="51">
        <f>COUNTIFS(Datos!G:G,2,Datos!W:W,"Totalmente de acuerdo")</f>
        <v>12</v>
      </c>
      <c r="E228" s="61">
        <f>COUNTIFS(Datos!G:G,3,Datos!W:W,"Totalmente de acuerdo")</f>
        <v>7</v>
      </c>
      <c r="F228" s="75">
        <f>COUNTIFS(Datos!G:G,"&gt;3",Datos!W:W,"Totalmente de acuerdo")</f>
        <v>1</v>
      </c>
    </row>
    <row r="229" spans="2:6" x14ac:dyDescent="0.25">
      <c r="B229" s="8" t="s">
        <v>291</v>
      </c>
      <c r="C229" s="46">
        <f>COUNTIFS(Datos!G:G,1,Datos!W:W,"De acuerdo")</f>
        <v>16</v>
      </c>
      <c r="D229" s="51">
        <f>COUNTIFS(Datos!G:G,2,Datos!W:W,"De acuerdo")</f>
        <v>15</v>
      </c>
      <c r="E229" s="61">
        <f>COUNTIFS(Datos!G:G,3,Datos!W:W,"De acuerdo")</f>
        <v>3</v>
      </c>
      <c r="F229" s="75">
        <f>COUNTIFS(Datos!G:G,"&gt;3",Datos!W:W,"De acuerdo")</f>
        <v>1</v>
      </c>
    </row>
    <row r="230" spans="2:6" x14ac:dyDescent="0.25">
      <c r="B230" s="13" t="s">
        <v>24</v>
      </c>
      <c r="C230" s="53">
        <f>COUNTIFS(Datos!G:G,1,Datos!W:W,"Neutral")</f>
        <v>11</v>
      </c>
      <c r="D230" s="54">
        <f>COUNTIFS(Datos!G:G,2,Datos!W:W,"Neutral")</f>
        <v>12</v>
      </c>
      <c r="E230" s="61">
        <f>COUNTIFS(Datos!G:G,3,Datos!W:W,"Neutral")</f>
        <v>4</v>
      </c>
      <c r="F230" s="75">
        <f>COUNTIFS(Datos!G:G,"&gt;3",Datos!W:W,"Neutral")</f>
        <v>2</v>
      </c>
    </row>
    <row r="231" spans="2:6" x14ac:dyDescent="0.25">
      <c r="B231" s="59" t="s">
        <v>307</v>
      </c>
      <c r="C231" s="53">
        <f>COUNTIFS(Datos!G:G,1,Datos!W:W,"En desacuerdo")</f>
        <v>10</v>
      </c>
      <c r="D231" s="54">
        <f>COUNTIFS(Datos!G:G,2,Datos!W:W,"En desacuerdo")</f>
        <v>8</v>
      </c>
      <c r="E231" s="61">
        <f>COUNTIFS(Datos!G:G,3,Datos!W:W,"En desacuerdo")</f>
        <v>0</v>
      </c>
      <c r="F231" s="75">
        <f>COUNTIFS(Datos!G:G,"&gt;3",Datos!W:W,"En desacuerdo")</f>
        <v>1</v>
      </c>
    </row>
    <row r="232" spans="2:6" ht="15.75" thickBot="1" x14ac:dyDescent="0.3">
      <c r="B232" s="55" t="s">
        <v>308</v>
      </c>
      <c r="C232" s="47">
        <f>COUNTIFS(Datos!G:G,1,Datos!W:W,"Totalmente en desacuerdo")</f>
        <v>5</v>
      </c>
      <c r="D232" s="56">
        <f>COUNTIFS(Datos!G:G,2,Datos!W:W,"Totalmente en desacuerdo")</f>
        <v>4</v>
      </c>
      <c r="E232" s="61">
        <f>COUNTIFS(Datos!G:G,3,Datos!W:W,"Totalmente en desacuerdo")</f>
        <v>3</v>
      </c>
      <c r="F232" s="76">
        <f>COUNTIFS(Datos!G:G,"&gt;3",Datos!W:W,"Totalmente en desacuerdo")</f>
        <v>0</v>
      </c>
    </row>
    <row r="233" spans="2:6" x14ac:dyDescent="0.25">
      <c r="B233" s="60" t="s">
        <v>230</v>
      </c>
      <c r="C233" s="21">
        <f>SUM(C228:C232)</f>
        <v>46</v>
      </c>
      <c r="D233" s="62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55" t="s">
        <v>310</v>
      </c>
      <c r="C234" s="47">
        <f>SUM(C233:F233)</f>
        <v>119</v>
      </c>
      <c r="D234" s="56"/>
      <c r="E234" s="47"/>
      <c r="F234" s="35"/>
    </row>
    <row r="236" spans="2:6" ht="15.75" thickBot="1" x14ac:dyDescent="0.3"/>
    <row r="237" spans="2:6" x14ac:dyDescent="0.25">
      <c r="B237" s="98" t="s">
        <v>313</v>
      </c>
      <c r="C237" s="99"/>
      <c r="D237" s="99"/>
      <c r="E237" s="99"/>
      <c r="F237" s="100"/>
    </row>
    <row r="238" spans="2:6" x14ac:dyDescent="0.25">
      <c r="B238" s="17" t="s">
        <v>301</v>
      </c>
      <c r="C238" s="18" t="s">
        <v>314</v>
      </c>
      <c r="D238" s="20" t="s">
        <v>315</v>
      </c>
      <c r="E238" s="18" t="s">
        <v>316</v>
      </c>
      <c r="F238" s="19" t="s">
        <v>317</v>
      </c>
    </row>
    <row r="239" spans="2:6" x14ac:dyDescent="0.25">
      <c r="B239" s="8" t="s">
        <v>299</v>
      </c>
      <c r="C239" s="63">
        <f>C228/C$233</f>
        <v>8.6956521739130432E-2</v>
      </c>
      <c r="D239" s="63">
        <f>D228/D$233</f>
        <v>0.23529411764705882</v>
      </c>
      <c r="E239" s="63">
        <f>E228/E$233</f>
        <v>0.41176470588235292</v>
      </c>
      <c r="F239" s="52">
        <f>F228/F$233</f>
        <v>0.2</v>
      </c>
    </row>
    <row r="240" spans="2:6" x14ac:dyDescent="0.25">
      <c r="B240" s="8" t="s">
        <v>291</v>
      </c>
      <c r="C240" s="63">
        <f t="shared" ref="C240:D243" si="2">C229/C$233</f>
        <v>0.34782608695652173</v>
      </c>
      <c r="D240" s="63">
        <f t="shared" si="2"/>
        <v>0.29411764705882354</v>
      </c>
      <c r="E240" s="63">
        <f t="shared" ref="E240:F240" si="3">E229/E$233</f>
        <v>0.17647058823529413</v>
      </c>
      <c r="F240" s="52">
        <f t="shared" si="3"/>
        <v>0.2</v>
      </c>
    </row>
    <row r="241" spans="2:7" x14ac:dyDescent="0.25">
      <c r="B241" s="13" t="s">
        <v>24</v>
      </c>
      <c r="C241" s="63">
        <f t="shared" si="2"/>
        <v>0.2391304347826087</v>
      </c>
      <c r="D241" s="63">
        <f t="shared" si="2"/>
        <v>0.23529411764705882</v>
      </c>
      <c r="E241" s="63">
        <f t="shared" ref="E241:F241" si="4">E230/E$233</f>
        <v>0.23529411764705882</v>
      </c>
      <c r="F241" s="52">
        <f t="shared" si="4"/>
        <v>0.4</v>
      </c>
    </row>
    <row r="242" spans="2:7" x14ac:dyDescent="0.25">
      <c r="B242" s="59" t="s">
        <v>307</v>
      </c>
      <c r="C242" s="63">
        <f t="shared" si="2"/>
        <v>0.21739130434782608</v>
      </c>
      <c r="D242" s="63">
        <f t="shared" si="2"/>
        <v>0.15686274509803921</v>
      </c>
      <c r="E242" s="63">
        <f t="shared" ref="E242:F242" si="5">E231/E$233</f>
        <v>0</v>
      </c>
      <c r="F242" s="52">
        <f t="shared" si="5"/>
        <v>0.2</v>
      </c>
    </row>
    <row r="243" spans="2:7" ht="15.75" thickBot="1" x14ac:dyDescent="0.3">
      <c r="B243" s="55" t="s">
        <v>308</v>
      </c>
      <c r="C243" s="64">
        <f t="shared" si="2"/>
        <v>0.10869565217391304</v>
      </c>
      <c r="D243" s="64">
        <f t="shared" si="2"/>
        <v>7.8431372549019607E-2</v>
      </c>
      <c r="E243" s="64">
        <f t="shared" ref="E243:F243" si="6">E232/E$233</f>
        <v>0.17647058823529413</v>
      </c>
      <c r="F243" s="65">
        <f t="shared" si="6"/>
        <v>0</v>
      </c>
    </row>
    <row r="244" spans="2:7" x14ac:dyDescent="0.25">
      <c r="B244" s="66"/>
      <c r="C244" s="66"/>
      <c r="D244" s="66"/>
      <c r="E244" s="66"/>
      <c r="F244" s="66"/>
    </row>
    <row r="245" spans="2:7" x14ac:dyDescent="0.25">
      <c r="B245" s="66"/>
      <c r="C245" s="66"/>
      <c r="D245" s="66"/>
      <c r="E245" s="66"/>
      <c r="F245" s="66"/>
    </row>
    <row r="252" spans="2:7" ht="15.75" thickBot="1" x14ac:dyDescent="0.3"/>
    <row r="253" spans="2:7" x14ac:dyDescent="0.25">
      <c r="B253" s="93" t="s">
        <v>318</v>
      </c>
      <c r="C253" s="94"/>
      <c r="D253" s="94"/>
      <c r="E253" s="94"/>
      <c r="F253" s="94"/>
      <c r="G253" s="95"/>
    </row>
    <row r="254" spans="2:7" x14ac:dyDescent="0.25">
      <c r="B254" s="17" t="s">
        <v>298</v>
      </c>
      <c r="C254" s="18" t="s">
        <v>300</v>
      </c>
      <c r="D254" s="18" t="s">
        <v>322</v>
      </c>
      <c r="E254" s="20" t="s">
        <v>319</v>
      </c>
      <c r="F254" s="18" t="s">
        <v>320</v>
      </c>
      <c r="G254" s="19" t="s">
        <v>321</v>
      </c>
    </row>
    <row r="255" spans="2:7" x14ac:dyDescent="0.25">
      <c r="B255" s="8" t="s">
        <v>239</v>
      </c>
      <c r="C255" s="46">
        <f>COUNTIFS(Datos!B:B,"&gt;=18",Datos!B:B,"&lt;25")</f>
        <v>53</v>
      </c>
      <c r="D255" s="51">
        <f>COUNTIFS(Datos!B:B,"&gt;=18",Datos!B:B,"&lt;25",Datos!M:M,0)</f>
        <v>3</v>
      </c>
      <c r="E255" s="67">
        <f>COUNTIFS(Datos!B:B,"&gt;=18",Datos!B:B,"&lt;25",Datos!M:M,1)</f>
        <v>21</v>
      </c>
      <c r="F255" s="4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295</v>
      </c>
      <c r="C256" s="46">
        <f>COUNTIFS(Datos!B:B,"&gt;=25",Datos!B:B,"&lt;35")</f>
        <v>12</v>
      </c>
      <c r="D256" s="51">
        <f>COUNTIFS(Datos!B:B,"&gt;=25",Datos!B:B,"&lt;35",Datos!M:M,0)</f>
        <v>0</v>
      </c>
      <c r="E256" s="67">
        <f>COUNTIFS(Datos!B:B,"&gt;=25",Datos!B:B,"&lt;35",Datos!M:M,1)</f>
        <v>2</v>
      </c>
      <c r="F256" s="4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296</v>
      </c>
      <c r="C257" s="53">
        <f>COUNTIFS(Datos!B:B,"&gt;=35",Datos!B:B,"&lt;50")</f>
        <v>21</v>
      </c>
      <c r="D257" s="54">
        <f>COUNTIFS(Datos!B:B,"&gt;=35",Datos!B:B,"&lt;50",Datos!M:M,0)</f>
        <v>1</v>
      </c>
      <c r="E257" s="67">
        <f>COUNTIFS(Datos!B:B,"&gt;=35",Datos!B:B,"&lt;50",Datos!M:M,1)</f>
        <v>12</v>
      </c>
      <c r="F257" s="4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55" t="s">
        <v>240</v>
      </c>
      <c r="C258" s="47">
        <f>COUNTIF(Datos!B:B,"&gt;=50")</f>
        <v>33</v>
      </c>
      <c r="D258" s="56">
        <f>COUNTIFS(Datos!B:B,"&gt;=50",Datos!M:M,0)</f>
        <v>2</v>
      </c>
      <c r="E258" s="67">
        <f>COUNTIFS(Datos!B:B,"&gt;=50",Datos!M:M,1)</f>
        <v>12</v>
      </c>
      <c r="F258" s="53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230</v>
      </c>
      <c r="C259" s="57">
        <f>SUM(D255:G258)</f>
        <v>119</v>
      </c>
      <c r="D259" s="57"/>
      <c r="E259" s="68"/>
      <c r="F259" s="57"/>
      <c r="G259" s="16"/>
    </row>
    <row r="261" spans="2:8" ht="15.75" thickBot="1" x14ac:dyDescent="0.3"/>
    <row r="262" spans="2:8" x14ac:dyDescent="0.25">
      <c r="B262" s="93" t="s">
        <v>318</v>
      </c>
      <c r="C262" s="94"/>
      <c r="D262" s="94"/>
      <c r="E262" s="94"/>
      <c r="F262" s="94"/>
      <c r="G262" s="95"/>
    </row>
    <row r="263" spans="2:8" x14ac:dyDescent="0.25">
      <c r="B263" s="17" t="s">
        <v>298</v>
      </c>
      <c r="C263" s="18" t="s">
        <v>300</v>
      </c>
      <c r="D263" s="18" t="s">
        <v>323</v>
      </c>
      <c r="E263" s="20" t="s">
        <v>324</v>
      </c>
      <c r="F263" s="18" t="s">
        <v>325</v>
      </c>
      <c r="G263" s="19" t="s">
        <v>326</v>
      </c>
    </row>
    <row r="264" spans="2:8" x14ac:dyDescent="0.25">
      <c r="B264" s="8" t="s">
        <v>239</v>
      </c>
      <c r="C264" s="46">
        <f>COUNTIFS(Datos!B:B,"&gt;=18",Datos!B:B,"&lt;25")</f>
        <v>53</v>
      </c>
      <c r="D264" s="70">
        <f>D255/C255</f>
        <v>5.6603773584905662E-2</v>
      </c>
      <c r="E264" s="70">
        <f>E255/C264</f>
        <v>0.39622641509433965</v>
      </c>
      <c r="F264" s="63">
        <f>F255/C255</f>
        <v>0.32075471698113206</v>
      </c>
      <c r="G264" s="52">
        <f>G255/C255</f>
        <v>0.22641509433962265</v>
      </c>
      <c r="H264" s="71"/>
    </row>
    <row r="265" spans="2:8" x14ac:dyDescent="0.25">
      <c r="B265" s="8" t="s">
        <v>295</v>
      </c>
      <c r="C265" s="46">
        <f>COUNTIFS(Datos!B:B,"&gt;=25",Datos!B:B,"&lt;35")</f>
        <v>12</v>
      </c>
      <c r="D265" s="70">
        <f>D256/C256</f>
        <v>0</v>
      </c>
      <c r="E265" s="70">
        <f t="shared" ref="E265:E267" si="7">E256/C265</f>
        <v>0.16666666666666666</v>
      </c>
      <c r="F265" s="63">
        <f t="shared" ref="F265:F267" si="8">F256/C256</f>
        <v>0.66666666666666663</v>
      </c>
      <c r="G265" s="52">
        <f t="shared" ref="G265:G267" si="9">G256/C256</f>
        <v>0.16666666666666666</v>
      </c>
    </row>
    <row r="266" spans="2:8" x14ac:dyDescent="0.25">
      <c r="B266" s="13" t="s">
        <v>296</v>
      </c>
      <c r="C266" s="53">
        <f>COUNTIFS(Datos!B:B,"&gt;=35",Datos!B:B,"&lt;50")</f>
        <v>21</v>
      </c>
      <c r="D266" s="70">
        <f>D257/C257</f>
        <v>4.7619047619047616E-2</v>
      </c>
      <c r="E266" s="70">
        <f t="shared" si="7"/>
        <v>0.5714285714285714</v>
      </c>
      <c r="F266" s="63">
        <f t="shared" si="8"/>
        <v>0.2857142857142857</v>
      </c>
      <c r="G266" s="52">
        <f t="shared" si="9"/>
        <v>9.5238095238095233E-2</v>
      </c>
    </row>
    <row r="267" spans="2:8" ht="15.75" thickBot="1" x14ac:dyDescent="0.3">
      <c r="B267" s="55" t="s">
        <v>240</v>
      </c>
      <c r="C267" s="47">
        <f>COUNTIF(Datos!B:B,"&gt;=50")</f>
        <v>33</v>
      </c>
      <c r="D267" s="70">
        <f>D258/C258</f>
        <v>6.0606060606060608E-2</v>
      </c>
      <c r="E267" s="70">
        <f t="shared" si="7"/>
        <v>0.36363636363636365</v>
      </c>
      <c r="F267" s="63">
        <f t="shared" si="8"/>
        <v>0.39393939393939392</v>
      </c>
      <c r="G267" s="52">
        <f t="shared" si="9"/>
        <v>0.18181818181818182</v>
      </c>
    </row>
    <row r="268" spans="2:8" x14ac:dyDescent="0.25">
      <c r="B268" s="69"/>
      <c r="C268" s="36"/>
      <c r="D268" s="36"/>
      <c r="E268" s="36"/>
      <c r="F268" s="36"/>
      <c r="G268" s="36"/>
    </row>
    <row r="274" spans="2:6" ht="15.75" thickBot="1" x14ac:dyDescent="0.3"/>
    <row r="275" spans="2:6" x14ac:dyDescent="0.25">
      <c r="B275" s="98" t="s">
        <v>304</v>
      </c>
      <c r="C275" s="99"/>
      <c r="D275" s="99"/>
      <c r="E275" s="99"/>
      <c r="F275" s="100"/>
    </row>
    <row r="276" spans="2:6" x14ac:dyDescent="0.25">
      <c r="B276" s="17" t="s">
        <v>301</v>
      </c>
      <c r="C276" s="18" t="s">
        <v>305</v>
      </c>
      <c r="D276" s="20" t="s">
        <v>306</v>
      </c>
      <c r="E276" s="18" t="s">
        <v>311</v>
      </c>
      <c r="F276" s="19" t="s">
        <v>312</v>
      </c>
    </row>
    <row r="277" spans="2:6" x14ac:dyDescent="0.25">
      <c r="B277" s="8" t="s">
        <v>322</v>
      </c>
      <c r="C277" s="46">
        <f>COUNTIFS(Datos!D:D,"Masculino",Datos!M:M,0)</f>
        <v>1</v>
      </c>
      <c r="D277" s="51">
        <f>COUNTIFS(Datos!D:D,"Femenino",Datos!M:M,0)</f>
        <v>5</v>
      </c>
      <c r="E277" s="58">
        <f>C277/C$281</f>
        <v>2.6315789473684209E-2</v>
      </c>
      <c r="F277" s="73">
        <f>D277/D$281</f>
        <v>6.1728395061728392E-2</v>
      </c>
    </row>
    <row r="278" spans="2:6" x14ac:dyDescent="0.25">
      <c r="B278" s="8" t="s">
        <v>319</v>
      </c>
      <c r="C278" s="46">
        <f>COUNTIFS(Datos!D:D,"Masculino",Datos!M:M,1)</f>
        <v>13</v>
      </c>
      <c r="D278" s="51">
        <f>COUNTIFS(Datos!D:D,"Femenino",Datos!M:M,1)</f>
        <v>34</v>
      </c>
      <c r="E278" s="58">
        <f t="shared" ref="E278:F280" si="10">C278/C$281</f>
        <v>0.34210526315789475</v>
      </c>
      <c r="F278" s="73">
        <f t="shared" si="10"/>
        <v>0.41975308641975306</v>
      </c>
    </row>
    <row r="279" spans="2:6" x14ac:dyDescent="0.25">
      <c r="B279" s="13" t="s">
        <v>320</v>
      </c>
      <c r="C279" s="53">
        <f>COUNTIFS(Datos!D:D,"Masculino",Datos!M:M,2)</f>
        <v>15</v>
      </c>
      <c r="D279" s="54">
        <f>COUNTIFS(Datos!D:D,"Femenino",Datos!M:M,2)</f>
        <v>29</v>
      </c>
      <c r="E279" s="58">
        <f t="shared" si="10"/>
        <v>0.39473684210526316</v>
      </c>
      <c r="F279" s="73">
        <f t="shared" si="10"/>
        <v>0.35802469135802467</v>
      </c>
    </row>
    <row r="280" spans="2:6" ht="15.75" thickBot="1" x14ac:dyDescent="0.3">
      <c r="B280" s="59" t="s">
        <v>321</v>
      </c>
      <c r="C280" s="53">
        <f>COUNTIFS(Datos!D:D,"Masculino",Datos!M:M,3)</f>
        <v>9</v>
      </c>
      <c r="D280" s="54">
        <f>COUNTIFS(Datos!D:D,"Femenino",Datos!M:M,3)</f>
        <v>13</v>
      </c>
      <c r="E280" s="58">
        <f t="shared" si="10"/>
        <v>0.23684210526315788</v>
      </c>
      <c r="F280" s="74">
        <f t="shared" si="10"/>
        <v>0.16049382716049382</v>
      </c>
    </row>
    <row r="281" spans="2:6" x14ac:dyDescent="0.25">
      <c r="B281" s="60" t="s">
        <v>230</v>
      </c>
      <c r="C281" s="21">
        <f>SUM(C277:C280)</f>
        <v>38</v>
      </c>
      <c r="D281" s="22">
        <f>SUM(D277:D280)</f>
        <v>81</v>
      </c>
      <c r="E281" s="33"/>
      <c r="F281" s="22"/>
    </row>
    <row r="282" spans="2:6" ht="15.75" thickBot="1" x14ac:dyDescent="0.3">
      <c r="B282" s="55" t="s">
        <v>310</v>
      </c>
      <c r="C282" s="47">
        <f>SUM(C281:D281)</f>
        <v>119</v>
      </c>
      <c r="D282" s="35"/>
      <c r="E282" s="34"/>
      <c r="F282" s="35"/>
    </row>
    <row r="290" spans="2:6" ht="15.75" thickBot="1" x14ac:dyDescent="0.3"/>
    <row r="291" spans="2:6" x14ac:dyDescent="0.25">
      <c r="B291" s="98" t="s">
        <v>313</v>
      </c>
      <c r="C291" s="99"/>
      <c r="D291" s="99"/>
      <c r="E291" s="99"/>
      <c r="F291" s="100"/>
    </row>
    <row r="292" spans="2:6" x14ac:dyDescent="0.25">
      <c r="B292" s="17" t="s">
        <v>301</v>
      </c>
      <c r="C292" s="18" t="s">
        <v>242</v>
      </c>
      <c r="D292" s="20" t="s">
        <v>243</v>
      </c>
      <c r="E292" s="18" t="s">
        <v>244</v>
      </c>
      <c r="F292" s="19" t="s">
        <v>245</v>
      </c>
    </row>
    <row r="293" spans="2:6" x14ac:dyDescent="0.25">
      <c r="B293" s="8" t="s">
        <v>322</v>
      </c>
      <c r="C293" s="46">
        <f>COUNTIFS(Datos!G:G,1,Datos!M:M,0)</f>
        <v>3</v>
      </c>
      <c r="D293" s="51">
        <f>COUNTIFS(Datos!G:G,2,Datos!M:M,0)</f>
        <v>3</v>
      </c>
      <c r="E293" s="61">
        <f>COUNTIFS(Datos!G:G,3,Datos!M:M,0)</f>
        <v>0</v>
      </c>
      <c r="F293" s="61">
        <f>COUNTIFS(Datos!G:G,"&gt;3",Datos!M:M,0)</f>
        <v>0</v>
      </c>
    </row>
    <row r="294" spans="2:6" x14ac:dyDescent="0.25">
      <c r="B294" s="8" t="s">
        <v>319</v>
      </c>
      <c r="C294" s="46">
        <f>COUNTIFS(Datos!G:G,1,Datos!M:M,1)</f>
        <v>22</v>
      </c>
      <c r="D294" s="51">
        <f>COUNTIFS(Datos!G:G,2,Datos!M:M,1)</f>
        <v>20</v>
      </c>
      <c r="E294" s="61">
        <f>COUNTIFS(Datos!G:G,3,Datos!M:M,1)</f>
        <v>5</v>
      </c>
      <c r="F294" s="61">
        <f>COUNTIFS(Datos!G:G,"&gt;3",Datos!M:M,1)</f>
        <v>0</v>
      </c>
    </row>
    <row r="295" spans="2:6" x14ac:dyDescent="0.25">
      <c r="B295" s="13" t="s">
        <v>320</v>
      </c>
      <c r="C295" s="53">
        <f>COUNTIFS(Datos!G:G,1,Datos!M:M,2)</f>
        <v>17</v>
      </c>
      <c r="D295" s="54">
        <f>COUNTIFS(Datos!G:G,2,Datos!M:M,2)</f>
        <v>20</v>
      </c>
      <c r="E295" s="61">
        <f>COUNTIFS(Datos!G:G,3,Datos!M:M,2)</f>
        <v>5</v>
      </c>
      <c r="F295" s="61">
        <f>COUNTIFS(Datos!G:G,"&gt;3",Datos!M:M,2)</f>
        <v>2</v>
      </c>
    </row>
    <row r="296" spans="2:6" ht="15.75" thickBot="1" x14ac:dyDescent="0.3">
      <c r="B296" s="59" t="s">
        <v>321</v>
      </c>
      <c r="C296" s="53">
        <f>COUNTIFS(Datos!G:G,1,Datos!M:M,3)</f>
        <v>4</v>
      </c>
      <c r="D296" s="54">
        <f>COUNTIFS(Datos!G:G,2,Datos!M:M,3)</f>
        <v>8</v>
      </c>
      <c r="E296" s="61">
        <f>COUNTIFS(Datos!G:G,3,Datos!M:M,3)</f>
        <v>7</v>
      </c>
      <c r="F296" s="61">
        <f>COUNTIFS(Datos!G:G,"&gt;3",Datos!M:M,3)</f>
        <v>3</v>
      </c>
    </row>
    <row r="297" spans="2:6" x14ac:dyDescent="0.25">
      <c r="B297" s="60" t="s">
        <v>230</v>
      </c>
      <c r="C297" s="21">
        <f>SUM(C293:C296)</f>
        <v>46</v>
      </c>
      <c r="D297" s="62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55" t="s">
        <v>310</v>
      </c>
      <c r="C298" s="47">
        <f>SUM(C297:F297)</f>
        <v>119</v>
      </c>
      <c r="D298" s="56"/>
      <c r="E298" s="47"/>
      <c r="F298" s="35"/>
    </row>
    <row r="301" spans="2:6" ht="15.75" thickBot="1" x14ac:dyDescent="0.3"/>
    <row r="302" spans="2:6" x14ac:dyDescent="0.25">
      <c r="B302" s="98" t="s">
        <v>313</v>
      </c>
      <c r="C302" s="99"/>
      <c r="D302" s="99"/>
      <c r="E302" s="99"/>
      <c r="F302" s="100"/>
    </row>
    <row r="303" spans="2:6" x14ac:dyDescent="0.25">
      <c r="B303" s="17" t="s">
        <v>301</v>
      </c>
      <c r="C303" s="18" t="s">
        <v>314</v>
      </c>
      <c r="D303" s="20" t="s">
        <v>315</v>
      </c>
      <c r="E303" s="18" t="s">
        <v>316</v>
      </c>
      <c r="F303" s="19" t="s">
        <v>317</v>
      </c>
    </row>
    <row r="304" spans="2:6" x14ac:dyDescent="0.25">
      <c r="B304" s="8" t="s">
        <v>322</v>
      </c>
      <c r="C304" s="63">
        <f>C293/C$297</f>
        <v>6.5217391304347824E-2</v>
      </c>
      <c r="D304" s="63">
        <f>D293/D$297</f>
        <v>5.8823529411764705E-2</v>
      </c>
      <c r="E304" s="63">
        <f>E293/E$297</f>
        <v>0</v>
      </c>
      <c r="F304" s="52">
        <f>F293/F$297</f>
        <v>0</v>
      </c>
    </row>
    <row r="305" spans="2:6" x14ac:dyDescent="0.25">
      <c r="B305" s="8" t="s">
        <v>319</v>
      </c>
      <c r="C305" s="63">
        <f t="shared" ref="C305:D307" si="11">C294/C$297</f>
        <v>0.47826086956521741</v>
      </c>
      <c r="D305" s="63">
        <f t="shared" si="11"/>
        <v>0.39215686274509803</v>
      </c>
      <c r="E305" s="63">
        <f t="shared" ref="E305:F305" si="12">E294/E$297</f>
        <v>0.29411764705882354</v>
      </c>
      <c r="F305" s="52">
        <f t="shared" si="12"/>
        <v>0</v>
      </c>
    </row>
    <row r="306" spans="2:6" x14ac:dyDescent="0.25">
      <c r="B306" s="13" t="s">
        <v>320</v>
      </c>
      <c r="C306" s="63">
        <f t="shared" si="11"/>
        <v>0.36956521739130432</v>
      </c>
      <c r="D306" s="63">
        <f t="shared" si="11"/>
        <v>0.39215686274509803</v>
      </c>
      <c r="E306" s="63">
        <f t="shared" ref="E306:F306" si="13">E295/E$297</f>
        <v>0.29411764705882354</v>
      </c>
      <c r="F306" s="52">
        <f t="shared" si="13"/>
        <v>0.4</v>
      </c>
    </row>
    <row r="307" spans="2:6" ht="15.75" thickBot="1" x14ac:dyDescent="0.3">
      <c r="B307" s="59" t="s">
        <v>321</v>
      </c>
      <c r="C307" s="63">
        <f t="shared" si="11"/>
        <v>8.6956521739130432E-2</v>
      </c>
      <c r="D307" s="63">
        <f t="shared" si="11"/>
        <v>0.15686274509803921</v>
      </c>
      <c r="E307" s="63">
        <f t="shared" ref="E307:F307" si="14">E296/E$297</f>
        <v>0.41176470588235292</v>
      </c>
      <c r="F307" s="65">
        <f t="shared" si="14"/>
        <v>0.6</v>
      </c>
    </row>
    <row r="308" spans="2:6" x14ac:dyDescent="0.25">
      <c r="B308" s="69"/>
      <c r="C308" s="72"/>
      <c r="D308" s="72"/>
      <c r="E308" s="72"/>
      <c r="F308" s="72"/>
    </row>
    <row r="315" spans="2:6" ht="15.75" thickBot="1" x14ac:dyDescent="0.3"/>
    <row r="316" spans="2:6" x14ac:dyDescent="0.25">
      <c r="B316" s="93" t="s">
        <v>327</v>
      </c>
      <c r="C316" s="94"/>
      <c r="D316" s="94"/>
      <c r="E316" s="95"/>
    </row>
    <row r="317" spans="2:6" x14ac:dyDescent="0.25">
      <c r="B317" s="17" t="s">
        <v>298</v>
      </c>
      <c r="C317" s="18" t="s">
        <v>300</v>
      </c>
      <c r="D317" s="18" t="s">
        <v>301</v>
      </c>
      <c r="E317" s="19" t="s">
        <v>302</v>
      </c>
    </row>
    <row r="318" spans="2:6" x14ac:dyDescent="0.25">
      <c r="B318" s="8" t="s">
        <v>239</v>
      </c>
      <c r="C318" s="46">
        <f>COUNTIFS(Datos!B:B,"&gt;=18",Datos!B:B,"&lt;25")</f>
        <v>53</v>
      </c>
      <c r="D318" s="51">
        <f>COUNTIFS(Table1[P1],"&gt;=18",Table1[P1],"&lt;25",Table1[P10],"Totalmente de acuerdo") + COUNTIFS(Table1[P1],"&gt;=18",Table1[P1],"&lt;25",Table1[P10],"De acuerdo")</f>
        <v>25</v>
      </c>
      <c r="E318" s="52">
        <f>D318/C318</f>
        <v>0.47169811320754718</v>
      </c>
    </row>
    <row r="319" spans="2:6" x14ac:dyDescent="0.25">
      <c r="B319" s="8" t="s">
        <v>295</v>
      </c>
      <c r="C319" s="46">
        <f>COUNTIFS(Datos!B:B,"&gt;=25",Datos!B:B,"&lt;35")</f>
        <v>12</v>
      </c>
      <c r="D319" s="51">
        <f>COUNTIFS(Table1[P1],"&gt;=25",Table1[P1],"&lt;35",Table1[P10],"Totalmente de acuerdo") + COUNTIFS(Table1[P1],"&gt;=25",Table1[P1],"&lt;35",Table1[P10],"De acuerdo")</f>
        <v>1</v>
      </c>
      <c r="E319" s="52">
        <f t="shared" ref="E319:E321" si="15">D319/C319</f>
        <v>8.3333333333333329E-2</v>
      </c>
    </row>
    <row r="320" spans="2:6" x14ac:dyDescent="0.25">
      <c r="B320" s="13" t="s">
        <v>296</v>
      </c>
      <c r="C320" s="53">
        <f>COUNTIFS(Datos!B:B,"&gt;=35",Datos!B:B,"&lt;50")</f>
        <v>21</v>
      </c>
      <c r="D320" s="54">
        <f>COUNTIFS(Table1[P1],"&gt;=35",Table1[P1],"&lt;50",Table1[P10],"Totalmente de acuerdo") + COUNTIFS(Table1[P1],"&gt;=35",Table1[P1],"&lt;50",Table1[P10],"De acuerdo")</f>
        <v>2</v>
      </c>
      <c r="E320" s="52">
        <f t="shared" si="15"/>
        <v>9.5238095238095233E-2</v>
      </c>
    </row>
    <row r="321" spans="2:6" ht="15.75" thickBot="1" x14ac:dyDescent="0.3">
      <c r="B321" s="55" t="s">
        <v>240</v>
      </c>
      <c r="C321" s="47">
        <f>COUNTIF(Datos!B:B,"&gt;=50")</f>
        <v>33</v>
      </c>
      <c r="D321" s="56">
        <f>COUNTIFS(Table1[P1],"&gt;=50",Table1[P19],"Totalmente de acuerdo") + COUNTIFS(Table1[P1],"&gt;=50",Table1[P19],"De acuerdo")</f>
        <v>15</v>
      </c>
      <c r="E321" s="52">
        <f t="shared" si="15"/>
        <v>0.45454545454545453</v>
      </c>
    </row>
    <row r="322" spans="2:6" ht="15.75" thickBot="1" x14ac:dyDescent="0.3">
      <c r="B322" s="15" t="s">
        <v>230</v>
      </c>
      <c r="C322" s="57">
        <f>SUM(C318:C321)</f>
        <v>119</v>
      </c>
      <c r="D322" s="57"/>
      <c r="E322" s="16"/>
    </row>
    <row r="333" spans="2:6" ht="15.75" thickBot="1" x14ac:dyDescent="0.3"/>
    <row r="334" spans="2:6" x14ac:dyDescent="0.25">
      <c r="B334" s="98" t="s">
        <v>328</v>
      </c>
      <c r="C334" s="99"/>
      <c r="D334" s="99"/>
      <c r="E334" s="99"/>
      <c r="F334" s="100"/>
    </row>
    <row r="335" spans="2:6" x14ac:dyDescent="0.25">
      <c r="B335" s="17" t="s">
        <v>301</v>
      </c>
      <c r="C335" s="18" t="s">
        <v>305</v>
      </c>
      <c r="D335" s="20" t="s">
        <v>306</v>
      </c>
      <c r="E335" s="18" t="s">
        <v>311</v>
      </c>
      <c r="F335" s="19" t="s">
        <v>312</v>
      </c>
    </row>
    <row r="336" spans="2:6" x14ac:dyDescent="0.25">
      <c r="B336" s="8" t="s">
        <v>299</v>
      </c>
      <c r="C336" s="46">
        <f>COUNTIFS(Datos!D:D,"Masculino", Datos!N:N,"Totalmente de acuerdo")</f>
        <v>3</v>
      </c>
      <c r="D336" s="51">
        <f>COUNTIFS(Datos!D:D,"Femenino", Datos!N:N,"Totalmente de acuerdo")</f>
        <v>13</v>
      </c>
      <c r="E336" s="58">
        <f>C336/C$341</f>
        <v>7.8947368421052627E-2</v>
      </c>
      <c r="F336" s="58">
        <f>D336/D$341</f>
        <v>0.16049382716049382</v>
      </c>
    </row>
    <row r="337" spans="2:6" x14ac:dyDescent="0.25">
      <c r="B337" s="8" t="s">
        <v>291</v>
      </c>
      <c r="C337" s="46">
        <f>COUNTIFS(Datos!D:D,"Masculino", Datos!N:N,"De acuerdo")</f>
        <v>5</v>
      </c>
      <c r="D337" s="51">
        <f>COUNTIFS(Datos!D:D,"Femenino", Datos!N:N,"De acuerdo")</f>
        <v>18</v>
      </c>
      <c r="E337" s="58">
        <f t="shared" ref="E337:F340" si="16">C337/C$341</f>
        <v>0.13157894736842105</v>
      </c>
      <c r="F337" s="58">
        <f t="shared" si="16"/>
        <v>0.22222222222222221</v>
      </c>
    </row>
    <row r="338" spans="2:6" x14ac:dyDescent="0.25">
      <c r="B338" s="13" t="s">
        <v>24</v>
      </c>
      <c r="C338" s="53">
        <f>COUNTIFS(Datos!D:D,"Masculino", Datos!N:N,"Neutral")</f>
        <v>16</v>
      </c>
      <c r="D338" s="54">
        <f>COUNTIFS(Datos!D:D,"Femenino", Datos!N:N,"Neutral")</f>
        <v>25</v>
      </c>
      <c r="E338" s="58">
        <f t="shared" si="16"/>
        <v>0.42105263157894735</v>
      </c>
      <c r="F338" s="58">
        <f t="shared" si="16"/>
        <v>0.30864197530864196</v>
      </c>
    </row>
    <row r="339" spans="2:6" x14ac:dyDescent="0.25">
      <c r="B339" s="59" t="s">
        <v>307</v>
      </c>
      <c r="C339" s="53">
        <f>COUNTIFS(Datos!D:D,"Masculino", Datos!N:N,"En desacuerdo")</f>
        <v>8</v>
      </c>
      <c r="D339" s="54">
        <f>COUNTIFS(Datos!D:D,"Femenino", Datos!N:N,"En desacuerdo")</f>
        <v>18</v>
      </c>
      <c r="E339" s="58">
        <f t="shared" si="16"/>
        <v>0.21052631578947367</v>
      </c>
      <c r="F339" s="58">
        <f t="shared" si="16"/>
        <v>0.22222222222222221</v>
      </c>
    </row>
    <row r="340" spans="2:6" ht="15.75" thickBot="1" x14ac:dyDescent="0.3">
      <c r="B340" s="55" t="s">
        <v>308</v>
      </c>
      <c r="C340" s="47">
        <f>COUNTIFS(Datos!D:D,"Masculino", Datos!N:N,"Totalmente en desacuerdo")</f>
        <v>6</v>
      </c>
      <c r="D340" s="56">
        <f>COUNTIFS(Datos!D:D,"Femenino", Datos!N:N,"Totalmente en desacuerdo")</f>
        <v>7</v>
      </c>
      <c r="E340" s="58">
        <f t="shared" si="16"/>
        <v>0.15789473684210525</v>
      </c>
      <c r="F340" s="58">
        <f t="shared" si="16"/>
        <v>8.6419753086419748E-2</v>
      </c>
    </row>
    <row r="341" spans="2:6" x14ac:dyDescent="0.25">
      <c r="B341" s="60" t="s">
        <v>230</v>
      </c>
      <c r="C341" s="21">
        <f>SUM(C336:C340)</f>
        <v>38</v>
      </c>
      <c r="D341" s="22">
        <f>SUM(D336:D340)</f>
        <v>81</v>
      </c>
      <c r="E341" s="33"/>
      <c r="F341" s="22"/>
    </row>
    <row r="342" spans="2:6" ht="15.75" thickBot="1" x14ac:dyDescent="0.3">
      <c r="B342" s="55" t="s">
        <v>310</v>
      </c>
      <c r="C342" s="47">
        <f>SUM(C341:D341)</f>
        <v>119</v>
      </c>
      <c r="D342" s="35"/>
      <c r="E342" s="34"/>
      <c r="F342" s="35"/>
    </row>
    <row r="351" spans="2:6" ht="15.75" thickBot="1" x14ac:dyDescent="0.3"/>
    <row r="352" spans="2:6" x14ac:dyDescent="0.25">
      <c r="B352" s="98" t="s">
        <v>329</v>
      </c>
      <c r="C352" s="99"/>
      <c r="D352" s="99"/>
      <c r="E352" s="99"/>
      <c r="F352" s="100"/>
    </row>
    <row r="353" spans="2:6" x14ac:dyDescent="0.25">
      <c r="B353" s="17" t="s">
        <v>301</v>
      </c>
      <c r="C353" s="18" t="s">
        <v>242</v>
      </c>
      <c r="D353" s="20" t="s">
        <v>243</v>
      </c>
      <c r="E353" s="18" t="s">
        <v>244</v>
      </c>
      <c r="F353" s="19" t="s">
        <v>245</v>
      </c>
    </row>
    <row r="354" spans="2:6" x14ac:dyDescent="0.25">
      <c r="B354" s="8" t="s">
        <v>299</v>
      </c>
      <c r="C354" s="46">
        <f>COUNTIFS(Datos!G:G,1,Datos!N:N,"Totalmente de acuerdo")</f>
        <v>6</v>
      </c>
      <c r="D354" s="51">
        <f>COUNTIFS(Datos!G:G,2,Datos!N:N,"Totalmente de acuerdo")</f>
        <v>7</v>
      </c>
      <c r="E354" s="61">
        <f>COUNTIFS(Datos!G:G,3,Datos!N:N,"Totalmente de acuerdo")</f>
        <v>3</v>
      </c>
      <c r="F354" s="61">
        <f>COUNTIFS(Datos!G:G,"&gt;3",Datos!N:N,"Totalmente de acuerdo")</f>
        <v>0</v>
      </c>
    </row>
    <row r="355" spans="2:6" x14ac:dyDescent="0.25">
      <c r="B355" s="8" t="s">
        <v>291</v>
      </c>
      <c r="C355" s="46">
        <f>COUNTIFS(Datos!G:G,1,Datos!N:N,"De acuerdo")</f>
        <v>11</v>
      </c>
      <c r="D355" s="51">
        <f>COUNTIFS(Datos!G:G,2,Datos!N:N,"De acuerdo")</f>
        <v>7</v>
      </c>
      <c r="E355" s="61">
        <f>COUNTIFS(Datos!G:G,3,Datos!N:N,"De acuerdo")</f>
        <v>4</v>
      </c>
      <c r="F355" s="61">
        <f>COUNTIFS(Datos!G:G,"&gt;3",Datos!N:N,"De acuerdo")</f>
        <v>1</v>
      </c>
    </row>
    <row r="356" spans="2:6" x14ac:dyDescent="0.25">
      <c r="B356" s="13" t="s">
        <v>24</v>
      </c>
      <c r="C356" s="53">
        <f>COUNTIFS(Datos!G:G,1,Datos!N:N,"Neutral")</f>
        <v>18</v>
      </c>
      <c r="D356" s="54">
        <f>COUNTIFS(Datos!G:G,2,Datos!N:N,"Neutral")</f>
        <v>16</v>
      </c>
      <c r="E356" s="61">
        <f>COUNTIFS(Datos!G:G,3,Datos!N:N,"Neutral")</f>
        <v>5</v>
      </c>
      <c r="F356" s="61">
        <f>COUNTIFS(Datos!G:G,"&gt;3",Datos!N:N,"Neutral")</f>
        <v>2</v>
      </c>
    </row>
    <row r="357" spans="2:6" x14ac:dyDescent="0.25">
      <c r="B357" s="59" t="s">
        <v>307</v>
      </c>
      <c r="C357" s="53">
        <f>COUNTIFS(Datos!G:G,1,Datos!N:N,"En desacuerdo")</f>
        <v>7</v>
      </c>
      <c r="D357" s="54">
        <f>COUNTIFS(Datos!G:G,2,Datos!N:N,"En desacuerdo")</f>
        <v>13</v>
      </c>
      <c r="E357" s="61">
        <f>COUNTIFS(Datos!G:G,3,Datos!N:N,"En desacuerdo")</f>
        <v>4</v>
      </c>
      <c r="F357" s="61">
        <f>COUNTIFS(Datos!G:G,"&gt;3",Datos!N:N,"En desacuerdo")</f>
        <v>2</v>
      </c>
    </row>
    <row r="358" spans="2:6" ht="15.75" thickBot="1" x14ac:dyDescent="0.3">
      <c r="B358" s="55" t="s">
        <v>308</v>
      </c>
      <c r="C358" s="47">
        <f>COUNTIFS(Datos!G:G,1,Datos!N:N,"Totalmente en desacuerdo")</f>
        <v>4</v>
      </c>
      <c r="D358" s="56">
        <f>COUNTIFS(Datos!G:G,2,Datos!N:N,"Totalmente en desacuerdo")</f>
        <v>8</v>
      </c>
      <c r="E358" s="61">
        <f>COUNTIFS(Datos!G:G,3,Datos!N:N,"Totalmente en desacuerdo")</f>
        <v>1</v>
      </c>
      <c r="F358" s="61">
        <f>COUNTIFS(Datos!G:G,"&gt;3",Datos!N:N,"Totalmente en desacuerdo")</f>
        <v>0</v>
      </c>
    </row>
    <row r="359" spans="2:6" x14ac:dyDescent="0.25">
      <c r="B359" s="60" t="s">
        <v>230</v>
      </c>
      <c r="C359" s="21">
        <f>SUM(C354:C358)</f>
        <v>46</v>
      </c>
      <c r="D359" s="62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55" t="s">
        <v>310</v>
      </c>
      <c r="C360" s="47">
        <f>SUM(C359:F359)</f>
        <v>119</v>
      </c>
      <c r="D360" s="56"/>
      <c r="E360" s="47"/>
      <c r="F360" s="35"/>
    </row>
    <row r="362" spans="2:6" ht="15.75" thickBot="1" x14ac:dyDescent="0.3"/>
    <row r="363" spans="2:6" x14ac:dyDescent="0.25">
      <c r="B363" s="98" t="s">
        <v>329</v>
      </c>
      <c r="C363" s="99"/>
      <c r="D363" s="99"/>
      <c r="E363" s="99"/>
      <c r="F363" s="100"/>
    </row>
    <row r="364" spans="2:6" x14ac:dyDescent="0.25">
      <c r="B364" s="17" t="s">
        <v>301</v>
      </c>
      <c r="C364" s="18" t="s">
        <v>314</v>
      </c>
      <c r="D364" s="20" t="s">
        <v>315</v>
      </c>
      <c r="E364" s="18" t="s">
        <v>316</v>
      </c>
      <c r="F364" s="19" t="s">
        <v>317</v>
      </c>
    </row>
    <row r="365" spans="2:6" x14ac:dyDescent="0.25">
      <c r="B365" s="8" t="s">
        <v>299</v>
      </c>
      <c r="C365" s="63">
        <f>C354/C$359</f>
        <v>0.13043478260869565</v>
      </c>
      <c r="D365" s="63">
        <f>D354/D$359</f>
        <v>0.13725490196078433</v>
      </c>
      <c r="E365" s="63">
        <f>E354/E$359</f>
        <v>0.17647058823529413</v>
      </c>
      <c r="F365" s="52">
        <f>F354/F$359</f>
        <v>0</v>
      </c>
    </row>
    <row r="366" spans="2:6" x14ac:dyDescent="0.25">
      <c r="B366" s="8" t="s">
        <v>291</v>
      </c>
      <c r="C366" s="63">
        <f t="shared" ref="C366:D369" si="17">C355/C$359</f>
        <v>0.2391304347826087</v>
      </c>
      <c r="D366" s="63">
        <f t="shared" si="17"/>
        <v>0.13725490196078433</v>
      </c>
      <c r="E366" s="63">
        <f t="shared" ref="E366:F366" si="18">E355/E$359</f>
        <v>0.23529411764705882</v>
      </c>
      <c r="F366" s="52">
        <f t="shared" si="18"/>
        <v>0.2</v>
      </c>
    </row>
    <row r="367" spans="2:6" x14ac:dyDescent="0.25">
      <c r="B367" s="13" t="s">
        <v>24</v>
      </c>
      <c r="C367" s="63">
        <f t="shared" si="17"/>
        <v>0.39130434782608697</v>
      </c>
      <c r="D367" s="63">
        <f t="shared" si="17"/>
        <v>0.31372549019607843</v>
      </c>
      <c r="E367" s="63">
        <f t="shared" ref="E367:F367" si="19">E356/E$359</f>
        <v>0.29411764705882354</v>
      </c>
      <c r="F367" s="52">
        <f t="shared" si="19"/>
        <v>0.4</v>
      </c>
    </row>
    <row r="368" spans="2:6" x14ac:dyDescent="0.25">
      <c r="B368" s="59" t="s">
        <v>307</v>
      </c>
      <c r="C368" s="63">
        <f t="shared" si="17"/>
        <v>0.15217391304347827</v>
      </c>
      <c r="D368" s="63">
        <f t="shared" si="17"/>
        <v>0.25490196078431371</v>
      </c>
      <c r="E368" s="63">
        <f t="shared" ref="E368:F368" si="20">E357/E$359</f>
        <v>0.23529411764705882</v>
      </c>
      <c r="F368" s="52">
        <f t="shared" si="20"/>
        <v>0.4</v>
      </c>
    </row>
    <row r="369" spans="2:6" ht="15.75" thickBot="1" x14ac:dyDescent="0.3">
      <c r="B369" s="55" t="s">
        <v>308</v>
      </c>
      <c r="C369" s="64">
        <f t="shared" si="17"/>
        <v>8.6956521739130432E-2</v>
      </c>
      <c r="D369" s="64">
        <f t="shared" si="17"/>
        <v>0.15686274509803921</v>
      </c>
      <c r="E369" s="64">
        <f t="shared" ref="E369:F369" si="21">E358/E$359</f>
        <v>5.8823529411764705E-2</v>
      </c>
      <c r="F369" s="65">
        <f t="shared" si="21"/>
        <v>0</v>
      </c>
    </row>
    <row r="377" spans="2:6" ht="15.75" thickBot="1" x14ac:dyDescent="0.3"/>
    <row r="378" spans="2:6" x14ac:dyDescent="0.25">
      <c r="B378" s="93" t="s">
        <v>330</v>
      </c>
      <c r="C378" s="94"/>
      <c r="D378" s="95"/>
    </row>
    <row r="379" spans="2:6" x14ac:dyDescent="0.25">
      <c r="B379" s="48" t="s">
        <v>290</v>
      </c>
      <c r="C379" s="49"/>
      <c r="D379" s="9">
        <f>COUNTIF(Datos!V:V, "Totalmente de acuerdo")</f>
        <v>47</v>
      </c>
    </row>
    <row r="380" spans="2:6" x14ac:dyDescent="0.25">
      <c r="B380" s="25" t="s">
        <v>291</v>
      </c>
      <c r="C380" s="38"/>
      <c r="D380" s="9">
        <f>COUNTIF(Datos!V:V, "De acuerdo")</f>
        <v>46</v>
      </c>
    </row>
    <row r="381" spans="2:6" x14ac:dyDescent="0.25">
      <c r="B381" s="25" t="s">
        <v>24</v>
      </c>
      <c r="C381" s="38"/>
      <c r="D381" s="9">
        <f>COUNTIF(Datos!V:V, "Neutral")</f>
        <v>13</v>
      </c>
    </row>
    <row r="382" spans="2:6" x14ac:dyDescent="0.25">
      <c r="B382" s="25" t="s">
        <v>292</v>
      </c>
      <c r="C382" s="38"/>
      <c r="D382" s="9">
        <f>COUNTIF(Datos!V:V, "En desacuerdo")</f>
        <v>9</v>
      </c>
    </row>
    <row r="383" spans="2:6" ht="15.75" thickBot="1" x14ac:dyDescent="0.3">
      <c r="B383" s="40" t="s">
        <v>293</v>
      </c>
      <c r="C383" s="42"/>
      <c r="D383" s="35">
        <f>COUNTIF(Datos!V:V, "Totalmente en desacuerdo")</f>
        <v>4</v>
      </c>
    </row>
    <row r="384" spans="2:6" ht="15.75" thickBot="1" x14ac:dyDescent="0.3">
      <c r="B384" s="50" t="s">
        <v>230</v>
      </c>
      <c r="C384" s="28"/>
      <c r="D384" s="16">
        <f>SUM(D379:D383)</f>
        <v>119</v>
      </c>
    </row>
    <row r="395" spans="2:6" ht="15.75" thickBot="1" x14ac:dyDescent="0.3"/>
    <row r="396" spans="2:6" x14ac:dyDescent="0.25">
      <c r="B396" s="98" t="s">
        <v>333</v>
      </c>
      <c r="C396" s="99"/>
      <c r="D396" s="99"/>
      <c r="E396" s="99"/>
      <c r="F396" s="100"/>
    </row>
    <row r="397" spans="2:6" x14ac:dyDescent="0.25">
      <c r="B397" s="17" t="s">
        <v>301</v>
      </c>
      <c r="C397" s="18" t="s">
        <v>242</v>
      </c>
      <c r="D397" s="18" t="s">
        <v>245</v>
      </c>
      <c r="E397" s="20" t="s">
        <v>314</v>
      </c>
      <c r="F397" s="19" t="s">
        <v>331</v>
      </c>
    </row>
    <row r="398" spans="2:6" x14ac:dyDescent="0.25">
      <c r="B398" s="8" t="s">
        <v>299</v>
      </c>
      <c r="C398" s="46">
        <f>COUNTIFS(Datos!G:G,1,Datos!P:P,"Totalmente de acuerdo")</f>
        <v>5</v>
      </c>
      <c r="D398" s="61">
        <f>COUNTIFS(Datos!G:G,"&gt;3",Datos!P:P,"Totalmente de acuerdo")</f>
        <v>0</v>
      </c>
      <c r="E398" s="70">
        <f t="shared" ref="E398:F402" si="22">C398/C$403</f>
        <v>0.10869565217391304</v>
      </c>
      <c r="F398" s="58">
        <f t="shared" si="22"/>
        <v>0</v>
      </c>
    </row>
    <row r="399" spans="2:6" x14ac:dyDescent="0.25">
      <c r="B399" s="8" t="s">
        <v>291</v>
      </c>
      <c r="C399" s="46">
        <f>COUNTIFS(Datos!G:G,1,Datos!P:P,"De acuerdo")</f>
        <v>16</v>
      </c>
      <c r="D399" s="61">
        <f>COUNTIFS(Datos!G:G,"&gt;3",Datos!P:P,"De acuerdo")</f>
        <v>0</v>
      </c>
      <c r="E399" s="70">
        <f t="shared" si="22"/>
        <v>0.34782608695652173</v>
      </c>
      <c r="F399" s="58">
        <f t="shared" si="22"/>
        <v>0</v>
      </c>
    </row>
    <row r="400" spans="2:6" x14ac:dyDescent="0.25">
      <c r="B400" s="13" t="s">
        <v>24</v>
      </c>
      <c r="C400" s="53">
        <f>COUNTIFS(Datos!G:G,1,Datos!P:P,"Neutral")</f>
        <v>20</v>
      </c>
      <c r="D400" s="61">
        <f>COUNTIFS(Datos!G:G,"&gt;3",Datos!P:P,"Neutral")</f>
        <v>4</v>
      </c>
      <c r="E400" s="70">
        <f t="shared" si="22"/>
        <v>0.43478260869565216</v>
      </c>
      <c r="F400" s="58">
        <f t="shared" si="22"/>
        <v>0.8</v>
      </c>
    </row>
    <row r="401" spans="2:6" x14ac:dyDescent="0.25">
      <c r="B401" s="59" t="s">
        <v>307</v>
      </c>
      <c r="C401" s="53">
        <f>COUNTIFS(Datos!G:G,1,Datos!P:P,"En desacuerdo")</f>
        <v>3</v>
      </c>
      <c r="D401" s="61">
        <f>COUNTIFS(Datos!G:G,"&gt;3",Datos!P:P,"En desacuerdo")</f>
        <v>1</v>
      </c>
      <c r="E401" s="70">
        <f t="shared" si="22"/>
        <v>6.5217391304347824E-2</v>
      </c>
      <c r="F401" s="58">
        <f t="shared" si="22"/>
        <v>0.2</v>
      </c>
    </row>
    <row r="402" spans="2:6" ht="15.75" thickBot="1" x14ac:dyDescent="0.3">
      <c r="B402" s="55" t="s">
        <v>308</v>
      </c>
      <c r="C402" s="47">
        <f>COUNTIFS(Datos!G:G,1,Datos!P:P,"Totalmente en desacuerdo")</f>
        <v>2</v>
      </c>
      <c r="D402" s="61">
        <f>COUNTIFS(Datos!G:G,"&gt;3",Datos!P:P,"Totalmente en desacuerdo")</f>
        <v>0</v>
      </c>
      <c r="E402" s="83">
        <f t="shared" si="22"/>
        <v>4.3478260869565216E-2</v>
      </c>
      <c r="F402" s="58">
        <f t="shared" si="22"/>
        <v>0</v>
      </c>
    </row>
    <row r="403" spans="2:6" ht="15.75" thickBot="1" x14ac:dyDescent="0.3">
      <c r="B403" s="80" t="s">
        <v>230</v>
      </c>
      <c r="C403" s="81">
        <f>SUM(C398:C402)</f>
        <v>46</v>
      </c>
      <c r="D403" s="81">
        <f>SUM(D398:D402)</f>
        <v>5</v>
      </c>
      <c r="E403" s="57"/>
      <c r="F403" s="82"/>
    </row>
    <row r="404" spans="2:6" x14ac:dyDescent="0.25">
      <c r="B404" s="69"/>
      <c r="C404" s="36"/>
      <c r="D404" s="36"/>
      <c r="E404" s="36"/>
      <c r="F404" s="36"/>
    </row>
    <row r="414" spans="2:6" ht="15.75" thickBot="1" x14ac:dyDescent="0.3"/>
    <row r="415" spans="2:6" x14ac:dyDescent="0.25">
      <c r="B415" s="98" t="s">
        <v>332</v>
      </c>
      <c r="C415" s="99"/>
      <c r="D415" s="99"/>
      <c r="E415" s="99"/>
      <c r="F415" s="100"/>
    </row>
    <row r="416" spans="2:6" x14ac:dyDescent="0.25">
      <c r="B416" s="17" t="s">
        <v>301</v>
      </c>
      <c r="C416" s="18" t="s">
        <v>242</v>
      </c>
      <c r="D416" s="18" t="s">
        <v>245</v>
      </c>
      <c r="E416" s="20" t="s">
        <v>314</v>
      </c>
      <c r="F416" s="19" t="s">
        <v>331</v>
      </c>
    </row>
    <row r="417" spans="2:6" x14ac:dyDescent="0.25">
      <c r="B417" s="8" t="s">
        <v>299</v>
      </c>
      <c r="C417" s="46">
        <f>COUNTIFS(Datos!G:G,1,Datos!Z:Z,"Totalmente de acuerdo")</f>
        <v>0</v>
      </c>
      <c r="D417" s="61">
        <f>COUNTIFS(Datos!G:G,"&gt;3",Datos!Z:Z,"Totalmente de acuerdo")</f>
        <v>0</v>
      </c>
      <c r="E417" s="70">
        <f t="shared" ref="E417:F421" si="23">C417/C$403</f>
        <v>0</v>
      </c>
      <c r="F417" s="58">
        <f t="shared" si="23"/>
        <v>0</v>
      </c>
    </row>
    <row r="418" spans="2:6" x14ac:dyDescent="0.25">
      <c r="B418" s="8" t="s">
        <v>291</v>
      </c>
      <c r="C418" s="46">
        <f>COUNTIFS(Datos!G:G,1,Datos!Z:Z,"De acuerdo")</f>
        <v>7</v>
      </c>
      <c r="D418" s="61">
        <f>COUNTIFS(Datos!G:G,"&gt;3",Datos!Z:Z,"De acuerdo")</f>
        <v>0</v>
      </c>
      <c r="E418" s="70">
        <f t="shared" si="23"/>
        <v>0.15217391304347827</v>
      </c>
      <c r="F418" s="58">
        <f t="shared" si="23"/>
        <v>0</v>
      </c>
    </row>
    <row r="419" spans="2:6" x14ac:dyDescent="0.25">
      <c r="B419" s="13" t="s">
        <v>24</v>
      </c>
      <c r="C419" s="53">
        <f>COUNTIFS(Datos!G:G,1,Datos!Z:Z,"Neutral")</f>
        <v>7</v>
      </c>
      <c r="D419" s="61">
        <f>COUNTIFS(Datos!G:G,"&gt;3",Datos!Z:Z,"Neutral")</f>
        <v>0</v>
      </c>
      <c r="E419" s="70">
        <f t="shared" si="23"/>
        <v>0.15217391304347827</v>
      </c>
      <c r="F419" s="58">
        <f t="shared" si="23"/>
        <v>0</v>
      </c>
    </row>
    <row r="420" spans="2:6" x14ac:dyDescent="0.25">
      <c r="B420" s="59" t="s">
        <v>307</v>
      </c>
      <c r="C420" s="53">
        <f>COUNTIFS(Datos!G:G,1,Datos!Z:Z,"En desacuerdo")</f>
        <v>20</v>
      </c>
      <c r="D420" s="61">
        <f>COUNTIFS(Datos!G:G,"&gt;3",Datos!Z:Z,"En desacuerdo")</f>
        <v>3</v>
      </c>
      <c r="E420" s="70">
        <f t="shared" si="23"/>
        <v>0.43478260869565216</v>
      </c>
      <c r="F420" s="58">
        <f t="shared" si="23"/>
        <v>0.6</v>
      </c>
    </row>
    <row r="421" spans="2:6" ht="15.75" thickBot="1" x14ac:dyDescent="0.3">
      <c r="B421" s="55" t="s">
        <v>308</v>
      </c>
      <c r="C421" s="47">
        <f>COUNTIFS(Datos!G:G,1,Datos!Z:Z,"Totalmente en desacuerdo")</f>
        <v>12</v>
      </c>
      <c r="D421" s="61">
        <f>COUNTIFS(Datos!G:G,"&gt;3",Datos!Z:Z,"Totalmente en desacuerdo")</f>
        <v>2</v>
      </c>
      <c r="E421" s="83">
        <f t="shared" si="23"/>
        <v>0.2608695652173913</v>
      </c>
      <c r="F421" s="58">
        <f t="shared" si="23"/>
        <v>0.4</v>
      </c>
    </row>
    <row r="422" spans="2:6" ht="15.75" thickBot="1" x14ac:dyDescent="0.3">
      <c r="B422" s="15" t="s">
        <v>230</v>
      </c>
      <c r="C422" s="57">
        <f>SUM(C417:C421)</f>
        <v>46</v>
      </c>
      <c r="D422" s="57">
        <f>SUM(D417:D421)</f>
        <v>5</v>
      </c>
      <c r="E422" s="57"/>
      <c r="F422" s="16"/>
    </row>
    <row r="433" spans="2:4" ht="15.75" thickBot="1" x14ac:dyDescent="0.3"/>
    <row r="434" spans="2:4" x14ac:dyDescent="0.25">
      <c r="B434" s="93" t="s">
        <v>334</v>
      </c>
      <c r="C434" s="94"/>
      <c r="D434" s="95"/>
    </row>
    <row r="435" spans="2:4" x14ac:dyDescent="0.25">
      <c r="B435" s="48" t="s">
        <v>290</v>
      </c>
      <c r="C435" s="49"/>
      <c r="D435" s="9">
        <f>COUNTIF(Datos!Q:Q, "Totalmente de acuerdo")</f>
        <v>10</v>
      </c>
    </row>
    <row r="436" spans="2:4" x14ac:dyDescent="0.25">
      <c r="B436" s="25" t="s">
        <v>291</v>
      </c>
      <c r="C436" s="38"/>
      <c r="D436" s="9">
        <f>COUNTIF(Datos!Q:Q, "De acuerdo")</f>
        <v>30</v>
      </c>
    </row>
    <row r="437" spans="2:4" x14ac:dyDescent="0.25">
      <c r="B437" s="25" t="s">
        <v>24</v>
      </c>
      <c r="C437" s="38"/>
      <c r="D437" s="9">
        <f>COUNTIF(Datos!Q:Q, "Neutral")</f>
        <v>60</v>
      </c>
    </row>
    <row r="438" spans="2:4" x14ac:dyDescent="0.25">
      <c r="B438" s="25" t="s">
        <v>292</v>
      </c>
      <c r="C438" s="38"/>
      <c r="D438" s="9">
        <f>COUNTIF(Datos!Q:Q, "En desacuerdo")</f>
        <v>14</v>
      </c>
    </row>
    <row r="439" spans="2:4" ht="15.75" thickBot="1" x14ac:dyDescent="0.3">
      <c r="B439" s="40" t="s">
        <v>293</v>
      </c>
      <c r="C439" s="42"/>
      <c r="D439" s="35">
        <f>COUNTIF(Datos!Q:Q, "Totalmente en desacuerdo")</f>
        <v>5</v>
      </c>
    </row>
    <row r="440" spans="2:4" ht="15.75" thickBot="1" x14ac:dyDescent="0.3">
      <c r="B440" s="50" t="s">
        <v>230</v>
      </c>
      <c r="C440" s="28"/>
      <c r="D440" s="16">
        <f>SUM(D435:D439)</f>
        <v>119</v>
      </c>
    </row>
    <row r="453" spans="2:5" ht="15.75" thickBot="1" x14ac:dyDescent="0.3"/>
    <row r="454" spans="2:5" ht="15.75" thickBot="1" x14ac:dyDescent="0.3">
      <c r="B454" s="105" t="s">
        <v>335</v>
      </c>
      <c r="C454" s="106"/>
      <c r="D454" s="106"/>
      <c r="E454" s="107"/>
    </row>
    <row r="455" spans="2:5" x14ac:dyDescent="0.25">
      <c r="B455" s="23" t="s">
        <v>336</v>
      </c>
      <c r="E455" s="24">
        <f>COUNTIF(Datos!J:J,Datos!J13)</f>
        <v>25</v>
      </c>
    </row>
    <row r="456" spans="2:5" ht="15.75" thickBot="1" x14ac:dyDescent="0.3">
      <c r="B456" s="25" t="s">
        <v>39</v>
      </c>
      <c r="E456" s="26">
        <f>119-E455</f>
        <v>94</v>
      </c>
    </row>
    <row r="457" spans="2:5" ht="15.75" thickBot="1" x14ac:dyDescent="0.3">
      <c r="B457" s="27" t="s">
        <v>230</v>
      </c>
      <c r="C457" s="28"/>
      <c r="D457" s="28"/>
      <c r="E457" s="29">
        <f>E455+E456</f>
        <v>119</v>
      </c>
    </row>
    <row r="459" spans="2:5" x14ac:dyDescent="0.25">
      <c r="C459" s="1" t="s">
        <v>297</v>
      </c>
    </row>
    <row r="470" spans="2:5" ht="15.75" thickBot="1" x14ac:dyDescent="0.3"/>
    <row r="471" spans="2:5" ht="15.75" thickBot="1" x14ac:dyDescent="0.3">
      <c r="B471" s="105" t="s">
        <v>337</v>
      </c>
      <c r="C471" s="106"/>
      <c r="D471" s="106"/>
      <c r="E471" s="107"/>
    </row>
    <row r="472" spans="2:5" x14ac:dyDescent="0.25">
      <c r="B472" s="23" t="s">
        <v>336</v>
      </c>
      <c r="E472" s="24">
        <f>COUNTIF(Datos!L:L,"Y")</f>
        <v>69</v>
      </c>
    </row>
    <row r="473" spans="2:5" ht="15.75" thickBot="1" x14ac:dyDescent="0.3">
      <c r="B473" s="25" t="s">
        <v>39</v>
      </c>
      <c r="E473" s="26">
        <f>COUNTIF(Datos!L:L,"N")</f>
        <v>50</v>
      </c>
    </row>
    <row r="474" spans="2:5" ht="15.75" thickBot="1" x14ac:dyDescent="0.3">
      <c r="B474" s="27" t="s">
        <v>230</v>
      </c>
      <c r="C474" s="28"/>
      <c r="D474" s="28"/>
      <c r="E474" s="29">
        <f>E472+E473</f>
        <v>119</v>
      </c>
    </row>
    <row r="477" spans="2:5" ht="15.75" thickBot="1" x14ac:dyDescent="0.3"/>
    <row r="478" spans="2:5" x14ac:dyDescent="0.25">
      <c r="C478" s="23" t="s">
        <v>85</v>
      </c>
      <c r="D478" s="24">
        <f>COUNTIF(Datos!K:K,"*Inglaterra*")</f>
        <v>34</v>
      </c>
    </row>
    <row r="479" spans="2:5" ht="15.75" thickBot="1" x14ac:dyDescent="0.3">
      <c r="C479" s="40"/>
      <c r="D479" s="84">
        <f>D478/E473</f>
        <v>0.68</v>
      </c>
    </row>
    <row r="489" spans="2:6" ht="15.75" thickBot="1" x14ac:dyDescent="0.3"/>
    <row r="490" spans="2:6" x14ac:dyDescent="0.25">
      <c r="B490" s="93" t="s">
        <v>341</v>
      </c>
      <c r="C490" s="94"/>
      <c r="D490" s="94"/>
      <c r="E490" s="94"/>
      <c r="F490" s="95"/>
    </row>
    <row r="491" spans="2:6" x14ac:dyDescent="0.25">
      <c r="B491" s="17" t="s">
        <v>301</v>
      </c>
      <c r="C491" s="18" t="s">
        <v>239</v>
      </c>
      <c r="D491" s="18" t="s">
        <v>240</v>
      </c>
      <c r="E491" s="20" t="s">
        <v>342</v>
      </c>
      <c r="F491" s="19" t="s">
        <v>343</v>
      </c>
    </row>
    <row r="492" spans="2:6" x14ac:dyDescent="0.25">
      <c r="B492" s="8" t="s">
        <v>299</v>
      </c>
      <c r="C492" s="46">
        <f>COUNTIFS(Datos!B:B,"&gt;=18",Datos!B:B,"&lt;25",Datos!R:R,"Totalmente de acuerdo")</f>
        <v>31</v>
      </c>
      <c r="D492" s="51">
        <f>COUNTIFS(Datos!B:B,"&gt;50",Datos!R:R,"Totalmente de acuerdo")</f>
        <v>6</v>
      </c>
      <c r="E492" s="70">
        <f>C492/C$497</f>
        <v>0.58490566037735847</v>
      </c>
      <c r="F492" s="52">
        <f>D492/D$497</f>
        <v>0.1875</v>
      </c>
    </row>
    <row r="493" spans="2:6" x14ac:dyDescent="0.25">
      <c r="B493" s="8" t="s">
        <v>291</v>
      </c>
      <c r="C493" s="46">
        <f>COUNTIFS(Datos!B:B,"&gt;=18",Datos!B:B,"&lt;25",Datos!R:R,"De acuerdo")</f>
        <v>15</v>
      </c>
      <c r="D493" s="51">
        <f>COUNTIFS(Datos!B:B,"&gt;50",Datos!R:R,"De acuerdo")</f>
        <v>16</v>
      </c>
      <c r="E493" s="70">
        <f t="shared" ref="E493:F496" si="24">C493/C$497</f>
        <v>0.28301886792452829</v>
      </c>
      <c r="F493" s="52">
        <f t="shared" si="24"/>
        <v>0.5</v>
      </c>
    </row>
    <row r="494" spans="2:6" x14ac:dyDescent="0.25">
      <c r="B494" s="13" t="s">
        <v>24</v>
      </c>
      <c r="C494" s="53">
        <f>COUNTIFS(Datos!B:B,"&gt;=18",Datos!B:B,"&lt;25",Datos!R:R,"Neutral")</f>
        <v>6</v>
      </c>
      <c r="D494" s="54">
        <f>COUNTIFS(Datos!B:B,"&gt;50",Datos!R:R,"Neutral")</f>
        <v>6</v>
      </c>
      <c r="E494" s="70">
        <f t="shared" si="24"/>
        <v>0.11320754716981132</v>
      </c>
      <c r="F494" s="52">
        <f t="shared" si="24"/>
        <v>0.1875</v>
      </c>
    </row>
    <row r="495" spans="2:6" x14ac:dyDescent="0.25">
      <c r="B495" s="59" t="s">
        <v>292</v>
      </c>
      <c r="C495" s="53">
        <f>COUNTIFS(Datos!B:B,"&gt;=18",Datos!B:B,"&lt;25",Datos!R:R,"En desacuerdo")</f>
        <v>1</v>
      </c>
      <c r="D495" s="54">
        <f>COUNTIFS(Datos!B:B,"&gt;50",Datos!R:R,"En desacuerdo")</f>
        <v>4</v>
      </c>
      <c r="E495" s="70">
        <f t="shared" si="24"/>
        <v>1.8867924528301886E-2</v>
      </c>
      <c r="F495" s="52">
        <f t="shared" si="24"/>
        <v>0.125</v>
      </c>
    </row>
    <row r="496" spans="2:6" ht="15.75" thickBot="1" x14ac:dyDescent="0.3">
      <c r="B496" s="55" t="s">
        <v>344</v>
      </c>
      <c r="C496" s="47">
        <f>COUNTIFS(Datos!B:B,"&gt;=18",Datos!B:B,"&lt;25",Datos!R:R,"Totalmente en desacuerdo")</f>
        <v>0</v>
      </c>
      <c r="D496" s="47">
        <f>COUNTIFS(Datos!B:B,"&gt;50",Datos!R:R,"Totalmente en desacuerdo")</f>
        <v>0</v>
      </c>
      <c r="E496" s="70">
        <f t="shared" si="24"/>
        <v>0</v>
      </c>
      <c r="F496" s="65">
        <f t="shared" si="24"/>
        <v>0</v>
      </c>
    </row>
    <row r="497" spans="2:6" ht="15.75" thickBot="1" x14ac:dyDescent="0.3">
      <c r="B497" s="77" t="s">
        <v>230</v>
      </c>
      <c r="C497" s="78">
        <f>SUM(C492:C496)</f>
        <v>53</v>
      </c>
      <c r="D497" s="78">
        <f>SUM(D492:D496)</f>
        <v>32</v>
      </c>
      <c r="E497" s="68"/>
      <c r="F497" s="16"/>
    </row>
    <row r="499" spans="2:6" ht="15.75" thickBot="1" x14ac:dyDescent="0.3"/>
    <row r="500" spans="2:6" ht="15.75" thickBot="1" x14ac:dyDescent="0.3">
      <c r="C500" s="96" t="s">
        <v>345</v>
      </c>
      <c r="D500" s="97"/>
    </row>
    <row r="501" spans="2:6" x14ac:dyDescent="0.25">
      <c r="C501" s="25" t="s">
        <v>239</v>
      </c>
      <c r="D501" s="86">
        <f>SUM(E492:E493)</f>
        <v>0.86792452830188682</v>
      </c>
    </row>
    <row r="502" spans="2:6" ht="15.75" thickBot="1" x14ac:dyDescent="0.3">
      <c r="C502" s="40" t="s">
        <v>240</v>
      </c>
      <c r="D502" s="84">
        <f>SUM(F492:F493)</f>
        <v>0.6875</v>
      </c>
    </row>
    <row r="509" spans="2:6" ht="15.75" thickBot="1" x14ac:dyDescent="0.3"/>
    <row r="510" spans="2:6" x14ac:dyDescent="0.25">
      <c r="B510" s="93" t="s">
        <v>346</v>
      </c>
      <c r="C510" s="94"/>
      <c r="D510" s="94"/>
      <c r="E510" s="94"/>
      <c r="F510" s="95"/>
    </row>
    <row r="511" spans="2:6" x14ac:dyDescent="0.25">
      <c r="B511" s="17" t="s">
        <v>301</v>
      </c>
      <c r="C511" s="18" t="s">
        <v>239</v>
      </c>
      <c r="D511" s="18" t="s">
        <v>240</v>
      </c>
      <c r="E511" s="20" t="s">
        <v>342</v>
      </c>
      <c r="F511" s="19" t="s">
        <v>343</v>
      </c>
    </row>
    <row r="512" spans="2:6" x14ac:dyDescent="0.25">
      <c r="B512" s="8" t="s">
        <v>299</v>
      </c>
      <c r="C512" s="46">
        <f>COUNTIFS(Datos!B:B,"&gt;=18",Datos!B:B,"&lt;25",Datos!W:W,"Totalmente de acuerdo")</f>
        <v>11</v>
      </c>
      <c r="D512" s="51">
        <f>COUNTIFS(Datos!B:B,"&gt;50",Datos!W:W,"Totalmente de acuerdo")</f>
        <v>5</v>
      </c>
      <c r="E512" s="70">
        <f>C512/C$497</f>
        <v>0.20754716981132076</v>
      </c>
      <c r="F512" s="52">
        <f>D512/D$497</f>
        <v>0.15625</v>
      </c>
    </row>
    <row r="513" spans="2:6" x14ac:dyDescent="0.25">
      <c r="B513" s="8" t="s">
        <v>291</v>
      </c>
      <c r="C513" s="46">
        <f>COUNTIFS(Datos!B:B,"&gt;=18",Datos!B:B,"&lt;25",Datos!W:W,"De acuerdo")</f>
        <v>15</v>
      </c>
      <c r="D513" s="51">
        <f>COUNTIFS(Datos!B:B,"&gt;50",Datos!W:W,"De acuerdo")</f>
        <v>9</v>
      </c>
      <c r="E513" s="70">
        <f t="shared" ref="E513:E516" si="25">C513/C$497</f>
        <v>0.28301886792452829</v>
      </c>
      <c r="F513" s="52">
        <f t="shared" ref="F513:F516" si="26">D513/D$497</f>
        <v>0.28125</v>
      </c>
    </row>
    <row r="514" spans="2:6" x14ac:dyDescent="0.25">
      <c r="B514" s="13" t="s">
        <v>24</v>
      </c>
      <c r="C514" s="53">
        <f>COUNTIFS(Datos!B:B,"&gt;=18",Datos!B:B,"&lt;25",Datos!W:W,"Neutral")</f>
        <v>10</v>
      </c>
      <c r="D514" s="54">
        <f>COUNTIFS(Datos!B:B,"&gt;50",Datos!W:W,"Neutral")</f>
        <v>10</v>
      </c>
      <c r="E514" s="70">
        <f t="shared" si="25"/>
        <v>0.18867924528301888</v>
      </c>
      <c r="F514" s="52">
        <f t="shared" si="26"/>
        <v>0.3125</v>
      </c>
    </row>
    <row r="515" spans="2:6" x14ac:dyDescent="0.25">
      <c r="B515" s="59" t="s">
        <v>292</v>
      </c>
      <c r="C515" s="53">
        <f>COUNTIFS(Datos!B:B,"&gt;=18",Datos!B:B,"&lt;25",Datos!W:W,"En desacuerdo")</f>
        <v>12</v>
      </c>
      <c r="D515" s="54">
        <f>COUNTIFS(Datos!B:B,"&gt;50",Datos!W:W,"En desacuerdo")</f>
        <v>6</v>
      </c>
      <c r="E515" s="70">
        <f t="shared" si="25"/>
        <v>0.22641509433962265</v>
      </c>
      <c r="F515" s="52">
        <f t="shared" si="26"/>
        <v>0.1875</v>
      </c>
    </row>
    <row r="516" spans="2:6" ht="15.75" thickBot="1" x14ac:dyDescent="0.3">
      <c r="B516" s="55" t="s">
        <v>344</v>
      </c>
      <c r="C516" s="47">
        <f>COUNTIFS(Datos!B:B,"&gt;=18",Datos!B:B,"&lt;25",Datos!W:W,"Totalmente en desacuerdo")</f>
        <v>5</v>
      </c>
      <c r="D516" s="47">
        <f>COUNTIFS(Datos!B:B,"&gt;50",Datos!W:W,"Totalmente en desacuerdo")</f>
        <v>2</v>
      </c>
      <c r="E516" s="70">
        <f t="shared" si="25"/>
        <v>9.4339622641509441E-2</v>
      </c>
      <c r="F516" s="65">
        <f t="shared" si="26"/>
        <v>6.25E-2</v>
      </c>
    </row>
    <row r="517" spans="2:6" ht="15.75" thickBot="1" x14ac:dyDescent="0.3">
      <c r="B517" s="77" t="s">
        <v>230</v>
      </c>
      <c r="C517" s="78">
        <f>SUM(C512:C516)</f>
        <v>53</v>
      </c>
      <c r="D517" s="78">
        <f>SUM(D512:D516)</f>
        <v>32</v>
      </c>
      <c r="E517" s="68"/>
      <c r="F517" s="16"/>
    </row>
    <row r="519" spans="2:6" ht="15.75" thickBot="1" x14ac:dyDescent="0.3"/>
    <row r="520" spans="2:6" ht="15.75" thickBot="1" x14ac:dyDescent="0.3">
      <c r="C520" s="96" t="s">
        <v>345</v>
      </c>
      <c r="D520" s="97"/>
    </row>
    <row r="521" spans="2:6" x14ac:dyDescent="0.25">
      <c r="C521" s="25" t="s">
        <v>239</v>
      </c>
      <c r="D521" s="86">
        <f>SUM(E512:E513)</f>
        <v>0.49056603773584906</v>
      </c>
    </row>
    <row r="522" spans="2:6" ht="15.75" thickBot="1" x14ac:dyDescent="0.3">
      <c r="C522" s="40" t="s">
        <v>240</v>
      </c>
      <c r="D522" s="84">
        <f>SUM(F512:F513)</f>
        <v>0.4375</v>
      </c>
    </row>
    <row r="531" spans="2:6" ht="15.75" thickBot="1" x14ac:dyDescent="0.3"/>
    <row r="532" spans="2:6" x14ac:dyDescent="0.25">
      <c r="B532" s="93" t="s">
        <v>341</v>
      </c>
      <c r="C532" s="94"/>
      <c r="D532" s="94"/>
      <c r="E532" s="94"/>
      <c r="F532" s="95"/>
    </row>
    <row r="533" spans="2:6" x14ac:dyDescent="0.25">
      <c r="B533" s="17" t="s">
        <v>301</v>
      </c>
      <c r="C533" s="18" t="s">
        <v>305</v>
      </c>
      <c r="D533" s="18" t="s">
        <v>306</v>
      </c>
      <c r="E533" s="20" t="s">
        <v>311</v>
      </c>
      <c r="F533" s="19" t="s">
        <v>312</v>
      </c>
    </row>
    <row r="534" spans="2:6" x14ac:dyDescent="0.25">
      <c r="B534" s="8" t="s">
        <v>299</v>
      </c>
      <c r="C534" s="46">
        <f>COUNTIFS(Datos!D:D,"Masculino",Datos!R:R,"Totalmente de acuerdo")</f>
        <v>12</v>
      </c>
      <c r="D534" s="51">
        <f>COUNTIFS(Datos!D:D,"Femenino",Datos!R:R,"Totalmente de acuerdo")</f>
        <v>39</v>
      </c>
      <c r="E534" s="70">
        <f>C534/C$539</f>
        <v>0.31578947368421051</v>
      </c>
      <c r="F534" s="52">
        <f>D534/D$539</f>
        <v>0.48148148148148145</v>
      </c>
    </row>
    <row r="535" spans="2:6" x14ac:dyDescent="0.25">
      <c r="B535" s="8" t="s">
        <v>291</v>
      </c>
      <c r="C535" s="46">
        <f>COUNTIFS(Datos!D:D,"Masculino",Datos!R:R,"De acuerdo")</f>
        <v>15</v>
      </c>
      <c r="D535" s="51">
        <f>COUNTIFS(Datos!D:D,"Femenino",Datos!R:R,"De acuerdo")</f>
        <v>27</v>
      </c>
      <c r="E535" s="70">
        <f t="shared" ref="E535:E538" si="27">C535/C$539</f>
        <v>0.39473684210526316</v>
      </c>
      <c r="F535" s="52">
        <f t="shared" ref="F535:F538" si="28">D535/D$539</f>
        <v>0.33333333333333331</v>
      </c>
    </row>
    <row r="536" spans="2:6" x14ac:dyDescent="0.25">
      <c r="B536" s="13" t="s">
        <v>24</v>
      </c>
      <c r="C536" s="53">
        <f>COUNTIFS(Datos!D:D,"Masculino",Datos!R:R,"Neutral")</f>
        <v>7</v>
      </c>
      <c r="D536" s="54">
        <f>COUNTIFS(Datos!D:D,"Femenino",Datos!R:R,"Neutral")</f>
        <v>11</v>
      </c>
      <c r="E536" s="70">
        <f t="shared" si="27"/>
        <v>0.18421052631578946</v>
      </c>
      <c r="F536" s="52">
        <f t="shared" si="28"/>
        <v>0.13580246913580246</v>
      </c>
    </row>
    <row r="537" spans="2:6" x14ac:dyDescent="0.25">
      <c r="B537" s="59" t="s">
        <v>292</v>
      </c>
      <c r="C537" s="53">
        <f>COUNTIFS(Datos!D:D,"Masculino",Datos!R:R,"En desacuerdo")</f>
        <v>4</v>
      </c>
      <c r="D537" s="54">
        <f>COUNTIFS(Datos!D:D,"Femenino",Datos!R:R,"En desacuerdo")</f>
        <v>4</v>
      </c>
      <c r="E537" s="70">
        <f t="shared" si="27"/>
        <v>0.10526315789473684</v>
      </c>
      <c r="F537" s="52">
        <f t="shared" si="28"/>
        <v>4.9382716049382713E-2</v>
      </c>
    </row>
    <row r="538" spans="2:6" ht="15.75" thickBot="1" x14ac:dyDescent="0.3">
      <c r="B538" s="55" t="s">
        <v>344</v>
      </c>
      <c r="C538" s="47">
        <f>COUNTIFS(Datos!D:D,"Masculino",Datos!R:R,"Totalmente en desacuerdo")</f>
        <v>0</v>
      </c>
      <c r="D538" s="47">
        <f>COUNTIFS(Datos!D:D,"Femenino",Datos!R:R,"Totalmente en desacuerdo")</f>
        <v>0</v>
      </c>
      <c r="E538" s="70">
        <f t="shared" si="27"/>
        <v>0</v>
      </c>
      <c r="F538" s="52">
        <f t="shared" si="28"/>
        <v>0</v>
      </c>
    </row>
    <row r="539" spans="2:6" ht="15.75" thickBot="1" x14ac:dyDescent="0.3">
      <c r="B539" s="77" t="s">
        <v>230</v>
      </c>
      <c r="C539" s="78">
        <f>SUM(C534:C538)</f>
        <v>38</v>
      </c>
      <c r="D539" s="78">
        <f>SUM(D534:D538)</f>
        <v>81</v>
      </c>
      <c r="E539" s="68"/>
      <c r="F539" s="16"/>
    </row>
    <row r="541" spans="2:6" ht="15.75" thickBot="1" x14ac:dyDescent="0.3"/>
    <row r="542" spans="2:6" ht="15.75" thickBot="1" x14ac:dyDescent="0.3">
      <c r="C542" s="96" t="s">
        <v>345</v>
      </c>
      <c r="D542" s="97"/>
    </row>
    <row r="543" spans="2:6" x14ac:dyDescent="0.25">
      <c r="C543" s="25" t="s">
        <v>305</v>
      </c>
      <c r="D543" s="86">
        <f>SUM(E534:E535)</f>
        <v>0.71052631578947367</v>
      </c>
    </row>
    <row r="544" spans="2:6" ht="15.75" thickBot="1" x14ac:dyDescent="0.3">
      <c r="C544" s="40" t="s">
        <v>306</v>
      </c>
      <c r="D544" s="84">
        <f>SUM(F534:F535)</f>
        <v>0.81481481481481477</v>
      </c>
    </row>
    <row r="551" spans="2:6" ht="15.75" thickBot="1" x14ac:dyDescent="0.3"/>
    <row r="552" spans="2:6" x14ac:dyDescent="0.25">
      <c r="B552" s="93" t="s">
        <v>346</v>
      </c>
      <c r="C552" s="94"/>
      <c r="D552" s="94"/>
      <c r="E552" s="94"/>
      <c r="F552" s="95"/>
    </row>
    <row r="553" spans="2:6" x14ac:dyDescent="0.25">
      <c r="B553" s="17" t="s">
        <v>301</v>
      </c>
      <c r="C553" s="18" t="s">
        <v>305</v>
      </c>
      <c r="D553" s="18" t="s">
        <v>306</v>
      </c>
      <c r="E553" s="20" t="s">
        <v>311</v>
      </c>
      <c r="F553" s="19" t="s">
        <v>312</v>
      </c>
    </row>
    <row r="554" spans="2:6" x14ac:dyDescent="0.25">
      <c r="B554" s="8" t="s">
        <v>299</v>
      </c>
      <c r="C554" s="46">
        <f>COUNTIFS(Datos!D:D, "Masculino",Datos!W:W,"Totalmente de acuerdo")</f>
        <v>7</v>
      </c>
      <c r="D554" s="51">
        <f>COUNTIFS(Datos!D:D, "Femenino",Datos!W:W,"Totalmente de acuerdo")</f>
        <v>17</v>
      </c>
      <c r="E554" s="70">
        <f>C554/C$559</f>
        <v>0.18421052631578946</v>
      </c>
      <c r="F554" s="52">
        <f>D554/D$559</f>
        <v>0.20987654320987653</v>
      </c>
    </row>
    <row r="555" spans="2:6" x14ac:dyDescent="0.25">
      <c r="B555" s="8" t="s">
        <v>291</v>
      </c>
      <c r="C555" s="46">
        <f>COUNTIFS(Datos!D:D, "Masculino",Datos!W:W,"De acuerdo")</f>
        <v>9</v>
      </c>
      <c r="D555" s="51">
        <f>COUNTIFS(Datos!D:D, "Femenino",Datos!W:W,"De acuerdo")</f>
        <v>26</v>
      </c>
      <c r="E555" s="70">
        <f t="shared" ref="E555:E558" si="29">C555/C$559</f>
        <v>0.23684210526315788</v>
      </c>
      <c r="F555" s="52">
        <f t="shared" ref="F555:F558" si="30">D555/D$559</f>
        <v>0.32098765432098764</v>
      </c>
    </row>
    <row r="556" spans="2:6" x14ac:dyDescent="0.25">
      <c r="B556" s="13" t="s">
        <v>24</v>
      </c>
      <c r="C556" s="53">
        <f>COUNTIFS(Datos!D:D, "Masculino",Datos!W:W,"Neutral")</f>
        <v>12</v>
      </c>
      <c r="D556" s="54">
        <f>COUNTIFS(Datos!D:D, "Femenino",Datos!W:W,"Neutral")</f>
        <v>17</v>
      </c>
      <c r="E556" s="70">
        <f t="shared" si="29"/>
        <v>0.31578947368421051</v>
      </c>
      <c r="F556" s="52">
        <f t="shared" si="30"/>
        <v>0.20987654320987653</v>
      </c>
    </row>
    <row r="557" spans="2:6" x14ac:dyDescent="0.25">
      <c r="B557" s="59" t="s">
        <v>292</v>
      </c>
      <c r="C557" s="53">
        <f>COUNTIFS(Datos!D:D, "Masculino",Datos!W:W,"En desacuerdo")</f>
        <v>5</v>
      </c>
      <c r="D557" s="54">
        <f>COUNTIFS(Datos!D:D, "Femenino",Datos!W:W,"En desacuerdo")</f>
        <v>14</v>
      </c>
      <c r="E557" s="70">
        <f t="shared" si="29"/>
        <v>0.13157894736842105</v>
      </c>
      <c r="F557" s="52">
        <f t="shared" si="30"/>
        <v>0.1728395061728395</v>
      </c>
    </row>
    <row r="558" spans="2:6" ht="15.75" thickBot="1" x14ac:dyDescent="0.3">
      <c r="B558" s="55" t="s">
        <v>344</v>
      </c>
      <c r="C558" s="47">
        <f>COUNTIFS(Datos!D:D, "Masculino",Datos!W:W,"Totalmente en desacuerdo")</f>
        <v>5</v>
      </c>
      <c r="D558" s="47">
        <f>COUNTIFS(Datos!D:D, "Femenino",Datos!W:W,"Totalmente en desacuerdo")</f>
        <v>7</v>
      </c>
      <c r="E558" s="70">
        <f t="shared" si="29"/>
        <v>0.13157894736842105</v>
      </c>
      <c r="F558" s="52">
        <f t="shared" si="30"/>
        <v>8.6419753086419748E-2</v>
      </c>
    </row>
    <row r="559" spans="2:6" ht="15.75" thickBot="1" x14ac:dyDescent="0.3">
      <c r="B559" s="77" t="s">
        <v>230</v>
      </c>
      <c r="C559" s="78">
        <f>SUM(C554:C558)</f>
        <v>38</v>
      </c>
      <c r="D559" s="78">
        <f>SUM(D554:D558)</f>
        <v>81</v>
      </c>
      <c r="E559" s="68"/>
      <c r="F559" s="16"/>
    </row>
    <row r="561" spans="2:4" ht="15.75" thickBot="1" x14ac:dyDescent="0.3"/>
    <row r="562" spans="2:4" ht="15.75" thickBot="1" x14ac:dyDescent="0.3">
      <c r="C562" s="96" t="s">
        <v>345</v>
      </c>
      <c r="D562" s="97"/>
    </row>
    <row r="563" spans="2:4" x14ac:dyDescent="0.25">
      <c r="C563" s="25" t="s">
        <v>305</v>
      </c>
      <c r="D563" s="86">
        <f>SUM(E554:E555)</f>
        <v>0.42105263157894735</v>
      </c>
    </row>
    <row r="564" spans="2:4" ht="15.75" thickBot="1" x14ac:dyDescent="0.3">
      <c r="C564" s="40" t="s">
        <v>306</v>
      </c>
      <c r="D564" s="84">
        <f>SUM(F554:F555)</f>
        <v>0.53086419753086411</v>
      </c>
    </row>
    <row r="572" spans="2:4" ht="15.75" thickBot="1" x14ac:dyDescent="0.3"/>
    <row r="573" spans="2:4" x14ac:dyDescent="0.25">
      <c r="B573" s="93" t="s">
        <v>347</v>
      </c>
      <c r="C573" s="94"/>
      <c r="D573" s="95"/>
    </row>
    <row r="574" spans="2:4" x14ac:dyDescent="0.25">
      <c r="B574" s="48" t="s">
        <v>290</v>
      </c>
      <c r="C574" s="49"/>
      <c r="D574" s="9">
        <f>COUNTIF(Datos!O:O, "Totalmente de acuerdo")</f>
        <v>27</v>
      </c>
    </row>
    <row r="575" spans="2:4" x14ac:dyDescent="0.25">
      <c r="B575" s="25" t="s">
        <v>291</v>
      </c>
      <c r="C575" s="38"/>
      <c r="D575" s="9">
        <f>COUNTIF(Datos!O:O, "De acuerdo")</f>
        <v>30</v>
      </c>
    </row>
    <row r="576" spans="2:4" x14ac:dyDescent="0.25">
      <c r="B576" s="25" t="s">
        <v>24</v>
      </c>
      <c r="C576" s="38"/>
      <c r="D576" s="9">
        <f>COUNTIF(Datos!O:O, "Neutral")</f>
        <v>46</v>
      </c>
    </row>
    <row r="577" spans="2:4" x14ac:dyDescent="0.25">
      <c r="B577" s="25" t="s">
        <v>292</v>
      </c>
      <c r="C577" s="38"/>
      <c r="D577" s="9">
        <f>COUNTIF(Datos!O:O, "En desacuerdo")</f>
        <v>11</v>
      </c>
    </row>
    <row r="578" spans="2:4" ht="15.75" thickBot="1" x14ac:dyDescent="0.3">
      <c r="B578" s="40" t="s">
        <v>293</v>
      </c>
      <c r="C578" s="42"/>
      <c r="D578" s="35">
        <f>COUNTIF(Datos!O:O, "Totalmente en desacuerdo")</f>
        <v>5</v>
      </c>
    </row>
    <row r="579" spans="2:4" ht="15.75" thickBot="1" x14ac:dyDescent="0.3">
      <c r="B579" s="79" t="s">
        <v>230</v>
      </c>
      <c r="C579" s="28"/>
      <c r="D579" s="16">
        <f>SUM(D574:D578)</f>
        <v>119</v>
      </c>
    </row>
    <row r="590" spans="2:4" ht="15.75" thickBot="1" x14ac:dyDescent="0.3"/>
    <row r="591" spans="2:4" x14ac:dyDescent="0.25">
      <c r="B591" s="93" t="s">
        <v>348</v>
      </c>
      <c r="C591" s="94"/>
      <c r="D591" s="95"/>
    </row>
    <row r="592" spans="2:4" x14ac:dyDescent="0.25">
      <c r="B592" s="48" t="s">
        <v>290</v>
      </c>
      <c r="C592" s="49"/>
      <c r="D592" s="9">
        <f>COUNTIF(Datos!U:U, "Totalmente de acuerdo")</f>
        <v>10</v>
      </c>
    </row>
    <row r="593" spans="2:4" x14ac:dyDescent="0.25">
      <c r="B593" s="25" t="s">
        <v>291</v>
      </c>
      <c r="C593" s="38"/>
      <c r="D593" s="9">
        <f>COUNTIF(Datos!U:U, "De acuerdo")</f>
        <v>49</v>
      </c>
    </row>
    <row r="594" spans="2:4" x14ac:dyDescent="0.25">
      <c r="B594" s="25" t="s">
        <v>24</v>
      </c>
      <c r="C594" s="38"/>
      <c r="D594" s="9">
        <f>COUNTIF(Datos!U:U, "Neutral")</f>
        <v>39</v>
      </c>
    </row>
    <row r="595" spans="2:4" x14ac:dyDescent="0.25">
      <c r="B595" s="25" t="s">
        <v>292</v>
      </c>
      <c r="C595" s="38"/>
      <c r="D595" s="9">
        <f>COUNTIF(Datos!U:U, "En desacuerdo")</f>
        <v>14</v>
      </c>
    </row>
    <row r="596" spans="2:4" ht="15.75" thickBot="1" x14ac:dyDescent="0.3">
      <c r="B596" s="40" t="s">
        <v>293</v>
      </c>
      <c r="C596" s="42"/>
      <c r="D596" s="35">
        <f>COUNTIF(Datos!U:U, "Totalmente en desacuerdo")</f>
        <v>7</v>
      </c>
    </row>
    <row r="597" spans="2:4" ht="15.75" thickBot="1" x14ac:dyDescent="0.3">
      <c r="B597" s="79" t="s">
        <v>230</v>
      </c>
      <c r="C597" s="28"/>
      <c r="D597" s="16">
        <f>SUM(D592:D596)</f>
        <v>119</v>
      </c>
    </row>
    <row r="607" spans="2:4" ht="15.75" thickBot="1" x14ac:dyDescent="0.3"/>
    <row r="608" spans="2:4" x14ac:dyDescent="0.25">
      <c r="B608" s="93" t="s">
        <v>349</v>
      </c>
      <c r="C608" s="94"/>
      <c r="D608" s="95"/>
    </row>
    <row r="609" spans="2:4" x14ac:dyDescent="0.25">
      <c r="B609" s="48" t="s">
        <v>290</v>
      </c>
      <c r="C609" s="49"/>
      <c r="D609" s="9">
        <f>COUNTIF(Datos!S:S, "Totalmente de acuerdo")</f>
        <v>8</v>
      </c>
    </row>
    <row r="610" spans="2:4" x14ac:dyDescent="0.25">
      <c r="B610" s="25" t="s">
        <v>291</v>
      </c>
      <c r="C610" s="38"/>
      <c r="D610" s="9">
        <f>COUNTIF(Datos!S:S, "De acuerdo")</f>
        <v>51</v>
      </c>
    </row>
    <row r="611" spans="2:4" x14ac:dyDescent="0.25">
      <c r="B611" s="25" t="s">
        <v>24</v>
      </c>
      <c r="C611" s="38"/>
      <c r="D611" s="9">
        <f>COUNTIF(Datos!S:S, "Neutral")</f>
        <v>39</v>
      </c>
    </row>
    <row r="612" spans="2:4" x14ac:dyDescent="0.25">
      <c r="B612" s="25" t="s">
        <v>292</v>
      </c>
      <c r="C612" s="38"/>
      <c r="D612" s="9">
        <f>COUNTIF(Datos!S:S, "En desacuerdo")</f>
        <v>18</v>
      </c>
    </row>
    <row r="613" spans="2:4" ht="15.75" thickBot="1" x14ac:dyDescent="0.3">
      <c r="B613" s="40" t="s">
        <v>293</v>
      </c>
      <c r="C613" s="42"/>
      <c r="D613" s="35">
        <f>COUNTIF(Datos!S:S, "Totalmente en desacuerdo")</f>
        <v>3</v>
      </c>
    </row>
    <row r="614" spans="2:4" ht="15.75" thickBot="1" x14ac:dyDescent="0.3">
      <c r="B614" s="79" t="s">
        <v>230</v>
      </c>
      <c r="C614" s="28"/>
      <c r="D614" s="16">
        <f>SUM(D609:D613)</f>
        <v>119</v>
      </c>
    </row>
    <row r="624" spans="2:4" ht="15.75" thickBot="1" x14ac:dyDescent="0.3"/>
    <row r="625" spans="2:4" x14ac:dyDescent="0.25">
      <c r="B625" s="93" t="s">
        <v>350</v>
      </c>
      <c r="C625" s="94"/>
      <c r="D625" s="95"/>
    </row>
    <row r="626" spans="2:4" x14ac:dyDescent="0.25">
      <c r="B626" s="48" t="s">
        <v>290</v>
      </c>
      <c r="C626" s="49"/>
      <c r="D626" s="9">
        <f>COUNTIF(Datos!T:T, "Totalmente de acuerdo")</f>
        <v>2</v>
      </c>
    </row>
    <row r="627" spans="2:4" x14ac:dyDescent="0.25">
      <c r="B627" s="25" t="s">
        <v>291</v>
      </c>
      <c r="C627" s="38"/>
      <c r="D627" s="9">
        <f>COUNTIF(Datos!T:T, "De acuerdo")</f>
        <v>18</v>
      </c>
    </row>
    <row r="628" spans="2:4" x14ac:dyDescent="0.25">
      <c r="B628" s="25" t="s">
        <v>24</v>
      </c>
      <c r="C628" s="38"/>
      <c r="D628" s="9">
        <f>COUNTIF(Datos!T:T, "Neutral")</f>
        <v>59</v>
      </c>
    </row>
    <row r="629" spans="2:4" x14ac:dyDescent="0.25">
      <c r="B629" s="25" t="s">
        <v>292</v>
      </c>
      <c r="C629" s="38"/>
      <c r="D629" s="9">
        <f>COUNTIF(Datos!T:T, "En desacuerdo")</f>
        <v>34</v>
      </c>
    </row>
    <row r="630" spans="2:4" ht="15.75" thickBot="1" x14ac:dyDescent="0.3">
      <c r="B630" s="40" t="s">
        <v>293</v>
      </c>
      <c r="C630" s="42"/>
      <c r="D630" s="35">
        <f>COUNTIF(Datos!T:T, "Totalmente en desacuerdo")</f>
        <v>6</v>
      </c>
    </row>
    <row r="631" spans="2:4" ht="15.75" thickBot="1" x14ac:dyDescent="0.3">
      <c r="B631" s="79" t="s">
        <v>230</v>
      </c>
      <c r="C631" s="28"/>
      <c r="D631" s="16">
        <f>SUM(D626:D630)</f>
        <v>119</v>
      </c>
    </row>
    <row r="641" spans="2:4" ht="15.75" thickBot="1" x14ac:dyDescent="0.3"/>
    <row r="642" spans="2:4" x14ac:dyDescent="0.25">
      <c r="B642" s="93" t="s">
        <v>351</v>
      </c>
      <c r="C642" s="94"/>
      <c r="D642" s="95"/>
    </row>
    <row r="643" spans="2:4" x14ac:dyDescent="0.25">
      <c r="B643" s="48" t="s">
        <v>290</v>
      </c>
      <c r="C643" s="49"/>
      <c r="D643" s="9">
        <f>COUNTIF(Datos!N:N, "Totalmente de acuerdo")</f>
        <v>16</v>
      </c>
    </row>
    <row r="644" spans="2:4" x14ac:dyDescent="0.25">
      <c r="B644" s="25" t="s">
        <v>291</v>
      </c>
      <c r="C644" s="38"/>
      <c r="D644" s="9">
        <f>COUNTIF(Datos!N:N, "De acuerdo")</f>
        <v>23</v>
      </c>
    </row>
    <row r="645" spans="2:4" x14ac:dyDescent="0.25">
      <c r="B645" s="25" t="s">
        <v>24</v>
      </c>
      <c r="C645" s="38"/>
      <c r="D645" s="9">
        <f>COUNTIF(Datos!N:N, "Neutral")</f>
        <v>41</v>
      </c>
    </row>
    <row r="646" spans="2:4" x14ac:dyDescent="0.25">
      <c r="B646" s="25" t="s">
        <v>292</v>
      </c>
      <c r="C646" s="38"/>
      <c r="D646" s="9">
        <f>COUNTIF(Datos!N:N, "En desacuerdo")</f>
        <v>26</v>
      </c>
    </row>
    <row r="647" spans="2:4" ht="15.75" thickBot="1" x14ac:dyDescent="0.3">
      <c r="B647" s="40" t="s">
        <v>293</v>
      </c>
      <c r="C647" s="42"/>
      <c r="D647" s="35">
        <f>COUNTIF(Datos!N:N, "Totalmente en desacuerdo")</f>
        <v>13</v>
      </c>
    </row>
    <row r="648" spans="2:4" ht="15.75" thickBot="1" x14ac:dyDescent="0.3">
      <c r="B648" s="79" t="s">
        <v>230</v>
      </c>
      <c r="C648" s="28"/>
      <c r="D648" s="16">
        <f>SUM(D643:D647)</f>
        <v>119</v>
      </c>
    </row>
    <row r="658" spans="2:4" ht="15.75" thickBot="1" x14ac:dyDescent="0.3"/>
    <row r="659" spans="2:4" x14ac:dyDescent="0.25">
      <c r="B659" s="93" t="s">
        <v>352</v>
      </c>
      <c r="C659" s="94"/>
      <c r="D659" s="95"/>
    </row>
    <row r="660" spans="2:4" x14ac:dyDescent="0.25">
      <c r="B660" s="48" t="s">
        <v>290</v>
      </c>
      <c r="C660" s="49"/>
      <c r="D660" s="9">
        <f>COUNTIF(Datos!X:X, "Totalmente de acuerdo")</f>
        <v>33</v>
      </c>
    </row>
    <row r="661" spans="2:4" x14ac:dyDescent="0.25">
      <c r="B661" s="25" t="s">
        <v>291</v>
      </c>
      <c r="C661" s="38"/>
      <c r="D661" s="9">
        <f>COUNTIF(Datos!X:X, "De acuerdo")</f>
        <v>65</v>
      </c>
    </row>
    <row r="662" spans="2:4" x14ac:dyDescent="0.25">
      <c r="B662" s="25" t="s">
        <v>24</v>
      </c>
      <c r="C662" s="38"/>
      <c r="D662" s="9">
        <f>COUNTIF(Datos!X:X, "Neutral")</f>
        <v>15</v>
      </c>
    </row>
    <row r="663" spans="2:4" x14ac:dyDescent="0.25">
      <c r="B663" s="25" t="s">
        <v>292</v>
      </c>
      <c r="C663" s="38"/>
      <c r="D663" s="9">
        <f>COUNTIF(Datos!X:X, "En desacuerdo")</f>
        <v>6</v>
      </c>
    </row>
    <row r="664" spans="2:4" ht="15.75" thickBot="1" x14ac:dyDescent="0.3">
      <c r="B664" s="40" t="s">
        <v>293</v>
      </c>
      <c r="C664" s="42"/>
      <c r="D664" s="35">
        <f>COUNTIF(Datos!X:X, "Totalmente en desacuerdo")</f>
        <v>0</v>
      </c>
    </row>
    <row r="665" spans="2:4" ht="15.75" thickBot="1" x14ac:dyDescent="0.3">
      <c r="B665" s="79" t="s">
        <v>230</v>
      </c>
      <c r="C665" s="28"/>
      <c r="D665" s="16">
        <f>SUM(D660:D664)</f>
        <v>119</v>
      </c>
    </row>
    <row r="676" spans="2:4" ht="15.75" thickBot="1" x14ac:dyDescent="0.3"/>
    <row r="677" spans="2:4" x14ac:dyDescent="0.25">
      <c r="B677" s="93" t="s">
        <v>354</v>
      </c>
      <c r="C677" s="94"/>
      <c r="D677" s="95"/>
    </row>
    <row r="678" spans="2:4" x14ac:dyDescent="0.25">
      <c r="B678" s="48" t="s">
        <v>39</v>
      </c>
      <c r="C678" s="49"/>
      <c r="D678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79" spans="2:4" ht="15.75" thickBot="1" x14ac:dyDescent="0.3">
      <c r="B679" s="25" t="s">
        <v>7</v>
      </c>
      <c r="C679" s="38"/>
      <c r="D679" s="1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80" spans="2:4" x14ac:dyDescent="0.25">
      <c r="B680" s="36"/>
      <c r="C680" s="36"/>
      <c r="D680" s="36"/>
    </row>
    <row r="681" spans="2:4" x14ac:dyDescent="0.25">
      <c r="B681" s="10"/>
      <c r="C681" s="10"/>
      <c r="D681" s="10"/>
    </row>
    <row r="682" spans="2:4" x14ac:dyDescent="0.25">
      <c r="B682" s="10"/>
      <c r="C682" s="10"/>
      <c r="D682" s="10"/>
    </row>
    <row r="683" spans="2:4" x14ac:dyDescent="0.25">
      <c r="B683" s="66"/>
      <c r="C683" s="10"/>
      <c r="D683" s="10"/>
    </row>
    <row r="693" spans="2:4" ht="15.75" thickBot="1" x14ac:dyDescent="0.3"/>
    <row r="694" spans="2:4" x14ac:dyDescent="0.25">
      <c r="B694" s="93" t="s">
        <v>353</v>
      </c>
      <c r="C694" s="94"/>
      <c r="D694" s="95"/>
    </row>
    <row r="695" spans="2:4" x14ac:dyDescent="0.25">
      <c r="B695" s="48" t="s">
        <v>39</v>
      </c>
      <c r="C695" s="49"/>
      <c r="D695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96" spans="2:4" ht="15.75" thickBot="1" x14ac:dyDescent="0.3">
      <c r="B696" s="40" t="s">
        <v>7</v>
      </c>
      <c r="C696" s="42"/>
      <c r="D696" s="35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709" spans="2:6" ht="15.75" thickBot="1" x14ac:dyDescent="0.3"/>
    <row r="710" spans="2:6" x14ac:dyDescent="0.25">
      <c r="B710" s="98" t="s">
        <v>355</v>
      </c>
      <c r="C710" s="99"/>
      <c r="D710" s="99"/>
      <c r="E710" s="99"/>
      <c r="F710" s="100"/>
    </row>
    <row r="711" spans="2:6" x14ac:dyDescent="0.25">
      <c r="B711" s="17" t="s">
        <v>301</v>
      </c>
      <c r="C711" s="18" t="s">
        <v>242</v>
      </c>
      <c r="D711" s="20" t="s">
        <v>243</v>
      </c>
      <c r="E711" s="18" t="s">
        <v>244</v>
      </c>
      <c r="F711" s="19" t="s">
        <v>245</v>
      </c>
    </row>
    <row r="712" spans="2:6" x14ac:dyDescent="0.25">
      <c r="B712" s="8" t="s">
        <v>299</v>
      </c>
      <c r="C712" s="46">
        <f>COUNTIFS(Datos!G:G,1,Datos!R:R,"Totalmente de acuerdo")</f>
        <v>9</v>
      </c>
      <c r="D712" s="51">
        <f>COUNTIFS(Datos!G:G,2,Datos!R:R,"Totalmente de acuerdo")</f>
        <v>29</v>
      </c>
      <c r="E712" s="61">
        <f>COUNTIFS(Datos!G:G,3,Datos!R:R,"Totalmente de acuerdo")</f>
        <v>8</v>
      </c>
      <c r="F712" s="61">
        <f>COUNTIFS(Datos!G:G,"&gt;3",Datos!R:R,"Totalmente de acuerdo")</f>
        <v>5</v>
      </c>
    </row>
    <row r="713" spans="2:6" x14ac:dyDescent="0.25">
      <c r="B713" s="8" t="s">
        <v>291</v>
      </c>
      <c r="C713" s="46">
        <f>COUNTIFS(Datos!G:G,1,Datos!R:R,"De acuerdo")</f>
        <v>23</v>
      </c>
      <c r="D713" s="51">
        <f>COUNTIFS(Datos!G:G,2,Datos!R:R,"De acuerdo")</f>
        <v>14</v>
      </c>
      <c r="E713" s="61">
        <f>COUNTIFS(Datos!G:G,3,Datos!R:R,"De acuerdo")</f>
        <v>5</v>
      </c>
      <c r="F713" s="61">
        <f>COUNTIFS(Datos!G:G,"&gt;3",Datos!R:R,"De acuerdo")</f>
        <v>0</v>
      </c>
    </row>
    <row r="714" spans="2:6" x14ac:dyDescent="0.25">
      <c r="B714" s="13" t="s">
        <v>24</v>
      </c>
      <c r="C714" s="53">
        <f>COUNTIFS(Datos!G:G,1,Datos!R:R,"Neutral")</f>
        <v>7</v>
      </c>
      <c r="D714" s="54">
        <f>COUNTIFS(Datos!G:G,2,Datos!R:R,"Neutral")</f>
        <v>7</v>
      </c>
      <c r="E714" s="61">
        <f>COUNTIFS(Datos!G:G,3,Datos!R:R,"Neutral")</f>
        <v>4</v>
      </c>
      <c r="F714" s="61">
        <f>COUNTIFS(Datos!G:G,"&gt;3",Datos!R:R,"Neutral")</f>
        <v>0</v>
      </c>
    </row>
    <row r="715" spans="2:6" x14ac:dyDescent="0.25">
      <c r="B715" s="59" t="s">
        <v>307</v>
      </c>
      <c r="C715" s="53">
        <f>COUNTIFS(Datos!G:G,1,Datos!R:R,"En desacuerdo")</f>
        <v>7</v>
      </c>
      <c r="D715" s="54">
        <f>COUNTIFS(Datos!G:G,2,Datos!R:R,"En desacuerdo")</f>
        <v>1</v>
      </c>
      <c r="E715" s="61">
        <f>COUNTIFS(Datos!G:G,3,Datos!R:R,"En desacuerdo")</f>
        <v>0</v>
      </c>
      <c r="F715" s="61">
        <f>COUNTIFS(Datos!G:G,"&gt;3",Datos!R:R,"En desacuerdo")</f>
        <v>0</v>
      </c>
    </row>
    <row r="716" spans="2:6" ht="15.75" thickBot="1" x14ac:dyDescent="0.3">
      <c r="B716" s="55" t="s">
        <v>308</v>
      </c>
      <c r="C716" s="47">
        <f>COUNTIFS(Datos!G:G,1,Datos!R:R,"Totalmente en desacuerdo")</f>
        <v>0</v>
      </c>
      <c r="D716" s="56">
        <f>COUNTIFS(Datos!G:G,2,Datos!R:R,"Totalmente en desacuerdo")</f>
        <v>0</v>
      </c>
      <c r="E716" s="61">
        <f>COUNTIFS(Datos!G:G,3,Datos!R:R,"Totalmente en desacuerdo")</f>
        <v>0</v>
      </c>
      <c r="F716" s="61">
        <f>COUNTIFS(Datos!G:G,"&gt;3",Datos!R:R,"Totalmente en desacuerdo")</f>
        <v>0</v>
      </c>
    </row>
    <row r="717" spans="2:6" x14ac:dyDescent="0.25">
      <c r="B717" s="60" t="s">
        <v>230</v>
      </c>
      <c r="C717" s="21">
        <f>SUM(C712:C716)</f>
        <v>46</v>
      </c>
      <c r="D717" s="62">
        <f>SUM(D712:D716)</f>
        <v>51</v>
      </c>
      <c r="E717" s="21">
        <f>SUM(E712:E716)</f>
        <v>17</v>
      </c>
      <c r="F717" s="22">
        <f>SUM(F712:F716)</f>
        <v>5</v>
      </c>
    </row>
    <row r="718" spans="2:6" ht="15.75" thickBot="1" x14ac:dyDescent="0.3">
      <c r="B718" s="55" t="s">
        <v>310</v>
      </c>
      <c r="C718" s="47">
        <f>SUM(C717:F717)</f>
        <v>119</v>
      </c>
      <c r="D718" s="56"/>
      <c r="E718" s="47"/>
      <c r="F718" s="35"/>
    </row>
    <row r="720" spans="2:6" ht="15.75" thickBot="1" x14ac:dyDescent="0.3"/>
    <row r="721" spans="2:6" x14ac:dyDescent="0.25">
      <c r="B721" s="98" t="s">
        <v>355</v>
      </c>
      <c r="C721" s="99"/>
      <c r="D721" s="99"/>
      <c r="E721" s="99"/>
      <c r="F721" s="100"/>
    </row>
    <row r="722" spans="2:6" x14ac:dyDescent="0.25">
      <c r="B722" s="17" t="s">
        <v>301</v>
      </c>
      <c r="C722" s="18" t="s">
        <v>314</v>
      </c>
      <c r="D722" s="20" t="s">
        <v>315</v>
      </c>
      <c r="E722" s="18" t="s">
        <v>316</v>
      </c>
      <c r="F722" s="19" t="s">
        <v>317</v>
      </c>
    </row>
    <row r="723" spans="2:6" x14ac:dyDescent="0.25">
      <c r="B723" s="8" t="s">
        <v>299</v>
      </c>
      <c r="C723" s="63">
        <f>C712/C$717</f>
        <v>0.19565217391304349</v>
      </c>
      <c r="D723" s="63">
        <f t="shared" ref="D723:F723" si="31">D712/D$717</f>
        <v>0.56862745098039214</v>
      </c>
      <c r="E723" s="63">
        <f t="shared" si="31"/>
        <v>0.47058823529411764</v>
      </c>
      <c r="F723" s="63">
        <f t="shared" si="31"/>
        <v>1</v>
      </c>
    </row>
    <row r="724" spans="2:6" x14ac:dyDescent="0.25">
      <c r="B724" s="8" t="s">
        <v>291</v>
      </c>
      <c r="C724" s="63">
        <f t="shared" ref="C724:F727" si="32">C713/C$717</f>
        <v>0.5</v>
      </c>
      <c r="D724" s="63">
        <f t="shared" si="32"/>
        <v>0.27450980392156865</v>
      </c>
      <c r="E724" s="63">
        <f t="shared" si="32"/>
        <v>0.29411764705882354</v>
      </c>
      <c r="F724" s="63">
        <f t="shared" si="32"/>
        <v>0</v>
      </c>
    </row>
    <row r="725" spans="2:6" x14ac:dyDescent="0.25">
      <c r="B725" s="13" t="s">
        <v>24</v>
      </c>
      <c r="C725" s="63">
        <f t="shared" si="32"/>
        <v>0.15217391304347827</v>
      </c>
      <c r="D725" s="63">
        <f t="shared" si="32"/>
        <v>0.13725490196078433</v>
      </c>
      <c r="E725" s="63">
        <f t="shared" si="32"/>
        <v>0.23529411764705882</v>
      </c>
      <c r="F725" s="63">
        <f t="shared" si="32"/>
        <v>0</v>
      </c>
    </row>
    <row r="726" spans="2:6" x14ac:dyDescent="0.25">
      <c r="B726" s="59" t="s">
        <v>307</v>
      </c>
      <c r="C726" s="63">
        <f t="shared" si="32"/>
        <v>0.15217391304347827</v>
      </c>
      <c r="D726" s="63">
        <f t="shared" si="32"/>
        <v>1.9607843137254902E-2</v>
      </c>
      <c r="E726" s="63">
        <f t="shared" si="32"/>
        <v>0</v>
      </c>
      <c r="F726" s="63">
        <f t="shared" si="32"/>
        <v>0</v>
      </c>
    </row>
    <row r="727" spans="2:6" ht="15.75" thickBot="1" x14ac:dyDescent="0.3">
      <c r="B727" s="55" t="s">
        <v>308</v>
      </c>
      <c r="C727" s="63">
        <f t="shared" si="32"/>
        <v>0</v>
      </c>
      <c r="D727" s="63">
        <f t="shared" si="32"/>
        <v>0</v>
      </c>
      <c r="E727" s="63">
        <f t="shared" si="32"/>
        <v>0</v>
      </c>
      <c r="F727" s="63">
        <f t="shared" si="32"/>
        <v>0</v>
      </c>
    </row>
    <row r="729" spans="2:6" x14ac:dyDescent="0.25">
      <c r="C729" s="1" t="s">
        <v>242</v>
      </c>
      <c r="D729" s="71">
        <f>SUM(C723:C724)</f>
        <v>0.69565217391304346</v>
      </c>
    </row>
    <row r="730" spans="2:6" x14ac:dyDescent="0.25">
      <c r="C730" s="1" t="s">
        <v>243</v>
      </c>
      <c r="D730" s="71">
        <f>SUM(D723:D724)</f>
        <v>0.84313725490196079</v>
      </c>
    </row>
    <row r="731" spans="2:6" x14ac:dyDescent="0.25">
      <c r="C731" s="1" t="s">
        <v>244</v>
      </c>
      <c r="D731" s="71">
        <f>SUM(E723:E724)</f>
        <v>0.76470588235294112</v>
      </c>
    </row>
    <row r="732" spans="2:6" x14ac:dyDescent="0.25">
      <c r="C732" s="1" t="s">
        <v>245</v>
      </c>
      <c r="D732" s="71">
        <f>SUM(F723:F724)</f>
        <v>1</v>
      </c>
    </row>
    <row r="738" spans="3:5" ht="15.75" thickBot="1" x14ac:dyDescent="0.3"/>
    <row r="739" spans="3:5" x14ac:dyDescent="0.25">
      <c r="C739" s="93" t="s">
        <v>356</v>
      </c>
      <c r="D739" s="94"/>
      <c r="E739" s="95"/>
    </row>
    <row r="740" spans="3:5" x14ac:dyDescent="0.25">
      <c r="C740" s="48" t="s">
        <v>290</v>
      </c>
      <c r="D740" s="49"/>
      <c r="E740" s="9">
        <f>COUNTIFS(Datos!H:H,"Excelente", Datos!R:R,"Totalmente de acuerdo") + COUNTIFS(Datos!H:H,"Muy bueno", Datos!R:R,"Totalmente de acuerdo")</f>
        <v>20</v>
      </c>
    </row>
    <row r="741" spans="3:5" x14ac:dyDescent="0.25">
      <c r="C741" s="25" t="s">
        <v>291</v>
      </c>
      <c r="D741" s="38"/>
      <c r="E741" s="9">
        <f>COUNTIFS(Datos!H:H,"Excelente", Datos!R:R,"De acuerdo") + COUNTIFS(Datos!H:H,"Muy bueno", Datos!R:R,"De acuerdo")</f>
        <v>10</v>
      </c>
    </row>
    <row r="742" spans="3:5" x14ac:dyDescent="0.25">
      <c r="C742" s="25" t="s">
        <v>24</v>
      </c>
      <c r="D742" s="38"/>
      <c r="E742" s="9">
        <f>COUNTIFS(Datos!H:H,"Excelente", Datos!R:R,"Neutral") + COUNTIFS(Datos!H:H,"Muy bueno", Datos!R:R,"Neutral")</f>
        <v>4</v>
      </c>
    </row>
    <row r="743" spans="3:5" x14ac:dyDescent="0.25">
      <c r="C743" s="25" t="s">
        <v>292</v>
      </c>
      <c r="D743" s="38"/>
      <c r="E743" s="9">
        <f>COUNTIFS(Datos!H:H,"Excelente", Datos!R:R,"En desacuerdo") + COUNTIFS(Datos!H:H,"Muy bueno", Datos!R:R,"En desacuerdo")</f>
        <v>0</v>
      </c>
    </row>
    <row r="744" spans="3:5" ht="15.75" thickBot="1" x14ac:dyDescent="0.3">
      <c r="C744" s="40" t="s">
        <v>293</v>
      </c>
      <c r="D744" s="42"/>
      <c r="E744" s="35">
        <f>COUNTIFS(Datos!H:H,"Excelente", Datos!R:R,"Totalmente en desacuerdo") + COUNTIFS(Datos!H:H,"Muy bueno", Datos!R:R,"Totalmente en desacuerdo")</f>
        <v>0</v>
      </c>
    </row>
    <row r="745" spans="3:5" ht="15.75" thickBot="1" x14ac:dyDescent="0.3">
      <c r="C745" s="85" t="s">
        <v>230</v>
      </c>
      <c r="D745" s="28"/>
      <c r="E745" s="16">
        <f>SUM(E740:E744)</f>
        <v>34</v>
      </c>
    </row>
    <row r="754" spans="2:6" ht="15.75" thickBot="1" x14ac:dyDescent="0.3"/>
    <row r="755" spans="2:6" x14ac:dyDescent="0.25">
      <c r="B755" s="98" t="s">
        <v>357</v>
      </c>
      <c r="C755" s="99"/>
      <c r="D755" s="99"/>
      <c r="E755" s="99"/>
      <c r="F755" s="100"/>
    </row>
    <row r="756" spans="2:6" x14ac:dyDescent="0.25">
      <c r="B756" s="17" t="s">
        <v>301</v>
      </c>
      <c r="C756" s="18" t="s">
        <v>242</v>
      </c>
      <c r="D756" s="20" t="s">
        <v>243</v>
      </c>
      <c r="E756" s="18" t="s">
        <v>244</v>
      </c>
      <c r="F756" s="19" t="s">
        <v>245</v>
      </c>
    </row>
    <row r="757" spans="2:6" x14ac:dyDescent="0.25">
      <c r="B757" s="8" t="s">
        <v>299</v>
      </c>
      <c r="C757" s="46">
        <f>COUNTIFS(Datos!G:G,1,Datos!W:W,"Totalmente de acuerdo")</f>
        <v>4</v>
      </c>
      <c r="D757" s="51">
        <f>COUNTIFS(Datos!G:G,2,Datos!W:W,"Totalmente de acuerdo")</f>
        <v>12</v>
      </c>
      <c r="E757" s="61">
        <f>COUNTIFS(Datos!G:G,3,Datos!W:W,"Totalmente de acuerdo")</f>
        <v>7</v>
      </c>
      <c r="F757" s="61">
        <f>COUNTIFS(Datos!G:G,"&gt;3",Datos!W:W,"Totalmente de acuerdo")</f>
        <v>1</v>
      </c>
    </row>
    <row r="758" spans="2:6" x14ac:dyDescent="0.25">
      <c r="B758" s="8" t="s">
        <v>291</v>
      </c>
      <c r="C758" s="46">
        <f>COUNTIFS(Datos!G:G,1,Datos!W:W,"De acuerdo")</f>
        <v>16</v>
      </c>
      <c r="D758" s="51">
        <f>COUNTIFS(Datos!G:G,2,Datos!W:W,"De acuerdo")</f>
        <v>15</v>
      </c>
      <c r="E758" s="61">
        <f>COUNTIFS(Datos!G:G,3,Datos!W:W,"De acuerdo")</f>
        <v>3</v>
      </c>
      <c r="F758" s="61">
        <f>COUNTIFS(Datos!G:G,"&gt;3",Datos!W:W,"De acuerdo")</f>
        <v>1</v>
      </c>
    </row>
    <row r="759" spans="2:6" x14ac:dyDescent="0.25">
      <c r="B759" s="13" t="s">
        <v>24</v>
      </c>
      <c r="C759" s="53">
        <f>COUNTIFS(Datos!G:G,1,Datos!W:W,"Neutral")</f>
        <v>11</v>
      </c>
      <c r="D759" s="54">
        <f>COUNTIFS(Datos!G:G,2,Datos!W:W,"Neutral")</f>
        <v>12</v>
      </c>
      <c r="E759" s="61">
        <f>COUNTIFS(Datos!G:G,3,Datos!W:W,"Neutral")</f>
        <v>4</v>
      </c>
      <c r="F759" s="61">
        <f>COUNTIFS(Datos!G:G,"&gt;3",Datos!W:W,"Neutral")</f>
        <v>2</v>
      </c>
    </row>
    <row r="760" spans="2:6" x14ac:dyDescent="0.25">
      <c r="B760" s="59" t="s">
        <v>307</v>
      </c>
      <c r="C760" s="53">
        <f>COUNTIFS(Datos!G:G,1,Datos!W:W,"En desacuerdo")</f>
        <v>10</v>
      </c>
      <c r="D760" s="54">
        <f>COUNTIFS(Datos!G:G,2,Datos!W:W,"En desacuerdo")</f>
        <v>8</v>
      </c>
      <c r="E760" s="61">
        <f>COUNTIFS(Datos!G:G,3,Datos!W:W,"En desacuerdo")</f>
        <v>0</v>
      </c>
      <c r="F760" s="61">
        <f>COUNTIFS(Datos!G:G,"&gt;3",Datos!W:W,"En desacuerdo")</f>
        <v>1</v>
      </c>
    </row>
    <row r="761" spans="2:6" ht="15.75" thickBot="1" x14ac:dyDescent="0.3">
      <c r="B761" s="55" t="s">
        <v>308</v>
      </c>
      <c r="C761" s="47">
        <f>COUNTIFS(Datos!G:G,1,Datos!W:W,"Totalmente en desacuerdo")</f>
        <v>5</v>
      </c>
      <c r="D761" s="56">
        <f>COUNTIFS(Datos!G:G,2,Datos!W:W,"Totalmente en desacuerdo")</f>
        <v>4</v>
      </c>
      <c r="E761" s="61">
        <f>COUNTIFS(Datos!G:G,3,Datos!W:W,"Totalmente en desacuerdo")</f>
        <v>3</v>
      </c>
      <c r="F761" s="61">
        <f>COUNTIFS(Datos!G:G,"&gt;3",Datos!W:W,"Totalmente en desacuerdo")</f>
        <v>0</v>
      </c>
    </row>
    <row r="762" spans="2:6" x14ac:dyDescent="0.25">
      <c r="B762" s="60" t="s">
        <v>230</v>
      </c>
      <c r="C762" s="21">
        <f>SUM(C757:C761)</f>
        <v>46</v>
      </c>
      <c r="D762" s="62">
        <f>SUM(D757:D761)</f>
        <v>51</v>
      </c>
      <c r="E762" s="21">
        <f>SUM(E757:E761)</f>
        <v>17</v>
      </c>
      <c r="F762" s="22">
        <f>SUM(F757:F761)</f>
        <v>5</v>
      </c>
    </row>
    <row r="763" spans="2:6" ht="15.75" thickBot="1" x14ac:dyDescent="0.3">
      <c r="B763" s="55" t="s">
        <v>310</v>
      </c>
      <c r="C763" s="47">
        <f>SUM(C762:F762)</f>
        <v>119</v>
      </c>
      <c r="D763" s="56"/>
      <c r="E763" s="47"/>
      <c r="F763" s="35"/>
    </row>
    <row r="765" spans="2:6" ht="15.75" thickBot="1" x14ac:dyDescent="0.3"/>
    <row r="766" spans="2:6" x14ac:dyDescent="0.25">
      <c r="B766" s="98" t="s">
        <v>357</v>
      </c>
      <c r="C766" s="99"/>
      <c r="D766" s="99"/>
      <c r="E766" s="99"/>
      <c r="F766" s="100"/>
    </row>
    <row r="767" spans="2:6" x14ac:dyDescent="0.25">
      <c r="B767" s="17" t="s">
        <v>301</v>
      </c>
      <c r="C767" s="18" t="s">
        <v>314</v>
      </c>
      <c r="D767" s="20" t="s">
        <v>315</v>
      </c>
      <c r="E767" s="18" t="s">
        <v>316</v>
      </c>
      <c r="F767" s="19" t="s">
        <v>317</v>
      </c>
    </row>
    <row r="768" spans="2:6" x14ac:dyDescent="0.25">
      <c r="B768" s="8" t="s">
        <v>299</v>
      </c>
      <c r="C768" s="63">
        <f>C757/C$762</f>
        <v>8.6956521739130432E-2</v>
      </c>
      <c r="D768" s="63">
        <f t="shared" ref="D768:F768" si="33">D757/D$762</f>
        <v>0.23529411764705882</v>
      </c>
      <c r="E768" s="63">
        <f t="shared" si="33"/>
        <v>0.41176470588235292</v>
      </c>
      <c r="F768" s="63">
        <f t="shared" si="33"/>
        <v>0.2</v>
      </c>
    </row>
    <row r="769" spans="2:6" x14ac:dyDescent="0.25">
      <c r="B769" s="8" t="s">
        <v>291</v>
      </c>
      <c r="C769" s="63">
        <f t="shared" ref="C769:F772" si="34">C758/C$762</f>
        <v>0.34782608695652173</v>
      </c>
      <c r="D769" s="63">
        <f t="shared" si="34"/>
        <v>0.29411764705882354</v>
      </c>
      <c r="E769" s="63">
        <f t="shared" si="34"/>
        <v>0.17647058823529413</v>
      </c>
      <c r="F769" s="63">
        <f t="shared" si="34"/>
        <v>0.2</v>
      </c>
    </row>
    <row r="770" spans="2:6" x14ac:dyDescent="0.25">
      <c r="B770" s="13" t="s">
        <v>24</v>
      </c>
      <c r="C770" s="63">
        <f t="shared" si="34"/>
        <v>0.2391304347826087</v>
      </c>
      <c r="D770" s="63">
        <f t="shared" si="34"/>
        <v>0.23529411764705882</v>
      </c>
      <c r="E770" s="63">
        <f t="shared" si="34"/>
        <v>0.23529411764705882</v>
      </c>
      <c r="F770" s="63">
        <f t="shared" si="34"/>
        <v>0.4</v>
      </c>
    </row>
    <row r="771" spans="2:6" x14ac:dyDescent="0.25">
      <c r="B771" s="59" t="s">
        <v>307</v>
      </c>
      <c r="C771" s="63">
        <f t="shared" si="34"/>
        <v>0.21739130434782608</v>
      </c>
      <c r="D771" s="63">
        <f t="shared" si="34"/>
        <v>0.15686274509803921</v>
      </c>
      <c r="E771" s="63">
        <f t="shared" si="34"/>
        <v>0</v>
      </c>
      <c r="F771" s="63">
        <f t="shared" si="34"/>
        <v>0.2</v>
      </c>
    </row>
    <row r="772" spans="2:6" ht="15.75" thickBot="1" x14ac:dyDescent="0.3">
      <c r="B772" s="55" t="s">
        <v>308</v>
      </c>
      <c r="C772" s="63">
        <f t="shared" si="34"/>
        <v>0.10869565217391304</v>
      </c>
      <c r="D772" s="63">
        <f t="shared" si="34"/>
        <v>7.8431372549019607E-2</v>
      </c>
      <c r="E772" s="63">
        <f t="shared" si="34"/>
        <v>0.17647058823529413</v>
      </c>
      <c r="F772" s="63">
        <f t="shared" si="34"/>
        <v>0</v>
      </c>
    </row>
    <row r="774" spans="2:6" x14ac:dyDescent="0.25">
      <c r="C774" s="1" t="s">
        <v>242</v>
      </c>
      <c r="D774" s="71">
        <f>SUM(C768:C769)</f>
        <v>0.43478260869565216</v>
      </c>
    </row>
    <row r="775" spans="2:6" x14ac:dyDescent="0.25">
      <c r="C775" s="1" t="s">
        <v>243</v>
      </c>
      <c r="D775" s="71">
        <f>SUM(D768:D769)</f>
        <v>0.52941176470588236</v>
      </c>
    </row>
    <row r="776" spans="2:6" x14ac:dyDescent="0.25">
      <c r="C776" s="1" t="s">
        <v>244</v>
      </c>
      <c r="D776" s="71">
        <f>SUM(E768:E769)</f>
        <v>0.58823529411764708</v>
      </c>
    </row>
    <row r="777" spans="2:6" x14ac:dyDescent="0.25">
      <c r="C777" s="1" t="s">
        <v>245</v>
      </c>
      <c r="D777" s="71">
        <f>SUM(F768:F769)</f>
        <v>0.4</v>
      </c>
    </row>
    <row r="783" spans="2:6" ht="15.75" thickBot="1" x14ac:dyDescent="0.3"/>
    <row r="784" spans="2:6" x14ac:dyDescent="0.25">
      <c r="C784" s="93" t="s">
        <v>358</v>
      </c>
      <c r="D784" s="94"/>
      <c r="E784" s="95"/>
    </row>
    <row r="785" spans="3:5" x14ac:dyDescent="0.25">
      <c r="C785" s="48" t="s">
        <v>290</v>
      </c>
      <c r="D785" s="49"/>
      <c r="E785" s="9">
        <f>COUNTIFS(Datos!H:H,"Excelente", Datos!W:W,"Totalmente de acuerdo") + COUNTIFS(Datos!H:H,"Muy bueno", Datos!W:W,"Totalmente de acuerdo")</f>
        <v>8</v>
      </c>
    </row>
    <row r="786" spans="3:5" x14ac:dyDescent="0.25">
      <c r="C786" s="25" t="s">
        <v>291</v>
      </c>
      <c r="D786" s="38"/>
      <c r="E786" s="9">
        <f>COUNTIFS(Datos!H:H,"Excelente", Datos!W:W,"De acuerdo") + COUNTIFS(Datos!H:H,"Muy bueno", Datos!W:W,"De acuerdo")</f>
        <v>9</v>
      </c>
    </row>
    <row r="787" spans="3:5" x14ac:dyDescent="0.25">
      <c r="C787" s="25" t="s">
        <v>24</v>
      </c>
      <c r="D787" s="38"/>
      <c r="E787" s="9">
        <f>COUNTIFS(Datos!H:H,"Excelente", Datos!W:W,"Neutral") + COUNTIFS(Datos!H:H,"Muy bueno", Datos!W:W,"Neutral")</f>
        <v>8</v>
      </c>
    </row>
    <row r="788" spans="3:5" x14ac:dyDescent="0.25">
      <c r="C788" s="25" t="s">
        <v>292</v>
      </c>
      <c r="D788" s="38"/>
      <c r="E788" s="9">
        <f>COUNTIFS(Datos!H:H,"Excelente", Datos!W:W,"En desacuerdo") + COUNTIFS(Datos!H:H,"Muy bueno", Datos!W:W,"En desacuerdo")</f>
        <v>5</v>
      </c>
    </row>
    <row r="789" spans="3:5" ht="15.75" thickBot="1" x14ac:dyDescent="0.3">
      <c r="C789" s="40" t="s">
        <v>293</v>
      </c>
      <c r="D789" s="42"/>
      <c r="E789" s="35">
        <f>COUNTIFS(Datos!H:H,"Excelente", Datos!W:W,"Totalmente en desacuerdo") + COUNTIFS(Datos!H:H,"Muy bueno", Datos!W:W,"Totalmente en desacuerdo")</f>
        <v>4</v>
      </c>
    </row>
    <row r="790" spans="3:5" ht="15.75" thickBot="1" x14ac:dyDescent="0.3">
      <c r="C790" s="85" t="s">
        <v>230</v>
      </c>
      <c r="D790" s="28"/>
      <c r="E790" s="16">
        <f>SUM(E785:E789)</f>
        <v>34</v>
      </c>
    </row>
  </sheetData>
  <mergeCells count="53">
    <mergeCell ref="C784:E784"/>
    <mergeCell ref="B710:F710"/>
    <mergeCell ref="B721:F721"/>
    <mergeCell ref="C739:E739"/>
    <mergeCell ref="B755:F755"/>
    <mergeCell ref="B766:F766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  <mergeCell ref="B253:G253"/>
    <mergeCell ref="B262:G262"/>
    <mergeCell ref="B275:F275"/>
    <mergeCell ref="B291:F291"/>
    <mergeCell ref="C24:D24"/>
    <mergeCell ref="B237:F237"/>
    <mergeCell ref="B190:E190"/>
    <mergeCell ref="B208:F208"/>
    <mergeCell ref="B226:F226"/>
    <mergeCell ref="B158:C158"/>
    <mergeCell ref="B170:D170"/>
    <mergeCell ref="B490:F490"/>
    <mergeCell ref="C500:D500"/>
    <mergeCell ref="B510:F510"/>
    <mergeCell ref="C520:D520"/>
    <mergeCell ref="B302:F302"/>
    <mergeCell ref="B316:E316"/>
    <mergeCell ref="B334:F334"/>
    <mergeCell ref="B352:F352"/>
    <mergeCell ref="B363:F363"/>
    <mergeCell ref="B434:D434"/>
    <mergeCell ref="B454:E454"/>
    <mergeCell ref="B471:E471"/>
    <mergeCell ref="B378:D378"/>
    <mergeCell ref="B396:F396"/>
    <mergeCell ref="B415:F415"/>
    <mergeCell ref="B532:F532"/>
    <mergeCell ref="C542:D542"/>
    <mergeCell ref="B552:F552"/>
    <mergeCell ref="C562:D562"/>
    <mergeCell ref="B573:D573"/>
    <mergeCell ref="B677:D677"/>
    <mergeCell ref="B694:D694"/>
    <mergeCell ref="B591:D591"/>
    <mergeCell ref="B608:D608"/>
    <mergeCell ref="B625:D625"/>
    <mergeCell ref="B642:D642"/>
    <mergeCell ref="B659:D659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2021-05-02T13:20:17Z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