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pedro\Downloads\"/>
    </mc:Choice>
  </mc:AlternateContent>
  <xr:revisionPtr revIDLastSave="0" documentId="13_ncr:1_{1F3F9B6C-3F75-4F35-AC31-978321C446F6}" xr6:coauthVersionLast="46" xr6:coauthVersionMax="46" xr10:uidLastSave="{00000000-0000-0000-0000-000000000000}"/>
  <bookViews>
    <workbookView xWindow="30612" yWindow="-108" windowWidth="23256" windowHeight="12720" activeTab="2" xr2:uid="{00000000-000D-0000-FFFF-FFFF00000000}"/>
  </bookViews>
  <sheets>
    <sheet name="Datos" sheetId="1" r:id="rId1"/>
    <sheet name="Preguntas" sheetId="3" r:id="rId2"/>
    <sheet name="Gráfica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77" i="2" l="1"/>
  <c r="D755" i="2"/>
  <c r="D754" i="2"/>
  <c r="D753" i="2"/>
  <c r="D752" i="2"/>
  <c r="D751" i="2"/>
  <c r="F726" i="2"/>
  <c r="F725" i="2"/>
  <c r="F724" i="2"/>
  <c r="F723" i="2"/>
  <c r="F722" i="2"/>
  <c r="E726" i="2"/>
  <c r="E725" i="2"/>
  <c r="E724" i="2"/>
  <c r="E723" i="2"/>
  <c r="E722" i="2"/>
  <c r="D726" i="2"/>
  <c r="D725" i="2"/>
  <c r="D724" i="2"/>
  <c r="D723" i="2"/>
  <c r="D722" i="2"/>
  <c r="C726" i="2"/>
  <c r="C725" i="2"/>
  <c r="C724" i="2"/>
  <c r="C723" i="2"/>
  <c r="C722" i="2"/>
  <c r="D710" i="2"/>
  <c r="D709" i="2"/>
  <c r="D708" i="2"/>
  <c r="D707" i="2"/>
  <c r="D706" i="2"/>
  <c r="F681" i="2"/>
  <c r="F680" i="2"/>
  <c r="F679" i="2"/>
  <c r="F678" i="2"/>
  <c r="F677" i="2"/>
  <c r="E681" i="2"/>
  <c r="E680" i="2"/>
  <c r="E679" i="2"/>
  <c r="E678" i="2"/>
  <c r="E677" i="2"/>
  <c r="D681" i="2"/>
  <c r="D680" i="2"/>
  <c r="D679" i="2"/>
  <c r="D678" i="2"/>
  <c r="D677" i="2"/>
  <c r="C681" i="2"/>
  <c r="C680" i="2"/>
  <c r="C679" i="2"/>
  <c r="C678" i="2"/>
  <c r="D661" i="2"/>
  <c r="D660" i="2"/>
  <c r="D646" i="2"/>
  <c r="D645" i="2"/>
  <c r="D630" i="2"/>
  <c r="D629" i="2"/>
  <c r="D628" i="2"/>
  <c r="D627" i="2"/>
  <c r="D626" i="2"/>
  <c r="D612" i="2"/>
  <c r="D611" i="2"/>
  <c r="D610" i="2"/>
  <c r="D609" i="2"/>
  <c r="D608" i="2"/>
  <c r="D592" i="2"/>
  <c r="D595" i="2"/>
  <c r="D594" i="2"/>
  <c r="D593" i="2"/>
  <c r="D591" i="2"/>
  <c r="D578" i="2"/>
  <c r="D577" i="2"/>
  <c r="D576" i="2"/>
  <c r="D575" i="2"/>
  <c r="D574" i="2"/>
  <c r="D560" i="2"/>
  <c r="D559" i="2"/>
  <c r="D558" i="2"/>
  <c r="D557" i="2"/>
  <c r="D556" i="2"/>
  <c r="D540" i="2"/>
  <c r="D539" i="2"/>
  <c r="D538" i="2"/>
  <c r="D537" i="2"/>
  <c r="D536" i="2"/>
  <c r="C540" i="2"/>
  <c r="C539" i="2"/>
  <c r="C538" i="2"/>
  <c r="C537" i="2"/>
  <c r="C536" i="2"/>
  <c r="D520" i="2"/>
  <c r="D519" i="2"/>
  <c r="D518" i="2"/>
  <c r="D517" i="2"/>
  <c r="D516" i="2"/>
  <c r="C520" i="2"/>
  <c r="C519" i="2"/>
  <c r="C518" i="2"/>
  <c r="C517" i="2"/>
  <c r="C516" i="2"/>
  <c r="D498" i="2"/>
  <c r="D497" i="2"/>
  <c r="D496" i="2"/>
  <c r="D495" i="2"/>
  <c r="D494" i="2"/>
  <c r="C498" i="2"/>
  <c r="C497" i="2"/>
  <c r="C496" i="2"/>
  <c r="C495" i="2"/>
  <c r="C494" i="2"/>
  <c r="D478" i="2"/>
  <c r="D477" i="2"/>
  <c r="D476" i="2"/>
  <c r="D475" i="2"/>
  <c r="D474" i="2"/>
  <c r="C478" i="2"/>
  <c r="C477" i="2"/>
  <c r="C476" i="2"/>
  <c r="C475" i="2"/>
  <c r="C474" i="2"/>
  <c r="D460" i="2"/>
  <c r="D455" i="2"/>
  <c r="D454" i="2"/>
  <c r="D439" i="2"/>
  <c r="D438" i="2"/>
  <c r="D437" i="2"/>
  <c r="D436" i="2"/>
  <c r="D435" i="2"/>
  <c r="D383" i="2"/>
  <c r="D382" i="2"/>
  <c r="D381" i="2"/>
  <c r="D380" i="2"/>
  <c r="D379" i="2"/>
  <c r="D340" i="2"/>
  <c r="D339" i="2"/>
  <c r="D338" i="2"/>
  <c r="D337" i="2"/>
  <c r="D336" i="2"/>
  <c r="C340" i="2"/>
  <c r="C339" i="2"/>
  <c r="C338" i="2"/>
  <c r="C337" i="2"/>
  <c r="C336" i="2"/>
  <c r="D320" i="2"/>
  <c r="D319" i="2"/>
  <c r="D318" i="2"/>
  <c r="D321" i="2"/>
  <c r="C321" i="2"/>
  <c r="C320" i="2"/>
  <c r="C319" i="2"/>
  <c r="C318" i="2"/>
  <c r="D281" i="2"/>
  <c r="D280" i="2"/>
  <c r="D279" i="2"/>
  <c r="D278" i="2"/>
  <c r="C281" i="2"/>
  <c r="C280" i="2"/>
  <c r="C279" i="2"/>
  <c r="C278" i="2"/>
  <c r="C267" i="2"/>
  <c r="C266" i="2"/>
  <c r="C265" i="2"/>
  <c r="C264" i="2"/>
  <c r="G258" i="2"/>
  <c r="G257" i="2"/>
  <c r="G256" i="2"/>
  <c r="G255" i="2"/>
  <c r="F258" i="2"/>
  <c r="F257" i="2"/>
  <c r="F256" i="2"/>
  <c r="F255" i="2"/>
  <c r="E258" i="2"/>
  <c r="E267" i="2" s="1"/>
  <c r="E257" i="2"/>
  <c r="E266" i="2" s="1"/>
  <c r="E256" i="2"/>
  <c r="E265" i="2" s="1"/>
  <c r="E255" i="2"/>
  <c r="E264" i="2" s="1"/>
  <c r="D258" i="2"/>
  <c r="D257" i="2"/>
  <c r="D256" i="2"/>
  <c r="D255" i="2"/>
  <c r="C258" i="2"/>
  <c r="C257" i="2"/>
  <c r="C256" i="2"/>
  <c r="C255" i="2"/>
  <c r="D214" i="2"/>
  <c r="D213" i="2"/>
  <c r="D212" i="2"/>
  <c r="D211" i="2"/>
  <c r="D210" i="2"/>
  <c r="C214" i="2"/>
  <c r="C213" i="2"/>
  <c r="C212" i="2"/>
  <c r="C211" i="2"/>
  <c r="C210" i="2"/>
  <c r="C195" i="2"/>
  <c r="C194" i="2"/>
  <c r="C193" i="2"/>
  <c r="C192" i="2"/>
  <c r="D195" i="2"/>
  <c r="D194" i="2"/>
  <c r="D193" i="2"/>
  <c r="D70" i="2"/>
  <c r="D69" i="2"/>
  <c r="D68" i="2"/>
  <c r="D9" i="2"/>
  <c r="D8" i="2"/>
  <c r="D192" i="2"/>
  <c r="D172" i="2"/>
  <c r="D176" i="2"/>
  <c r="D175" i="2"/>
  <c r="D174" i="2"/>
  <c r="D173" i="2"/>
  <c r="D63" i="2"/>
  <c r="D157" i="2"/>
  <c r="D156" i="2"/>
  <c r="D155" i="2"/>
  <c r="D154" i="2"/>
  <c r="D140" i="2"/>
  <c r="D139" i="2"/>
  <c r="D138" i="2"/>
  <c r="D137" i="2"/>
  <c r="D136" i="2"/>
  <c r="D135" i="2"/>
  <c r="D134" i="2"/>
  <c r="D122" i="2"/>
  <c r="D121" i="2"/>
  <c r="D120" i="2"/>
  <c r="D119" i="2"/>
  <c r="D118" i="2"/>
  <c r="D104" i="2"/>
  <c r="D103" i="2"/>
  <c r="D102" i="2"/>
  <c r="D101" i="2"/>
  <c r="D100" i="2"/>
  <c r="G2" i="1"/>
  <c r="D417" i="2" s="1"/>
  <c r="G3" i="1"/>
  <c r="F229" i="2" s="1"/>
  <c r="G4" i="1"/>
  <c r="F228" i="2" s="1"/>
  <c r="G5" i="1"/>
  <c r="E232" i="2" s="1"/>
  <c r="G6" i="1"/>
  <c r="E231" i="2" s="1"/>
  <c r="G7" i="1"/>
  <c r="E230" i="2" s="1"/>
  <c r="G8" i="1"/>
  <c r="E229" i="2" s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D71" i="2"/>
  <c r="D45" i="2"/>
  <c r="D46" i="2" s="1"/>
  <c r="D47" i="2" s="1"/>
  <c r="D26" i="2"/>
  <c r="D25" i="2"/>
  <c r="D461" i="2" l="1"/>
  <c r="D267" i="2"/>
  <c r="G267" i="2"/>
  <c r="E195" i="2"/>
  <c r="E193" i="2"/>
  <c r="E192" i="2"/>
  <c r="D265" i="2"/>
  <c r="D266" i="2"/>
  <c r="E194" i="2"/>
  <c r="C196" i="2"/>
  <c r="D756" i="2"/>
  <c r="F727" i="2"/>
  <c r="F734" i="2" s="1"/>
  <c r="E727" i="2"/>
  <c r="D727" i="2"/>
  <c r="D735" i="2" s="1"/>
  <c r="C727" i="2"/>
  <c r="C737" i="2" s="1"/>
  <c r="D711" i="2"/>
  <c r="C682" i="2"/>
  <c r="C689" i="2" s="1"/>
  <c r="D682" i="2"/>
  <c r="D692" i="2" s="1"/>
  <c r="E682" i="2"/>
  <c r="F682" i="2"/>
  <c r="F689" i="2" s="1"/>
  <c r="D631" i="2"/>
  <c r="D613" i="2"/>
  <c r="D596" i="2"/>
  <c r="D579" i="2"/>
  <c r="D561" i="2"/>
  <c r="C479" i="2"/>
  <c r="E476" i="2" s="1"/>
  <c r="D72" i="2"/>
  <c r="F265" i="2"/>
  <c r="F266" i="2"/>
  <c r="F267" i="2"/>
  <c r="D264" i="2"/>
  <c r="G264" i="2"/>
  <c r="G265" i="2"/>
  <c r="G266" i="2"/>
  <c r="D541" i="2"/>
  <c r="F538" i="2" s="1"/>
  <c r="C541" i="2"/>
  <c r="E537" i="2" s="1"/>
  <c r="D521" i="2"/>
  <c r="F520" i="2" s="1"/>
  <c r="C521" i="2"/>
  <c r="E520" i="2" s="1"/>
  <c r="D499" i="2"/>
  <c r="C499" i="2"/>
  <c r="D479" i="2"/>
  <c r="F496" i="2" s="1"/>
  <c r="F264" i="2"/>
  <c r="E355" i="2"/>
  <c r="C400" i="2"/>
  <c r="D230" i="2"/>
  <c r="F232" i="2"/>
  <c r="D293" i="2"/>
  <c r="C358" i="2"/>
  <c r="F355" i="2"/>
  <c r="D398" i="2"/>
  <c r="D418" i="2"/>
  <c r="C231" i="2"/>
  <c r="C215" i="2"/>
  <c r="E210" i="2" s="1"/>
  <c r="D231" i="2"/>
  <c r="D294" i="2"/>
  <c r="D354" i="2"/>
  <c r="F356" i="2"/>
  <c r="D399" i="2"/>
  <c r="D419" i="2"/>
  <c r="C259" i="2"/>
  <c r="D232" i="2"/>
  <c r="D295" i="2"/>
  <c r="D355" i="2"/>
  <c r="F357" i="2"/>
  <c r="D400" i="2"/>
  <c r="D420" i="2"/>
  <c r="C229" i="2"/>
  <c r="E228" i="2"/>
  <c r="E293" i="2"/>
  <c r="D356" i="2"/>
  <c r="F358" i="2"/>
  <c r="D401" i="2"/>
  <c r="D421" i="2"/>
  <c r="E294" i="2"/>
  <c r="C322" i="2"/>
  <c r="D357" i="2"/>
  <c r="D402" i="2"/>
  <c r="E295" i="2"/>
  <c r="D358" i="2"/>
  <c r="C398" i="2"/>
  <c r="C228" i="2"/>
  <c r="E296" i="2"/>
  <c r="E354" i="2"/>
  <c r="C399" i="2"/>
  <c r="C417" i="2"/>
  <c r="C418" i="2"/>
  <c r="C293" i="2"/>
  <c r="F294" i="2"/>
  <c r="E321" i="2"/>
  <c r="C354" i="2"/>
  <c r="E356" i="2"/>
  <c r="C401" i="2"/>
  <c r="C419" i="2"/>
  <c r="F293" i="2"/>
  <c r="C294" i="2"/>
  <c r="F295" i="2"/>
  <c r="E318" i="2"/>
  <c r="C355" i="2"/>
  <c r="E357" i="2"/>
  <c r="C402" i="2"/>
  <c r="C420" i="2"/>
  <c r="C230" i="2"/>
  <c r="D228" i="2"/>
  <c r="F230" i="2"/>
  <c r="C295" i="2"/>
  <c r="F296" i="2"/>
  <c r="E319" i="2"/>
  <c r="C356" i="2"/>
  <c r="E358" i="2"/>
  <c r="C421" i="2"/>
  <c r="C232" i="2"/>
  <c r="D229" i="2"/>
  <c r="F231" i="2"/>
  <c r="C296" i="2"/>
  <c r="D296" i="2"/>
  <c r="E320" i="2"/>
  <c r="C357" i="2"/>
  <c r="F354" i="2"/>
  <c r="D456" i="2"/>
  <c r="D440" i="2"/>
  <c r="D422" i="2"/>
  <c r="D384" i="2"/>
  <c r="D359" i="2"/>
  <c r="C341" i="2"/>
  <c r="E340" i="2" s="1"/>
  <c r="D341" i="2"/>
  <c r="F340" i="2" s="1"/>
  <c r="D282" i="2"/>
  <c r="C282" i="2"/>
  <c r="D215" i="2"/>
  <c r="C216" i="2" s="1"/>
  <c r="D105" i="2"/>
  <c r="D85" i="2"/>
  <c r="D86" i="2"/>
  <c r="D123" i="2"/>
  <c r="D177" i="2"/>
  <c r="D158" i="2"/>
  <c r="D83" i="2"/>
  <c r="D84" i="2"/>
  <c r="D27" i="2"/>
  <c r="D10" i="2"/>
  <c r="E498" i="2" l="1"/>
  <c r="E494" i="2"/>
  <c r="F691" i="2"/>
  <c r="E540" i="2"/>
  <c r="C736" i="2"/>
  <c r="C735" i="2"/>
  <c r="F537" i="2"/>
  <c r="D688" i="2"/>
  <c r="F733" i="2"/>
  <c r="D742" i="2" s="1"/>
  <c r="F737" i="2"/>
  <c r="D233" i="2"/>
  <c r="D243" i="2" s="1"/>
  <c r="F736" i="2"/>
  <c r="C734" i="2"/>
  <c r="F692" i="2"/>
  <c r="C733" i="2"/>
  <c r="D739" i="2" s="1"/>
  <c r="E539" i="2"/>
  <c r="F735" i="2"/>
  <c r="E211" i="2"/>
  <c r="D689" i="2"/>
  <c r="F690" i="2"/>
  <c r="D691" i="2"/>
  <c r="C690" i="2"/>
  <c r="E735" i="2"/>
  <c r="E736" i="2"/>
  <c r="D734" i="2"/>
  <c r="E734" i="2"/>
  <c r="E536" i="2"/>
  <c r="D545" i="2" s="1"/>
  <c r="E538" i="2"/>
  <c r="E517" i="2"/>
  <c r="E690" i="2"/>
  <c r="E691" i="2"/>
  <c r="E733" i="2"/>
  <c r="F536" i="2"/>
  <c r="D546" i="2" s="1"/>
  <c r="F539" i="2"/>
  <c r="F540" i="2"/>
  <c r="E516" i="2"/>
  <c r="D690" i="2"/>
  <c r="E689" i="2"/>
  <c r="E519" i="2"/>
  <c r="C692" i="2"/>
  <c r="C688" i="2"/>
  <c r="D694" i="2" s="1"/>
  <c r="E737" i="2"/>
  <c r="E518" i="2"/>
  <c r="D737" i="2"/>
  <c r="D733" i="2"/>
  <c r="F688" i="2"/>
  <c r="D697" i="2" s="1"/>
  <c r="E688" i="2"/>
  <c r="C691" i="2"/>
  <c r="F494" i="2"/>
  <c r="D736" i="2"/>
  <c r="E692" i="2"/>
  <c r="C728" i="2"/>
  <c r="C683" i="2"/>
  <c r="E297" i="2"/>
  <c r="E307" i="2" s="1"/>
  <c r="F475" i="2"/>
  <c r="E495" i="2"/>
  <c r="D503" i="2" s="1"/>
  <c r="F497" i="2"/>
  <c r="F517" i="2"/>
  <c r="F518" i="2"/>
  <c r="F474" i="2"/>
  <c r="F519" i="2"/>
  <c r="F476" i="2"/>
  <c r="F477" i="2"/>
  <c r="F495" i="2"/>
  <c r="C359" i="2"/>
  <c r="C368" i="2" s="1"/>
  <c r="E477" i="2"/>
  <c r="E478" i="2"/>
  <c r="F516" i="2"/>
  <c r="E475" i="2"/>
  <c r="E497" i="2"/>
  <c r="F478" i="2"/>
  <c r="F498" i="2"/>
  <c r="E474" i="2"/>
  <c r="E496" i="2"/>
  <c r="C283" i="2"/>
  <c r="E278" i="2"/>
  <c r="F213" i="2"/>
  <c r="F281" i="2"/>
  <c r="F280" i="2"/>
  <c r="F279" i="2"/>
  <c r="F278" i="2"/>
  <c r="F211" i="2"/>
  <c r="F297" i="2"/>
  <c r="F306" i="2" s="1"/>
  <c r="E339" i="2"/>
  <c r="D367" i="2"/>
  <c r="F338" i="2"/>
  <c r="E338" i="2"/>
  <c r="F212" i="2"/>
  <c r="C403" i="2"/>
  <c r="E418" i="2" s="1"/>
  <c r="E233" i="2"/>
  <c r="D365" i="2"/>
  <c r="E337" i="2"/>
  <c r="C297" i="2"/>
  <c r="C306" i="2" s="1"/>
  <c r="D369" i="2"/>
  <c r="F337" i="2"/>
  <c r="E336" i="2"/>
  <c r="E279" i="2"/>
  <c r="F210" i="2"/>
  <c r="F359" i="2"/>
  <c r="F365" i="2" s="1"/>
  <c r="E359" i="2"/>
  <c r="E368" i="2" s="1"/>
  <c r="E213" i="2"/>
  <c r="E214" i="2"/>
  <c r="E212" i="2"/>
  <c r="F336" i="2"/>
  <c r="E281" i="2"/>
  <c r="D297" i="2"/>
  <c r="D307" i="2" s="1"/>
  <c r="D368" i="2"/>
  <c r="F233" i="2"/>
  <c r="F243" i="2" s="1"/>
  <c r="C233" i="2"/>
  <c r="C422" i="2"/>
  <c r="D366" i="2"/>
  <c r="E280" i="2"/>
  <c r="D403" i="2"/>
  <c r="F419" i="2" s="1"/>
  <c r="F339" i="2"/>
  <c r="F214" i="2"/>
  <c r="C342" i="2"/>
  <c r="D87" i="2"/>
  <c r="F242" i="2" l="1"/>
  <c r="D526" i="2"/>
  <c r="C367" i="2"/>
  <c r="D239" i="2"/>
  <c r="D241" i="2"/>
  <c r="D240" i="2"/>
  <c r="D242" i="2"/>
  <c r="D483" i="2"/>
  <c r="D504" i="2"/>
  <c r="F369" i="2"/>
  <c r="E365" i="2"/>
  <c r="F368" i="2"/>
  <c r="E306" i="2"/>
  <c r="F367" i="2"/>
  <c r="E367" i="2"/>
  <c r="E305" i="2"/>
  <c r="D741" i="2"/>
  <c r="D695" i="2"/>
  <c r="C369" i="2"/>
  <c r="C365" i="2"/>
  <c r="F420" i="2"/>
  <c r="E304" i="2"/>
  <c r="D484" i="2"/>
  <c r="D525" i="2"/>
  <c r="D696" i="2"/>
  <c r="C366" i="2"/>
  <c r="D740" i="2"/>
  <c r="C234" i="2"/>
  <c r="E420" i="2"/>
  <c r="C241" i="2"/>
  <c r="E421" i="2"/>
  <c r="E419" i="2"/>
  <c r="F305" i="2"/>
  <c r="F241" i="2"/>
  <c r="D304" i="2"/>
  <c r="D306" i="2"/>
  <c r="C242" i="2"/>
  <c r="C243" i="2"/>
  <c r="C307" i="2"/>
  <c r="E240" i="2"/>
  <c r="E241" i="2"/>
  <c r="E242" i="2"/>
  <c r="E243" i="2"/>
  <c r="C305" i="2"/>
  <c r="F366" i="2"/>
  <c r="E239" i="2"/>
  <c r="F399" i="2"/>
  <c r="F417" i="2"/>
  <c r="F398" i="2"/>
  <c r="F402" i="2"/>
  <c r="F401" i="2"/>
  <c r="F400" i="2"/>
  <c r="E402" i="2"/>
  <c r="E417" i="2"/>
  <c r="E399" i="2"/>
  <c r="E400" i="2"/>
  <c r="F421" i="2"/>
  <c r="F240" i="2"/>
  <c r="F239" i="2"/>
  <c r="E398" i="2"/>
  <c r="C298" i="2"/>
  <c r="D305" i="2"/>
  <c r="C239" i="2"/>
  <c r="C304" i="2"/>
  <c r="F307" i="2"/>
  <c r="C240" i="2"/>
  <c r="F304" i="2"/>
  <c r="E369" i="2"/>
  <c r="F418" i="2"/>
  <c r="E366" i="2"/>
  <c r="C360" i="2"/>
  <c r="E401" i="2"/>
</calcChain>
</file>

<file path=xl/sharedStrings.xml><?xml version="1.0" encoding="utf-8"?>
<sst xmlns="http://schemas.openxmlformats.org/spreadsheetml/2006/main" count="3114" uniqueCount="329">
  <si>
    <t>ID</t>
  </si>
  <si>
    <t>País de nacimiento:</t>
  </si>
  <si>
    <t>Género:</t>
  </si>
  <si>
    <t>Cuando hablas inglés, procuras hacerlo con:</t>
  </si>
  <si>
    <t>Me da vergüenza que se note mi acento cuando hablo en inglés u otros idiomas:</t>
  </si>
  <si>
    <t>Como profesor de inglés, prefiero a un hablante nativo que a uno que no lo sea:</t>
  </si>
  <si>
    <t>España</t>
  </si>
  <si>
    <t>Sí</t>
  </si>
  <si>
    <t>Excelente</t>
  </si>
  <si>
    <t>Son un recurso muy importante para buscar trabajo y para mejorar mi currículum.;Quiero comunicarme con personas de diferentes países y hacer amigos.;Quiero ser capaz de entender series, música y libros en el idioma original.;¡Me encantan! Incluso estudio idiomas por mi cuenta. ;</t>
  </si>
  <si>
    <t>Un acento americano</t>
  </si>
  <si>
    <t>Estados Unidos, Reino Unido, Irlanda, Canadá, Nueva Zelanda, Filipinas, India</t>
  </si>
  <si>
    <t>Totalmente de acuerdo</t>
  </si>
  <si>
    <t>De acuerdo</t>
  </si>
  <si>
    <t>Totalmente en desacuerdo</t>
  </si>
  <si>
    <t>En desacuerdo</t>
  </si>
  <si>
    <t>Masculino</t>
  </si>
  <si>
    <t>Muy bueno</t>
  </si>
  <si>
    <t>Son un recurso muy importante para buscar trabajo y para mejorar mi currículum.;Me parecen un rollo, pero no me queda otra porque es un requisito académico para la graduación.;</t>
  </si>
  <si>
    <t>No me preocupo por sonar de una determinada manera</t>
  </si>
  <si>
    <t>Canadá, EEUU, UK, Australia, India</t>
  </si>
  <si>
    <t>Bueno</t>
  </si>
  <si>
    <t>Quiero comunicarme con personas de diferentes países y hacer amigos.;Quiero ser capaz de entender series, música y libros en el idioma original.;Me parecen un rollo, pero no me queda otra porque es un requisito académico para la graduación.;</t>
  </si>
  <si>
    <t>Inglaterra. Estados Unidos. Australia</t>
  </si>
  <si>
    <t>Neutral</t>
  </si>
  <si>
    <t>Son un recurso muy importante para buscar trabajo y para mejorar mi currículum.;Quiero ser capaz de entender series, música y libros en el idioma original.;Quiero comunicarme con personas de diferentes países y hacer amigos.;</t>
  </si>
  <si>
    <t>Un acento británico</t>
  </si>
  <si>
    <t>Reino Unido
Estados Unidos
Irlanda
Malta
Canadá
Australia
Nueva Zelanda
Sudáfrica
Nigeria
India</t>
  </si>
  <si>
    <t>Gran Bretaña, Irlanda, USA, Australia, Sudáfrica, nueva zelanda, canadá</t>
  </si>
  <si>
    <t>Me parecen un rollo, pero no me queda otra porque es un requisito académico para la graduación.;Son un recurso muy importante para buscar trabajo y para mejorar mi currículum.;Quiero comunicarme con personas de diferentes países y hacer amigos.;</t>
  </si>
  <si>
    <t>Inglaterra, Canadá, Kenia, Nigeria, EEUU, Zambia, Australia, India, Irlanda, Escocia, Gales</t>
  </si>
  <si>
    <t>Español;</t>
  </si>
  <si>
    <t>Regular</t>
  </si>
  <si>
    <t>Son un recurso muy importante para buscar trabajo y para mejorar mi currículum.;Quiero ser capaz de entender series, música y libros en el idioma original.;</t>
  </si>
  <si>
    <t xml:space="preserve">Reino Unido, Irlanda, Sudáfrica Australia Nueva Zelanda </t>
  </si>
  <si>
    <t>Son un recurso muy importante para buscar trabajo y para mejorar mi currículum.;</t>
  </si>
  <si>
    <t>Australia, EEUU, Irlanda, Reino Unido,Nueva Zelanda</t>
  </si>
  <si>
    <t>Son un recurso muy importante para buscar trabajo y para mejorar mi currículum.;¡Me encantan! Incluso estudio idiomas por mi cuenta. ;Quiero comunicarme con personas de diferentes países y hacer amigos.;Quiero ser capaz de entender series, música y libros en el idioma original.;</t>
  </si>
  <si>
    <t>Reino Unido, Australia, Irlanda, Estados Unidos, Canadá, Nueva Zelanda, Jamaica, Antigua y Barbuda, Bahamas...</t>
  </si>
  <si>
    <t>No</t>
  </si>
  <si>
    <t>Son un recurso muy importante para buscar trabajo y para mejorar mi currículum.;Quiero comunicarme con personas de diferentes países y hacer amigos.;Quiero ser capaz de entender series, música y libros en el idioma original.;</t>
  </si>
  <si>
    <t>Son un recurso muy importante para buscar trabajo y para mejorar mi currículum.;Quiero comunicarme con personas de diferentes países y hacer amigos.;</t>
  </si>
  <si>
    <t>Inglaterra, Irlanda, Estados Unidos, Australia, Holanda,y Canadá</t>
  </si>
  <si>
    <t xml:space="preserve">España </t>
  </si>
  <si>
    <t>Mezclo tanto el acento americano como el británico</t>
  </si>
  <si>
    <t>Alemania e Irlanda.</t>
  </si>
  <si>
    <t>¡Me encantan! Incluso estudio idiomas por mi cuenta. ;</t>
  </si>
  <si>
    <t>Reino Unido
Estados Unidos</t>
  </si>
  <si>
    <t>Quiero ser capaz de entender series, música y libros en el idioma original.;¡Me encantan! Incluso estudio idiomas por mi cuenta. ;</t>
  </si>
  <si>
    <t>Eeuu</t>
  </si>
  <si>
    <t>Malo</t>
  </si>
  <si>
    <t>Irlanda</t>
  </si>
  <si>
    <t>Reino Unido, Estados Unidos, India, Australia, ...</t>
  </si>
  <si>
    <t>Quiero comunicarme con personas de diferentes países y hacer amigos.;Quiero ser capaz de entender series, música y libros en el idioma original.;</t>
  </si>
  <si>
    <t>Usa,Reino Unido,Irlanda,nueva Zelanda,</t>
  </si>
  <si>
    <t>Quiero ser capaz de entender series, música y libros en el idioma original.;¡Me encantan! Incluso estudio idiomas por mi cuenta. ;Son un recurso muy importante para buscar trabajo y para mejorar mi currículum.;</t>
  </si>
  <si>
    <t>Inglaterra, Estados Unidos, Canadá, Australia, India</t>
  </si>
  <si>
    <t>EE.UU., Inglaterra, Wales, Irlanda, Alaska y ciertos países con varias lenguas oficiales, como Australia o Malta.</t>
  </si>
  <si>
    <t>Quiero comunicarme con personas de diferentes países y hacer amigos.;</t>
  </si>
  <si>
    <t>EEUU
Gran Bretaña
Canadá
Filipinas
Australia</t>
  </si>
  <si>
    <t>Reino Unido, Estados Unidos, Nueva Zelanda, Australia, Canadá</t>
  </si>
  <si>
    <t>Reino Unido, Estados Unidos, Australia, Irlanda, Nueva Zelanda, Canda, Singapur, Sudáfrica</t>
  </si>
  <si>
    <t>¡Me encantan! Incluso estudio idiomas por mi cuenta. ;Quiero ser capaz de entender series, música y libros en el idioma original.;</t>
  </si>
  <si>
    <t xml:space="preserve">Estados Unidos, Reino Unido, Irlanda, Australia, Nueva Zelanda, Canadá, Singapur, Malta, India, Sudáfrica, Filipinas. </t>
  </si>
  <si>
    <t>ESPAÑA</t>
  </si>
  <si>
    <t>EEUU, UK,AUSTRALIA, N ZELANDA,CANADA,JAMAICA,BAHAMAS, FILIPINAS, NIGERIA, SURAFRICA, BOTSWANA, KENIA, TANZANIA, MALAWI,</t>
  </si>
  <si>
    <t>Canadá, Nueva Zelanda, Australia, India, Reino Unido, Irlanda, Groenlandia</t>
  </si>
  <si>
    <t>Son un recurso muy importante para buscar trabajo y para mejorar mi currículum.;Quiero sacar buenas notas en la asignatura.;Quiero comunicarme con personas de diferentes países y hacer amigos.;Quiero ser capaz de entender series, música y libros en el idioma original.;</t>
  </si>
  <si>
    <t>Irlanda, Reino Unido, Australia, Canadá, EEUU</t>
  </si>
  <si>
    <t>Bulgaria</t>
  </si>
  <si>
    <t>Quiero comunicarme con personas de diferentes países y hacer amigos.;Son un recurso muy importante para buscar trabajo y para mejorar mi currículum.;</t>
  </si>
  <si>
    <t>Reino Unido, Canadá, Australia, Irlanda, Nueva Zelanda, India, algunos países de África</t>
  </si>
  <si>
    <t xml:space="preserve">EEUU, Reino Unido, Australia. </t>
  </si>
  <si>
    <t>Quiero comunicarme con personas de diferentes países y hacer amigos.;Quiero ser capaz de entender series, música y libros en el idioma original.;¡Me encantan! Incluso estudio idiomas por mi cuenta. ;</t>
  </si>
  <si>
    <t>Reino Unido, Estados Unidos, Hong Kong, Nigeria, Australia, Irlanda, India, Canada, Singapur, Sudafrica</t>
  </si>
  <si>
    <t>Me parecen un rollo, pero no me queda otra porque es un requisito académico para la graduación.;</t>
  </si>
  <si>
    <t xml:space="preserve">Estados Unidos, Inglaterra, Irlanda, Puerto Rico, Canadá, Australia </t>
  </si>
  <si>
    <t>Son un recurso muy importante para buscar trabajo y para mejorar mi currículum.;Quiero comunicarme con personas de diferentes países y hacer amigos.;¡Me encantan! Incluso estudio idiomas por mi cuenta. ;</t>
  </si>
  <si>
    <t>Reino Unido, Canadá, Estados Unidos, Australia...</t>
  </si>
  <si>
    <t>Reino Unido, Estados Unidos</t>
  </si>
  <si>
    <t>Reino Unido, Irlanda, Estados Unidos, Australia, Nueva Zelanda, Canadá, Puerto Rico (cooficial)</t>
  </si>
  <si>
    <t>Reino Unido, Estados Unidos, Jamaica</t>
  </si>
  <si>
    <t>Son un recurso muy importante para buscar trabajo y para mejorar mi currículum.;Otro;</t>
  </si>
  <si>
    <t>Inglaterra, Estados Unidos, India</t>
  </si>
  <si>
    <t>Reino Unido,Malta,Estados Unidos</t>
  </si>
  <si>
    <t>Inglaterra</t>
  </si>
  <si>
    <t>Otro;</t>
  </si>
  <si>
    <t>Otro</t>
  </si>
  <si>
    <t>Inglaterra, EEUU</t>
  </si>
  <si>
    <t xml:space="preserve">Cuba </t>
  </si>
  <si>
    <t>Estados Unidos</t>
  </si>
  <si>
    <t>españa</t>
  </si>
  <si>
    <t>estados unidos</t>
  </si>
  <si>
    <t>Italia</t>
  </si>
  <si>
    <t>¡Me encantan! Incluso estudio idiomas por mi cuenta. ;Quiero comunicarme con personas de diferentes países y hacer amigos.;Son un recurso muy importante para buscar trabajo y para mejorar mi currículum.;</t>
  </si>
  <si>
    <t>Reino Unido, EEUU, Australia, Nueva Zelanda, Canadá, Malta, Irlanda, ...</t>
  </si>
  <si>
    <t>Canadá,  India, Irlanda, Guyana, Fiyi, Jamaica, Nueva Zelanda, Reino Unido, Estados unidos, Australia...</t>
  </si>
  <si>
    <t xml:space="preserve">Estados Unidos, Inglaterra, Australia, Jamaica, Canadá. </t>
  </si>
  <si>
    <t>Quiero ser capaz de entender series, música y libros en el idioma original.;</t>
  </si>
  <si>
    <t>Reino Unido, Estados Unidos, Australia, Canadá, Nueva Zelanda</t>
  </si>
  <si>
    <t>USA, GB,Sudáfrica,Irlanda , Canadá , Filipinas, La India ,  Australia  ...</t>
  </si>
  <si>
    <t xml:space="preserve">Reino Unido, Estados Unidos, Australia, Canadá </t>
  </si>
  <si>
    <t xml:space="preserve">Canadá, Filipinas, India et </t>
  </si>
  <si>
    <t>America Reino Unido sudafrica</t>
  </si>
  <si>
    <t>Bolivia</t>
  </si>
  <si>
    <t>Inglaterra,EEUU, Australia, Gibraltar. Canadá...</t>
  </si>
  <si>
    <t>No se ingles</t>
  </si>
  <si>
    <t xml:space="preserve">Colombia </t>
  </si>
  <si>
    <t xml:space="preserve">Reino Unido EEUU India Australia </t>
  </si>
  <si>
    <t>Reino Unido, EEUU</t>
  </si>
  <si>
    <t>Quiero comunicarme con personas de diferentes países y hacer amigos.;Son un recurso muy importante para buscar trabajo y para mejorar mi currículum.;¡Me encantan! Incluso estudio idiomas por mi cuenta. ;</t>
  </si>
  <si>
    <t>Canadá ,Australia,Irlanda</t>
  </si>
  <si>
    <t>Son un recurso muy importante para buscar trabajo y para mejorar mi currículum.;¡Me encantan! Incluso estudio idiomas por mi cuenta. ;</t>
  </si>
  <si>
    <t>UK, Ireland, US, Australia</t>
  </si>
  <si>
    <t>Quiero ser capaz de entender series, música y libros en el idioma original.;Quiero comunicarme con personas de diferentes países y hacer amigos.;</t>
  </si>
  <si>
    <t>Inglaterra, Irlanda, EEUU, Australia, Nueva Zelanda</t>
  </si>
  <si>
    <t>Inglaterra 
Estados Unidos</t>
  </si>
  <si>
    <t>América, Reino Unido</t>
  </si>
  <si>
    <t>EEUU, UK,Canadá, Sudáfrica, Sudán, Australia, Bahamas, Nueva Zelanda, India.</t>
  </si>
  <si>
    <t>Reino Unido, Irlanda, Estados Unidos, Australia, Nueva Zelanda, Sudáfrica, India, Canadá, Jamaica</t>
  </si>
  <si>
    <t>Inglaterra, Estados unidos</t>
  </si>
  <si>
    <t xml:space="preserve">Reino Unido, Irlanda, malta, Sudáfrica, estados unidos, Belice, Jamaica, Australia, Nueva Zelanda,india, </t>
  </si>
  <si>
    <t>USA, UK, Irlanda, Australia, Nueva Zelanda, Canadá, Sudáfrica, India, pakistan, Kenya, Malta...</t>
  </si>
  <si>
    <t>EEUU, Gran Bretaña, Australia</t>
  </si>
  <si>
    <t>Quiero comunicarme con personas de diferentes países y hacer amigos.;Quiero ser capaz de entender series, música y libros en el idioma original.;¡Me encantan! Incluso estudio idiomas por mi cuenta. ;Son un recurso muy importante para buscar trabajo y para mejorar mi currículum.;</t>
  </si>
  <si>
    <t>Canadá, Estados Unidos, Sudáfrica, Nueva Zelanda, Irlanda, Reino Unido</t>
  </si>
  <si>
    <t>Inglaterra, Estados Unidos, Australia</t>
  </si>
  <si>
    <t>Inglaterra, Irlanda, estados unidos</t>
  </si>
  <si>
    <t xml:space="preserve">Reino Unido, EEUU, Australia </t>
  </si>
  <si>
    <t>Son un recurso muy importante para buscar trabajo y para mejorar mi currículum.;Quiero ser capaz de entender series, música y libros en el idioma original.;Me parecen un rollo, pero no me queda otra porque es un requisito académico para la graduación.;</t>
  </si>
  <si>
    <t>Inglaterra, Irlanda, Escocia, India, Nueva Zelanda, Canadá(la parte no francesa), Australia, Estados Unidos</t>
  </si>
  <si>
    <t>Inglaterra, Irlanda, Gales, Escocia, Canadá, Estados Unidos, Jamaica, Australia, Nueva Zelanda...</t>
  </si>
  <si>
    <t xml:space="preserve">INGLATERRA,IRLANDA, AUSTRALIA, CANADA, ESTADOS UNIDOS,  INDIA, PAKSITAN, KENIA, CAMERÚN, SUDÁN </t>
  </si>
  <si>
    <t>EE UU, Reino Unido, India, Canadá,</t>
  </si>
  <si>
    <t>Australia, Canada, Estados Unidos, Gran Bretaña, Irlanda, Sudáfrica</t>
  </si>
  <si>
    <t xml:space="preserve">Inglaterra eeuu </t>
  </si>
  <si>
    <t>EEUU, INGLATERRA, CANADA, INDIA.. Australia</t>
  </si>
  <si>
    <t xml:space="preserve">Reino Unido, Estados Unidos, Jamaica, en todas las colonias Británicas, Nueva Zelanda, Australia, </t>
  </si>
  <si>
    <t>EEUU
Reino Unido
Irlanda
Canadá
India
Filipinas
Australia
Jordania
Pakistán
Sudáfrica
Tanzania
Zimbabue
Uganda
Nueva Zelanda...</t>
  </si>
  <si>
    <t>Quiero ser capaz de entender series, música y libros en el idioma original.;Quiero comunicarme con personas de diferentes países y hacer amigos.;¡Me encantan! Incluso estudio idiomas por mi cuenta. ;</t>
  </si>
  <si>
    <t>Australia, Nueva Zelanda, India, Irlanda, USA, Canadá, U.K.</t>
  </si>
  <si>
    <t xml:space="preserve">Reino Unido, Irlanda, Australia, nueva Zelanda, Sudáfrica, Ghana, Nigeria, Sierra Leona, Gambia, Liberia, Kenia, Ruanda, Zimbabwe, Botswana, Namibia, India, Myanmar, Estados Unidos, Canadá, Belice, Jamaica, </t>
  </si>
  <si>
    <t>China</t>
  </si>
  <si>
    <t>Estados Unidos, Inglaterra, Australia, Nueva Zelanda</t>
  </si>
  <si>
    <t>Gran Bretaña, Estados Unidos, Australia, Canadá</t>
  </si>
  <si>
    <t>Quiero ser capaz de entender series, música y libros en el idioma original.;¡Me encantan! Incluso estudio idiomas por mi cuenta. ;Quiero comunicarme con personas de diferentes países y hacer amigos.;</t>
  </si>
  <si>
    <t>Reino Unido, EEUU, Canadá, Irlanda, Australia, Nueva Zelanda y la gran mayoría de antiguas colonias británicas.</t>
  </si>
  <si>
    <t xml:space="preserve">Estados Unidos 
Inglaterra 
</t>
  </si>
  <si>
    <t>Son un recurso muy importante para buscar trabajo y para mejorar mi currículum.;Quiero comunicarme con personas de diferentes países y hacer amigos.;Quiero ser capaz de entender series, música y libros en el idioma original.;¡Me encantan! Incluso estudio idiomas por mi cuenta. ;Otro;</t>
  </si>
  <si>
    <t>Australia, Nueva Zelanda, Reino Unido, R de Irlanda, Estados Unidos y un largo número de territorios repartidos por todo el mundo, desde Gibraltar, hasta territorios en el Océano Índico, Hong Kong, Isla de Man, Malvinas, etc.</t>
  </si>
  <si>
    <t>Commonwealth</t>
  </si>
  <si>
    <t>Reino Unido, Estados Unidos, Canadá, Jamaica, Irlanda, India, Nueva Zelanda y Australia</t>
  </si>
  <si>
    <t xml:space="preserve">Estados Unidos
Reino Unido
Australia
Nueva Zelanda
Irlanda
Canadá 
</t>
  </si>
  <si>
    <t>EEUU, Australia, Reino Unido,  Nueva</t>
  </si>
  <si>
    <t>Inglaterra, Estados Unidos, Irlanda, Nueva Zelanda, Sudáfrica, Australia</t>
  </si>
  <si>
    <t>Inglaterra, EEUU, Australia, Escocia, Irlanda, Nueva Zelanda</t>
  </si>
  <si>
    <t xml:space="preserve">Reino Unido, Estados Unidos, Australia, Nueva Zelanda, Canadá </t>
  </si>
  <si>
    <t xml:space="preserve">Estados Unidos, Canadá, Inglaterra, Australia, Sudáfrica. </t>
  </si>
  <si>
    <t>EEUU, Reino Unido, Canadá,Australia y Nueva Zelanda</t>
  </si>
  <si>
    <t xml:space="preserve">REINO UNIDO, ESTADOS UNIDOS, NUEVA ZELANDA, AUSTRALIA, </t>
  </si>
  <si>
    <t>UK, USA, Canadá, India, Australia, Nueva Zelanda, Sudáfrica...</t>
  </si>
  <si>
    <t>Todos los de la commonwealth</t>
  </si>
  <si>
    <t xml:space="preserve">Venezuela </t>
  </si>
  <si>
    <t xml:space="preserve">A nivel global no hay ningún país en el que no se use el inglés </t>
  </si>
  <si>
    <t xml:space="preserve">Países de Europa </t>
  </si>
  <si>
    <t>Gran Bretaña, Canadá, Estados Unidos,  Australia</t>
  </si>
  <si>
    <t>Reino Unido, República de Irlanda, EE.UU., Australia, Nueva Zelanda, Canadá, Filipinas, Sudáfrica</t>
  </si>
  <si>
    <t>Todos los de la Commonwealth, EEUU.</t>
  </si>
  <si>
    <t>República Dominicana</t>
  </si>
  <si>
    <t xml:space="preserve">Reino Unido, Australia, Nueva Zelanda, USA. </t>
  </si>
  <si>
    <t>Inglaterra, usa, canada</t>
  </si>
  <si>
    <t>Reino Unido,EEUU,Canadá,Hong Kong</t>
  </si>
  <si>
    <t xml:space="preserve">Reino Unido, EEUU, Sudáfrica, Irlanda, Australia, Nueva Zelanda </t>
  </si>
  <si>
    <t xml:space="preserve">Inglaterra, Usa, </t>
  </si>
  <si>
    <t xml:space="preserve">EEUU
Australia
Canadá
Reino Unido 
Sudáfrica 
</t>
  </si>
  <si>
    <t>Australia,Gibraltar,jersey,las Bahamas,anguila,Bermudas,Canadá,</t>
  </si>
  <si>
    <t>Gran Bretaña, Estados Unidos, India</t>
  </si>
  <si>
    <t xml:space="preserve">USA , IRLANDA, REINO UNIDO,INDIA, Australia,  Nueva Zelanda </t>
  </si>
  <si>
    <t>USA, Gran Bretaña, Australia, Nueva Zelanda,</t>
  </si>
  <si>
    <t>Otro;Me parecen un rollo, pero no me queda otra porque es un requisito académico para la graduación.;</t>
  </si>
  <si>
    <t xml:space="preserve">Inglaterra, EEUU, india, Nueva Zelanda </t>
  </si>
  <si>
    <t>Inglaterra India Nueva Zelanda</t>
  </si>
  <si>
    <t>Inglaterra, Irlanda, Escocia, Malta, Holanda, Australia, Nueva Zelanda, Sudáfrica, Estados Unidos, Canadá, Hawaii</t>
  </si>
  <si>
    <t>Togo</t>
  </si>
  <si>
    <t>E.U</t>
  </si>
  <si>
    <t xml:space="preserve">ESPAÑA </t>
  </si>
  <si>
    <t xml:space="preserve">Reino Unido, Estados Unidos </t>
  </si>
  <si>
    <t xml:space="preserve">Irlanda, Inglaterra, Canadá, Estados Unidos, Australia, Austria </t>
  </si>
  <si>
    <t xml:space="preserve">Irlanda Reino unido,Usa, Canadá, Australia , Nueva zelanda, Sudáfrica . </t>
  </si>
  <si>
    <t>Reino Unido, Estados Unidos, Canadá, Australia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</si>
  <si>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</si>
  <si>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</si>
  <si>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</si>
  <si>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</si>
  <si>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</si>
  <si>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</si>
  <si>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</si>
  <si>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</si>
  <si>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</si>
  <si>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</si>
  <si>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</si>
  <si>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</si>
  <si>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</si>
  <si>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</si>
  <si>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</si>
  <si>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</si>
  <si>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</si>
  <si>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</si>
  <si>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</si>
  <si>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</si>
  <si>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</si>
  <si>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</si>
  <si>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Edad</t>
  </si>
  <si>
    <t>Estás estudiando o has estudiado en la universidad de Castilla La Mancha?</t>
  </si>
  <si>
    <t>Cuántos idiomas usas en tu vida cotidiana? Puedes escoger más de uno:</t>
  </si>
  <si>
    <t>Cómo evaluarías tu nivel de inglés?</t>
  </si>
  <si>
    <t>Por qué estudias lenguas extranjeras? Puedes escoger más de una razón:</t>
  </si>
  <si>
    <t>En qué países se usa el inglés como idioma oficial? Escribe todos los que sepas:</t>
  </si>
  <si>
    <t>El ingés británico es el más correcto.</t>
  </si>
  <si>
    <t>En clase me gustaría aprender más sobre el inglés que se habla en India y Nueva Zelanda.</t>
  </si>
  <si>
    <t>Tanto el inglés británico como el americano son igual de válidos.</t>
  </si>
  <si>
    <t>El ingés hablado por los no nativos es fácil de entender.</t>
  </si>
  <si>
    <t>El inglés hablado por hablantes indios y australianos es fácil de entender.</t>
  </si>
  <si>
    <t>En una interacción con hablantes nativos te sentirías menos cómodo/a que con no nativos.</t>
  </si>
  <si>
    <t>Si se me diera la oportunizad, viviría en EEUU o UK durante un tiempo.</t>
  </si>
  <si>
    <t>Mientras se entienda, tener acento es algo aceptable.</t>
  </si>
  <si>
    <t>Alguna vez has sentido que una persona se reía de ti o te juzgaba por tu acento?</t>
  </si>
  <si>
    <t>Es más importante tener un acento que suene igual que el de un nativo que ser capaz de expresar tus ideas claramente.</t>
  </si>
  <si>
    <t>Total</t>
  </si>
  <si>
    <t>Male</t>
  </si>
  <si>
    <t>Female</t>
  </si>
  <si>
    <t>UCLM</t>
  </si>
  <si>
    <t>Other</t>
  </si>
  <si>
    <t>Spain</t>
  </si>
  <si>
    <t>18-25</t>
  </si>
  <si>
    <t>&gt;50</t>
  </si>
  <si>
    <t>Monolingual</t>
  </si>
  <si>
    <t>Bilingual</t>
  </si>
  <si>
    <t>Trilingual</t>
  </si>
  <si>
    <t>Multilingual</t>
  </si>
  <si>
    <t>Excellent</t>
  </si>
  <si>
    <t>Very Good</t>
  </si>
  <si>
    <t xml:space="preserve">Good </t>
  </si>
  <si>
    <t>Average</t>
  </si>
  <si>
    <t>Bad</t>
  </si>
  <si>
    <t>Español; Inglés; Italiano;</t>
  </si>
  <si>
    <t>Español; Inglés;</t>
  </si>
  <si>
    <t>Español; Inglés; Japonés;</t>
  </si>
  <si>
    <t>Español; Francés;</t>
  </si>
  <si>
    <t>Español; Inglés; Otro;</t>
  </si>
  <si>
    <t>Español; Inglés; Francés;</t>
  </si>
  <si>
    <t>Inglés; Español;</t>
  </si>
  <si>
    <t>Español; Italiano; Inglés;</t>
  </si>
  <si>
    <t>Español; Inglés; Francés; Alemán;</t>
  </si>
  <si>
    <t>Español; Otro;</t>
  </si>
  <si>
    <t>Español; Italiano; Francés; Inglés;</t>
  </si>
  <si>
    <t>Español; Inglés; Italiano; Portugués;</t>
  </si>
  <si>
    <t>Español; Italiano; Francés;</t>
  </si>
  <si>
    <t>Español; Inglés; Chino;</t>
  </si>
  <si>
    <t>Español; Inglés; Alemán;</t>
  </si>
  <si>
    <t>Español; Inglés;Japonés;</t>
  </si>
  <si>
    <t>Inglés; Español; Francés;</t>
  </si>
  <si>
    <t>Español; Francés; Inglés;</t>
  </si>
  <si>
    <t>P5.1</t>
  </si>
  <si>
    <t>British</t>
  </si>
  <si>
    <t>American</t>
  </si>
  <si>
    <t>P9.5</t>
  </si>
  <si>
    <t>Important asset</t>
  </si>
  <si>
    <t>Good grades</t>
  </si>
  <si>
    <t>Communication</t>
  </si>
  <si>
    <t>Enjoy learning</t>
  </si>
  <si>
    <t>No choice</t>
  </si>
  <si>
    <t xml:space="preserve"> Very familiar</t>
  </si>
  <si>
    <t>Somewhat familiar</t>
  </si>
  <si>
    <t>Not too familiar</t>
  </si>
  <si>
    <t>Not familiar at all</t>
  </si>
  <si>
    <t>Mean</t>
  </si>
  <si>
    <t>Strongly Agree</t>
  </si>
  <si>
    <t>Agree</t>
  </si>
  <si>
    <t>Disagree</t>
  </si>
  <si>
    <t>Strongly Disagree</t>
  </si>
  <si>
    <t>25-35</t>
  </si>
  <si>
    <t>35-50</t>
  </si>
  <si>
    <t>Ojo al total!</t>
  </si>
  <si>
    <t>Age Range</t>
  </si>
  <si>
    <t># of people</t>
  </si>
  <si>
    <t>Acceptability</t>
  </si>
  <si>
    <t>% of Accep.</t>
  </si>
  <si>
    <t>Males</t>
  </si>
  <si>
    <t>Females</t>
  </si>
  <si>
    <t>Femenino</t>
  </si>
  <si>
    <t>Total Total</t>
  </si>
  <si>
    <t>Yes</t>
  </si>
  <si>
    <t>Y</t>
  </si>
  <si>
    <t>N</t>
  </si>
  <si>
    <t>P9.52</t>
  </si>
  <si>
    <t>Mixed</t>
  </si>
  <si>
    <t>Doesn't care</t>
  </si>
  <si>
    <t>Media</t>
  </si>
  <si>
    <t>P20 (Age, Strongly Agree and Agree)</t>
  </si>
  <si>
    <t>P20 (Gender)</t>
  </si>
  <si>
    <t>P20 (Number of spoken languages)</t>
  </si>
  <si>
    <t>P9 (Age)</t>
  </si>
  <si>
    <t>Very familiar</t>
  </si>
  <si>
    <t>Familiarity</t>
  </si>
  <si>
    <t>P9 (Number of spoken languages)</t>
  </si>
  <si>
    <t>Embarrassment</t>
  </si>
  <si>
    <t>P10 (Age, Strongly Agree, Agree)</t>
  </si>
  <si>
    <t>% of Emb.</t>
  </si>
  <si>
    <t>P10 (Gender)</t>
  </si>
  <si>
    <t>P10 (Number of spoken languages)</t>
  </si>
  <si>
    <t>P12 (Number of spoken languages)</t>
  </si>
  <si>
    <t>Opinion</t>
  </si>
  <si>
    <t>P22 (Number of spoken languages)</t>
  </si>
  <si>
    <t>P9 (UK and USA)</t>
  </si>
  <si>
    <t>England</t>
  </si>
  <si>
    <t>P14 (Age)</t>
  </si>
  <si>
    <t>Strongly Agree and Agree</t>
  </si>
  <si>
    <t>P19 (Age)</t>
  </si>
  <si>
    <t>P14 (Gender)</t>
  </si>
  <si>
    <t>P19 (Gender)</t>
  </si>
  <si>
    <t>P9 (Gender)</t>
  </si>
  <si>
    <t>P20 + P19 (No Neutral)</t>
  </si>
  <si>
    <t>P10 + P19 (No Neutral)</t>
  </si>
  <si>
    <t>P14 (Number of spoken languages)</t>
  </si>
  <si>
    <t>P19 (Number of spoken languages)</t>
  </si>
  <si>
    <t>P19 (Excellent and very good command)</t>
  </si>
  <si>
    <t>P14 (Excellent and very good command)</t>
  </si>
  <si>
    <t>Si se me diera la oportunizad, viviría en Nueva Zelanda o India durante un tiempo.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</si>
</sst>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C6E0B4"/>
        <bgColor rgb="FF000000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quotePrefix="1" applyNumberFormat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3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34" xfId="0" applyBorder="1" applyAlignment="1">
      <alignment horizontal="center"/>
    </xf>
    <xf numFmtId="10" fontId="0" fillId="0" borderId="6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4" xfId="0" applyBorder="1" applyAlignment="1">
      <alignment horizontal="center"/>
    </xf>
    <xf numFmtId="10" fontId="0" fillId="0" borderId="5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5" xfId="0" applyNumberFormat="1" applyFill="1" applyBorder="1" applyAlignment="1">
      <alignment horizontal="center"/>
    </xf>
    <xf numFmtId="0" fontId="0" fillId="0" borderId="37" xfId="0" applyBorder="1" applyAlignment="1">
      <alignment horizontal="center"/>
    </xf>
    <xf numFmtId="10" fontId="0" fillId="0" borderId="5" xfId="0" applyNumberForma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10" fontId="0" fillId="0" borderId="9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4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23" xfId="0" applyFill="1" applyBorder="1" applyAlignment="1">
      <alignment horizontal="center"/>
    </xf>
    <xf numFmtId="10" fontId="0" fillId="0" borderId="34" xfId="0" applyNumberFormat="1" applyBorder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23" xfId="0" applyNumberFormat="1" applyBorder="1" applyAlignment="1">
      <alignment horizontal="center"/>
    </xf>
    <xf numFmtId="10" fontId="0" fillId="0" borderId="6" xfId="0" applyNumberFormat="1" applyFill="1" applyBorder="1" applyAlignment="1">
      <alignment horizontal="center"/>
    </xf>
    <xf numFmtId="10" fontId="0" fillId="0" borderId="9" xfId="0" applyNumberFormat="1" applyFill="1" applyBorder="1" applyAlignment="1">
      <alignment horizontal="center"/>
    </xf>
    <xf numFmtId="0" fontId="0" fillId="0" borderId="6" xfId="0" applyNumberFormat="1" applyFill="1" applyBorder="1" applyAlignment="1">
      <alignment horizontal="center"/>
    </xf>
    <xf numFmtId="0" fontId="0" fillId="0" borderId="9" xfId="0" applyNumberForma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39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10" fontId="0" fillId="0" borderId="35" xfId="0" applyNumberFormat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0" xfId="0" applyFill="1" applyBorder="1" applyAlignment="1"/>
    <xf numFmtId="0" fontId="0" fillId="5" borderId="12" xfId="0" applyFill="1" applyBorder="1" applyAlignment="1">
      <alignment horizontal="center"/>
    </xf>
    <xf numFmtId="0" fontId="0" fillId="0" borderId="17" xfId="0" applyBorder="1" applyAlignment="1"/>
    <xf numFmtId="0" fontId="0" fillId="0" borderId="0" xfId="0" applyFill="1" applyBorder="1" applyAlignment="1"/>
    <xf numFmtId="0" fontId="0" fillId="0" borderId="12" xfId="0" applyFill="1" applyBorder="1" applyAlignment="1"/>
    <xf numFmtId="0" fontId="0" fillId="0" borderId="3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33" xfId="0" applyBorder="1" applyAlignment="1">
      <alignment horizontal="center"/>
    </xf>
    <xf numFmtId="10" fontId="0" fillId="0" borderId="44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4" borderId="31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5" borderId="45" xfId="0" applyFill="1" applyBorder="1" applyAlignment="1">
      <alignment horizontal="center" vertical="center"/>
    </xf>
    <xf numFmtId="0" fontId="0" fillId="5" borderId="46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2" borderId="13" xfId="0" applyFill="1" applyBorder="1" applyAlignment="1">
      <alignment horizontal="center"/>
    </xf>
  </cellXfs>
  <cellStyles count="1">
    <cellStyle name="Normal" xfId="0" builtinId="0"/>
  </cellStyles>
  <dxfs count="28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CCCC"/>
      <color rgb="FF8F44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Datos!$B$4:$B$120</c:f>
              <c:numCache>
                <c:formatCode>General</c:formatCode>
                <c:ptCount val="117"/>
                <c:pt idx="0">
                  <c:v>24</c:v>
                </c:pt>
                <c:pt idx="1">
                  <c:v>23</c:v>
                </c:pt>
                <c:pt idx="2">
                  <c:v>25</c:v>
                </c:pt>
                <c:pt idx="3">
                  <c:v>24</c:v>
                </c:pt>
                <c:pt idx="4">
                  <c:v>24</c:v>
                </c:pt>
                <c:pt idx="5">
                  <c:v>25</c:v>
                </c:pt>
                <c:pt idx="6">
                  <c:v>22</c:v>
                </c:pt>
                <c:pt idx="7">
                  <c:v>20</c:v>
                </c:pt>
                <c:pt idx="8">
                  <c:v>20</c:v>
                </c:pt>
                <c:pt idx="9">
                  <c:v>19</c:v>
                </c:pt>
                <c:pt idx="10">
                  <c:v>19</c:v>
                </c:pt>
                <c:pt idx="11">
                  <c:v>52</c:v>
                </c:pt>
                <c:pt idx="12">
                  <c:v>19</c:v>
                </c:pt>
                <c:pt idx="13">
                  <c:v>56</c:v>
                </c:pt>
                <c:pt idx="14">
                  <c:v>22</c:v>
                </c:pt>
                <c:pt idx="15">
                  <c:v>20</c:v>
                </c:pt>
                <c:pt idx="16">
                  <c:v>53</c:v>
                </c:pt>
                <c:pt idx="17">
                  <c:v>23</c:v>
                </c:pt>
                <c:pt idx="18">
                  <c:v>21</c:v>
                </c:pt>
                <c:pt idx="19">
                  <c:v>21</c:v>
                </c:pt>
                <c:pt idx="20">
                  <c:v>52</c:v>
                </c:pt>
                <c:pt idx="21">
                  <c:v>23</c:v>
                </c:pt>
                <c:pt idx="22">
                  <c:v>20</c:v>
                </c:pt>
                <c:pt idx="23">
                  <c:v>27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21</c:v>
                </c:pt>
                <c:pt idx="28">
                  <c:v>23</c:v>
                </c:pt>
                <c:pt idx="29">
                  <c:v>22</c:v>
                </c:pt>
                <c:pt idx="30">
                  <c:v>22</c:v>
                </c:pt>
                <c:pt idx="31">
                  <c:v>21</c:v>
                </c:pt>
                <c:pt idx="32">
                  <c:v>22</c:v>
                </c:pt>
                <c:pt idx="33">
                  <c:v>21</c:v>
                </c:pt>
                <c:pt idx="34">
                  <c:v>46</c:v>
                </c:pt>
                <c:pt idx="35">
                  <c:v>23</c:v>
                </c:pt>
                <c:pt idx="36">
                  <c:v>18</c:v>
                </c:pt>
                <c:pt idx="37">
                  <c:v>26</c:v>
                </c:pt>
                <c:pt idx="38">
                  <c:v>24</c:v>
                </c:pt>
                <c:pt idx="39">
                  <c:v>22</c:v>
                </c:pt>
                <c:pt idx="40">
                  <c:v>20</c:v>
                </c:pt>
                <c:pt idx="41">
                  <c:v>52</c:v>
                </c:pt>
                <c:pt idx="42">
                  <c:v>21</c:v>
                </c:pt>
                <c:pt idx="43">
                  <c:v>53</c:v>
                </c:pt>
                <c:pt idx="44">
                  <c:v>62</c:v>
                </c:pt>
                <c:pt idx="45">
                  <c:v>45</c:v>
                </c:pt>
                <c:pt idx="46">
                  <c:v>63</c:v>
                </c:pt>
                <c:pt idx="47">
                  <c:v>47</c:v>
                </c:pt>
                <c:pt idx="48">
                  <c:v>50</c:v>
                </c:pt>
                <c:pt idx="49">
                  <c:v>47</c:v>
                </c:pt>
                <c:pt idx="50">
                  <c:v>24</c:v>
                </c:pt>
                <c:pt idx="51">
                  <c:v>54</c:v>
                </c:pt>
                <c:pt idx="52">
                  <c:v>61</c:v>
                </c:pt>
                <c:pt idx="53">
                  <c:v>45</c:v>
                </c:pt>
                <c:pt idx="54">
                  <c:v>64</c:v>
                </c:pt>
                <c:pt idx="55">
                  <c:v>24</c:v>
                </c:pt>
                <c:pt idx="56">
                  <c:v>20</c:v>
                </c:pt>
                <c:pt idx="57">
                  <c:v>23</c:v>
                </c:pt>
                <c:pt idx="58">
                  <c:v>46</c:v>
                </c:pt>
                <c:pt idx="59">
                  <c:v>27</c:v>
                </c:pt>
                <c:pt idx="60">
                  <c:v>22</c:v>
                </c:pt>
                <c:pt idx="61">
                  <c:v>24</c:v>
                </c:pt>
                <c:pt idx="62">
                  <c:v>39</c:v>
                </c:pt>
                <c:pt idx="63">
                  <c:v>37</c:v>
                </c:pt>
                <c:pt idx="64">
                  <c:v>21</c:v>
                </c:pt>
                <c:pt idx="65">
                  <c:v>27</c:v>
                </c:pt>
                <c:pt idx="66">
                  <c:v>26</c:v>
                </c:pt>
                <c:pt idx="67">
                  <c:v>46</c:v>
                </c:pt>
                <c:pt idx="68">
                  <c:v>24</c:v>
                </c:pt>
                <c:pt idx="69">
                  <c:v>20</c:v>
                </c:pt>
                <c:pt idx="70">
                  <c:v>58</c:v>
                </c:pt>
                <c:pt idx="71">
                  <c:v>23</c:v>
                </c:pt>
                <c:pt idx="72">
                  <c:v>67</c:v>
                </c:pt>
                <c:pt idx="73">
                  <c:v>40</c:v>
                </c:pt>
                <c:pt idx="74">
                  <c:v>63</c:v>
                </c:pt>
                <c:pt idx="75">
                  <c:v>30</c:v>
                </c:pt>
                <c:pt idx="76">
                  <c:v>23</c:v>
                </c:pt>
                <c:pt idx="77">
                  <c:v>43</c:v>
                </c:pt>
                <c:pt idx="78">
                  <c:v>22</c:v>
                </c:pt>
                <c:pt idx="79">
                  <c:v>53</c:v>
                </c:pt>
                <c:pt idx="80">
                  <c:v>27</c:v>
                </c:pt>
                <c:pt idx="81">
                  <c:v>22</c:v>
                </c:pt>
                <c:pt idx="82">
                  <c:v>22</c:v>
                </c:pt>
                <c:pt idx="83">
                  <c:v>55</c:v>
                </c:pt>
                <c:pt idx="84">
                  <c:v>23</c:v>
                </c:pt>
                <c:pt idx="85">
                  <c:v>49</c:v>
                </c:pt>
                <c:pt idx="86">
                  <c:v>26</c:v>
                </c:pt>
                <c:pt idx="87">
                  <c:v>62</c:v>
                </c:pt>
                <c:pt idx="88">
                  <c:v>59</c:v>
                </c:pt>
                <c:pt idx="89">
                  <c:v>52</c:v>
                </c:pt>
                <c:pt idx="90">
                  <c:v>57</c:v>
                </c:pt>
                <c:pt idx="91">
                  <c:v>47</c:v>
                </c:pt>
                <c:pt idx="92">
                  <c:v>37</c:v>
                </c:pt>
                <c:pt idx="93">
                  <c:v>24</c:v>
                </c:pt>
                <c:pt idx="94">
                  <c:v>54</c:v>
                </c:pt>
                <c:pt idx="95">
                  <c:v>57</c:v>
                </c:pt>
                <c:pt idx="96">
                  <c:v>44</c:v>
                </c:pt>
                <c:pt idx="97">
                  <c:v>40</c:v>
                </c:pt>
                <c:pt idx="98">
                  <c:v>62</c:v>
                </c:pt>
                <c:pt idx="99">
                  <c:v>61</c:v>
                </c:pt>
                <c:pt idx="100">
                  <c:v>62</c:v>
                </c:pt>
                <c:pt idx="101">
                  <c:v>60</c:v>
                </c:pt>
                <c:pt idx="102">
                  <c:v>48</c:v>
                </c:pt>
                <c:pt idx="103">
                  <c:v>45</c:v>
                </c:pt>
                <c:pt idx="104">
                  <c:v>59</c:v>
                </c:pt>
                <c:pt idx="105">
                  <c:v>45</c:v>
                </c:pt>
                <c:pt idx="106">
                  <c:v>54</c:v>
                </c:pt>
                <c:pt idx="107">
                  <c:v>53</c:v>
                </c:pt>
                <c:pt idx="108">
                  <c:v>59</c:v>
                </c:pt>
                <c:pt idx="109">
                  <c:v>36</c:v>
                </c:pt>
                <c:pt idx="110">
                  <c:v>53</c:v>
                </c:pt>
                <c:pt idx="111">
                  <c:v>36</c:v>
                </c:pt>
                <c:pt idx="112">
                  <c:v>18</c:v>
                </c:pt>
                <c:pt idx="113">
                  <c:v>53</c:v>
                </c:pt>
                <c:pt idx="114">
                  <c:v>23</c:v>
                </c:pt>
                <c:pt idx="115">
                  <c:v>26</c:v>
                </c:pt>
                <c:pt idx="116">
                  <c:v>21</c:v>
                </c:pt>
              </c:numCache>
            </c:numRef>
          </c:xVal>
          <c:yVal>
            <c:numRef>
              <c:f>Datos!$W$2:$W$120</c:f>
              <c:numCache>
                <c:formatCode>General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94-42A8-BD7C-52578FE3B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398479"/>
        <c:axId val="1657395567"/>
      </c:scatterChart>
      <c:valAx>
        <c:axId val="165739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395567"/>
        <c:crosses val="autoZero"/>
        <c:crossBetween val="midCat"/>
      </c:valAx>
      <c:valAx>
        <c:axId val="165739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398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Familiarity of</a:t>
            </a:r>
            <a:r>
              <a:rPr lang="en-GB" baseline="0"/>
              <a:t> World Englishes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CE1-4AA1-BD65-843B7425B4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CE1-4AA1-BD65-843B7425B4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CE1-4AA1-BD65-843B7425B45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CE1-4AA1-BD65-843B7425B45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Gráficas!$C$154:$C$157</c:f>
              <c:strCache>
                <c:ptCount val="4"/>
                <c:pt idx="0">
                  <c:v> Very familiar</c:v>
                </c:pt>
                <c:pt idx="1">
                  <c:v>Somewhat familiar</c:v>
                </c:pt>
                <c:pt idx="2">
                  <c:v>Not too familiar</c:v>
                </c:pt>
                <c:pt idx="3">
                  <c:v>Not familiar at all</c:v>
                </c:pt>
              </c:strCache>
            </c:strRef>
          </c:cat>
          <c:val>
            <c:numRef>
              <c:f>Gráficas!$D$154:$D$157</c:f>
              <c:numCache>
                <c:formatCode>General</c:formatCode>
                <c:ptCount val="4"/>
                <c:pt idx="0">
                  <c:v>22</c:v>
                </c:pt>
                <c:pt idx="1">
                  <c:v>44</c:v>
                </c:pt>
                <c:pt idx="2">
                  <c:v>47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C-43F0-9F04-EF1443394CE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Embarrassment</a:t>
            </a:r>
            <a:r>
              <a:rPr lang="en-GB" baseline="0"/>
              <a:t> about own accent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424-4B7B-B109-DE337D5D7B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424-4B7B-B109-DE337D5D7B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424-4B7B-B109-DE337D5D7B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B424-4B7B-B109-DE337D5D7BC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B424-4B7B-B109-DE337D5D7BC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Gráficas!$C$172:$C$176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Gráficas!$D$172:$D$176</c:f>
              <c:numCache>
                <c:formatCode>General</c:formatCode>
                <c:ptCount val="5"/>
                <c:pt idx="0">
                  <c:v>16</c:v>
                </c:pt>
                <c:pt idx="1">
                  <c:v>23</c:v>
                </c:pt>
                <c:pt idx="2">
                  <c:v>41</c:v>
                </c:pt>
                <c:pt idx="3">
                  <c:v>26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3-4678-93FD-B06FC84F387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ysClr val="windowText" lastClr="000000"/>
                </a:solidFill>
              </a:rPr>
              <a:t>Accent acceptability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Gráficas!$B$192:$B$195</c:f>
              <c:strCache>
                <c:ptCount val="4"/>
                <c:pt idx="0">
                  <c:v>18-25</c:v>
                </c:pt>
                <c:pt idx="1">
                  <c:v>25-35</c:v>
                </c:pt>
                <c:pt idx="2">
                  <c:v>35-50</c:v>
                </c:pt>
                <c:pt idx="3">
                  <c:v>&gt;50</c:v>
                </c:pt>
              </c:strCache>
            </c:strRef>
          </c:cat>
          <c:val>
            <c:numRef>
              <c:f>Gráficas!$E$192:$E$195</c:f>
              <c:numCache>
                <c:formatCode>0.00%</c:formatCode>
                <c:ptCount val="4"/>
                <c:pt idx="0">
                  <c:v>0.49056603773584906</c:v>
                </c:pt>
                <c:pt idx="1">
                  <c:v>0.5</c:v>
                </c:pt>
                <c:pt idx="2">
                  <c:v>0.5714285714285714</c:v>
                </c:pt>
                <c:pt idx="3">
                  <c:v>0.45454545454545453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05-45D3-85DA-4CD92CB51D89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1592719"/>
        <c:axId val="651593135"/>
      </c:lineChart>
      <c:catAx>
        <c:axId val="651592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93135"/>
        <c:crosses val="autoZero"/>
        <c:auto val="1"/>
        <c:lblAlgn val="ctr"/>
        <c:lblOffset val="100"/>
        <c:noMultiLvlLbl val="0"/>
      </c:catAx>
      <c:valAx>
        <c:axId val="65159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9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Embarrassment</a:t>
            </a:r>
            <a:r>
              <a:rPr lang="en-US" baseline="0"/>
              <a:t>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Gráficas!$E$317</c:f>
              <c:strCache>
                <c:ptCount val="1"/>
                <c:pt idx="0">
                  <c:v>% of Emb.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Gráficas!$B$318:$B$321</c:f>
              <c:strCache>
                <c:ptCount val="4"/>
                <c:pt idx="0">
                  <c:v>18-25</c:v>
                </c:pt>
                <c:pt idx="1">
                  <c:v>25-35</c:v>
                </c:pt>
                <c:pt idx="2">
                  <c:v>35-50</c:v>
                </c:pt>
                <c:pt idx="3">
                  <c:v>&gt;50</c:v>
                </c:pt>
              </c:strCache>
            </c:strRef>
          </c:cat>
          <c:val>
            <c:numRef>
              <c:f>Gráficas!$E$318:$E$321</c:f>
              <c:numCache>
                <c:formatCode>0.00%</c:formatCode>
                <c:ptCount val="4"/>
                <c:pt idx="0">
                  <c:v>0.47169811320754718</c:v>
                </c:pt>
                <c:pt idx="1">
                  <c:v>8.3333333333333329E-2</c:v>
                </c:pt>
                <c:pt idx="2">
                  <c:v>9.5238095238095233E-2</c:v>
                </c:pt>
                <c:pt idx="3">
                  <c:v>0.45454545454545453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7-4B55-B9D1-A80B80B02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446143"/>
        <c:axId val="265446559"/>
      </c:lineChart>
      <c:catAx>
        <c:axId val="265446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  <a:r>
                  <a:rPr lang="en-GB" baseline="0"/>
                  <a:t> range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446559"/>
        <c:crosses val="autoZero"/>
        <c:auto val="1"/>
        <c:lblAlgn val="ctr"/>
        <c:lblOffset val="100"/>
        <c:noMultiLvlLbl val="0"/>
      </c:catAx>
      <c:valAx>
        <c:axId val="26544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446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ysClr val="windowText" lastClr="000000"/>
                </a:solidFill>
              </a:rPr>
              <a:t>Embarrassment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Gráficas!$E$335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Gráficas!$B$336:$B$340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Gráficas!$E$336:$E$340</c:f>
              <c:numCache>
                <c:formatCode>0.00%</c:formatCode>
                <c:ptCount val="5"/>
                <c:pt idx="0">
                  <c:v>7.8947368421052627E-2</c:v>
                </c:pt>
                <c:pt idx="1">
                  <c:v>0.13157894736842105</c:v>
                </c:pt>
                <c:pt idx="2">
                  <c:v>0.42105263157894735</c:v>
                </c:pt>
                <c:pt idx="3">
                  <c:v>0.21052631578947367</c:v>
                </c:pt>
                <c:pt idx="4">
                  <c:v>0.15789473684210525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33-47E6-8230-2DEFFE2C838C}"/>
            </c:ext>
          </c:extLst>
        </c:ser>
        <c:ser>
          <c:idx val="1"/>
          <c:order val="1"/>
          <c:tx>
            <c:strRef>
              <c:f>Gráficas!$F$335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Gráficas!$B$336:$B$340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Gráficas!$F$336:$F$340</c:f>
              <c:numCache>
                <c:formatCode>0.00%</c:formatCode>
                <c:ptCount val="5"/>
                <c:pt idx="0">
                  <c:v>0.16049382716049382</c:v>
                </c:pt>
                <c:pt idx="1">
                  <c:v>0.22222222222222221</c:v>
                </c:pt>
                <c:pt idx="2">
                  <c:v>0.30864197530864196</c:v>
                </c:pt>
                <c:pt idx="3">
                  <c:v>0.22222222222222221</c:v>
                </c:pt>
                <c:pt idx="4">
                  <c:v>8.6419753086419748E-2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33-47E6-8230-2DEFFE2C8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386047"/>
        <c:axId val="237391039"/>
      </c:lineChart>
      <c:catAx>
        <c:axId val="237386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Embarrassment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91039"/>
        <c:crosses val="autoZero"/>
        <c:auto val="1"/>
        <c:lblAlgn val="ctr"/>
        <c:lblOffset val="100"/>
        <c:noMultiLvlLbl val="0"/>
      </c:catAx>
      <c:valAx>
        <c:axId val="23739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8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ysClr val="windowText" lastClr="000000"/>
                </a:solidFill>
              </a:rPr>
              <a:t>Embarrassment by spoken</a:t>
            </a:r>
            <a:r>
              <a:rPr lang="en-GB" sz="1800" b="1" baseline="0">
                <a:solidFill>
                  <a:sysClr val="windowText" lastClr="000000"/>
                </a:solidFill>
              </a:rPr>
              <a:t> languages</a:t>
            </a:r>
            <a:endParaRPr lang="en-GB" sz="1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Gráficas!$C$364</c:f>
              <c:strCache>
                <c:ptCount val="1"/>
                <c:pt idx="0">
                  <c:v>Monolingual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Gráficas!$B$365:$B$369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Gráficas!$C$365:$C$369</c:f>
              <c:numCache>
                <c:formatCode>0.00%</c:formatCode>
                <c:ptCount val="5"/>
                <c:pt idx="0">
                  <c:v>0.13043478260869565</c:v>
                </c:pt>
                <c:pt idx="1">
                  <c:v>0.2391304347826087</c:v>
                </c:pt>
                <c:pt idx="2">
                  <c:v>0.39130434782608697</c:v>
                </c:pt>
                <c:pt idx="3">
                  <c:v>0.15217391304347827</c:v>
                </c:pt>
                <c:pt idx="4">
                  <c:v>8.6956521739130432E-2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17-4DEB-A2FA-EE1DC4943BA8}"/>
            </c:ext>
          </c:extLst>
        </c:ser>
        <c:ser>
          <c:idx val="1"/>
          <c:order val="1"/>
          <c:tx>
            <c:strRef>
              <c:f>Gráficas!$D$364</c:f>
              <c:strCache>
                <c:ptCount val="1"/>
                <c:pt idx="0">
                  <c:v>Bilingual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Gráficas!$B$365:$B$369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Gráficas!$D$365:$D$369</c:f>
              <c:numCache>
                <c:formatCode>0.00%</c:formatCode>
                <c:ptCount val="5"/>
                <c:pt idx="0">
                  <c:v>0.13725490196078433</c:v>
                </c:pt>
                <c:pt idx="1">
                  <c:v>0.13725490196078433</c:v>
                </c:pt>
                <c:pt idx="2">
                  <c:v>0.31372549019607843</c:v>
                </c:pt>
                <c:pt idx="3">
                  <c:v>0.25490196078431371</c:v>
                </c:pt>
                <c:pt idx="4">
                  <c:v>0.15686274509803921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17-4DEB-A2FA-EE1DC4943BA8}"/>
            </c:ext>
          </c:extLst>
        </c:ser>
        <c:ser>
          <c:idx val="2"/>
          <c:order val="2"/>
          <c:tx>
            <c:strRef>
              <c:f>Gráficas!$E$364</c:f>
              <c:strCache>
                <c:ptCount val="1"/>
                <c:pt idx="0">
                  <c:v>Trilingual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Gráficas!$B$365:$B$369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Gráficas!$E$365:$E$369</c:f>
              <c:numCache>
                <c:formatCode>0.00%</c:formatCode>
                <c:ptCount val="5"/>
                <c:pt idx="0">
                  <c:v>0.17647058823529413</c:v>
                </c:pt>
                <c:pt idx="1">
                  <c:v>0.23529411764705882</c:v>
                </c:pt>
                <c:pt idx="2">
                  <c:v>0.29411764705882354</c:v>
                </c:pt>
                <c:pt idx="3">
                  <c:v>0.23529411764705882</c:v>
                </c:pt>
                <c:pt idx="4">
                  <c:v>5.8823529411764705E-2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17-4DEB-A2FA-EE1DC4943BA8}"/>
            </c:ext>
          </c:extLst>
        </c:ser>
        <c:ser>
          <c:idx val="3"/>
          <c:order val="3"/>
          <c:tx>
            <c:strRef>
              <c:f>Gráficas!$F$364</c:f>
              <c:strCache>
                <c:ptCount val="1"/>
                <c:pt idx="0">
                  <c:v>Multilingual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Gráficas!$B$365:$B$369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Gráficas!$F$365:$F$369</c:f>
              <c:numCache>
                <c:formatCode>0.00%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0.4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17-4DEB-A2FA-EE1DC4943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383823"/>
        <c:axId val="267384239"/>
      </c:lineChart>
      <c:catAx>
        <c:axId val="267383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Embarrassment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84239"/>
        <c:crosses val="autoZero"/>
        <c:auto val="1"/>
        <c:lblAlgn val="ctr"/>
        <c:lblOffset val="100"/>
        <c:noMultiLvlLbl val="0"/>
      </c:catAx>
      <c:valAx>
        <c:axId val="26738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</a:t>
                </a:r>
                <a:r>
                  <a:rPr lang="en-GB" baseline="0"/>
                  <a:t> people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8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 baseline="0">
                <a:solidFill>
                  <a:sysClr val="windowText" lastClr="000000"/>
                </a:solidFill>
              </a:rPr>
              <a:t>Familiarity by gender</a:t>
            </a:r>
            <a:endParaRPr lang="en-GB" sz="1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Gráficas!$E$277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Gráficas!$B$278:$B$281</c:f>
              <c:strCache>
                <c:ptCount val="4"/>
                <c:pt idx="0">
                  <c:v>Very familiar</c:v>
                </c:pt>
                <c:pt idx="1">
                  <c:v>Somewhat familiar</c:v>
                </c:pt>
                <c:pt idx="2">
                  <c:v>Not too familiar</c:v>
                </c:pt>
                <c:pt idx="3">
                  <c:v>Not familiar at all</c:v>
                </c:pt>
              </c:strCache>
            </c:strRef>
          </c:cat>
          <c:val>
            <c:numRef>
              <c:f>Gráficas!$E$278:$E$281</c:f>
              <c:numCache>
                <c:formatCode>0.00%</c:formatCode>
                <c:ptCount val="4"/>
                <c:pt idx="0">
                  <c:v>2.6315789473684209E-2</c:v>
                </c:pt>
                <c:pt idx="1">
                  <c:v>0.34210526315789475</c:v>
                </c:pt>
                <c:pt idx="2">
                  <c:v>0.39473684210526316</c:v>
                </c:pt>
                <c:pt idx="3">
                  <c:v>0.23684210526315788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6-44C6-80AE-14D393226C32}"/>
            </c:ext>
          </c:extLst>
        </c:ser>
        <c:ser>
          <c:idx val="1"/>
          <c:order val="1"/>
          <c:tx>
            <c:strRef>
              <c:f>Gráficas!$F$277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Gráficas!$B$278:$B$281</c:f>
              <c:strCache>
                <c:ptCount val="4"/>
                <c:pt idx="0">
                  <c:v>Very familiar</c:v>
                </c:pt>
                <c:pt idx="1">
                  <c:v>Somewhat familiar</c:v>
                </c:pt>
                <c:pt idx="2">
                  <c:v>Not too familiar</c:v>
                </c:pt>
                <c:pt idx="3">
                  <c:v>Not familiar at all</c:v>
                </c:pt>
              </c:strCache>
            </c:strRef>
          </c:cat>
          <c:val>
            <c:numRef>
              <c:f>Gráficas!$F$278:$F$281</c:f>
              <c:numCache>
                <c:formatCode>0.00%</c:formatCode>
                <c:ptCount val="4"/>
                <c:pt idx="0">
                  <c:v>6.1728395061728392E-2</c:v>
                </c:pt>
                <c:pt idx="1">
                  <c:v>0.41975308641975306</c:v>
                </c:pt>
                <c:pt idx="2">
                  <c:v>0.35802469135802467</c:v>
                </c:pt>
                <c:pt idx="3">
                  <c:v>0.16049382716049382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16-44C6-80AE-14D393226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9779823"/>
        <c:axId val="1809772751"/>
      </c:lineChart>
      <c:catAx>
        <c:axId val="1809779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Familiarity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772751"/>
        <c:crosses val="autoZero"/>
        <c:auto val="1"/>
        <c:lblAlgn val="ctr"/>
        <c:lblOffset val="100"/>
        <c:noMultiLvlLbl val="0"/>
      </c:catAx>
      <c:valAx>
        <c:axId val="180977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77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ysClr val="windowText" lastClr="000000"/>
                </a:solidFill>
              </a:rPr>
              <a:t>Familiarity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Gráficas!$B$264</c:f>
              <c:strCache>
                <c:ptCount val="1"/>
                <c:pt idx="0">
                  <c:v>18-25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Gráficas!$D$263:$G$263</c:f>
              <c:strCache>
                <c:ptCount val="4"/>
                <c:pt idx="0">
                  <c:v>Very familiar</c:v>
                </c:pt>
                <c:pt idx="1">
                  <c:v>Somewhat familiar</c:v>
                </c:pt>
                <c:pt idx="2">
                  <c:v>Not too familiar</c:v>
                </c:pt>
                <c:pt idx="3">
                  <c:v>Not familiar at all</c:v>
                </c:pt>
              </c:strCache>
            </c:strRef>
          </c:cat>
          <c:val>
            <c:numRef>
              <c:f>Gráficas!$D$264:$G$264</c:f>
              <c:numCache>
                <c:formatCode>0.00%</c:formatCode>
                <c:ptCount val="4"/>
                <c:pt idx="0">
                  <c:v>5.6603773584905662E-2</c:v>
                </c:pt>
                <c:pt idx="1">
                  <c:v>0.39622641509433965</c:v>
                </c:pt>
                <c:pt idx="2">
                  <c:v>0.32075471698113206</c:v>
                </c:pt>
                <c:pt idx="3">
                  <c:v>0.22641509433962265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26-49B3-926A-F30C20B07216}"/>
            </c:ext>
          </c:extLst>
        </c:ser>
        <c:ser>
          <c:idx val="1"/>
          <c:order val="1"/>
          <c:tx>
            <c:strRef>
              <c:f>Gráficas!$B$265</c:f>
              <c:strCache>
                <c:ptCount val="1"/>
                <c:pt idx="0">
                  <c:v>25-35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Gráficas!$D$263:$G$263</c:f>
              <c:strCache>
                <c:ptCount val="4"/>
                <c:pt idx="0">
                  <c:v>Very familiar</c:v>
                </c:pt>
                <c:pt idx="1">
                  <c:v>Somewhat familiar</c:v>
                </c:pt>
                <c:pt idx="2">
                  <c:v>Not too familiar</c:v>
                </c:pt>
                <c:pt idx="3">
                  <c:v>Not familiar at all</c:v>
                </c:pt>
              </c:strCache>
            </c:strRef>
          </c:cat>
          <c:val>
            <c:numRef>
              <c:f>Gráficas!$D$265:$G$265</c:f>
              <c:numCache>
                <c:formatCode>0.00%</c:formatCode>
                <c:ptCount val="4"/>
                <c:pt idx="0">
                  <c:v>0</c:v>
                </c:pt>
                <c:pt idx="1">
                  <c:v>0.16666666666666666</c:v>
                </c:pt>
                <c:pt idx="2">
                  <c:v>0.66666666666666663</c:v>
                </c:pt>
                <c:pt idx="3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26-49B3-926A-F30C20B07216}"/>
            </c:ext>
          </c:extLst>
        </c:ser>
        <c:ser>
          <c:idx val="2"/>
          <c:order val="2"/>
          <c:tx>
            <c:strRef>
              <c:f>Gráficas!$B$266</c:f>
              <c:strCache>
                <c:ptCount val="1"/>
                <c:pt idx="0">
                  <c:v>35-50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Gráficas!$D$263:$G$263</c:f>
              <c:strCache>
                <c:ptCount val="4"/>
                <c:pt idx="0">
                  <c:v>Very familiar</c:v>
                </c:pt>
                <c:pt idx="1">
                  <c:v>Somewhat familiar</c:v>
                </c:pt>
                <c:pt idx="2">
                  <c:v>Not too familiar</c:v>
                </c:pt>
                <c:pt idx="3">
                  <c:v>Not familiar at all</c:v>
                </c:pt>
              </c:strCache>
            </c:strRef>
          </c:cat>
          <c:val>
            <c:numRef>
              <c:f>Gráficas!$D$266:$G$266</c:f>
              <c:numCache>
                <c:formatCode>0.00%</c:formatCode>
                <c:ptCount val="4"/>
                <c:pt idx="0">
                  <c:v>4.7619047619047616E-2</c:v>
                </c:pt>
                <c:pt idx="1">
                  <c:v>0.5714285714285714</c:v>
                </c:pt>
                <c:pt idx="2">
                  <c:v>0.2857142857142857</c:v>
                </c:pt>
                <c:pt idx="3">
                  <c:v>9.5238095238095233E-2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26-49B3-926A-F30C20B07216}"/>
            </c:ext>
          </c:extLst>
        </c:ser>
        <c:ser>
          <c:idx val="3"/>
          <c:order val="3"/>
          <c:tx>
            <c:strRef>
              <c:f>Gráficas!$B$267</c:f>
              <c:strCache>
                <c:ptCount val="1"/>
                <c:pt idx="0">
                  <c:v>&gt;50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Gráficas!$D$263:$G$263</c:f>
              <c:strCache>
                <c:ptCount val="4"/>
                <c:pt idx="0">
                  <c:v>Very familiar</c:v>
                </c:pt>
                <c:pt idx="1">
                  <c:v>Somewhat familiar</c:v>
                </c:pt>
                <c:pt idx="2">
                  <c:v>Not too familiar</c:v>
                </c:pt>
                <c:pt idx="3">
                  <c:v>Not familiar at all</c:v>
                </c:pt>
              </c:strCache>
            </c:strRef>
          </c:cat>
          <c:val>
            <c:numRef>
              <c:f>Gráficas!$D$267:$G$267</c:f>
              <c:numCache>
                <c:formatCode>0.00%</c:formatCode>
                <c:ptCount val="4"/>
                <c:pt idx="0">
                  <c:v>6.0606060606060608E-2</c:v>
                </c:pt>
                <c:pt idx="1">
                  <c:v>0.36363636363636365</c:v>
                </c:pt>
                <c:pt idx="2">
                  <c:v>0.39393939393939392</c:v>
                </c:pt>
                <c:pt idx="3">
                  <c:v>0.18181818181818182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26-49B3-926A-F30C20B07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380495"/>
        <c:axId val="267380911"/>
      </c:lineChart>
      <c:catAx>
        <c:axId val="267380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Familiarity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80911"/>
        <c:crosses val="autoZero"/>
        <c:auto val="1"/>
        <c:lblAlgn val="ctr"/>
        <c:lblOffset val="100"/>
        <c:noMultiLvlLbl val="0"/>
      </c:catAx>
      <c:valAx>
        <c:axId val="26738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people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8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Would live in the UK and USA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FA81-4934-A8A1-B92E154361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FA81-4934-A8A1-B92E154361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FA81-4934-A8A1-B92E154361C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FA81-4934-A8A1-B92E154361C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FA81-4934-A8A1-B92E154361C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Gráficas!$C$379:$C$383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Gráficas!$D$379:$D$383</c:f>
              <c:numCache>
                <c:formatCode>General</c:formatCode>
                <c:ptCount val="5"/>
                <c:pt idx="0">
                  <c:v>47</c:v>
                </c:pt>
                <c:pt idx="1">
                  <c:v>46</c:v>
                </c:pt>
                <c:pt idx="2">
                  <c:v>13</c:v>
                </c:pt>
                <c:pt idx="3">
                  <c:v>9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08-46E3-B96B-AEE52229131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ysClr val="windowText" lastClr="000000"/>
                </a:solidFill>
              </a:rPr>
              <a:t>British English</a:t>
            </a:r>
            <a:r>
              <a:rPr lang="en-GB" sz="1800" b="1" baseline="0">
                <a:solidFill>
                  <a:sysClr val="windowText" lastClr="000000"/>
                </a:solidFill>
              </a:rPr>
              <a:t> is the most correct</a:t>
            </a:r>
            <a:endParaRPr lang="en-GB" sz="1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Gráficas!$E$397</c:f>
              <c:strCache>
                <c:ptCount val="1"/>
                <c:pt idx="0">
                  <c:v>Monolingual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Gráficas!$B$398:$B$402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Gráficas!$E$398:$E$402</c:f>
              <c:numCache>
                <c:formatCode>0.00%</c:formatCode>
                <c:ptCount val="5"/>
                <c:pt idx="0">
                  <c:v>0.10869565217391304</c:v>
                </c:pt>
                <c:pt idx="1">
                  <c:v>0.34782608695652173</c:v>
                </c:pt>
                <c:pt idx="2">
                  <c:v>0.43478260869565216</c:v>
                </c:pt>
                <c:pt idx="3">
                  <c:v>6.5217391304347824E-2</c:v>
                </c:pt>
                <c:pt idx="4">
                  <c:v>4.3478260869565216E-2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D2-493E-A2F5-DD8195583CA4}"/>
            </c:ext>
          </c:extLst>
        </c:ser>
        <c:ser>
          <c:idx val="1"/>
          <c:order val="1"/>
          <c:tx>
            <c:strRef>
              <c:f>Gráficas!$F$397</c:f>
              <c:strCache>
                <c:ptCount val="1"/>
                <c:pt idx="0">
                  <c:v>Multilingual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Gráficas!$B$398:$B$402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Gráficas!$F$398:$F$402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0.8</c:v>
                </c:pt>
                <c:pt idx="3">
                  <c:v>0.2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D2-493E-A2F5-DD8195583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765552"/>
        <c:axId val="640767216"/>
      </c:lineChart>
      <c:catAx>
        <c:axId val="640765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Opinion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67216"/>
        <c:crosses val="autoZero"/>
        <c:auto val="1"/>
        <c:lblAlgn val="ctr"/>
        <c:lblOffset val="100"/>
        <c:noMultiLvlLbl val="0"/>
      </c:catAx>
      <c:valAx>
        <c:axId val="64076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people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6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237-4834-BFBC-BDC1A95517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237-4834-BFBC-BDC1A955174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Gráficas!$C$25:$C$26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Gráficas!$D$25:$D$26</c:f>
              <c:numCache>
                <c:formatCode>General</c:formatCode>
                <c:ptCount val="2"/>
                <c:pt idx="0">
                  <c:v>38</c:v>
                </c:pt>
                <c:pt idx="1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73-4672-A8F1-61925E12437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ysClr val="windowText" lastClr="000000"/>
                </a:solidFill>
              </a:rPr>
              <a:t>Preference for native-like</a:t>
            </a:r>
            <a:r>
              <a:rPr lang="en-GB" sz="1800" b="1" baseline="0">
                <a:solidFill>
                  <a:sysClr val="windowText" lastClr="000000"/>
                </a:solidFill>
              </a:rPr>
              <a:t> accent</a:t>
            </a:r>
            <a:endParaRPr lang="en-GB" sz="1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Gráficas!$E$416</c:f>
              <c:strCache>
                <c:ptCount val="1"/>
                <c:pt idx="0">
                  <c:v>Monolingual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Gráficas!$B$417:$B$421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Gráficas!$E$417:$E$421</c:f>
              <c:numCache>
                <c:formatCode>0.00%</c:formatCode>
                <c:ptCount val="5"/>
                <c:pt idx="0">
                  <c:v>0</c:v>
                </c:pt>
                <c:pt idx="1">
                  <c:v>0.15217391304347827</c:v>
                </c:pt>
                <c:pt idx="2">
                  <c:v>0.15217391304347827</c:v>
                </c:pt>
                <c:pt idx="3">
                  <c:v>0.43478260869565216</c:v>
                </c:pt>
                <c:pt idx="4">
                  <c:v>0.2608695652173913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5D-47D0-851F-AA1F8F42809C}"/>
            </c:ext>
          </c:extLst>
        </c:ser>
        <c:ser>
          <c:idx val="1"/>
          <c:order val="1"/>
          <c:tx>
            <c:strRef>
              <c:f>Gráficas!$F$416</c:f>
              <c:strCache>
                <c:ptCount val="1"/>
                <c:pt idx="0">
                  <c:v>Multilingual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Gráficas!$B$417:$B$421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Gráficas!$F$417:$F$421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</c:v>
                </c:pt>
                <c:pt idx="4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5D-47D0-851F-AA1F8F428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762224"/>
        <c:axId val="640767632"/>
      </c:lineChart>
      <c:catAx>
        <c:axId val="64076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Opinion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67632"/>
        <c:crosses val="autoZero"/>
        <c:auto val="1"/>
        <c:lblAlgn val="ctr"/>
        <c:lblOffset val="100"/>
        <c:noMultiLvlLbl val="0"/>
      </c:catAx>
      <c:valAx>
        <c:axId val="64076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</a:t>
                </a:r>
                <a:r>
                  <a:rPr lang="en-GB" baseline="0"/>
                  <a:t> people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6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Would learn</a:t>
            </a:r>
            <a:r>
              <a:rPr lang="en-GB" baseline="0"/>
              <a:t> about India and New Zealand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8ED-41D9-8C4E-B95BAD0D8B0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8ED-41D9-8C4E-B95BAD0D8B0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8ED-41D9-8C4E-B95BAD0D8B0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8ED-41D9-8C4E-B95BAD0D8B0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8ED-41D9-8C4E-B95BAD0D8B0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Gráficas!$C$435:$C$439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Gráficas!$D$435:$D$439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60</c:v>
                </c:pt>
                <c:pt idx="3">
                  <c:v>14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3D-4DE7-AE63-C876FD8D7C4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Familiarity with the UK and USA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760-4C5F-AA90-B79E14D0D0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760-4C5F-AA90-B79E14D0D0F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Gráficas!$C$454:$C$455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Gráficas!$D$454:$D$455</c:f>
              <c:numCache>
                <c:formatCode>General</c:formatCode>
                <c:ptCount val="2"/>
                <c:pt idx="0">
                  <c:v>69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3-4A4F-9168-ADA4A5D1FCD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400" b="1">
                <a:solidFill>
                  <a:sysClr val="windowText" lastClr="000000"/>
                </a:solidFill>
              </a:rPr>
              <a:t>American and British</a:t>
            </a:r>
            <a:r>
              <a:rPr lang="en-GB" sz="1400" b="1" baseline="0">
                <a:solidFill>
                  <a:sysClr val="windowText" lastClr="000000"/>
                </a:solidFill>
              </a:rPr>
              <a:t> English are both correct by age</a:t>
            </a:r>
            <a:endParaRPr lang="en-GB" sz="14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Gráficas!$E$473</c:f>
              <c:strCache>
                <c:ptCount val="1"/>
                <c:pt idx="0">
                  <c:v>18-25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Gráficas!$B$474:$B$478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Gráficas!$E$474:$E$478</c:f>
              <c:numCache>
                <c:formatCode>0.00%</c:formatCode>
                <c:ptCount val="5"/>
                <c:pt idx="0">
                  <c:v>0.58490566037735847</c:v>
                </c:pt>
                <c:pt idx="1">
                  <c:v>0.28301886792452829</c:v>
                </c:pt>
                <c:pt idx="2">
                  <c:v>0.11320754716981132</c:v>
                </c:pt>
                <c:pt idx="3">
                  <c:v>1.8867924528301886E-2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A6-4FBB-BC6C-9185D4F4537F}"/>
            </c:ext>
          </c:extLst>
        </c:ser>
        <c:ser>
          <c:idx val="1"/>
          <c:order val="1"/>
          <c:tx>
            <c:strRef>
              <c:f>Gráficas!$F$473</c:f>
              <c:strCache>
                <c:ptCount val="1"/>
                <c:pt idx="0">
                  <c:v>&gt;50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Gráficas!$B$474:$B$478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Gráficas!$F$474:$F$478</c:f>
              <c:numCache>
                <c:formatCode>0.00%</c:formatCode>
                <c:ptCount val="5"/>
                <c:pt idx="0">
                  <c:v>0.1875</c:v>
                </c:pt>
                <c:pt idx="1">
                  <c:v>0.5</c:v>
                </c:pt>
                <c:pt idx="2">
                  <c:v>0.1875</c:v>
                </c:pt>
                <c:pt idx="3">
                  <c:v>0.125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A6-4FBB-BC6C-9185D4F45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8190223"/>
        <c:axId val="1548208111"/>
      </c:lineChart>
      <c:catAx>
        <c:axId val="1548190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Opinion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208111"/>
        <c:crosses val="autoZero"/>
        <c:auto val="1"/>
        <c:lblAlgn val="ctr"/>
        <c:lblOffset val="100"/>
        <c:noMultiLvlLbl val="0"/>
      </c:catAx>
      <c:valAx>
        <c:axId val="154820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</a:t>
                </a:r>
                <a:r>
                  <a:rPr lang="en-GB" baseline="0"/>
                  <a:t> people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19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600" b="1">
                <a:solidFill>
                  <a:sysClr val="windowText" lastClr="000000"/>
                </a:solidFill>
              </a:rPr>
              <a:t>Would live in India</a:t>
            </a:r>
            <a:r>
              <a:rPr lang="en-GB" sz="1600" b="1" baseline="0">
                <a:solidFill>
                  <a:sysClr val="windowText" lastClr="000000"/>
                </a:solidFill>
              </a:rPr>
              <a:t> or New Zealand by age</a:t>
            </a:r>
            <a:endParaRPr lang="en-GB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Gráficas!$E$493</c:f>
              <c:strCache>
                <c:ptCount val="1"/>
                <c:pt idx="0">
                  <c:v>18-25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Gráficas!$B$494:$B$498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Gráficas!$E$494:$E$498</c:f>
              <c:numCache>
                <c:formatCode>0.00%</c:formatCode>
                <c:ptCount val="5"/>
                <c:pt idx="0">
                  <c:v>0.20754716981132076</c:v>
                </c:pt>
                <c:pt idx="1">
                  <c:v>0.28301886792452829</c:v>
                </c:pt>
                <c:pt idx="2">
                  <c:v>0.18867924528301888</c:v>
                </c:pt>
                <c:pt idx="3">
                  <c:v>0.22641509433962265</c:v>
                </c:pt>
                <c:pt idx="4">
                  <c:v>9.4339622641509441E-2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8-4C06-B99C-85DD5493884D}"/>
            </c:ext>
          </c:extLst>
        </c:ser>
        <c:ser>
          <c:idx val="1"/>
          <c:order val="1"/>
          <c:tx>
            <c:strRef>
              <c:f>Gráficas!$F$493</c:f>
              <c:strCache>
                <c:ptCount val="1"/>
                <c:pt idx="0">
                  <c:v>&gt;50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Gráficas!$B$494:$B$498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Gráficas!$F$494:$F$498</c:f>
              <c:numCache>
                <c:formatCode>0.00%</c:formatCode>
                <c:ptCount val="5"/>
                <c:pt idx="0">
                  <c:v>0.15625</c:v>
                </c:pt>
                <c:pt idx="1">
                  <c:v>0.28125</c:v>
                </c:pt>
                <c:pt idx="2">
                  <c:v>0.3125</c:v>
                </c:pt>
                <c:pt idx="3">
                  <c:v>0.1875</c:v>
                </c:pt>
                <c:pt idx="4">
                  <c:v>6.25E-2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F8-4C06-B99C-85DD54938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900079"/>
        <c:axId val="1383898831"/>
      </c:lineChart>
      <c:catAx>
        <c:axId val="1383900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Opinion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898831"/>
        <c:crosses val="autoZero"/>
        <c:auto val="1"/>
        <c:lblAlgn val="ctr"/>
        <c:lblOffset val="100"/>
        <c:noMultiLvlLbl val="0"/>
      </c:catAx>
      <c:valAx>
        <c:axId val="138389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90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American and British English are both correct by gender</a:t>
            </a:r>
            <a:endParaRPr lang="en-GB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1">
                <a:solidFill>
                  <a:sysClr val="windowText" lastClr="000000"/>
                </a:solidFill>
              </a:defRPr>
            </a:pPr>
            <a:endParaRPr lang="en-GB" sz="14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Gráficas!$E$515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Gráficas!$B$516:$B$520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Gráficas!$E$516:$E$520</c:f>
              <c:numCache>
                <c:formatCode>0.00%</c:formatCode>
                <c:ptCount val="5"/>
                <c:pt idx="0">
                  <c:v>0.31578947368421051</c:v>
                </c:pt>
                <c:pt idx="1">
                  <c:v>0.39473684210526316</c:v>
                </c:pt>
                <c:pt idx="2">
                  <c:v>0.18421052631578946</c:v>
                </c:pt>
                <c:pt idx="3">
                  <c:v>0.10526315789473684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37-43C8-85A7-B82C497EEE28}"/>
            </c:ext>
          </c:extLst>
        </c:ser>
        <c:ser>
          <c:idx val="1"/>
          <c:order val="1"/>
          <c:tx>
            <c:strRef>
              <c:f>Gráficas!$F$515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Gráficas!$B$516:$B$520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Gráficas!$F$516:$F$520</c:f>
              <c:numCache>
                <c:formatCode>0.00%</c:formatCode>
                <c:ptCount val="5"/>
                <c:pt idx="0">
                  <c:v>0.48148148148148145</c:v>
                </c:pt>
                <c:pt idx="1">
                  <c:v>0.33333333333333331</c:v>
                </c:pt>
                <c:pt idx="2">
                  <c:v>0.13580246913580246</c:v>
                </c:pt>
                <c:pt idx="3">
                  <c:v>4.9382716049382713E-2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37-43C8-85A7-B82C497EE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806591"/>
        <c:axId val="1551808671"/>
      </c:lineChart>
      <c:catAx>
        <c:axId val="1551806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Opinion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808671"/>
        <c:crosses val="autoZero"/>
        <c:auto val="1"/>
        <c:lblAlgn val="ctr"/>
        <c:lblOffset val="100"/>
        <c:noMultiLvlLbl val="0"/>
      </c:catAx>
      <c:valAx>
        <c:axId val="155180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people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80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Would live in India or New Zealand by gender</a:t>
            </a:r>
            <a:endParaRPr lang="en-GB" sz="1400">
              <a:effectLst/>
            </a:endParaRPr>
          </a:p>
        </c:rich>
      </c:tx>
      <c:layout>
        <c:manualLayout>
          <c:xMode val="edge"/>
          <c:yMode val="edge"/>
          <c:x val="0.12381040363697204"/>
          <c:y val="2.3164234422052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Gráficas!$E$535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Gráficas!$B$536:$B$540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Gráficas!$E$536:$E$540</c:f>
              <c:numCache>
                <c:formatCode>0.00%</c:formatCode>
                <c:ptCount val="5"/>
                <c:pt idx="0">
                  <c:v>0.18421052631578946</c:v>
                </c:pt>
                <c:pt idx="1">
                  <c:v>0.23684210526315788</c:v>
                </c:pt>
                <c:pt idx="2">
                  <c:v>0.31578947368421051</c:v>
                </c:pt>
                <c:pt idx="3">
                  <c:v>0.13157894736842105</c:v>
                </c:pt>
                <c:pt idx="4">
                  <c:v>0.13157894736842105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F4-4DD1-B340-15D6D935BCF2}"/>
            </c:ext>
          </c:extLst>
        </c:ser>
        <c:ser>
          <c:idx val="1"/>
          <c:order val="1"/>
          <c:tx>
            <c:strRef>
              <c:f>Gráficas!$F$535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Gráficas!$B$536:$B$540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Gráficas!$F$536:$F$540</c:f>
              <c:numCache>
                <c:formatCode>0.00%</c:formatCode>
                <c:ptCount val="5"/>
                <c:pt idx="0">
                  <c:v>0.20987654320987653</c:v>
                </c:pt>
                <c:pt idx="1">
                  <c:v>0.32098765432098764</c:v>
                </c:pt>
                <c:pt idx="2">
                  <c:v>0.20987654320987653</c:v>
                </c:pt>
                <c:pt idx="3">
                  <c:v>0.1728395061728395</c:v>
                </c:pt>
                <c:pt idx="4">
                  <c:v>8.6419753086419748E-2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F4-4DD1-B340-15D6D935B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7976399"/>
        <c:axId val="1687968495"/>
      </c:lineChart>
      <c:catAx>
        <c:axId val="1687976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Opinion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968495"/>
        <c:crosses val="autoZero"/>
        <c:auto val="1"/>
        <c:lblAlgn val="ctr"/>
        <c:lblOffset val="100"/>
        <c:noMultiLvlLbl val="0"/>
      </c:catAx>
      <c:valAx>
        <c:axId val="168796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97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Preference</a:t>
            </a:r>
            <a:r>
              <a:rPr lang="en-GB" baseline="0"/>
              <a:t> for native teachers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E-47C3-B1CF-3A605A7264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E-47C3-B1CF-3A605A7264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E-47C3-B1CF-3A605A7264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E-47C3-B1CF-3A605A72646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E-47C3-B1CF-3A605A72646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Gráficas!$C$556:$C$560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Gráficas!$D$556:$D$560</c:f>
              <c:numCache>
                <c:formatCode>General</c:formatCode>
                <c:ptCount val="5"/>
                <c:pt idx="0">
                  <c:v>27</c:v>
                </c:pt>
                <c:pt idx="1">
                  <c:v>30</c:v>
                </c:pt>
                <c:pt idx="2">
                  <c:v>46</c:v>
                </c:pt>
                <c:pt idx="3">
                  <c:v>11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0-414A-A853-2001C0ECC68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Awkwardness with native speakers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38B-4D42-9E2E-B89F347393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38B-4D42-9E2E-B89F347393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38B-4D42-9E2E-B89F3473932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38B-4D42-9E2E-B89F3473932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38B-4D42-9E2E-B89F3473932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Gráficas!$C$574:$C$578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Gráficas!$D$574:$D$578</c:f>
              <c:numCache>
                <c:formatCode>General</c:formatCode>
                <c:ptCount val="5"/>
                <c:pt idx="0">
                  <c:v>10</c:v>
                </c:pt>
                <c:pt idx="1">
                  <c:v>49</c:v>
                </c:pt>
                <c:pt idx="2">
                  <c:v>39</c:v>
                </c:pt>
                <c:pt idx="3">
                  <c:v>14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BC-4AC8-9AA6-92452AC4A8E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Non-native English</a:t>
            </a:r>
            <a:r>
              <a:rPr lang="en-GB" baseline="0"/>
              <a:t> is easy to understand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895-481A-8EA5-427F669902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895-481A-8EA5-427F669902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895-481A-8EA5-427F669902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895-481A-8EA5-427F669902B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D895-481A-8EA5-427F669902B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Gráficas!$C$591:$C$595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Gráficas!$D$591:$D$595</c:f>
              <c:numCache>
                <c:formatCode>General</c:formatCode>
                <c:ptCount val="5"/>
                <c:pt idx="0">
                  <c:v>8</c:v>
                </c:pt>
                <c:pt idx="1">
                  <c:v>51</c:v>
                </c:pt>
                <c:pt idx="2">
                  <c:v>39</c:v>
                </c:pt>
                <c:pt idx="3">
                  <c:v>18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0B-44FC-B7CF-99CE65836F5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UCLM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4CE5-4D71-AB2F-E972ED07D2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4CE5-4D71-AB2F-E972ED07D21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Gráficas!$C$8:$C$9</c:f>
              <c:strCache>
                <c:ptCount val="2"/>
                <c:pt idx="0">
                  <c:v>UCLM</c:v>
                </c:pt>
                <c:pt idx="1">
                  <c:v>Other</c:v>
                </c:pt>
              </c:strCache>
            </c:strRef>
          </c:cat>
          <c:val>
            <c:numRef>
              <c:f>Gráficas!$D$8:$D$9</c:f>
              <c:numCache>
                <c:formatCode>General</c:formatCode>
                <c:ptCount val="2"/>
                <c:pt idx="0">
                  <c:v>68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D-4A7E-B09E-4A125C84C62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Indian and New Zealand accents</a:t>
            </a:r>
            <a:r>
              <a:rPr lang="en-GB" sz="1600" baseline="0"/>
              <a:t> are easy to understand</a:t>
            </a:r>
            <a:endParaRPr lang="en-GB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0E6-4CB0-9356-C1E960B6DE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0E6-4CB0-9356-C1E960B6DEF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0E6-4CB0-9356-C1E960B6DEF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0E6-4CB0-9356-C1E960B6DEF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0E6-4CB0-9356-C1E960B6DEF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Gráficas!$C$608:$C$612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Gráficas!$D$608:$D$612</c:f>
              <c:numCache>
                <c:formatCode>General</c:formatCode>
                <c:ptCount val="5"/>
                <c:pt idx="0">
                  <c:v>2</c:v>
                </c:pt>
                <c:pt idx="1">
                  <c:v>18</c:v>
                </c:pt>
                <c:pt idx="2">
                  <c:v>59</c:v>
                </c:pt>
                <c:pt idx="3">
                  <c:v>34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5-4EDC-AF23-427EFEE4FD8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Accent acceptability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1A9-421C-BB63-9A3EE63E17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1A9-421C-BB63-9A3EE63E170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1A9-421C-BB63-9A3EE63E170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1A9-421C-BB63-9A3EE63E170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1A9-421C-BB63-9A3EE63E170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Gráficas!$C$626:$C$630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Gráficas!$D$626:$D$630</c:f>
              <c:numCache>
                <c:formatCode>General</c:formatCode>
                <c:ptCount val="5"/>
                <c:pt idx="0">
                  <c:v>33</c:v>
                </c:pt>
                <c:pt idx="1">
                  <c:v>65</c:v>
                </c:pt>
                <c:pt idx="2">
                  <c:v>15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5B-408B-BEF9-E65A7A83134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People</a:t>
            </a:r>
            <a:r>
              <a:rPr lang="en-GB" sz="1400" baseline="0"/>
              <a:t> (who think </a:t>
            </a:r>
            <a:r>
              <a:rPr lang="en-GB" sz="1400"/>
              <a:t>that</a:t>
            </a:r>
            <a:r>
              <a:rPr lang="en-GB" sz="1400" baseline="0"/>
              <a:t> an accent is acceptable) that w</a:t>
            </a:r>
            <a:r>
              <a:rPr lang="en-GB" sz="1400"/>
              <a:t>ould live in India</a:t>
            </a:r>
            <a:r>
              <a:rPr lang="en-GB" sz="1400" baseline="0"/>
              <a:t> and New Zealand</a:t>
            </a:r>
            <a:endParaRPr lang="en-GB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DA4-4831-BB0C-117D403254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DA4-4831-BB0C-117D4032549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Gráficas!$C$645:$C$646</c:f>
              <c:strCache>
                <c:ptCount val="2"/>
                <c:pt idx="0">
                  <c:v>No</c:v>
                </c:pt>
                <c:pt idx="1">
                  <c:v>Sí</c:v>
                </c:pt>
              </c:strCache>
            </c:strRef>
          </c:cat>
          <c:val>
            <c:numRef>
              <c:f>Gráficas!$D$645:$D$646</c:f>
              <c:numCache>
                <c:formatCode>General</c:formatCode>
                <c:ptCount val="2"/>
                <c:pt idx="0">
                  <c:v>24</c:v>
                </c:pt>
                <c:pt idx="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0A-45A0-A787-EDD6851B1E7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People (who are embarrassed about their accent) that would live in India and New Zealand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2C2-4C03-8003-96300AB46A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2C2-4C03-8003-96300AB46A9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Gráficas!$C$660:$C$661</c:f>
              <c:strCache>
                <c:ptCount val="2"/>
                <c:pt idx="0">
                  <c:v>No</c:v>
                </c:pt>
                <c:pt idx="1">
                  <c:v>Sí</c:v>
                </c:pt>
              </c:strCache>
            </c:strRef>
          </c:cat>
          <c:val>
            <c:numRef>
              <c:f>Gráficas!$D$660:$D$661</c:f>
              <c:numCache>
                <c:formatCode>General</c:formatCode>
                <c:ptCount val="2"/>
                <c:pt idx="0">
                  <c:v>15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EC-46E1-AFC6-C656413F860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400" b="1">
                <a:solidFill>
                  <a:sysClr val="windowText" lastClr="000000"/>
                </a:solidFill>
              </a:rPr>
              <a:t>American and</a:t>
            </a:r>
            <a:r>
              <a:rPr lang="en-GB" sz="1400" b="1" baseline="0">
                <a:solidFill>
                  <a:sysClr val="windowText" lastClr="000000"/>
                </a:solidFill>
              </a:rPr>
              <a:t> British English are both correct by spoken languages</a:t>
            </a:r>
            <a:endParaRPr lang="en-GB" sz="14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Gráficas!$C$694:$C$697</c:f>
              <c:strCache>
                <c:ptCount val="4"/>
                <c:pt idx="0">
                  <c:v>Monolingual</c:v>
                </c:pt>
                <c:pt idx="1">
                  <c:v>Bilingual</c:v>
                </c:pt>
                <c:pt idx="2">
                  <c:v>Trilingual</c:v>
                </c:pt>
                <c:pt idx="3">
                  <c:v>Multilingual</c:v>
                </c:pt>
              </c:strCache>
            </c:strRef>
          </c:cat>
          <c:val>
            <c:numRef>
              <c:f>Gráficas!$D$694:$D$697</c:f>
              <c:numCache>
                <c:formatCode>0.00%</c:formatCode>
                <c:ptCount val="4"/>
                <c:pt idx="0">
                  <c:v>0.69565217391304346</c:v>
                </c:pt>
                <c:pt idx="1">
                  <c:v>0.84313725490196079</c:v>
                </c:pt>
                <c:pt idx="2">
                  <c:v>0.76470588235294112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88-40FD-837A-A3126AF3F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559584"/>
        <c:axId val="1358560416"/>
      </c:lineChart>
      <c:catAx>
        <c:axId val="1358559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Acceptability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560416"/>
        <c:crosses val="autoZero"/>
        <c:auto val="1"/>
        <c:lblAlgn val="ctr"/>
        <c:lblOffset val="100"/>
        <c:noMultiLvlLbl val="0"/>
      </c:catAx>
      <c:valAx>
        <c:axId val="135856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55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American and British English are both correct by excellent and very good command of English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Gráficas!$C$706:$C$710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Gráficas!$D$706:$D$710</c:f>
              <c:numCache>
                <c:formatCode>General</c:formatCode>
                <c:ptCount val="5"/>
                <c:pt idx="0">
                  <c:v>20</c:v>
                </c:pt>
                <c:pt idx="1">
                  <c:v>10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AB-43C8-B211-3E3953122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560832"/>
        <c:axId val="1358562496"/>
      </c:lineChart>
      <c:catAx>
        <c:axId val="135856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Acceptability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562496"/>
        <c:crosses val="autoZero"/>
        <c:auto val="1"/>
        <c:lblAlgn val="ctr"/>
        <c:lblOffset val="100"/>
        <c:noMultiLvlLbl val="0"/>
      </c:catAx>
      <c:valAx>
        <c:axId val="135856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people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56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Would live in India or New Zealand by spoken languages</a:t>
            </a:r>
            <a:endParaRPr lang="en-GB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Gráficas!$C$739:$C$742</c:f>
              <c:strCache>
                <c:ptCount val="4"/>
                <c:pt idx="0">
                  <c:v>Monolingual</c:v>
                </c:pt>
                <c:pt idx="1">
                  <c:v>Bilingual</c:v>
                </c:pt>
                <c:pt idx="2">
                  <c:v>Trilingual</c:v>
                </c:pt>
                <c:pt idx="3">
                  <c:v>Multilingual</c:v>
                </c:pt>
              </c:strCache>
            </c:strRef>
          </c:cat>
          <c:val>
            <c:numRef>
              <c:f>Gráficas!$D$739:$D$742</c:f>
              <c:numCache>
                <c:formatCode>0.00%</c:formatCode>
                <c:ptCount val="4"/>
                <c:pt idx="0">
                  <c:v>0.43478260869565216</c:v>
                </c:pt>
                <c:pt idx="1">
                  <c:v>0.52941176470588236</c:v>
                </c:pt>
                <c:pt idx="2">
                  <c:v>0.58823529411764708</c:v>
                </c:pt>
                <c:pt idx="3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15-4014-BDB9-098BDE2CF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0875920"/>
        <c:axId val="1350877584"/>
      </c:lineChart>
      <c:catAx>
        <c:axId val="135087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Opinion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877584"/>
        <c:crosses val="autoZero"/>
        <c:auto val="1"/>
        <c:lblAlgn val="ctr"/>
        <c:lblOffset val="100"/>
        <c:noMultiLvlLbl val="0"/>
      </c:catAx>
      <c:valAx>
        <c:axId val="135087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87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Would live in India or New Zealand by</a:t>
            </a:r>
            <a:r>
              <a:rPr lang="en-GB" sz="1400" b="1" i="0" u="none" strike="noStrike" baseline="0">
                <a:effectLst/>
              </a:rPr>
              <a:t> excellent and very good command of English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Gráficas!$C$751:$C$755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Gráficas!$D$751:$D$755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8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77-4A3A-928F-186A55691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617488"/>
        <c:axId val="1377617904"/>
      </c:lineChart>
      <c:catAx>
        <c:axId val="137761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Opinion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617904"/>
        <c:crosses val="autoZero"/>
        <c:auto val="1"/>
        <c:lblAlgn val="ctr"/>
        <c:lblOffset val="100"/>
        <c:noMultiLvlLbl val="0"/>
      </c:catAx>
      <c:valAx>
        <c:axId val="137761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61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ysClr val="windowText" lastClr="000000"/>
                </a:solidFill>
              </a:rPr>
              <a:t>Accent</a:t>
            </a:r>
            <a:r>
              <a:rPr lang="en-GB" sz="1800" b="1" baseline="0">
                <a:solidFill>
                  <a:sysClr val="windowText" lastClr="000000"/>
                </a:solidFill>
              </a:rPr>
              <a:t> acceptability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Gráficas!$E$209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Gráficas!$B$210:$B$214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Gráficas!$E$210:$E$214</c:f>
              <c:numCache>
                <c:formatCode>0.00%</c:formatCode>
                <c:ptCount val="5"/>
                <c:pt idx="0">
                  <c:v>0.18421052631578946</c:v>
                </c:pt>
                <c:pt idx="1">
                  <c:v>0.23684210526315788</c:v>
                </c:pt>
                <c:pt idx="2">
                  <c:v>0.31578947368421051</c:v>
                </c:pt>
                <c:pt idx="3">
                  <c:v>0.13157894736842105</c:v>
                </c:pt>
                <c:pt idx="4">
                  <c:v>0.13157894736842105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F3-4154-BB1B-18E4C1791759}"/>
            </c:ext>
          </c:extLst>
        </c:ser>
        <c:ser>
          <c:idx val="1"/>
          <c:order val="1"/>
          <c:tx>
            <c:strRef>
              <c:f>Gráficas!$F$209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Gráficas!$B$210:$B$214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Gráficas!$F$210:$F$214</c:f>
              <c:numCache>
                <c:formatCode>0.00%</c:formatCode>
                <c:ptCount val="5"/>
                <c:pt idx="0">
                  <c:v>0.20987654320987653</c:v>
                </c:pt>
                <c:pt idx="1">
                  <c:v>0.32098765432098764</c:v>
                </c:pt>
                <c:pt idx="2">
                  <c:v>0.20987654320987653</c:v>
                </c:pt>
                <c:pt idx="3">
                  <c:v>0.1728395061728395</c:v>
                </c:pt>
                <c:pt idx="4">
                  <c:v>8.6419753086419748E-2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F3-4154-BB1B-18E4C1791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5104048"/>
        <c:axId val="815101552"/>
      </c:lineChart>
      <c:catAx>
        <c:axId val="81510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Acceptability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101552"/>
        <c:crosses val="autoZero"/>
        <c:auto val="1"/>
        <c:lblAlgn val="ctr"/>
        <c:lblOffset val="100"/>
        <c:noMultiLvlLbl val="0"/>
      </c:catAx>
      <c:valAx>
        <c:axId val="81510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people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10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600" b="1">
                <a:solidFill>
                  <a:sysClr val="windowText" lastClr="000000"/>
                </a:solidFill>
              </a:rPr>
              <a:t>Accent acceptability by spoken languages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Gráficas!$C$238</c:f>
              <c:strCache>
                <c:ptCount val="1"/>
                <c:pt idx="0">
                  <c:v>Monolingual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Gráficas!$B$239:$B$243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Gráficas!$C$239:$C$243</c:f>
              <c:numCache>
                <c:formatCode>0.00%</c:formatCode>
                <c:ptCount val="5"/>
                <c:pt idx="0">
                  <c:v>8.6956521739130432E-2</c:v>
                </c:pt>
                <c:pt idx="1">
                  <c:v>0.34782608695652173</c:v>
                </c:pt>
                <c:pt idx="2">
                  <c:v>0.2391304347826087</c:v>
                </c:pt>
                <c:pt idx="3">
                  <c:v>0.21739130434782608</c:v>
                </c:pt>
                <c:pt idx="4">
                  <c:v>0.10869565217391304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D0-4D09-9D54-88676DB886B8}"/>
            </c:ext>
          </c:extLst>
        </c:ser>
        <c:ser>
          <c:idx val="1"/>
          <c:order val="1"/>
          <c:tx>
            <c:strRef>
              <c:f>Gráficas!$D$238</c:f>
              <c:strCache>
                <c:ptCount val="1"/>
                <c:pt idx="0">
                  <c:v>Bilingual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Gráficas!$B$239:$B$243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Gráficas!$D$239:$D$243</c:f>
              <c:numCache>
                <c:formatCode>0.00%</c:formatCode>
                <c:ptCount val="5"/>
                <c:pt idx="0">
                  <c:v>0.23529411764705882</c:v>
                </c:pt>
                <c:pt idx="1">
                  <c:v>0.29411764705882354</c:v>
                </c:pt>
                <c:pt idx="2">
                  <c:v>0.23529411764705882</c:v>
                </c:pt>
                <c:pt idx="3">
                  <c:v>0.15686274509803921</c:v>
                </c:pt>
                <c:pt idx="4">
                  <c:v>7.8431372549019607E-2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D0-4D09-9D54-88676DB886B8}"/>
            </c:ext>
          </c:extLst>
        </c:ser>
        <c:ser>
          <c:idx val="2"/>
          <c:order val="2"/>
          <c:tx>
            <c:strRef>
              <c:f>Gráficas!$E$238</c:f>
              <c:strCache>
                <c:ptCount val="1"/>
                <c:pt idx="0">
                  <c:v>Trilingual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Gráficas!$B$239:$B$243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Gráficas!$E$239:$E$243</c:f>
              <c:numCache>
                <c:formatCode>0.00%</c:formatCode>
                <c:ptCount val="5"/>
                <c:pt idx="0">
                  <c:v>0.41176470588235292</c:v>
                </c:pt>
                <c:pt idx="1">
                  <c:v>0.17647058823529413</c:v>
                </c:pt>
                <c:pt idx="2">
                  <c:v>0.23529411764705882</c:v>
                </c:pt>
                <c:pt idx="3">
                  <c:v>0</c:v>
                </c:pt>
                <c:pt idx="4">
                  <c:v>0.17647058823529413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D0-4D09-9D54-88676DB886B8}"/>
            </c:ext>
          </c:extLst>
        </c:ser>
        <c:ser>
          <c:idx val="3"/>
          <c:order val="3"/>
          <c:tx>
            <c:strRef>
              <c:f>Gráficas!$F$238</c:f>
              <c:strCache>
                <c:ptCount val="1"/>
                <c:pt idx="0">
                  <c:v>Multilingual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Gráficas!$B$239:$B$243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Gráficas!$F$239:$F$243</c:f>
              <c:numCache>
                <c:formatCode>0.00%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D0-4D09-9D54-88676DB88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875664"/>
        <c:axId val="1070881488"/>
      </c:lineChart>
      <c:catAx>
        <c:axId val="107087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Acceptability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881488"/>
        <c:crosses val="autoZero"/>
        <c:auto val="1"/>
        <c:lblAlgn val="ctr"/>
        <c:lblOffset val="100"/>
        <c:noMultiLvlLbl val="0"/>
      </c:catAx>
      <c:valAx>
        <c:axId val="107088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87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Country</a:t>
            </a:r>
            <a:r>
              <a:rPr lang="en-US" baseline="0"/>
              <a:t> of origin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204-4580-88FC-E7EAED9AA1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204-4580-88FC-E7EAED9AA16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Gráficas!$C$45:$C$46</c:f>
              <c:strCache>
                <c:ptCount val="2"/>
                <c:pt idx="0">
                  <c:v>Spain</c:v>
                </c:pt>
                <c:pt idx="1">
                  <c:v>Other</c:v>
                </c:pt>
              </c:strCache>
            </c:strRef>
          </c:cat>
          <c:val>
            <c:numRef>
              <c:f>Gráficas!$D$45:$D$46</c:f>
              <c:numCache>
                <c:formatCode>General</c:formatCode>
                <c:ptCount val="2"/>
                <c:pt idx="0">
                  <c:v>108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17-46B9-9275-A7535411366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ysClr val="windowText" lastClr="000000"/>
                </a:solidFill>
              </a:rPr>
              <a:t>Familiarity by spoken languages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Gráficas!$C$303</c:f>
              <c:strCache>
                <c:ptCount val="1"/>
                <c:pt idx="0">
                  <c:v>Monolingual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Gráficas!$B$304:$B$307</c:f>
              <c:strCache>
                <c:ptCount val="4"/>
                <c:pt idx="0">
                  <c:v>Very familiar</c:v>
                </c:pt>
                <c:pt idx="1">
                  <c:v>Somewhat familiar</c:v>
                </c:pt>
                <c:pt idx="2">
                  <c:v>Not too familiar</c:v>
                </c:pt>
                <c:pt idx="3">
                  <c:v>Not familiar at all</c:v>
                </c:pt>
              </c:strCache>
            </c:strRef>
          </c:cat>
          <c:val>
            <c:numRef>
              <c:f>Gráficas!$C$304:$C$307</c:f>
              <c:numCache>
                <c:formatCode>0.00%</c:formatCode>
                <c:ptCount val="4"/>
                <c:pt idx="0">
                  <c:v>6.5217391304347824E-2</c:v>
                </c:pt>
                <c:pt idx="1">
                  <c:v>0.47826086956521741</c:v>
                </c:pt>
                <c:pt idx="2">
                  <c:v>0.36956521739130432</c:v>
                </c:pt>
                <c:pt idx="3">
                  <c:v>8.6956521739130432E-2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82-4DC4-ABF2-F17642CA1D09}"/>
            </c:ext>
          </c:extLst>
        </c:ser>
        <c:ser>
          <c:idx val="1"/>
          <c:order val="1"/>
          <c:tx>
            <c:strRef>
              <c:f>Gráficas!$D$303</c:f>
              <c:strCache>
                <c:ptCount val="1"/>
                <c:pt idx="0">
                  <c:v>Bilingual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Gráficas!$B$304:$B$307</c:f>
              <c:strCache>
                <c:ptCount val="4"/>
                <c:pt idx="0">
                  <c:v>Very familiar</c:v>
                </c:pt>
                <c:pt idx="1">
                  <c:v>Somewhat familiar</c:v>
                </c:pt>
                <c:pt idx="2">
                  <c:v>Not too familiar</c:v>
                </c:pt>
                <c:pt idx="3">
                  <c:v>Not familiar at all</c:v>
                </c:pt>
              </c:strCache>
            </c:strRef>
          </c:cat>
          <c:val>
            <c:numRef>
              <c:f>Gráficas!$D$304:$D$307</c:f>
              <c:numCache>
                <c:formatCode>0.00%</c:formatCode>
                <c:ptCount val="4"/>
                <c:pt idx="0">
                  <c:v>5.8823529411764705E-2</c:v>
                </c:pt>
                <c:pt idx="1">
                  <c:v>0.39215686274509803</c:v>
                </c:pt>
                <c:pt idx="2">
                  <c:v>0.39215686274509803</c:v>
                </c:pt>
                <c:pt idx="3">
                  <c:v>0.15686274509803921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82-4DC4-ABF2-F17642CA1D09}"/>
            </c:ext>
          </c:extLst>
        </c:ser>
        <c:ser>
          <c:idx val="2"/>
          <c:order val="2"/>
          <c:tx>
            <c:strRef>
              <c:f>Gráficas!$E$303</c:f>
              <c:strCache>
                <c:ptCount val="1"/>
                <c:pt idx="0">
                  <c:v>Trilingual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Gráficas!$B$304:$B$307</c:f>
              <c:strCache>
                <c:ptCount val="4"/>
                <c:pt idx="0">
                  <c:v>Very familiar</c:v>
                </c:pt>
                <c:pt idx="1">
                  <c:v>Somewhat familiar</c:v>
                </c:pt>
                <c:pt idx="2">
                  <c:v>Not too familiar</c:v>
                </c:pt>
                <c:pt idx="3">
                  <c:v>Not familiar at all</c:v>
                </c:pt>
              </c:strCache>
            </c:strRef>
          </c:cat>
          <c:val>
            <c:numRef>
              <c:f>Gráficas!$E$304:$E$307</c:f>
              <c:numCache>
                <c:formatCode>0.00%</c:formatCode>
                <c:ptCount val="4"/>
                <c:pt idx="0">
                  <c:v>0</c:v>
                </c:pt>
                <c:pt idx="1">
                  <c:v>0.29411764705882354</c:v>
                </c:pt>
                <c:pt idx="2">
                  <c:v>0.29411764705882354</c:v>
                </c:pt>
                <c:pt idx="3">
                  <c:v>0.41176470588235292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82-4DC4-ABF2-F17642CA1D09}"/>
            </c:ext>
          </c:extLst>
        </c:ser>
        <c:ser>
          <c:idx val="3"/>
          <c:order val="3"/>
          <c:tx>
            <c:strRef>
              <c:f>Gráficas!$F$303</c:f>
              <c:strCache>
                <c:ptCount val="1"/>
                <c:pt idx="0">
                  <c:v>Multilingual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Gráficas!$B$304:$B$307</c:f>
              <c:strCache>
                <c:ptCount val="4"/>
                <c:pt idx="0">
                  <c:v>Very familiar</c:v>
                </c:pt>
                <c:pt idx="1">
                  <c:v>Somewhat familiar</c:v>
                </c:pt>
                <c:pt idx="2">
                  <c:v>Not too familiar</c:v>
                </c:pt>
                <c:pt idx="3">
                  <c:v>Not familiar at all</c:v>
                </c:pt>
              </c:strCache>
            </c:strRef>
          </c:cat>
          <c:val>
            <c:numRef>
              <c:f>Gráficas!$F$304:$F$307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0.4</c:v>
                </c:pt>
                <c:pt idx="3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82-4DC4-ABF2-F17642CA1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9202384"/>
        <c:axId val="1229204880"/>
      </c:lineChart>
      <c:catAx>
        <c:axId val="122920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Familiarity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204880"/>
        <c:crosses val="autoZero"/>
        <c:auto val="1"/>
        <c:lblAlgn val="ctr"/>
        <c:lblOffset val="100"/>
        <c:noMultiLvlLbl val="0"/>
      </c:catAx>
      <c:valAx>
        <c:axId val="122920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people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20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solidFill>
                  <a:sysClr val="windowText" lastClr="000000"/>
                </a:solidFill>
                <a:effectLst/>
              </a:rPr>
              <a:t>American and British English are both correct by spoken languages</a:t>
            </a:r>
            <a:endParaRPr lang="en-GB" sz="1100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Gráficas!$C$687</c:f>
              <c:strCache>
                <c:ptCount val="1"/>
                <c:pt idx="0">
                  <c:v>Monolingual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Gráficas!$B$688:$B$692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Gráficas!$C$688:$C$692</c:f>
              <c:numCache>
                <c:formatCode>0.00%</c:formatCode>
                <c:ptCount val="5"/>
                <c:pt idx="0">
                  <c:v>0.19565217391304349</c:v>
                </c:pt>
                <c:pt idx="1">
                  <c:v>0.5</c:v>
                </c:pt>
                <c:pt idx="2">
                  <c:v>0.15217391304347827</c:v>
                </c:pt>
                <c:pt idx="3">
                  <c:v>0.15217391304347827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6E-4844-B020-5CF713FEE067}"/>
            </c:ext>
          </c:extLst>
        </c:ser>
        <c:ser>
          <c:idx val="1"/>
          <c:order val="1"/>
          <c:tx>
            <c:strRef>
              <c:f>Gráficas!$D$687</c:f>
              <c:strCache>
                <c:ptCount val="1"/>
                <c:pt idx="0">
                  <c:v>Bilingual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Gráficas!$B$688:$B$692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Gráficas!$D$688:$D$692</c:f>
              <c:numCache>
                <c:formatCode>0.00%</c:formatCode>
                <c:ptCount val="5"/>
                <c:pt idx="0">
                  <c:v>0.56862745098039214</c:v>
                </c:pt>
                <c:pt idx="1">
                  <c:v>0.27450980392156865</c:v>
                </c:pt>
                <c:pt idx="2">
                  <c:v>0.13725490196078433</c:v>
                </c:pt>
                <c:pt idx="3">
                  <c:v>1.9607843137254902E-2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6E-4844-B020-5CF713FEE067}"/>
            </c:ext>
          </c:extLst>
        </c:ser>
        <c:ser>
          <c:idx val="2"/>
          <c:order val="2"/>
          <c:tx>
            <c:strRef>
              <c:f>Gráficas!$E$687</c:f>
              <c:strCache>
                <c:ptCount val="1"/>
                <c:pt idx="0">
                  <c:v>Trilingual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Gráficas!$B$688:$B$692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Gráficas!$E$688:$E$692</c:f>
              <c:numCache>
                <c:formatCode>0.00%</c:formatCode>
                <c:ptCount val="5"/>
                <c:pt idx="0">
                  <c:v>0.47058823529411764</c:v>
                </c:pt>
                <c:pt idx="1">
                  <c:v>0.29411764705882354</c:v>
                </c:pt>
                <c:pt idx="2">
                  <c:v>0.23529411764705882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6E-4844-B020-5CF713FEE067}"/>
            </c:ext>
          </c:extLst>
        </c:ser>
        <c:ser>
          <c:idx val="3"/>
          <c:order val="3"/>
          <c:tx>
            <c:strRef>
              <c:f>Gráficas!$F$687</c:f>
              <c:strCache>
                <c:ptCount val="1"/>
                <c:pt idx="0">
                  <c:v>Multilingual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Gráficas!$B$688:$B$692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Gráficas!$F$688:$F$692</c:f>
              <c:numCache>
                <c:formatCode>0.00%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6E-4844-B020-5CF713FEE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226048"/>
        <c:axId val="1316229376"/>
      </c:lineChart>
      <c:catAx>
        <c:axId val="1316226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Acceptability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229376"/>
        <c:crosses val="autoZero"/>
        <c:auto val="1"/>
        <c:lblAlgn val="ctr"/>
        <c:lblOffset val="100"/>
        <c:noMultiLvlLbl val="0"/>
      </c:catAx>
      <c:valAx>
        <c:axId val="131622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22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solidFill>
                  <a:sysClr val="windowText" lastClr="000000"/>
                </a:solidFill>
                <a:effectLst/>
              </a:rPr>
              <a:t>Would live in India or New Zealand by spoken languages</a:t>
            </a:r>
            <a:endParaRPr lang="en-GB" sz="1100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Gráficas!$C$732</c:f>
              <c:strCache>
                <c:ptCount val="1"/>
                <c:pt idx="0">
                  <c:v>Monolingual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Gráficas!$B$733:$B$737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Gráficas!$C$733:$C$737</c:f>
              <c:numCache>
                <c:formatCode>0.00%</c:formatCode>
                <c:ptCount val="5"/>
                <c:pt idx="0">
                  <c:v>8.6956521739130432E-2</c:v>
                </c:pt>
                <c:pt idx="1">
                  <c:v>0.34782608695652173</c:v>
                </c:pt>
                <c:pt idx="2">
                  <c:v>0.2391304347826087</c:v>
                </c:pt>
                <c:pt idx="3">
                  <c:v>0.21739130434782608</c:v>
                </c:pt>
                <c:pt idx="4">
                  <c:v>0.10869565217391304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87-424E-ADA6-DBDA94CD458F}"/>
            </c:ext>
          </c:extLst>
        </c:ser>
        <c:ser>
          <c:idx val="1"/>
          <c:order val="1"/>
          <c:tx>
            <c:strRef>
              <c:f>Gráficas!$D$732</c:f>
              <c:strCache>
                <c:ptCount val="1"/>
                <c:pt idx="0">
                  <c:v>Bilingual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Gráficas!$B$733:$B$737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Gráficas!$D$733:$D$737</c:f>
              <c:numCache>
                <c:formatCode>0.00%</c:formatCode>
                <c:ptCount val="5"/>
                <c:pt idx="0">
                  <c:v>0.23529411764705882</c:v>
                </c:pt>
                <c:pt idx="1">
                  <c:v>0.29411764705882354</c:v>
                </c:pt>
                <c:pt idx="2">
                  <c:v>0.23529411764705882</c:v>
                </c:pt>
                <c:pt idx="3">
                  <c:v>0.15686274509803921</c:v>
                </c:pt>
                <c:pt idx="4">
                  <c:v>7.8431372549019607E-2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87-424E-ADA6-DBDA94CD458F}"/>
            </c:ext>
          </c:extLst>
        </c:ser>
        <c:ser>
          <c:idx val="2"/>
          <c:order val="2"/>
          <c:tx>
            <c:strRef>
              <c:f>Gráficas!$E$732</c:f>
              <c:strCache>
                <c:ptCount val="1"/>
                <c:pt idx="0">
                  <c:v>Trilingual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Gráficas!$B$733:$B$737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Gráficas!$E$733:$E$737</c:f>
              <c:numCache>
                <c:formatCode>0.00%</c:formatCode>
                <c:ptCount val="5"/>
                <c:pt idx="0">
                  <c:v>0.41176470588235292</c:v>
                </c:pt>
                <c:pt idx="1">
                  <c:v>0.17647058823529413</c:v>
                </c:pt>
                <c:pt idx="2">
                  <c:v>0.23529411764705882</c:v>
                </c:pt>
                <c:pt idx="3">
                  <c:v>0</c:v>
                </c:pt>
                <c:pt idx="4">
                  <c:v>0.17647058823529413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87-424E-ADA6-DBDA94CD458F}"/>
            </c:ext>
          </c:extLst>
        </c:ser>
        <c:ser>
          <c:idx val="3"/>
          <c:order val="3"/>
          <c:tx>
            <c:strRef>
              <c:f>Gráficas!$F$732</c:f>
              <c:strCache>
                <c:ptCount val="1"/>
                <c:pt idx="0">
                  <c:v>Multilingual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Gráficas!$B$733:$B$737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Gráficas!$F$733:$F$737</c:f>
              <c:numCache>
                <c:formatCode>0.00%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87-424E-ADA6-DBDA94CD4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2721680"/>
        <c:axId val="702719184"/>
      </c:lineChart>
      <c:catAx>
        <c:axId val="70272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Opinion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719184"/>
        <c:crosses val="autoZero"/>
        <c:auto val="1"/>
        <c:lblAlgn val="ctr"/>
        <c:lblOffset val="100"/>
        <c:noMultiLvlLbl val="0"/>
      </c:catAx>
      <c:valAx>
        <c:axId val="70271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</a:t>
                </a:r>
                <a:r>
                  <a:rPr lang="en-GB" baseline="0"/>
                  <a:t> people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72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Gráficas!$C$68:$C$71</c:f>
              <c:strCache>
                <c:ptCount val="4"/>
                <c:pt idx="0">
                  <c:v>18-25</c:v>
                </c:pt>
                <c:pt idx="1">
                  <c:v>25-35</c:v>
                </c:pt>
                <c:pt idx="2">
                  <c:v>35-50</c:v>
                </c:pt>
                <c:pt idx="3">
                  <c:v>&gt;50</c:v>
                </c:pt>
              </c:strCache>
            </c:strRef>
          </c:cat>
          <c:val>
            <c:numRef>
              <c:f>Gráficas!$D$68:$D$71</c:f>
              <c:numCache>
                <c:formatCode>General</c:formatCode>
                <c:ptCount val="4"/>
                <c:pt idx="0">
                  <c:v>53</c:v>
                </c:pt>
                <c:pt idx="1">
                  <c:v>12</c:v>
                </c:pt>
                <c:pt idx="2">
                  <c:v>21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CE-41C2-A638-908C4FC90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7658207"/>
        <c:axId val="287666111"/>
        <c:axId val="0"/>
      </c:bar3DChart>
      <c:catAx>
        <c:axId val="287658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66111"/>
        <c:crosses val="autoZero"/>
        <c:auto val="1"/>
        <c:lblAlgn val="ctr"/>
        <c:lblOffset val="100"/>
        <c:noMultiLvlLbl val="0"/>
      </c:catAx>
      <c:valAx>
        <c:axId val="28766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</a:t>
                </a:r>
                <a:r>
                  <a:rPr lang="en-GB"/>
                  <a:t>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5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Languages</a:t>
            </a:r>
            <a:r>
              <a:rPr lang="en-GB" baseline="0"/>
              <a:t> known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44D-49B8-BEE4-E5B3FC396F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44D-49B8-BEE4-E5B3FC396FA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44D-49B8-BEE4-E5B3FC396FA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44D-49B8-BEE4-E5B3FC396FA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Gráficas!$C$83:$C$86</c:f>
              <c:strCache>
                <c:ptCount val="4"/>
                <c:pt idx="0">
                  <c:v>Monolingual</c:v>
                </c:pt>
                <c:pt idx="1">
                  <c:v>Bilingual</c:v>
                </c:pt>
                <c:pt idx="2">
                  <c:v>Trilingual</c:v>
                </c:pt>
                <c:pt idx="3">
                  <c:v>Multilingual</c:v>
                </c:pt>
              </c:strCache>
            </c:strRef>
          </c:cat>
          <c:val>
            <c:numRef>
              <c:f>Gráficas!$D$83:$D$86</c:f>
              <c:numCache>
                <c:formatCode>General</c:formatCode>
                <c:ptCount val="4"/>
                <c:pt idx="0">
                  <c:v>46</c:v>
                </c:pt>
                <c:pt idx="1">
                  <c:v>51</c:v>
                </c:pt>
                <c:pt idx="2">
                  <c:v>17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B4-4E86-A4CF-F8EB99DF8B8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English</a:t>
            </a:r>
            <a:r>
              <a:rPr lang="en-GB" baseline="0"/>
              <a:t> level</a:t>
            </a:r>
            <a:endParaRPr lang="en-GB"/>
          </a:p>
        </c:rich>
      </c:tx>
      <c:layout>
        <c:manualLayout>
          <c:xMode val="edge"/>
          <c:yMode val="edge"/>
          <c:x val="0.38079155730533681"/>
          <c:y val="3.22729368372521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9EF-406B-BF88-DF7A9FE433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9EF-406B-BF88-DF7A9FE4330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9EF-406B-BF88-DF7A9FE4330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9EF-406B-BF88-DF7A9FE4330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9EF-406B-BF88-DF7A9FE4330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Gráficas!$C$100:$C$104</c:f>
              <c:strCache>
                <c:ptCount val="5"/>
                <c:pt idx="0">
                  <c:v>Excellent</c:v>
                </c:pt>
                <c:pt idx="1">
                  <c:v>Very Good</c:v>
                </c:pt>
                <c:pt idx="2">
                  <c:v>Good </c:v>
                </c:pt>
                <c:pt idx="3">
                  <c:v>Average</c:v>
                </c:pt>
                <c:pt idx="4">
                  <c:v>Bad</c:v>
                </c:pt>
              </c:strCache>
            </c:strRef>
          </c:cat>
          <c:val>
            <c:numRef>
              <c:f>Gráficas!$D$100:$D$104</c:f>
              <c:numCache>
                <c:formatCode>General</c:formatCode>
                <c:ptCount val="5"/>
                <c:pt idx="0">
                  <c:v>11</c:v>
                </c:pt>
                <c:pt idx="1">
                  <c:v>23</c:v>
                </c:pt>
                <c:pt idx="2">
                  <c:v>30</c:v>
                </c:pt>
                <c:pt idx="3">
                  <c:v>36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71-4439-8D4C-A4BCFD1722B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Preferred</a:t>
            </a:r>
            <a:r>
              <a:rPr lang="en-GB" baseline="0"/>
              <a:t> accent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094-4C9E-9759-2466F29ECF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094-4C9E-9759-2466F29ECF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094-4C9E-9759-2466F29ECF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094-4C9E-9759-2466F29ECF6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094-4C9E-9759-2466F29ECF6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Gráficas!$C$118:$C$122</c:f>
              <c:strCache>
                <c:ptCount val="5"/>
                <c:pt idx="0">
                  <c:v>British</c:v>
                </c:pt>
                <c:pt idx="1">
                  <c:v>American</c:v>
                </c:pt>
                <c:pt idx="2">
                  <c:v>Mixed</c:v>
                </c:pt>
                <c:pt idx="3">
                  <c:v>Doesn't care</c:v>
                </c:pt>
                <c:pt idx="4">
                  <c:v>Other</c:v>
                </c:pt>
              </c:strCache>
            </c:strRef>
          </c:cat>
          <c:val>
            <c:numRef>
              <c:f>Gráficas!$D$118:$D$122</c:f>
              <c:numCache>
                <c:formatCode>General</c:formatCode>
                <c:ptCount val="5"/>
                <c:pt idx="0">
                  <c:v>25</c:v>
                </c:pt>
                <c:pt idx="1">
                  <c:v>17</c:v>
                </c:pt>
                <c:pt idx="2">
                  <c:v>6</c:v>
                </c:pt>
                <c:pt idx="3">
                  <c:v>59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E-471B-8C5A-CDDA06C038D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ysClr val="windowText" lastClr="000000"/>
                </a:solidFill>
              </a:rPr>
              <a:t>Why study</a:t>
            </a:r>
            <a:r>
              <a:rPr lang="en-GB" sz="1800" b="1" baseline="0">
                <a:solidFill>
                  <a:sysClr val="windowText" lastClr="000000"/>
                </a:solidFill>
              </a:rPr>
              <a:t> foreign languages</a:t>
            </a:r>
            <a:endParaRPr lang="en-GB" sz="1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Gráficas!$C$134:$C$140</c:f>
              <c:strCache>
                <c:ptCount val="7"/>
                <c:pt idx="0">
                  <c:v>Important asset</c:v>
                </c:pt>
                <c:pt idx="1">
                  <c:v>Good grades</c:v>
                </c:pt>
                <c:pt idx="2">
                  <c:v>Communication</c:v>
                </c:pt>
                <c:pt idx="3">
                  <c:v>Media</c:v>
                </c:pt>
                <c:pt idx="4">
                  <c:v>Enjoy learning</c:v>
                </c:pt>
                <c:pt idx="5">
                  <c:v>No choice</c:v>
                </c:pt>
                <c:pt idx="6">
                  <c:v>Other</c:v>
                </c:pt>
              </c:strCache>
            </c:strRef>
          </c:cat>
          <c:val>
            <c:numRef>
              <c:f>Gráficas!$D$134:$D$140</c:f>
              <c:numCache>
                <c:formatCode>General</c:formatCode>
                <c:ptCount val="7"/>
                <c:pt idx="0">
                  <c:v>57</c:v>
                </c:pt>
                <c:pt idx="1">
                  <c:v>1</c:v>
                </c:pt>
                <c:pt idx="2">
                  <c:v>45</c:v>
                </c:pt>
                <c:pt idx="3">
                  <c:v>45</c:v>
                </c:pt>
                <c:pt idx="4">
                  <c:v>29</c:v>
                </c:pt>
                <c:pt idx="5">
                  <c:v>10</c:v>
                </c:pt>
                <c:pt idx="6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C-4D18-AD17-49F5163AC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8739679"/>
        <c:axId val="498738431"/>
        <c:axId val="0"/>
      </c:bar3DChart>
      <c:catAx>
        <c:axId val="498739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Reasons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38431"/>
        <c:crosses val="autoZero"/>
        <c:auto val="1"/>
        <c:lblAlgn val="ctr"/>
        <c:lblOffset val="100"/>
        <c:noMultiLvlLbl val="0"/>
      </c:catAx>
      <c:valAx>
        <c:axId val="49873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39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26" Type="http://schemas.openxmlformats.org/officeDocument/2006/relationships/chart" Target="../charts/chart27.xml"/><Relationship Id="rId39" Type="http://schemas.openxmlformats.org/officeDocument/2006/relationships/chart" Target="../charts/chart40.xml"/><Relationship Id="rId21" Type="http://schemas.openxmlformats.org/officeDocument/2006/relationships/chart" Target="../charts/chart22.xml"/><Relationship Id="rId34" Type="http://schemas.openxmlformats.org/officeDocument/2006/relationships/chart" Target="../charts/chart35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20" Type="http://schemas.openxmlformats.org/officeDocument/2006/relationships/chart" Target="../charts/chart21.xml"/><Relationship Id="rId29" Type="http://schemas.openxmlformats.org/officeDocument/2006/relationships/chart" Target="../charts/chart30.xml"/><Relationship Id="rId41" Type="http://schemas.openxmlformats.org/officeDocument/2006/relationships/chart" Target="../charts/chart42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24" Type="http://schemas.openxmlformats.org/officeDocument/2006/relationships/chart" Target="../charts/chart25.xml"/><Relationship Id="rId32" Type="http://schemas.openxmlformats.org/officeDocument/2006/relationships/chart" Target="../charts/chart33.xml"/><Relationship Id="rId37" Type="http://schemas.openxmlformats.org/officeDocument/2006/relationships/chart" Target="../charts/chart38.xml"/><Relationship Id="rId40" Type="http://schemas.openxmlformats.org/officeDocument/2006/relationships/chart" Target="../charts/chart41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23" Type="http://schemas.openxmlformats.org/officeDocument/2006/relationships/chart" Target="../charts/chart24.xml"/><Relationship Id="rId28" Type="http://schemas.openxmlformats.org/officeDocument/2006/relationships/chart" Target="../charts/chart29.xml"/><Relationship Id="rId36" Type="http://schemas.openxmlformats.org/officeDocument/2006/relationships/chart" Target="../charts/chart37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31" Type="http://schemas.openxmlformats.org/officeDocument/2006/relationships/chart" Target="../charts/chart32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Relationship Id="rId22" Type="http://schemas.openxmlformats.org/officeDocument/2006/relationships/chart" Target="../charts/chart23.xml"/><Relationship Id="rId27" Type="http://schemas.openxmlformats.org/officeDocument/2006/relationships/chart" Target="../charts/chart28.xml"/><Relationship Id="rId30" Type="http://schemas.openxmlformats.org/officeDocument/2006/relationships/chart" Target="../charts/chart31.xml"/><Relationship Id="rId35" Type="http://schemas.openxmlformats.org/officeDocument/2006/relationships/chart" Target="../charts/chart36.xml"/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5" Type="http://schemas.openxmlformats.org/officeDocument/2006/relationships/chart" Target="../charts/chart26.xml"/><Relationship Id="rId33" Type="http://schemas.openxmlformats.org/officeDocument/2006/relationships/chart" Target="../charts/chart34.xml"/><Relationship Id="rId38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1166812</xdr:colOff>
      <xdr:row>123</xdr:row>
      <xdr:rowOff>138112</xdr:rowOff>
    </xdr:from>
    <xdr:to>
      <xdr:col>9</xdr:col>
      <xdr:colOff>576262</xdr:colOff>
      <xdr:row>138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E4D8EA-CC97-4CD2-A009-CE8214DFB4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217170</xdr:colOff>
      <xdr:row>19</xdr:row>
      <xdr:rowOff>87630</xdr:rowOff>
    </xdr:from>
    <xdr:to>
      <xdr:col>12</xdr:col>
      <xdr:colOff>247650</xdr:colOff>
      <xdr:row>33</xdr:row>
      <xdr:rowOff>131445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345E644-6F6E-4177-962B-4F4D7B846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287655</xdr:colOff>
      <xdr:row>2</xdr:row>
      <xdr:rowOff>22860</xdr:rowOff>
    </xdr:from>
    <xdr:to>
      <xdr:col>12</xdr:col>
      <xdr:colOff>318135</xdr:colOff>
      <xdr:row>16</xdr:row>
      <xdr:rowOff>70485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6D7F4FE-0EC4-43C9-B5EE-7FD010ABE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158115</xdr:colOff>
      <xdr:row>38</xdr:row>
      <xdr:rowOff>102870</xdr:rowOff>
    </xdr:from>
    <xdr:to>
      <xdr:col>12</xdr:col>
      <xdr:colOff>188595</xdr:colOff>
      <xdr:row>52</xdr:row>
      <xdr:rowOff>158115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03AE5E4-7550-48C4-B9C4-883D34732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247650</xdr:colOff>
      <xdr:row>60</xdr:row>
      <xdr:rowOff>123825</xdr:rowOff>
    </xdr:from>
    <xdr:to>
      <xdr:col>12</xdr:col>
      <xdr:colOff>278130</xdr:colOff>
      <xdr:row>74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DAB079-D1BD-4F82-B92F-32E73D82E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348615</xdr:colOff>
      <xdr:row>77</xdr:row>
      <xdr:rowOff>140970</xdr:rowOff>
    </xdr:from>
    <xdr:to>
      <xdr:col>12</xdr:col>
      <xdr:colOff>379095</xdr:colOff>
      <xdr:row>92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7E4406-5162-4B49-9CDB-A6449145E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201930</xdr:colOff>
      <xdr:row>95</xdr:row>
      <xdr:rowOff>97155</xdr:rowOff>
    </xdr:from>
    <xdr:to>
      <xdr:col>12</xdr:col>
      <xdr:colOff>232410</xdr:colOff>
      <xdr:row>109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418384-F1B3-4D59-8921-29CEE881E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74295</xdr:colOff>
      <xdr:row>112</xdr:row>
      <xdr:rowOff>182880</xdr:rowOff>
    </xdr:from>
    <xdr:to>
      <xdr:col>12</xdr:col>
      <xdr:colOff>104775</xdr:colOff>
      <xdr:row>127</xdr:row>
      <xdr:rowOff>40005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6EB53D-DA2D-44B8-B660-E6B3A9960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278130</xdr:colOff>
      <xdr:row>129</xdr:row>
      <xdr:rowOff>165735</xdr:rowOff>
    </xdr:from>
    <xdr:to>
      <xdr:col>12</xdr:col>
      <xdr:colOff>57150</xdr:colOff>
      <xdr:row>144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4035529-194E-4CB0-97D8-14FE1F3A8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279082</xdr:colOff>
      <xdr:row>148</xdr:row>
      <xdr:rowOff>134302</xdr:rowOff>
    </xdr:from>
    <xdr:to>
      <xdr:col>12</xdr:col>
      <xdr:colOff>309562</xdr:colOff>
      <xdr:row>162</xdr:row>
      <xdr:rowOff>180022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D08908-0387-4FBF-9581-4B6AA8FD1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127635</xdr:colOff>
      <xdr:row>166</xdr:row>
      <xdr:rowOff>126682</xdr:rowOff>
    </xdr:from>
    <xdr:to>
      <xdr:col>12</xdr:col>
      <xdr:colOff>158115</xdr:colOff>
      <xdr:row>180</xdr:row>
      <xdr:rowOff>183832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2E3E5F-CDFD-41E9-8AE3-9CE8FEB18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720090</xdr:colOff>
      <xdr:row>185</xdr:row>
      <xdr:rowOff>49530</xdr:rowOff>
    </xdr:from>
    <xdr:to>
      <xdr:col>13</xdr:col>
      <xdr:colOff>140970</xdr:colOff>
      <xdr:row>199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97BAEC3-60CD-4998-9AFE-F5D2BC28B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72390</xdr:colOff>
      <xdr:row>311</xdr:row>
      <xdr:rowOff>87630</xdr:rowOff>
    </xdr:from>
    <xdr:to>
      <xdr:col>13</xdr:col>
      <xdr:colOff>116205</xdr:colOff>
      <xdr:row>325</xdr:row>
      <xdr:rowOff>127635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C2E6578-11F4-4C85-93C5-246C660E7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798195</xdr:colOff>
      <xdr:row>331</xdr:row>
      <xdr:rowOff>17145</xdr:rowOff>
    </xdr:from>
    <xdr:to>
      <xdr:col>13</xdr:col>
      <xdr:colOff>544830</xdr:colOff>
      <xdr:row>345</xdr:row>
      <xdr:rowOff>68580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8326C875-9192-40D4-919A-D2BAECDB9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906780</xdr:colOff>
      <xdr:row>352</xdr:row>
      <xdr:rowOff>140970</xdr:rowOff>
    </xdr:from>
    <xdr:to>
      <xdr:col>14</xdr:col>
      <xdr:colOff>49530</xdr:colOff>
      <xdr:row>367</xdr:row>
      <xdr:rowOff>5715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2D85215-98C1-41E8-A11A-AA117EA6E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1062990</xdr:colOff>
      <xdr:row>271</xdr:row>
      <xdr:rowOff>87630</xdr:rowOff>
    </xdr:from>
    <xdr:to>
      <xdr:col>14</xdr:col>
      <xdr:colOff>194310</xdr:colOff>
      <xdr:row>285</xdr:row>
      <xdr:rowOff>129540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3FAD7ECE-6B59-4709-8064-62CF60F8E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466725</xdr:colOff>
      <xdr:row>252</xdr:row>
      <xdr:rowOff>26670</xdr:rowOff>
    </xdr:from>
    <xdr:to>
      <xdr:col>16</xdr:col>
      <xdr:colOff>160020</xdr:colOff>
      <xdr:row>266</xdr:row>
      <xdr:rowOff>78105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D80116D-FD90-4D9A-A2BE-E341DAA3E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38100</xdr:colOff>
      <xdr:row>373</xdr:row>
      <xdr:rowOff>127635</xdr:rowOff>
    </xdr:from>
    <xdr:to>
      <xdr:col>11</xdr:col>
      <xdr:colOff>422910</xdr:colOff>
      <xdr:row>387</xdr:row>
      <xdr:rowOff>182880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A9E7794-B694-419C-B619-BF1738450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811530</xdr:colOff>
      <xdr:row>392</xdr:row>
      <xdr:rowOff>137160</xdr:rowOff>
    </xdr:from>
    <xdr:to>
      <xdr:col>14</xdr:col>
      <xdr:colOff>253365</xdr:colOff>
      <xdr:row>406</xdr:row>
      <xdr:rowOff>188595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6675AEB-7415-495A-95D5-4BCC41B8F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706755</xdr:colOff>
      <xdr:row>411</xdr:row>
      <xdr:rowOff>85725</xdr:rowOff>
    </xdr:from>
    <xdr:to>
      <xdr:col>14</xdr:col>
      <xdr:colOff>146685</xdr:colOff>
      <xdr:row>425</xdr:row>
      <xdr:rowOff>140970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EBE693C9-C0D6-45CB-8A3F-4B1C67CDE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</xdr:col>
      <xdr:colOff>771525</xdr:colOff>
      <xdr:row>429</xdr:row>
      <xdr:rowOff>13335</xdr:rowOff>
    </xdr:from>
    <xdr:to>
      <xdr:col>11</xdr:col>
      <xdr:colOff>255270</xdr:colOff>
      <xdr:row>443</xdr:row>
      <xdr:rowOff>64770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3B6EB8C-33F9-4150-BE5E-2C8F74A31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</xdr:col>
      <xdr:colOff>843915</xdr:colOff>
      <xdr:row>448</xdr:row>
      <xdr:rowOff>177165</xdr:rowOff>
    </xdr:from>
    <xdr:to>
      <xdr:col>11</xdr:col>
      <xdr:colOff>41910</xdr:colOff>
      <xdr:row>463</xdr:row>
      <xdr:rowOff>28575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95C2E68B-B33D-42E6-94A2-190F02832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773430</xdr:colOff>
      <xdr:row>468</xdr:row>
      <xdr:rowOff>87630</xdr:rowOff>
    </xdr:from>
    <xdr:to>
      <xdr:col>13</xdr:col>
      <xdr:colOff>516255</xdr:colOff>
      <xdr:row>482</xdr:row>
      <xdr:rowOff>133350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F84BAE8-4167-4422-AAA2-0CD836147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190500</xdr:colOff>
      <xdr:row>487</xdr:row>
      <xdr:rowOff>133350</xdr:rowOff>
    </xdr:from>
    <xdr:to>
      <xdr:col>14</xdr:col>
      <xdr:colOff>493395</xdr:colOff>
      <xdr:row>501</xdr:row>
      <xdr:rowOff>182880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1B62D1-ACCD-4A35-A893-323996011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727710</xdr:colOff>
      <xdr:row>511</xdr:row>
      <xdr:rowOff>32385</xdr:rowOff>
    </xdr:from>
    <xdr:to>
      <xdr:col>14</xdr:col>
      <xdr:colOff>163830</xdr:colOff>
      <xdr:row>525</xdr:row>
      <xdr:rowOff>64770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D4F5CED2-6C37-4D1C-8145-7FD533B5A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744855</xdr:colOff>
      <xdr:row>529</xdr:row>
      <xdr:rowOff>64770</xdr:rowOff>
    </xdr:from>
    <xdr:to>
      <xdr:col>14</xdr:col>
      <xdr:colOff>186690</xdr:colOff>
      <xdr:row>543</xdr:row>
      <xdr:rowOff>108585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F11B1BA9-B984-45F8-B794-1ED38229C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125730</xdr:colOff>
      <xdr:row>550</xdr:row>
      <xdr:rowOff>3810</xdr:rowOff>
    </xdr:from>
    <xdr:to>
      <xdr:col>11</xdr:col>
      <xdr:colOff>510540</xdr:colOff>
      <xdr:row>564</xdr:row>
      <xdr:rowOff>64770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43C0B3B-16BA-4658-A3E0-F2C97A104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</xdr:col>
      <xdr:colOff>803910</xdr:colOff>
      <xdr:row>567</xdr:row>
      <xdr:rowOff>169545</xdr:rowOff>
    </xdr:from>
    <xdr:to>
      <xdr:col>11</xdr:col>
      <xdr:colOff>293370</xdr:colOff>
      <xdr:row>582</xdr:row>
      <xdr:rowOff>36195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E1E9ABE0-7ABC-4CCB-8DBB-A5EB34F4F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</xdr:col>
      <xdr:colOff>697230</xdr:colOff>
      <xdr:row>585</xdr:row>
      <xdr:rowOff>64770</xdr:rowOff>
    </xdr:from>
    <xdr:to>
      <xdr:col>11</xdr:col>
      <xdr:colOff>188595</xdr:colOff>
      <xdr:row>599</xdr:row>
      <xdr:rowOff>118110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3C1163BB-3D19-4DB1-BF6B-4AD42A298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</xdr:col>
      <xdr:colOff>651510</xdr:colOff>
      <xdr:row>602</xdr:row>
      <xdr:rowOff>160020</xdr:rowOff>
    </xdr:from>
    <xdr:to>
      <xdr:col>11</xdr:col>
      <xdr:colOff>140970</xdr:colOff>
      <xdr:row>617</xdr:row>
      <xdr:rowOff>19050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810C1BEE-9121-4E0C-804B-1D218D307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5</xdr:col>
      <xdr:colOff>11430</xdr:colOff>
      <xdr:row>620</xdr:row>
      <xdr:rowOff>177165</xdr:rowOff>
    </xdr:from>
    <xdr:to>
      <xdr:col>11</xdr:col>
      <xdr:colOff>409575</xdr:colOff>
      <xdr:row>635</xdr:row>
      <xdr:rowOff>36195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619E9C43-DA12-41C4-8F73-194B711E5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4</xdr:col>
      <xdr:colOff>1061085</xdr:colOff>
      <xdr:row>637</xdr:row>
      <xdr:rowOff>169545</xdr:rowOff>
    </xdr:from>
    <xdr:to>
      <xdr:col>11</xdr:col>
      <xdr:colOff>240030</xdr:colOff>
      <xdr:row>652</xdr:row>
      <xdr:rowOff>30480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2FCF5874-37D4-4CA5-B7B9-A4994C277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4</xdr:col>
      <xdr:colOff>1080135</xdr:colOff>
      <xdr:row>654</xdr:row>
      <xdr:rowOff>72390</xdr:rowOff>
    </xdr:from>
    <xdr:to>
      <xdr:col>11</xdr:col>
      <xdr:colOff>262890</xdr:colOff>
      <xdr:row>668</xdr:row>
      <xdr:rowOff>123825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03B66426-3BF2-4E74-86A9-D745C8FEF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14</xdr:col>
      <xdr:colOff>87630</xdr:colOff>
      <xdr:row>676</xdr:row>
      <xdr:rowOff>108585</xdr:rowOff>
    </xdr:from>
    <xdr:to>
      <xdr:col>21</xdr:col>
      <xdr:colOff>396240</xdr:colOff>
      <xdr:row>690</xdr:row>
      <xdr:rowOff>160020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F3622FC-6866-4451-A19C-C412986226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4</xdr:col>
      <xdr:colOff>1099185</xdr:colOff>
      <xdr:row>700</xdr:row>
      <xdr:rowOff>66675</xdr:rowOff>
    </xdr:from>
    <xdr:to>
      <xdr:col>11</xdr:col>
      <xdr:colOff>15240</xdr:colOff>
      <xdr:row>714</xdr:row>
      <xdr:rowOff>116205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CA479DBE-48E8-48C3-84DD-0564DDC1C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14</xdr:col>
      <xdr:colOff>60960</xdr:colOff>
      <xdr:row>721</xdr:row>
      <xdr:rowOff>11430</xdr:rowOff>
    </xdr:from>
    <xdr:to>
      <xdr:col>21</xdr:col>
      <xdr:colOff>350520</xdr:colOff>
      <xdr:row>735</xdr:row>
      <xdr:rowOff>68580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A75BFF3E-AD43-4489-87C8-B24789136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4</xdr:col>
      <xdr:colOff>944880</xdr:colOff>
      <xdr:row>745</xdr:row>
      <xdr:rowOff>72390</xdr:rowOff>
    </xdr:from>
    <xdr:to>
      <xdr:col>10</xdr:col>
      <xdr:colOff>173355</xdr:colOff>
      <xdr:row>759</xdr:row>
      <xdr:rowOff>133350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CE9F0F84-243F-4719-AB6E-D6D8193BB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6</xdr:col>
      <xdr:colOff>480060</xdr:colOff>
      <xdr:row>204</xdr:row>
      <xdr:rowOff>120015</xdr:rowOff>
    </xdr:from>
    <xdr:to>
      <xdr:col>13</xdr:col>
      <xdr:colOff>537210</xdr:colOff>
      <xdr:row>218</xdr:row>
      <xdr:rowOff>175260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19B049CF-5311-4E4B-B38D-F8D8848E8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6</xdr:col>
      <xdr:colOff>605790</xdr:colOff>
      <xdr:row>226</xdr:row>
      <xdr:rowOff>156210</xdr:rowOff>
    </xdr:from>
    <xdr:to>
      <xdr:col>14</xdr:col>
      <xdr:colOff>59055</xdr:colOff>
      <xdr:row>241</xdr:row>
      <xdr:rowOff>28575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349B4F25-7501-40A6-96BB-AA52A307B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6</xdr:col>
      <xdr:colOff>586740</xdr:colOff>
      <xdr:row>292</xdr:row>
      <xdr:rowOff>0</xdr:rowOff>
    </xdr:from>
    <xdr:to>
      <xdr:col>13</xdr:col>
      <xdr:colOff>339090</xdr:colOff>
      <xdr:row>306</xdr:row>
      <xdr:rowOff>53340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CA49525B-221C-4328-884D-EBDC82026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6</xdr:col>
      <xdr:colOff>683895</xdr:colOff>
      <xdr:row>676</xdr:row>
      <xdr:rowOff>5715</xdr:rowOff>
    </xdr:from>
    <xdr:to>
      <xdr:col>13</xdr:col>
      <xdr:colOff>432435</xdr:colOff>
      <xdr:row>690</xdr:row>
      <xdr:rowOff>64770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1DA6ECFA-8CC1-4606-A35A-B89FB3E2C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6</xdr:col>
      <xdr:colOff>478155</xdr:colOff>
      <xdr:row>721</xdr:row>
      <xdr:rowOff>20955</xdr:rowOff>
    </xdr:from>
    <xdr:to>
      <xdr:col>13</xdr:col>
      <xdr:colOff>228600</xdr:colOff>
      <xdr:row>735</xdr:row>
      <xdr:rowOff>72390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72F64129-1188-43A7-8676-B5DCF997F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Z120" totalsRowShown="0" headerRowDxfId="27" dataDxfId="26">
  <autoFilter ref="A1:Z120" xr:uid="{00000000-0009-0000-0100-000001000000}"/>
  <sortState xmlns:xlrd2="http://schemas.microsoft.com/office/spreadsheetml/2017/richdata2" ref="A2:Z120">
    <sortCondition ref="A1:A120"/>
  </sortState>
  <tableColumns count="26">
    <tableColumn id="1" xr3:uid="{00000000-0010-0000-0000-000001000000}" name="ID" dataDxfId="25"/>
    <tableColumn id="8" xr3:uid="{00000000-0010-0000-0000-000008000000}" name="P1" dataDxfId="24"/>
    <tableColumn id="11" xr3:uid="{00000000-0010-0000-0000-00000B000000}" name="P2" dataDxfId="23"/>
    <tableColumn id="14" xr3:uid="{00000000-0010-0000-0000-00000E000000}" name="P3" dataDxfId="22"/>
    <tableColumn id="17" xr3:uid="{00000000-0010-0000-0000-000011000000}" name="P4" dataDxfId="21"/>
    <tableColumn id="20" xr3:uid="{00000000-0010-0000-0000-000014000000}" name="P5" dataDxfId="20"/>
    <tableColumn id="2" xr3:uid="{13D35F8F-989E-4A9C-81A3-006576E6E100}" name="P5.1" dataDxfId="19">
      <calculatedColumnFormula>IF(LEN(TRIM(F2))=0,0,LEN(TRIM(F2))-LEN(SUBSTITUTE(F2," ",""))+1)</calculatedColumnFormula>
    </tableColumn>
    <tableColumn id="23" xr3:uid="{00000000-0010-0000-0000-000017000000}" name="P6" dataDxfId="18"/>
    <tableColumn id="26" xr3:uid="{00000000-0010-0000-0000-00001A000000}" name="P7" dataDxfId="17"/>
    <tableColumn id="29" xr3:uid="{00000000-0010-0000-0000-00001D000000}" name="P8" dataDxfId="16"/>
    <tableColumn id="32" xr3:uid="{00000000-0010-0000-0000-000020000000}" name="P9" dataDxfId="15"/>
    <tableColumn id="4" xr3:uid="{840F0242-CD88-4043-B0F9-EDE5D010B722}" name="P9.5" dataDxfId="14"/>
    <tableColumn id="3" xr3:uid="{88519E0A-942E-46F9-82FA-6DA14697311B}" name="P9.52" dataDxfId="13"/>
    <tableColumn id="35" xr3:uid="{00000000-0010-0000-0000-000023000000}" name="P10" dataDxfId="12"/>
    <tableColumn id="38" xr3:uid="{00000000-0010-0000-0000-000026000000}" name="P11" dataDxfId="11"/>
    <tableColumn id="41" xr3:uid="{00000000-0010-0000-0000-000029000000}" name="P12" dataDxfId="10"/>
    <tableColumn id="44" xr3:uid="{00000000-0010-0000-0000-00002C000000}" name="P13" dataDxfId="9"/>
    <tableColumn id="47" xr3:uid="{00000000-0010-0000-0000-00002F000000}" name="P14" dataDxfId="8"/>
    <tableColumn id="50" xr3:uid="{00000000-0010-0000-0000-000032000000}" name="P15" dataDxfId="7"/>
    <tableColumn id="53" xr3:uid="{00000000-0010-0000-0000-000035000000}" name="P16" dataDxfId="6"/>
    <tableColumn id="56" xr3:uid="{00000000-0010-0000-0000-000038000000}" name="P17" dataDxfId="5"/>
    <tableColumn id="59" xr3:uid="{00000000-0010-0000-0000-00003B000000}" name="P18" dataDxfId="4"/>
    <tableColumn id="62" xr3:uid="{00000000-0010-0000-0000-00003E000000}" name="P19" dataDxfId="3"/>
    <tableColumn id="65" xr3:uid="{00000000-0010-0000-0000-000041000000}" name="P20" dataDxfId="2"/>
    <tableColumn id="68" xr3:uid="{00000000-0010-0000-0000-000044000000}" name="P21" dataDxfId="1"/>
    <tableColumn id="71" xr3:uid="{00000000-0010-0000-0000-000047000000}" name="P2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0"/>
  <sheetViews>
    <sheetView zoomScaleNormal="100" workbookViewId="0">
      <selection activeCell="A2" sqref="A2"/>
    </sheetView>
  </sheetViews>
  <sheetFormatPr defaultRowHeight="15" x14ac:dyDescent="0.25"/>
  <cols>
    <col min="1" max="1" width="13.7109375" style="1" customWidth="1"/>
    <col min="2" max="2" width="20" style="2" bestFit="1" customWidth="1"/>
    <col min="3" max="6" width="20" style="1" bestFit="1" customWidth="1"/>
    <col min="7" max="7" width="20" style="1" customWidth="1"/>
    <col min="8" max="8" width="11" style="1" bestFit="1" customWidth="1"/>
    <col min="9" max="9" width="26.42578125" style="1" customWidth="1"/>
    <col min="10" max="10" width="20" style="1" bestFit="1" customWidth="1"/>
    <col min="11" max="11" width="70.28515625" style="1" customWidth="1"/>
    <col min="12" max="12" width="20.42578125" style="1" customWidth="1"/>
    <col min="13" max="13" width="23.140625" style="1" customWidth="1"/>
    <col min="14" max="25" width="20" style="1" bestFit="1" customWidth="1"/>
    <col min="26" max="26" width="25.140625" style="1" bestFit="1" customWidth="1"/>
    <col min="27" max="16384" width="9.140625" style="1"/>
  </cols>
  <sheetData>
    <row r="1" spans="1:26" x14ac:dyDescent="0.25">
      <c r="A1" s="2" t="s">
        <v>0</v>
      </c>
      <c r="B1" s="2" t="s">
        <v>190</v>
      </c>
      <c r="C1" s="2" t="s">
        <v>191</v>
      </c>
      <c r="D1" s="2" t="s">
        <v>192</v>
      </c>
      <c r="E1" s="2" t="s">
        <v>193</v>
      </c>
      <c r="F1" s="2" t="s">
        <v>194</v>
      </c>
      <c r="G1" s="2" t="s">
        <v>263</v>
      </c>
      <c r="H1" s="2" t="s">
        <v>195</v>
      </c>
      <c r="I1" s="2" t="s">
        <v>196</v>
      </c>
      <c r="J1" s="2" t="s">
        <v>197</v>
      </c>
      <c r="K1" s="2" t="s">
        <v>198</v>
      </c>
      <c r="L1" s="2" t="s">
        <v>266</v>
      </c>
      <c r="M1" s="2" t="s">
        <v>295</v>
      </c>
      <c r="N1" s="2" t="s">
        <v>199</v>
      </c>
      <c r="O1" s="2" t="s">
        <v>200</v>
      </c>
      <c r="P1" s="2" t="s">
        <v>201</v>
      </c>
      <c r="Q1" s="2" t="s">
        <v>202</v>
      </c>
      <c r="R1" s="2" t="s">
        <v>203</v>
      </c>
      <c r="S1" s="2" t="s">
        <v>204</v>
      </c>
      <c r="T1" s="2" t="s">
        <v>205</v>
      </c>
      <c r="U1" s="2" t="s">
        <v>206</v>
      </c>
      <c r="V1" s="2" t="s">
        <v>207</v>
      </c>
      <c r="W1" s="2" t="s">
        <v>208</v>
      </c>
      <c r="X1" s="2" t="s">
        <v>209</v>
      </c>
      <c r="Y1" s="2" t="s">
        <v>210</v>
      </c>
      <c r="Z1" s="2" t="s">
        <v>211</v>
      </c>
    </row>
    <row r="2" spans="1:26" x14ac:dyDescent="0.25">
      <c r="A2" s="1">
        <v>1</v>
      </c>
      <c r="B2" s="3">
        <v>22</v>
      </c>
      <c r="C2" s="2" t="s">
        <v>6</v>
      </c>
      <c r="D2" s="2" t="s">
        <v>290</v>
      </c>
      <c r="E2" s="2" t="s">
        <v>7</v>
      </c>
      <c r="F2" s="2" t="s">
        <v>245</v>
      </c>
      <c r="G2" s="2">
        <f t="shared" ref="G2:G31" si="0">IF(LEN(TRIM(F2))=0,0,LEN(TRIM(F2))-LEN(SUBSTITUTE(F2," ",""))+1)</f>
        <v>3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293</v>
      </c>
      <c r="M2" s="2">
        <v>3</v>
      </c>
      <c r="N2" s="2" t="s">
        <v>12</v>
      </c>
      <c r="O2" s="2" t="s">
        <v>13</v>
      </c>
      <c r="P2" s="2" t="s">
        <v>14</v>
      </c>
      <c r="Q2" s="2" t="s">
        <v>13</v>
      </c>
      <c r="R2" s="2" t="s">
        <v>12</v>
      </c>
      <c r="S2" s="2" t="s">
        <v>13</v>
      </c>
      <c r="T2" s="2" t="s">
        <v>15</v>
      </c>
      <c r="U2" s="2" t="s">
        <v>12</v>
      </c>
      <c r="V2" s="2" t="s">
        <v>12</v>
      </c>
      <c r="W2" s="2" t="s">
        <v>14</v>
      </c>
      <c r="X2" s="2" t="s">
        <v>13</v>
      </c>
      <c r="Y2" s="2" t="s">
        <v>12</v>
      </c>
      <c r="Z2" s="2" t="s">
        <v>15</v>
      </c>
    </row>
    <row r="3" spans="1:26" x14ac:dyDescent="0.25">
      <c r="A3" s="1">
        <v>2</v>
      </c>
      <c r="B3" s="3">
        <v>25</v>
      </c>
      <c r="C3" s="2" t="s">
        <v>6</v>
      </c>
      <c r="D3" s="2" t="s">
        <v>16</v>
      </c>
      <c r="E3" s="2" t="s">
        <v>7</v>
      </c>
      <c r="F3" s="2" t="s">
        <v>246</v>
      </c>
      <c r="G3" s="2">
        <f t="shared" si="0"/>
        <v>2</v>
      </c>
      <c r="H3" s="2" t="s">
        <v>17</v>
      </c>
      <c r="I3" s="2" t="s">
        <v>18</v>
      </c>
      <c r="J3" s="2" t="s">
        <v>19</v>
      </c>
      <c r="K3" s="2" t="s">
        <v>20</v>
      </c>
      <c r="L3" s="2" t="s">
        <v>293</v>
      </c>
      <c r="M3" s="2">
        <v>2</v>
      </c>
      <c r="N3" s="2" t="s">
        <v>15</v>
      </c>
      <c r="O3" s="2" t="s">
        <v>12</v>
      </c>
      <c r="P3" s="2" t="s">
        <v>14</v>
      </c>
      <c r="Q3" s="2" t="s">
        <v>14</v>
      </c>
      <c r="R3" s="2" t="s">
        <v>12</v>
      </c>
      <c r="S3" s="2" t="s">
        <v>13</v>
      </c>
      <c r="T3" s="2" t="s">
        <v>14</v>
      </c>
      <c r="U3" s="2" t="s">
        <v>13</v>
      </c>
      <c r="V3" s="2" t="s">
        <v>13</v>
      </c>
      <c r="W3" s="2" t="s">
        <v>14</v>
      </c>
      <c r="X3" s="2" t="s">
        <v>12</v>
      </c>
      <c r="Y3" s="2" t="s">
        <v>15</v>
      </c>
      <c r="Z3" s="2" t="s">
        <v>14</v>
      </c>
    </row>
    <row r="4" spans="1:26" x14ac:dyDescent="0.25">
      <c r="A4" s="1">
        <v>3</v>
      </c>
      <c r="B4" s="3">
        <v>24</v>
      </c>
      <c r="C4" s="2" t="s">
        <v>6</v>
      </c>
      <c r="D4" s="2" t="s">
        <v>16</v>
      </c>
      <c r="E4" s="2" t="s">
        <v>7</v>
      </c>
      <c r="F4" s="2" t="s">
        <v>247</v>
      </c>
      <c r="G4" s="2">
        <f t="shared" si="0"/>
        <v>3</v>
      </c>
      <c r="H4" s="2" t="s">
        <v>21</v>
      </c>
      <c r="I4" s="2" t="s">
        <v>22</v>
      </c>
      <c r="J4" s="2" t="s">
        <v>19</v>
      </c>
      <c r="K4" s="2" t="s">
        <v>23</v>
      </c>
      <c r="L4" s="2" t="s">
        <v>293</v>
      </c>
      <c r="M4" s="2">
        <v>1</v>
      </c>
      <c r="N4" s="2" t="s">
        <v>24</v>
      </c>
      <c r="O4" s="2" t="s">
        <v>24</v>
      </c>
      <c r="P4" s="2" t="s">
        <v>15</v>
      </c>
      <c r="Q4" s="2" t="s">
        <v>15</v>
      </c>
      <c r="R4" s="2" t="s">
        <v>12</v>
      </c>
      <c r="S4" s="2" t="s">
        <v>24</v>
      </c>
      <c r="T4" s="2" t="s">
        <v>15</v>
      </c>
      <c r="U4" s="2" t="s">
        <v>15</v>
      </c>
      <c r="V4" s="2" t="s">
        <v>15</v>
      </c>
      <c r="W4" s="2" t="s">
        <v>14</v>
      </c>
      <c r="X4" s="2" t="s">
        <v>13</v>
      </c>
      <c r="Y4" s="2" t="s">
        <v>13</v>
      </c>
      <c r="Z4" s="2" t="s">
        <v>15</v>
      </c>
    </row>
    <row r="5" spans="1:26" x14ac:dyDescent="0.25">
      <c r="A5" s="1">
        <v>4</v>
      </c>
      <c r="B5" s="3">
        <v>23</v>
      </c>
      <c r="C5" s="2" t="s">
        <v>6</v>
      </c>
      <c r="D5" s="2" t="s">
        <v>16</v>
      </c>
      <c r="E5" s="2" t="s">
        <v>7</v>
      </c>
      <c r="F5" s="2" t="s">
        <v>246</v>
      </c>
      <c r="G5" s="2">
        <f t="shared" si="0"/>
        <v>2</v>
      </c>
      <c r="H5" s="2" t="s">
        <v>21</v>
      </c>
      <c r="I5" s="2" t="s">
        <v>25</v>
      </c>
      <c r="J5" s="2" t="s">
        <v>26</v>
      </c>
      <c r="K5" s="2" t="s">
        <v>27</v>
      </c>
      <c r="L5" s="2" t="s">
        <v>293</v>
      </c>
      <c r="M5" s="2">
        <v>3</v>
      </c>
      <c r="N5" s="2" t="s">
        <v>24</v>
      </c>
      <c r="O5" s="2" t="s">
        <v>15</v>
      </c>
      <c r="P5" s="2" t="s">
        <v>15</v>
      </c>
      <c r="Q5" s="2" t="s">
        <v>15</v>
      </c>
      <c r="R5" s="2" t="s">
        <v>13</v>
      </c>
      <c r="S5" s="2" t="s">
        <v>12</v>
      </c>
      <c r="T5" s="2" t="s">
        <v>24</v>
      </c>
      <c r="U5" s="2" t="s">
        <v>13</v>
      </c>
      <c r="V5" s="2" t="s">
        <v>13</v>
      </c>
      <c r="W5" s="2" t="s">
        <v>13</v>
      </c>
      <c r="X5" s="2" t="s">
        <v>12</v>
      </c>
      <c r="Y5" s="2" t="s">
        <v>14</v>
      </c>
      <c r="Z5" s="2" t="s">
        <v>14</v>
      </c>
    </row>
    <row r="6" spans="1:26" x14ac:dyDescent="0.25">
      <c r="A6" s="1">
        <v>5</v>
      </c>
      <c r="B6" s="3">
        <v>25</v>
      </c>
      <c r="C6" s="2" t="s">
        <v>6</v>
      </c>
      <c r="D6" s="2" t="s">
        <v>16</v>
      </c>
      <c r="E6" s="2" t="s">
        <v>7</v>
      </c>
      <c r="F6" s="2" t="s">
        <v>246</v>
      </c>
      <c r="G6" s="2">
        <f t="shared" si="0"/>
        <v>2</v>
      </c>
      <c r="H6" s="2" t="s">
        <v>8</v>
      </c>
      <c r="I6" s="2" t="s">
        <v>9</v>
      </c>
      <c r="J6" s="2" t="s">
        <v>19</v>
      </c>
      <c r="K6" s="2" t="s">
        <v>28</v>
      </c>
      <c r="L6" s="2" t="s">
        <v>293</v>
      </c>
      <c r="M6" s="2">
        <v>2</v>
      </c>
      <c r="N6" s="2" t="s">
        <v>15</v>
      </c>
      <c r="O6" s="2" t="s">
        <v>24</v>
      </c>
      <c r="P6" s="2" t="s">
        <v>24</v>
      </c>
      <c r="Q6" s="2" t="s">
        <v>24</v>
      </c>
      <c r="R6" s="2" t="s">
        <v>12</v>
      </c>
      <c r="S6" s="2" t="s">
        <v>13</v>
      </c>
      <c r="T6" s="2" t="s">
        <v>24</v>
      </c>
      <c r="U6" s="2" t="s">
        <v>15</v>
      </c>
      <c r="V6" s="2" t="s">
        <v>24</v>
      </c>
      <c r="W6" s="2" t="s">
        <v>24</v>
      </c>
      <c r="X6" s="2" t="s">
        <v>12</v>
      </c>
      <c r="Y6" s="2" t="s">
        <v>24</v>
      </c>
      <c r="Z6" s="2" t="s">
        <v>14</v>
      </c>
    </row>
    <row r="7" spans="1:26" x14ac:dyDescent="0.25">
      <c r="A7" s="1">
        <v>6</v>
      </c>
      <c r="B7" s="3">
        <v>24</v>
      </c>
      <c r="C7" s="2" t="s">
        <v>6</v>
      </c>
      <c r="D7" s="2" t="s">
        <v>16</v>
      </c>
      <c r="E7" s="2" t="s">
        <v>7</v>
      </c>
      <c r="F7" s="2" t="s">
        <v>246</v>
      </c>
      <c r="G7" s="2">
        <f t="shared" si="0"/>
        <v>2</v>
      </c>
      <c r="H7" s="2" t="s">
        <v>17</v>
      </c>
      <c r="I7" s="2" t="s">
        <v>29</v>
      </c>
      <c r="J7" s="2" t="s">
        <v>19</v>
      </c>
      <c r="K7" s="2" t="s">
        <v>30</v>
      </c>
      <c r="L7" s="2" t="s">
        <v>293</v>
      </c>
      <c r="M7" s="2">
        <v>2</v>
      </c>
      <c r="N7" s="2" t="s">
        <v>13</v>
      </c>
      <c r="O7" s="2" t="s">
        <v>24</v>
      </c>
      <c r="P7" s="2" t="s">
        <v>15</v>
      </c>
      <c r="Q7" s="2" t="s">
        <v>24</v>
      </c>
      <c r="R7" s="2" t="s">
        <v>13</v>
      </c>
      <c r="S7" s="2" t="s">
        <v>13</v>
      </c>
      <c r="T7" s="2" t="s">
        <v>24</v>
      </c>
      <c r="U7" s="2" t="s">
        <v>24</v>
      </c>
      <c r="V7" s="2" t="s">
        <v>12</v>
      </c>
      <c r="W7" s="2" t="s">
        <v>12</v>
      </c>
      <c r="X7" s="2" t="s">
        <v>13</v>
      </c>
      <c r="Y7" s="2" t="s">
        <v>13</v>
      </c>
      <c r="Z7" s="2" t="s">
        <v>14</v>
      </c>
    </row>
    <row r="8" spans="1:26" x14ac:dyDescent="0.25">
      <c r="A8" s="1">
        <v>7</v>
      </c>
      <c r="B8" s="3">
        <v>24</v>
      </c>
      <c r="C8" s="2" t="s">
        <v>6</v>
      </c>
      <c r="D8" s="2" t="s">
        <v>16</v>
      </c>
      <c r="E8" s="2" t="s">
        <v>7</v>
      </c>
      <c r="F8" s="2" t="s">
        <v>31</v>
      </c>
      <c r="G8" s="2">
        <f t="shared" si="0"/>
        <v>1</v>
      </c>
      <c r="H8" s="2" t="s">
        <v>32</v>
      </c>
      <c r="I8" s="2" t="s">
        <v>33</v>
      </c>
      <c r="J8" s="2" t="s">
        <v>19</v>
      </c>
      <c r="K8" s="2" t="s">
        <v>34</v>
      </c>
      <c r="L8" s="2" t="s">
        <v>294</v>
      </c>
      <c r="M8" s="2">
        <v>2</v>
      </c>
      <c r="N8" s="2" t="s">
        <v>13</v>
      </c>
      <c r="O8" s="2" t="s">
        <v>12</v>
      </c>
      <c r="P8" s="2" t="s">
        <v>24</v>
      </c>
      <c r="Q8" s="2" t="s">
        <v>24</v>
      </c>
      <c r="R8" s="2" t="s">
        <v>24</v>
      </c>
      <c r="S8" s="2" t="s">
        <v>24</v>
      </c>
      <c r="T8" s="2" t="s">
        <v>15</v>
      </c>
      <c r="U8" s="2" t="s">
        <v>13</v>
      </c>
      <c r="V8" s="2" t="s">
        <v>13</v>
      </c>
      <c r="W8" s="2" t="s">
        <v>24</v>
      </c>
      <c r="X8" s="2" t="s">
        <v>24</v>
      </c>
      <c r="Y8" s="2" t="s">
        <v>24</v>
      </c>
      <c r="Z8" s="2" t="s">
        <v>13</v>
      </c>
    </row>
    <row r="9" spans="1:26" x14ac:dyDescent="0.25">
      <c r="A9" s="1">
        <v>8</v>
      </c>
      <c r="B9" s="3">
        <v>25</v>
      </c>
      <c r="C9" s="2" t="s">
        <v>6</v>
      </c>
      <c r="D9" s="2" t="s">
        <v>290</v>
      </c>
      <c r="E9" s="2" t="s">
        <v>7</v>
      </c>
      <c r="F9" s="2" t="s">
        <v>31</v>
      </c>
      <c r="G9" s="2">
        <f t="shared" si="0"/>
        <v>1</v>
      </c>
      <c r="H9" s="2" t="s">
        <v>32</v>
      </c>
      <c r="I9" s="2" t="s">
        <v>35</v>
      </c>
      <c r="J9" s="2" t="s">
        <v>19</v>
      </c>
      <c r="K9" s="2" t="s">
        <v>36</v>
      </c>
      <c r="L9" s="2" t="s">
        <v>293</v>
      </c>
      <c r="M9" s="2">
        <v>2</v>
      </c>
      <c r="N9" s="2" t="s">
        <v>24</v>
      </c>
      <c r="O9" s="2" t="s">
        <v>13</v>
      </c>
      <c r="P9" s="2" t="s">
        <v>13</v>
      </c>
      <c r="Q9" s="2" t="s">
        <v>24</v>
      </c>
      <c r="R9" s="2" t="s">
        <v>24</v>
      </c>
      <c r="S9" s="2" t="s">
        <v>15</v>
      </c>
      <c r="T9" s="2" t="s">
        <v>24</v>
      </c>
      <c r="U9" s="2" t="s">
        <v>24</v>
      </c>
      <c r="V9" s="2" t="s">
        <v>13</v>
      </c>
      <c r="W9" s="2" t="s">
        <v>24</v>
      </c>
      <c r="X9" s="2" t="s">
        <v>13</v>
      </c>
      <c r="Y9" s="2" t="s">
        <v>24</v>
      </c>
      <c r="Z9" s="2" t="s">
        <v>15</v>
      </c>
    </row>
    <row r="10" spans="1:26" x14ac:dyDescent="0.25">
      <c r="A10" s="1">
        <v>9</v>
      </c>
      <c r="B10" s="3">
        <v>22</v>
      </c>
      <c r="C10" s="2" t="s">
        <v>6</v>
      </c>
      <c r="D10" s="2" t="s">
        <v>290</v>
      </c>
      <c r="E10" s="2" t="s">
        <v>7</v>
      </c>
      <c r="F10" s="2" t="s">
        <v>245</v>
      </c>
      <c r="G10" s="2">
        <f t="shared" si="0"/>
        <v>3</v>
      </c>
      <c r="H10" s="2" t="s">
        <v>21</v>
      </c>
      <c r="I10" s="2" t="s">
        <v>37</v>
      </c>
      <c r="J10" s="2" t="s">
        <v>10</v>
      </c>
      <c r="K10" s="2" t="s">
        <v>38</v>
      </c>
      <c r="L10" s="2" t="s">
        <v>293</v>
      </c>
      <c r="M10" s="2">
        <v>3</v>
      </c>
      <c r="N10" s="2" t="s">
        <v>24</v>
      </c>
      <c r="O10" s="2" t="s">
        <v>12</v>
      </c>
      <c r="P10" s="2" t="s">
        <v>24</v>
      </c>
      <c r="Q10" s="2" t="s">
        <v>13</v>
      </c>
      <c r="R10" s="2" t="s">
        <v>12</v>
      </c>
      <c r="S10" s="2" t="s">
        <v>12</v>
      </c>
      <c r="T10" s="2" t="s">
        <v>24</v>
      </c>
      <c r="U10" s="2" t="s">
        <v>13</v>
      </c>
      <c r="V10" s="2" t="s">
        <v>12</v>
      </c>
      <c r="W10" s="2" t="s">
        <v>12</v>
      </c>
      <c r="X10" s="2" t="s">
        <v>12</v>
      </c>
      <c r="Y10" s="2" t="s">
        <v>13</v>
      </c>
      <c r="Z10" s="2" t="s">
        <v>14</v>
      </c>
    </row>
    <row r="11" spans="1:26" x14ac:dyDescent="0.25">
      <c r="A11" s="1">
        <v>11</v>
      </c>
      <c r="B11" s="3">
        <v>20</v>
      </c>
      <c r="C11" s="2" t="s">
        <v>6</v>
      </c>
      <c r="D11" s="2" t="s">
        <v>16</v>
      </c>
      <c r="E11" s="2" t="s">
        <v>7</v>
      </c>
      <c r="F11" s="2" t="s">
        <v>246</v>
      </c>
      <c r="G11" s="2">
        <f t="shared" si="0"/>
        <v>2</v>
      </c>
      <c r="H11" s="2" t="s">
        <v>21</v>
      </c>
      <c r="I11" s="2" t="s">
        <v>41</v>
      </c>
      <c r="J11" s="2" t="s">
        <v>26</v>
      </c>
      <c r="K11" s="2" t="s">
        <v>42</v>
      </c>
      <c r="L11" s="2" t="s">
        <v>294</v>
      </c>
      <c r="M11" s="2">
        <v>2</v>
      </c>
      <c r="N11" s="2" t="s">
        <v>24</v>
      </c>
      <c r="O11" s="2" t="s">
        <v>13</v>
      </c>
      <c r="P11" s="2" t="s">
        <v>24</v>
      </c>
      <c r="Q11" s="2" t="s">
        <v>24</v>
      </c>
      <c r="R11" s="2" t="s">
        <v>12</v>
      </c>
      <c r="S11" s="2" t="s">
        <v>13</v>
      </c>
      <c r="T11" s="2" t="s">
        <v>13</v>
      </c>
      <c r="U11" s="2" t="s">
        <v>13</v>
      </c>
      <c r="V11" s="2" t="s">
        <v>13</v>
      </c>
      <c r="W11" s="2" t="s">
        <v>24</v>
      </c>
      <c r="X11" s="2" t="s">
        <v>13</v>
      </c>
      <c r="Y11" s="2" t="s">
        <v>13</v>
      </c>
      <c r="Z11" s="2" t="s">
        <v>15</v>
      </c>
    </row>
    <row r="12" spans="1:26" x14ac:dyDescent="0.25">
      <c r="A12" s="1">
        <v>12</v>
      </c>
      <c r="B12" s="2">
        <v>20</v>
      </c>
      <c r="C12" s="2" t="s">
        <v>43</v>
      </c>
      <c r="D12" s="2" t="s">
        <v>290</v>
      </c>
      <c r="E12" s="2" t="s">
        <v>7</v>
      </c>
      <c r="F12" s="2" t="s">
        <v>248</v>
      </c>
      <c r="G12" s="2">
        <f t="shared" si="0"/>
        <v>2</v>
      </c>
      <c r="H12" s="2" t="s">
        <v>21</v>
      </c>
      <c r="I12" s="2" t="s">
        <v>35</v>
      </c>
      <c r="J12" s="2" t="s">
        <v>44</v>
      </c>
      <c r="K12" s="2" t="s">
        <v>45</v>
      </c>
      <c r="L12" s="2" t="s">
        <v>294</v>
      </c>
      <c r="M12" s="2">
        <v>0</v>
      </c>
      <c r="N12" s="2" t="s">
        <v>12</v>
      </c>
      <c r="O12" s="2" t="s">
        <v>12</v>
      </c>
      <c r="P12" s="2" t="s">
        <v>24</v>
      </c>
      <c r="Q12" s="2" t="s">
        <v>13</v>
      </c>
      <c r="R12" s="2" t="s">
        <v>13</v>
      </c>
      <c r="S12" s="2" t="s">
        <v>24</v>
      </c>
      <c r="T12" s="2" t="s">
        <v>15</v>
      </c>
      <c r="U12" s="2" t="s">
        <v>12</v>
      </c>
      <c r="V12" s="2" t="s">
        <v>12</v>
      </c>
      <c r="W12" s="2" t="s">
        <v>12</v>
      </c>
      <c r="X12" s="2" t="s">
        <v>24</v>
      </c>
      <c r="Y12" s="2" t="s">
        <v>13</v>
      </c>
      <c r="Z12" s="2" t="s">
        <v>24</v>
      </c>
    </row>
    <row r="13" spans="1:26" x14ac:dyDescent="0.25">
      <c r="A13" s="1">
        <v>13</v>
      </c>
      <c r="B13" s="3">
        <v>19</v>
      </c>
      <c r="C13" s="2" t="s">
        <v>6</v>
      </c>
      <c r="D13" s="2" t="s">
        <v>16</v>
      </c>
      <c r="E13" s="2" t="s">
        <v>7</v>
      </c>
      <c r="F13" s="2" t="s">
        <v>246</v>
      </c>
      <c r="G13" s="2">
        <f t="shared" si="0"/>
        <v>2</v>
      </c>
      <c r="H13" s="2" t="s">
        <v>17</v>
      </c>
      <c r="I13" s="2" t="s">
        <v>46</v>
      </c>
      <c r="J13" s="2" t="s">
        <v>26</v>
      </c>
      <c r="K13" s="2" t="s">
        <v>47</v>
      </c>
      <c r="L13" s="2" t="s">
        <v>293</v>
      </c>
      <c r="M13" s="2">
        <v>1</v>
      </c>
      <c r="N13" s="2" t="s">
        <v>15</v>
      </c>
      <c r="O13" s="2" t="s">
        <v>24</v>
      </c>
      <c r="P13" s="2" t="s">
        <v>15</v>
      </c>
      <c r="Q13" s="2" t="s">
        <v>13</v>
      </c>
      <c r="R13" s="2" t="s">
        <v>12</v>
      </c>
      <c r="S13" s="2" t="s">
        <v>13</v>
      </c>
      <c r="T13" s="2" t="s">
        <v>24</v>
      </c>
      <c r="U13" s="2" t="s">
        <v>13</v>
      </c>
      <c r="V13" s="2" t="s">
        <v>12</v>
      </c>
      <c r="W13" s="2" t="s">
        <v>24</v>
      </c>
      <c r="X13" s="2" t="s">
        <v>13</v>
      </c>
      <c r="Y13" s="2" t="s">
        <v>15</v>
      </c>
      <c r="Z13" s="2" t="s">
        <v>14</v>
      </c>
    </row>
    <row r="14" spans="1:26" x14ac:dyDescent="0.25">
      <c r="A14" s="1">
        <v>14</v>
      </c>
      <c r="B14" s="3">
        <v>19</v>
      </c>
      <c r="C14" s="2" t="s">
        <v>6</v>
      </c>
      <c r="D14" s="2" t="s">
        <v>290</v>
      </c>
      <c r="E14" s="2" t="s">
        <v>7</v>
      </c>
      <c r="F14" s="2" t="s">
        <v>31</v>
      </c>
      <c r="G14" s="2">
        <f t="shared" si="0"/>
        <v>1</v>
      </c>
      <c r="H14" s="2" t="s">
        <v>21</v>
      </c>
      <c r="I14" s="2" t="s">
        <v>48</v>
      </c>
      <c r="J14" s="2" t="s">
        <v>26</v>
      </c>
      <c r="K14" s="2" t="s">
        <v>49</v>
      </c>
      <c r="L14" s="2" t="s">
        <v>294</v>
      </c>
      <c r="M14" s="2">
        <v>0</v>
      </c>
      <c r="N14" s="2" t="s">
        <v>12</v>
      </c>
      <c r="O14" s="2" t="s">
        <v>12</v>
      </c>
      <c r="P14" s="2" t="s">
        <v>24</v>
      </c>
      <c r="Q14" s="2" t="s">
        <v>24</v>
      </c>
      <c r="R14" s="2" t="s">
        <v>12</v>
      </c>
      <c r="S14" s="2" t="s">
        <v>13</v>
      </c>
      <c r="T14" s="2" t="s">
        <v>24</v>
      </c>
      <c r="U14" s="2" t="s">
        <v>12</v>
      </c>
      <c r="V14" s="2" t="s">
        <v>12</v>
      </c>
      <c r="W14" s="2" t="s">
        <v>12</v>
      </c>
      <c r="X14" s="2" t="s">
        <v>24</v>
      </c>
      <c r="Y14" s="2" t="s">
        <v>12</v>
      </c>
      <c r="Z14" s="2" t="s">
        <v>14</v>
      </c>
    </row>
    <row r="15" spans="1:26" x14ac:dyDescent="0.25">
      <c r="A15" s="1">
        <v>15</v>
      </c>
      <c r="B15" s="3">
        <v>52</v>
      </c>
      <c r="C15" s="2" t="s">
        <v>6</v>
      </c>
      <c r="D15" s="2" t="s">
        <v>290</v>
      </c>
      <c r="E15" s="2" t="s">
        <v>7</v>
      </c>
      <c r="F15" s="2" t="s">
        <v>31</v>
      </c>
      <c r="G15" s="2">
        <f t="shared" si="0"/>
        <v>1</v>
      </c>
      <c r="H15" s="2" t="s">
        <v>50</v>
      </c>
      <c r="I15" s="2" t="s">
        <v>48</v>
      </c>
      <c r="J15" s="2" t="s">
        <v>19</v>
      </c>
      <c r="K15" s="2" t="s">
        <v>51</v>
      </c>
      <c r="L15" s="2" t="s">
        <v>293</v>
      </c>
      <c r="M15" s="2">
        <v>0</v>
      </c>
      <c r="N15" s="2" t="s">
        <v>24</v>
      </c>
      <c r="O15" s="2" t="s">
        <v>13</v>
      </c>
      <c r="P15" s="2" t="s">
        <v>13</v>
      </c>
      <c r="Q15" s="2" t="s">
        <v>13</v>
      </c>
      <c r="R15" s="2" t="s">
        <v>13</v>
      </c>
      <c r="S15" s="2" t="s">
        <v>24</v>
      </c>
      <c r="T15" s="2" t="s">
        <v>15</v>
      </c>
      <c r="U15" s="2" t="s">
        <v>24</v>
      </c>
      <c r="V15" s="2" t="s">
        <v>13</v>
      </c>
      <c r="W15" s="2" t="s">
        <v>24</v>
      </c>
      <c r="X15" s="2" t="s">
        <v>13</v>
      </c>
      <c r="Y15" s="2" t="s">
        <v>13</v>
      </c>
      <c r="Z15" s="2" t="s">
        <v>15</v>
      </c>
    </row>
    <row r="16" spans="1:26" x14ac:dyDescent="0.25">
      <c r="A16" s="1">
        <v>16</v>
      </c>
      <c r="B16" s="3">
        <v>19</v>
      </c>
      <c r="C16" s="2" t="s">
        <v>6</v>
      </c>
      <c r="D16" s="2" t="s">
        <v>16</v>
      </c>
      <c r="E16" s="2" t="s">
        <v>7</v>
      </c>
      <c r="F16" s="2" t="s">
        <v>31</v>
      </c>
      <c r="G16" s="2">
        <f t="shared" si="0"/>
        <v>1</v>
      </c>
      <c r="H16" s="2" t="s">
        <v>32</v>
      </c>
      <c r="I16" s="2" t="s">
        <v>35</v>
      </c>
      <c r="J16" s="2" t="s">
        <v>19</v>
      </c>
      <c r="K16" s="2" t="s">
        <v>52</v>
      </c>
      <c r="L16" s="2" t="s">
        <v>293</v>
      </c>
      <c r="M16" s="2">
        <v>1</v>
      </c>
      <c r="N16" s="2" t="s">
        <v>24</v>
      </c>
      <c r="O16" s="2" t="s">
        <v>24</v>
      </c>
      <c r="P16" s="2" t="s">
        <v>24</v>
      </c>
      <c r="Q16" s="2" t="s">
        <v>24</v>
      </c>
      <c r="R16" s="2" t="s">
        <v>13</v>
      </c>
      <c r="S16" s="2" t="s">
        <v>13</v>
      </c>
      <c r="T16" s="2" t="s">
        <v>24</v>
      </c>
      <c r="U16" s="2" t="s">
        <v>13</v>
      </c>
      <c r="V16" s="2" t="s">
        <v>13</v>
      </c>
      <c r="W16" s="2" t="s">
        <v>24</v>
      </c>
      <c r="X16" s="2" t="s">
        <v>12</v>
      </c>
      <c r="Y16" s="2" t="s">
        <v>24</v>
      </c>
      <c r="Z16" s="2" t="s">
        <v>15</v>
      </c>
    </row>
    <row r="17" spans="1:26" x14ac:dyDescent="0.25">
      <c r="A17" s="1">
        <v>17</v>
      </c>
      <c r="B17" s="3">
        <v>56</v>
      </c>
      <c r="C17" s="2" t="s">
        <v>43</v>
      </c>
      <c r="D17" s="2" t="s">
        <v>290</v>
      </c>
      <c r="E17" s="2" t="s">
        <v>7</v>
      </c>
      <c r="F17" s="2" t="s">
        <v>31</v>
      </c>
      <c r="G17" s="2">
        <f t="shared" si="0"/>
        <v>1</v>
      </c>
      <c r="H17" s="2" t="s">
        <v>32</v>
      </c>
      <c r="I17" s="2" t="s">
        <v>53</v>
      </c>
      <c r="J17" s="2" t="s">
        <v>44</v>
      </c>
      <c r="K17" s="2" t="s">
        <v>54</v>
      </c>
      <c r="L17" s="2" t="s">
        <v>293</v>
      </c>
      <c r="M17" s="2">
        <v>1</v>
      </c>
      <c r="N17" s="2" t="s">
        <v>12</v>
      </c>
      <c r="O17" s="2" t="s">
        <v>13</v>
      </c>
      <c r="P17" s="2" t="s">
        <v>12</v>
      </c>
      <c r="Q17" s="2" t="s">
        <v>24</v>
      </c>
      <c r="R17" s="2" t="s">
        <v>13</v>
      </c>
      <c r="S17" s="2" t="s">
        <v>24</v>
      </c>
      <c r="T17" s="2" t="s">
        <v>24</v>
      </c>
      <c r="U17" s="2" t="s">
        <v>13</v>
      </c>
      <c r="V17" s="2" t="s">
        <v>13</v>
      </c>
      <c r="W17" s="2" t="s">
        <v>24</v>
      </c>
      <c r="X17" s="2" t="s">
        <v>24</v>
      </c>
      <c r="Y17" s="2" t="s">
        <v>13</v>
      </c>
      <c r="Z17" s="2" t="s">
        <v>13</v>
      </c>
    </row>
    <row r="18" spans="1:26" x14ac:dyDescent="0.25">
      <c r="A18" s="1">
        <v>18</v>
      </c>
      <c r="B18" s="3">
        <v>22</v>
      </c>
      <c r="C18" s="2" t="s">
        <v>6</v>
      </c>
      <c r="D18" s="2" t="s">
        <v>290</v>
      </c>
      <c r="E18" s="2" t="s">
        <v>7</v>
      </c>
      <c r="F18" s="2" t="s">
        <v>246</v>
      </c>
      <c r="G18" s="2">
        <f t="shared" si="0"/>
        <v>2</v>
      </c>
      <c r="H18" s="2" t="s">
        <v>21</v>
      </c>
      <c r="I18" s="2" t="s">
        <v>55</v>
      </c>
      <c r="J18" s="2" t="s">
        <v>10</v>
      </c>
      <c r="K18" s="2" t="s">
        <v>56</v>
      </c>
      <c r="L18" s="2" t="s">
        <v>294</v>
      </c>
      <c r="M18" s="2">
        <v>1</v>
      </c>
      <c r="N18" s="2" t="s">
        <v>24</v>
      </c>
      <c r="O18" s="2" t="s">
        <v>24</v>
      </c>
      <c r="P18" s="2" t="s">
        <v>15</v>
      </c>
      <c r="Q18" s="2" t="s">
        <v>24</v>
      </c>
      <c r="R18" s="2" t="s">
        <v>12</v>
      </c>
      <c r="S18" s="2" t="s">
        <v>24</v>
      </c>
      <c r="T18" s="2" t="s">
        <v>24</v>
      </c>
      <c r="U18" s="2" t="s">
        <v>13</v>
      </c>
      <c r="V18" s="2" t="s">
        <v>12</v>
      </c>
      <c r="W18" s="2" t="s">
        <v>24</v>
      </c>
      <c r="X18" s="2" t="s">
        <v>13</v>
      </c>
      <c r="Y18" s="2" t="s">
        <v>13</v>
      </c>
      <c r="Z18" s="2" t="s">
        <v>14</v>
      </c>
    </row>
    <row r="19" spans="1:26" x14ac:dyDescent="0.25">
      <c r="A19" s="1">
        <v>19</v>
      </c>
      <c r="B19" s="3">
        <v>20</v>
      </c>
      <c r="C19" s="2" t="s">
        <v>6</v>
      </c>
      <c r="D19" s="2" t="s">
        <v>16</v>
      </c>
      <c r="E19" s="2" t="s">
        <v>7</v>
      </c>
      <c r="F19" s="2" t="s">
        <v>31</v>
      </c>
      <c r="G19" s="2">
        <f t="shared" si="0"/>
        <v>1</v>
      </c>
      <c r="H19" s="2" t="s">
        <v>32</v>
      </c>
      <c r="I19" s="2" t="s">
        <v>35</v>
      </c>
      <c r="J19" s="2" t="s">
        <v>19</v>
      </c>
      <c r="K19" s="2" t="s">
        <v>57</v>
      </c>
      <c r="L19" s="2" t="s">
        <v>294</v>
      </c>
      <c r="M19" s="2">
        <v>2</v>
      </c>
      <c r="N19" s="2" t="s">
        <v>13</v>
      </c>
      <c r="O19" s="2" t="s">
        <v>24</v>
      </c>
      <c r="P19" s="2" t="s">
        <v>24</v>
      </c>
      <c r="Q19" s="2" t="s">
        <v>24</v>
      </c>
      <c r="R19" s="2" t="s">
        <v>13</v>
      </c>
      <c r="S19" s="2" t="s">
        <v>13</v>
      </c>
      <c r="T19" s="2" t="s">
        <v>24</v>
      </c>
      <c r="U19" s="2" t="s">
        <v>13</v>
      </c>
      <c r="V19" s="2" t="s">
        <v>13</v>
      </c>
      <c r="W19" s="2" t="s">
        <v>13</v>
      </c>
      <c r="X19" s="2" t="s">
        <v>13</v>
      </c>
      <c r="Y19" s="2" t="s">
        <v>13</v>
      </c>
      <c r="Z19" s="2" t="s">
        <v>14</v>
      </c>
    </row>
    <row r="20" spans="1:26" x14ac:dyDescent="0.25">
      <c r="A20" s="1">
        <v>20</v>
      </c>
      <c r="B20" s="3">
        <v>53</v>
      </c>
      <c r="C20" s="2" t="s">
        <v>6</v>
      </c>
      <c r="D20" s="2" t="s">
        <v>290</v>
      </c>
      <c r="E20" s="2" t="s">
        <v>39</v>
      </c>
      <c r="F20" s="2" t="s">
        <v>31</v>
      </c>
      <c r="G20" s="2">
        <f t="shared" si="0"/>
        <v>1</v>
      </c>
      <c r="H20" s="2" t="s">
        <v>50</v>
      </c>
      <c r="I20" s="2" t="s">
        <v>58</v>
      </c>
      <c r="J20" s="2" t="s">
        <v>19</v>
      </c>
      <c r="K20" s="2" t="s">
        <v>59</v>
      </c>
      <c r="L20" s="2" t="s">
        <v>293</v>
      </c>
      <c r="M20" s="2">
        <v>2</v>
      </c>
      <c r="N20" s="2" t="s">
        <v>15</v>
      </c>
      <c r="O20" s="2" t="s">
        <v>12</v>
      </c>
      <c r="P20" s="2" t="s">
        <v>24</v>
      </c>
      <c r="Q20" s="2" t="s">
        <v>24</v>
      </c>
      <c r="R20" s="2" t="s">
        <v>13</v>
      </c>
      <c r="S20" s="2" t="s">
        <v>13</v>
      </c>
      <c r="T20" s="2" t="s">
        <v>13</v>
      </c>
      <c r="U20" s="2" t="s">
        <v>24</v>
      </c>
      <c r="V20" s="2" t="s">
        <v>24</v>
      </c>
      <c r="W20" s="2" t="s">
        <v>24</v>
      </c>
      <c r="X20" s="2" t="s">
        <v>13</v>
      </c>
      <c r="Y20" s="2" t="s">
        <v>14</v>
      </c>
      <c r="Z20" s="2" t="s">
        <v>13</v>
      </c>
    </row>
    <row r="21" spans="1:26" x14ac:dyDescent="0.25">
      <c r="A21" s="1">
        <v>21</v>
      </c>
      <c r="B21" s="3">
        <v>23</v>
      </c>
      <c r="C21" s="2" t="s">
        <v>6</v>
      </c>
      <c r="D21" s="2" t="s">
        <v>290</v>
      </c>
      <c r="E21" s="2" t="s">
        <v>7</v>
      </c>
      <c r="F21" s="2" t="s">
        <v>246</v>
      </c>
      <c r="G21" s="2">
        <f t="shared" si="0"/>
        <v>2</v>
      </c>
      <c r="H21" s="2" t="s">
        <v>17</v>
      </c>
      <c r="I21" s="2" t="s">
        <v>48</v>
      </c>
      <c r="J21" s="2" t="s">
        <v>10</v>
      </c>
      <c r="K21" s="2" t="s">
        <v>60</v>
      </c>
      <c r="L21" s="2" t="s">
        <v>293</v>
      </c>
      <c r="M21" s="2">
        <v>2</v>
      </c>
      <c r="N21" s="2" t="s">
        <v>12</v>
      </c>
      <c r="O21" s="2" t="s">
        <v>24</v>
      </c>
      <c r="P21" s="2" t="s">
        <v>15</v>
      </c>
      <c r="Q21" s="2" t="s">
        <v>15</v>
      </c>
      <c r="R21" s="2" t="s">
        <v>12</v>
      </c>
      <c r="S21" s="2" t="s">
        <v>24</v>
      </c>
      <c r="T21" s="2" t="s">
        <v>15</v>
      </c>
      <c r="U21" s="2" t="s">
        <v>13</v>
      </c>
      <c r="V21" s="2" t="s">
        <v>15</v>
      </c>
      <c r="W21" s="2" t="s">
        <v>14</v>
      </c>
      <c r="X21" s="2" t="s">
        <v>24</v>
      </c>
      <c r="Y21" s="2" t="s">
        <v>12</v>
      </c>
      <c r="Z21" s="2" t="s">
        <v>15</v>
      </c>
    </row>
    <row r="22" spans="1:26" x14ac:dyDescent="0.25">
      <c r="A22" s="1">
        <v>22</v>
      </c>
      <c r="B22" s="3">
        <v>21</v>
      </c>
      <c r="C22" s="2" t="s">
        <v>6</v>
      </c>
      <c r="D22" s="2" t="s">
        <v>290</v>
      </c>
      <c r="E22" s="2" t="s">
        <v>7</v>
      </c>
      <c r="F22" s="2" t="s">
        <v>246</v>
      </c>
      <c r="G22" s="2">
        <f t="shared" si="0"/>
        <v>2</v>
      </c>
      <c r="H22" s="2" t="s">
        <v>21</v>
      </c>
      <c r="I22" s="2" t="s">
        <v>48</v>
      </c>
      <c r="J22" s="2" t="s">
        <v>26</v>
      </c>
      <c r="K22" s="2" t="s">
        <v>61</v>
      </c>
      <c r="L22" s="2" t="s">
        <v>293</v>
      </c>
      <c r="M22" s="2">
        <v>3</v>
      </c>
      <c r="N22" s="2" t="s">
        <v>15</v>
      </c>
      <c r="O22" s="2" t="s">
        <v>13</v>
      </c>
      <c r="P22" s="2" t="s">
        <v>15</v>
      </c>
      <c r="Q22" s="2" t="s">
        <v>15</v>
      </c>
      <c r="R22" s="2" t="s">
        <v>12</v>
      </c>
      <c r="S22" s="2" t="s">
        <v>24</v>
      </c>
      <c r="T22" s="2" t="s">
        <v>15</v>
      </c>
      <c r="U22" s="2" t="s">
        <v>13</v>
      </c>
      <c r="V22" s="2" t="s">
        <v>12</v>
      </c>
      <c r="W22" s="2" t="s">
        <v>24</v>
      </c>
      <c r="X22" s="2" t="s">
        <v>13</v>
      </c>
      <c r="Y22" s="2" t="s">
        <v>15</v>
      </c>
      <c r="Z22" s="2" t="s">
        <v>15</v>
      </c>
    </row>
    <row r="23" spans="1:26" x14ac:dyDescent="0.25">
      <c r="A23" s="1">
        <v>23</v>
      </c>
      <c r="B23" s="3">
        <v>21</v>
      </c>
      <c r="C23" s="2" t="s">
        <v>6</v>
      </c>
      <c r="D23" s="2" t="s">
        <v>290</v>
      </c>
      <c r="E23" s="2" t="s">
        <v>7</v>
      </c>
      <c r="F23" s="2" t="s">
        <v>246</v>
      </c>
      <c r="G23" s="2">
        <f t="shared" si="0"/>
        <v>2</v>
      </c>
      <c r="H23" s="2" t="s">
        <v>8</v>
      </c>
      <c r="I23" s="2" t="s">
        <v>62</v>
      </c>
      <c r="J23" s="2" t="s">
        <v>10</v>
      </c>
      <c r="K23" s="2" t="s">
        <v>63</v>
      </c>
      <c r="L23" s="2" t="s">
        <v>293</v>
      </c>
      <c r="M23" s="2">
        <v>3</v>
      </c>
      <c r="N23" s="2" t="s">
        <v>13</v>
      </c>
      <c r="O23" s="2" t="s">
        <v>13</v>
      </c>
      <c r="P23" s="2" t="s">
        <v>14</v>
      </c>
      <c r="Q23" s="2" t="s">
        <v>13</v>
      </c>
      <c r="R23" s="2" t="s">
        <v>12</v>
      </c>
      <c r="S23" s="2" t="s">
        <v>15</v>
      </c>
      <c r="T23" s="2" t="s">
        <v>13</v>
      </c>
      <c r="U23" s="2" t="s">
        <v>15</v>
      </c>
      <c r="V23" s="2" t="s">
        <v>13</v>
      </c>
      <c r="W23" s="2" t="s">
        <v>15</v>
      </c>
      <c r="X23" s="2" t="s">
        <v>12</v>
      </c>
      <c r="Y23" s="2" t="s">
        <v>15</v>
      </c>
      <c r="Z23" s="2" t="s">
        <v>15</v>
      </c>
    </row>
    <row r="24" spans="1:26" x14ac:dyDescent="0.25">
      <c r="A24" s="1">
        <v>24</v>
      </c>
      <c r="B24" s="3">
        <v>52</v>
      </c>
      <c r="C24" s="2" t="s">
        <v>64</v>
      </c>
      <c r="D24" s="2" t="s">
        <v>16</v>
      </c>
      <c r="E24" s="2" t="s">
        <v>7</v>
      </c>
      <c r="F24" s="2" t="s">
        <v>246</v>
      </c>
      <c r="G24" s="2">
        <f t="shared" si="0"/>
        <v>2</v>
      </c>
      <c r="H24" s="2" t="s">
        <v>21</v>
      </c>
      <c r="I24" s="2" t="s">
        <v>48</v>
      </c>
      <c r="J24" s="2" t="s">
        <v>26</v>
      </c>
      <c r="K24" s="2" t="s">
        <v>65</v>
      </c>
      <c r="L24" s="2" t="s">
        <v>293</v>
      </c>
      <c r="M24" s="2">
        <v>3</v>
      </c>
      <c r="N24" s="2" t="s">
        <v>24</v>
      </c>
      <c r="O24" s="2" t="s">
        <v>13</v>
      </c>
      <c r="P24" s="2" t="s">
        <v>12</v>
      </c>
      <c r="Q24" s="2" t="s">
        <v>14</v>
      </c>
      <c r="R24" s="2" t="s">
        <v>13</v>
      </c>
      <c r="S24" s="2" t="s">
        <v>13</v>
      </c>
      <c r="T24" s="2" t="s">
        <v>15</v>
      </c>
      <c r="U24" s="2" t="s">
        <v>13</v>
      </c>
      <c r="V24" s="2" t="s">
        <v>12</v>
      </c>
      <c r="W24" s="2" t="s">
        <v>24</v>
      </c>
      <c r="X24" s="2" t="s">
        <v>13</v>
      </c>
      <c r="Y24" s="2" t="s">
        <v>14</v>
      </c>
      <c r="Z24" s="2" t="s">
        <v>14</v>
      </c>
    </row>
    <row r="25" spans="1:26" x14ac:dyDescent="0.25">
      <c r="A25" s="1">
        <v>25</v>
      </c>
      <c r="B25" s="3">
        <v>23</v>
      </c>
      <c r="C25" s="2" t="s">
        <v>6</v>
      </c>
      <c r="D25" s="2" t="s">
        <v>16</v>
      </c>
      <c r="E25" s="2" t="s">
        <v>7</v>
      </c>
      <c r="F25" s="2" t="s">
        <v>246</v>
      </c>
      <c r="G25" s="2">
        <f t="shared" si="0"/>
        <v>2</v>
      </c>
      <c r="H25" s="2" t="s">
        <v>17</v>
      </c>
      <c r="I25" s="2" t="s">
        <v>46</v>
      </c>
      <c r="J25" s="2" t="s">
        <v>10</v>
      </c>
      <c r="K25" s="2" t="s">
        <v>66</v>
      </c>
      <c r="L25" s="2" t="s">
        <v>294</v>
      </c>
      <c r="M25" s="2">
        <v>2</v>
      </c>
      <c r="N25" s="2" t="s">
        <v>13</v>
      </c>
      <c r="O25" s="2" t="s">
        <v>24</v>
      </c>
      <c r="P25" s="2" t="s">
        <v>14</v>
      </c>
      <c r="Q25" s="2" t="s">
        <v>13</v>
      </c>
      <c r="R25" s="2" t="s">
        <v>13</v>
      </c>
      <c r="S25" s="2" t="s">
        <v>12</v>
      </c>
      <c r="T25" s="2" t="s">
        <v>12</v>
      </c>
      <c r="U25" s="2" t="s">
        <v>13</v>
      </c>
      <c r="V25" s="2" t="s">
        <v>13</v>
      </c>
      <c r="W25" s="2" t="s">
        <v>13</v>
      </c>
      <c r="X25" s="2" t="s">
        <v>13</v>
      </c>
      <c r="Y25" s="2" t="s">
        <v>13</v>
      </c>
      <c r="Z25" s="2" t="s">
        <v>15</v>
      </c>
    </row>
    <row r="26" spans="1:26" x14ac:dyDescent="0.25">
      <c r="A26" s="1">
        <v>26</v>
      </c>
      <c r="B26" s="2">
        <v>20</v>
      </c>
      <c r="C26" s="2" t="s">
        <v>6</v>
      </c>
      <c r="D26" s="2" t="s">
        <v>290</v>
      </c>
      <c r="E26" s="2" t="s">
        <v>7</v>
      </c>
      <c r="F26" s="2" t="s">
        <v>246</v>
      </c>
      <c r="G26" s="2">
        <f t="shared" si="0"/>
        <v>2</v>
      </c>
      <c r="H26" s="2" t="s">
        <v>21</v>
      </c>
      <c r="I26" s="2" t="s">
        <v>67</v>
      </c>
      <c r="J26" s="2" t="s">
        <v>44</v>
      </c>
      <c r="K26" s="2" t="s">
        <v>68</v>
      </c>
      <c r="L26" s="2" t="s">
        <v>293</v>
      </c>
      <c r="M26" s="2">
        <v>1</v>
      </c>
      <c r="N26" s="2" t="s">
        <v>14</v>
      </c>
      <c r="O26" s="2" t="s">
        <v>24</v>
      </c>
      <c r="P26" s="2" t="s">
        <v>24</v>
      </c>
      <c r="Q26" s="2" t="s">
        <v>24</v>
      </c>
      <c r="R26" s="2" t="s">
        <v>12</v>
      </c>
      <c r="S26" s="2" t="s">
        <v>13</v>
      </c>
      <c r="T26" s="2" t="s">
        <v>24</v>
      </c>
      <c r="U26" s="2" t="s">
        <v>14</v>
      </c>
      <c r="V26" s="2" t="s">
        <v>12</v>
      </c>
      <c r="W26" s="2" t="s">
        <v>12</v>
      </c>
      <c r="X26" s="2" t="s">
        <v>13</v>
      </c>
      <c r="Y26" s="2" t="s">
        <v>15</v>
      </c>
      <c r="Z26" s="2" t="s">
        <v>15</v>
      </c>
    </row>
    <row r="27" spans="1:26" x14ac:dyDescent="0.25">
      <c r="A27" s="1">
        <v>27</v>
      </c>
      <c r="B27" s="3">
        <v>27</v>
      </c>
      <c r="C27" s="2" t="s">
        <v>69</v>
      </c>
      <c r="D27" s="2" t="s">
        <v>290</v>
      </c>
      <c r="E27" s="2" t="s">
        <v>7</v>
      </c>
      <c r="F27" s="2" t="s">
        <v>249</v>
      </c>
      <c r="G27" s="2">
        <f t="shared" si="0"/>
        <v>3</v>
      </c>
      <c r="H27" s="2" t="s">
        <v>17</v>
      </c>
      <c r="I27" s="2" t="s">
        <v>70</v>
      </c>
      <c r="J27" s="2" t="s">
        <v>19</v>
      </c>
      <c r="K27" s="2" t="s">
        <v>71</v>
      </c>
      <c r="L27" s="2" t="s">
        <v>294</v>
      </c>
      <c r="M27" s="2">
        <v>2</v>
      </c>
      <c r="N27" s="2" t="s">
        <v>15</v>
      </c>
      <c r="O27" s="2" t="s">
        <v>24</v>
      </c>
      <c r="P27" s="2" t="s">
        <v>15</v>
      </c>
      <c r="Q27" s="2" t="s">
        <v>24</v>
      </c>
      <c r="R27" s="2" t="s">
        <v>13</v>
      </c>
      <c r="S27" s="2" t="s">
        <v>24</v>
      </c>
      <c r="T27" s="2" t="s">
        <v>13</v>
      </c>
      <c r="U27" s="2" t="s">
        <v>24</v>
      </c>
      <c r="V27" s="2" t="s">
        <v>12</v>
      </c>
      <c r="W27" s="2" t="s">
        <v>13</v>
      </c>
      <c r="X27" s="2" t="s">
        <v>12</v>
      </c>
      <c r="Y27" s="2" t="s">
        <v>15</v>
      </c>
      <c r="Z27" s="2" t="s">
        <v>14</v>
      </c>
    </row>
    <row r="28" spans="1:26" x14ac:dyDescent="0.25">
      <c r="A28" s="1">
        <v>28</v>
      </c>
      <c r="B28" s="3">
        <v>22</v>
      </c>
      <c r="C28" s="2" t="s">
        <v>6</v>
      </c>
      <c r="D28" s="2" t="s">
        <v>290</v>
      </c>
      <c r="E28" s="2" t="s">
        <v>7</v>
      </c>
      <c r="F28" s="2" t="s">
        <v>246</v>
      </c>
      <c r="G28" s="2">
        <f t="shared" si="0"/>
        <v>2</v>
      </c>
      <c r="H28" s="2" t="s">
        <v>21</v>
      </c>
      <c r="I28" s="2" t="s">
        <v>35</v>
      </c>
      <c r="J28" s="2" t="s">
        <v>26</v>
      </c>
      <c r="K28" s="2" t="s">
        <v>72</v>
      </c>
      <c r="L28" s="2" t="s">
        <v>293</v>
      </c>
      <c r="M28" s="2">
        <v>1</v>
      </c>
      <c r="N28" s="2" t="s">
        <v>15</v>
      </c>
      <c r="O28" s="2" t="s">
        <v>15</v>
      </c>
      <c r="P28" s="2" t="s">
        <v>24</v>
      </c>
      <c r="Q28" s="2" t="s">
        <v>13</v>
      </c>
      <c r="R28" s="2" t="s">
        <v>12</v>
      </c>
      <c r="S28" s="2" t="s">
        <v>15</v>
      </c>
      <c r="T28" s="2" t="s">
        <v>15</v>
      </c>
      <c r="U28" s="2" t="s">
        <v>24</v>
      </c>
      <c r="V28" s="2" t="s">
        <v>13</v>
      </c>
      <c r="W28" s="2" t="s">
        <v>12</v>
      </c>
      <c r="X28" s="2" t="s">
        <v>13</v>
      </c>
      <c r="Y28" s="2" t="s">
        <v>12</v>
      </c>
      <c r="Z28" s="2" t="s">
        <v>15</v>
      </c>
    </row>
    <row r="29" spans="1:26" x14ac:dyDescent="0.25">
      <c r="A29" s="1">
        <v>29</v>
      </c>
      <c r="B29" s="3">
        <v>21</v>
      </c>
      <c r="C29" s="2" t="s">
        <v>6</v>
      </c>
      <c r="D29" s="2" t="s">
        <v>290</v>
      </c>
      <c r="E29" s="2" t="s">
        <v>7</v>
      </c>
      <c r="F29" s="2" t="s">
        <v>249</v>
      </c>
      <c r="G29" s="2">
        <f t="shared" si="0"/>
        <v>3</v>
      </c>
      <c r="H29" s="2" t="s">
        <v>17</v>
      </c>
      <c r="I29" s="2" t="s">
        <v>73</v>
      </c>
      <c r="J29" s="2" t="s">
        <v>10</v>
      </c>
      <c r="K29" s="2" t="s">
        <v>74</v>
      </c>
      <c r="L29" s="2" t="s">
        <v>293</v>
      </c>
      <c r="M29" s="2">
        <v>2</v>
      </c>
      <c r="N29" s="2" t="s">
        <v>13</v>
      </c>
      <c r="O29" s="2" t="s">
        <v>12</v>
      </c>
      <c r="P29" s="2" t="s">
        <v>24</v>
      </c>
      <c r="Q29" s="2" t="s">
        <v>12</v>
      </c>
      <c r="R29" s="2" t="s">
        <v>12</v>
      </c>
      <c r="S29" s="2" t="s">
        <v>13</v>
      </c>
      <c r="T29" s="2" t="s">
        <v>12</v>
      </c>
      <c r="U29" s="2" t="s">
        <v>15</v>
      </c>
      <c r="V29" s="2" t="s">
        <v>12</v>
      </c>
      <c r="W29" s="2" t="s">
        <v>12</v>
      </c>
      <c r="X29" s="2" t="s">
        <v>13</v>
      </c>
      <c r="Y29" s="2" t="s">
        <v>13</v>
      </c>
      <c r="Z29" s="2" t="s">
        <v>24</v>
      </c>
    </row>
    <row r="30" spans="1:26" x14ac:dyDescent="0.25">
      <c r="A30" s="1">
        <v>30</v>
      </c>
      <c r="B30" s="3">
        <v>20</v>
      </c>
      <c r="C30" s="2" t="s">
        <v>6</v>
      </c>
      <c r="D30" s="2" t="s">
        <v>290</v>
      </c>
      <c r="E30" s="2" t="s">
        <v>7</v>
      </c>
      <c r="F30" s="2" t="s">
        <v>31</v>
      </c>
      <c r="G30" s="2">
        <f t="shared" si="0"/>
        <v>1</v>
      </c>
      <c r="H30" s="2" t="s">
        <v>32</v>
      </c>
      <c r="I30" s="2" t="s">
        <v>75</v>
      </c>
      <c r="J30" s="2" t="s">
        <v>19</v>
      </c>
      <c r="K30" s="2" t="s">
        <v>76</v>
      </c>
      <c r="L30" s="2" t="s">
        <v>294</v>
      </c>
      <c r="M30" s="2">
        <v>2</v>
      </c>
      <c r="N30" s="2" t="s">
        <v>24</v>
      </c>
      <c r="O30" s="2" t="s">
        <v>12</v>
      </c>
      <c r="P30" s="2" t="s">
        <v>13</v>
      </c>
      <c r="Q30" s="2" t="s">
        <v>24</v>
      </c>
      <c r="R30" s="2" t="s">
        <v>13</v>
      </c>
      <c r="S30" s="2" t="s">
        <v>24</v>
      </c>
      <c r="T30" s="2" t="s">
        <v>15</v>
      </c>
      <c r="U30" s="2" t="s">
        <v>13</v>
      </c>
      <c r="V30" s="2" t="s">
        <v>13</v>
      </c>
      <c r="W30" s="2" t="s">
        <v>12</v>
      </c>
      <c r="X30" s="2" t="s">
        <v>24</v>
      </c>
      <c r="Y30" s="2" t="s">
        <v>15</v>
      </c>
      <c r="Z30" s="2" t="s">
        <v>15</v>
      </c>
    </row>
    <row r="31" spans="1:26" x14ac:dyDescent="0.25">
      <c r="A31" s="1">
        <v>31</v>
      </c>
      <c r="B31" s="3">
        <v>21</v>
      </c>
      <c r="C31" s="2" t="s">
        <v>6</v>
      </c>
      <c r="D31" s="2" t="s">
        <v>290</v>
      </c>
      <c r="E31" s="2" t="s">
        <v>7</v>
      </c>
      <c r="F31" s="2" t="s">
        <v>250</v>
      </c>
      <c r="G31" s="2">
        <f t="shared" si="0"/>
        <v>3</v>
      </c>
      <c r="H31" s="2" t="s">
        <v>17</v>
      </c>
      <c r="I31" s="2" t="s">
        <v>77</v>
      </c>
      <c r="J31" s="2" t="s">
        <v>19</v>
      </c>
      <c r="K31" s="2" t="s">
        <v>78</v>
      </c>
      <c r="L31" s="2" t="s">
        <v>293</v>
      </c>
      <c r="M31" s="2">
        <v>1</v>
      </c>
      <c r="N31" s="2" t="s">
        <v>12</v>
      </c>
      <c r="O31" s="2" t="s">
        <v>24</v>
      </c>
      <c r="P31" s="2" t="s">
        <v>14</v>
      </c>
      <c r="Q31" s="2" t="s">
        <v>12</v>
      </c>
      <c r="R31" s="2" t="s">
        <v>12</v>
      </c>
      <c r="S31" s="2" t="s">
        <v>15</v>
      </c>
      <c r="T31" s="2" t="s">
        <v>15</v>
      </c>
      <c r="U31" s="2" t="s">
        <v>12</v>
      </c>
      <c r="V31" s="2" t="s">
        <v>12</v>
      </c>
      <c r="W31" s="2" t="s">
        <v>12</v>
      </c>
      <c r="X31" s="2" t="s">
        <v>12</v>
      </c>
      <c r="Y31" s="2" t="s">
        <v>24</v>
      </c>
      <c r="Z31" s="2" t="s">
        <v>14</v>
      </c>
    </row>
    <row r="32" spans="1:26" x14ac:dyDescent="0.25">
      <c r="A32" s="1">
        <v>33</v>
      </c>
      <c r="B32" s="3">
        <v>23</v>
      </c>
      <c r="C32" s="2" t="s">
        <v>6</v>
      </c>
      <c r="D32" s="2" t="s">
        <v>290</v>
      </c>
      <c r="E32" s="2" t="s">
        <v>7</v>
      </c>
      <c r="F32" s="2" t="s">
        <v>31</v>
      </c>
      <c r="G32" s="2">
        <f t="shared" ref="G32:G63" si="1">IF(LEN(TRIM(F32))=0,0,LEN(TRIM(F32))-LEN(SUBSTITUTE(F32," ",""))+1)</f>
        <v>1</v>
      </c>
      <c r="H32" s="2" t="s">
        <v>32</v>
      </c>
      <c r="I32" s="2" t="s">
        <v>18</v>
      </c>
      <c r="J32" s="2" t="s">
        <v>19</v>
      </c>
      <c r="K32" s="2" t="s">
        <v>79</v>
      </c>
      <c r="L32" s="2" t="s">
        <v>293</v>
      </c>
      <c r="M32" s="2">
        <v>1</v>
      </c>
      <c r="N32" s="2" t="s">
        <v>12</v>
      </c>
      <c r="O32" s="2" t="s">
        <v>15</v>
      </c>
      <c r="P32" s="2" t="s">
        <v>24</v>
      </c>
      <c r="Q32" s="2" t="s">
        <v>24</v>
      </c>
      <c r="R32" s="2" t="s">
        <v>13</v>
      </c>
      <c r="S32" s="2" t="s">
        <v>13</v>
      </c>
      <c r="T32" s="2" t="s">
        <v>24</v>
      </c>
      <c r="U32" s="2" t="s">
        <v>13</v>
      </c>
      <c r="V32" s="2" t="s">
        <v>13</v>
      </c>
      <c r="W32" s="2" t="s">
        <v>13</v>
      </c>
      <c r="X32" s="2" t="s">
        <v>13</v>
      </c>
      <c r="Y32" s="2" t="s">
        <v>13</v>
      </c>
      <c r="Z32" s="2" t="s">
        <v>15</v>
      </c>
    </row>
    <row r="33" spans="1:26" x14ac:dyDescent="0.25">
      <c r="A33" s="1">
        <v>34</v>
      </c>
      <c r="B33" s="3">
        <v>22</v>
      </c>
      <c r="C33" s="2" t="s">
        <v>6</v>
      </c>
      <c r="D33" s="2" t="s">
        <v>290</v>
      </c>
      <c r="E33" s="2" t="s">
        <v>39</v>
      </c>
      <c r="F33" s="2" t="s">
        <v>246</v>
      </c>
      <c r="G33" s="2">
        <f t="shared" si="1"/>
        <v>2</v>
      </c>
      <c r="H33" s="2" t="s">
        <v>8</v>
      </c>
      <c r="I33" s="2" t="s">
        <v>25</v>
      </c>
      <c r="J33" s="2" t="s">
        <v>26</v>
      </c>
      <c r="K33" s="2" t="s">
        <v>80</v>
      </c>
      <c r="L33" s="2" t="s">
        <v>293</v>
      </c>
      <c r="M33" s="2">
        <v>2</v>
      </c>
      <c r="N33" s="2" t="s">
        <v>13</v>
      </c>
      <c r="O33" s="2" t="s">
        <v>24</v>
      </c>
      <c r="P33" s="2" t="s">
        <v>14</v>
      </c>
      <c r="Q33" s="2" t="s">
        <v>13</v>
      </c>
      <c r="R33" s="2" t="s">
        <v>12</v>
      </c>
      <c r="S33" s="2" t="s">
        <v>12</v>
      </c>
      <c r="T33" s="2" t="s">
        <v>15</v>
      </c>
      <c r="U33" s="2" t="s">
        <v>12</v>
      </c>
      <c r="V33" s="2" t="s">
        <v>13</v>
      </c>
      <c r="W33" s="2" t="s">
        <v>15</v>
      </c>
      <c r="X33" s="2" t="s">
        <v>12</v>
      </c>
      <c r="Y33" s="2" t="s">
        <v>15</v>
      </c>
      <c r="Z33" s="2" t="s">
        <v>14</v>
      </c>
    </row>
    <row r="34" spans="1:26" x14ac:dyDescent="0.25">
      <c r="A34" s="1">
        <v>35</v>
      </c>
      <c r="B34" s="3">
        <v>22</v>
      </c>
      <c r="C34" s="2" t="s">
        <v>6</v>
      </c>
      <c r="D34" s="2" t="s">
        <v>290</v>
      </c>
      <c r="E34" s="2" t="s">
        <v>7</v>
      </c>
      <c r="F34" s="2" t="s">
        <v>31</v>
      </c>
      <c r="G34" s="2">
        <f t="shared" si="1"/>
        <v>1</v>
      </c>
      <c r="H34" s="2" t="s">
        <v>32</v>
      </c>
      <c r="I34" s="2" t="s">
        <v>35</v>
      </c>
      <c r="J34" s="2" t="s">
        <v>19</v>
      </c>
      <c r="K34" s="2" t="s">
        <v>81</v>
      </c>
      <c r="L34" s="2" t="s">
        <v>293</v>
      </c>
      <c r="M34" s="2">
        <v>1</v>
      </c>
      <c r="N34" s="2" t="s">
        <v>24</v>
      </c>
      <c r="O34" s="2" t="s">
        <v>13</v>
      </c>
      <c r="P34" s="2" t="s">
        <v>24</v>
      </c>
      <c r="Q34" s="2" t="s">
        <v>15</v>
      </c>
      <c r="R34" s="2" t="s">
        <v>13</v>
      </c>
      <c r="S34" s="2" t="s">
        <v>13</v>
      </c>
      <c r="T34" s="2" t="s">
        <v>24</v>
      </c>
      <c r="U34" s="2" t="s">
        <v>13</v>
      </c>
      <c r="V34" s="2" t="s">
        <v>24</v>
      </c>
      <c r="W34" s="2" t="s">
        <v>15</v>
      </c>
      <c r="X34" s="2" t="s">
        <v>13</v>
      </c>
      <c r="Y34" s="2" t="s">
        <v>13</v>
      </c>
      <c r="Z34" s="2" t="s">
        <v>13</v>
      </c>
    </row>
    <row r="35" spans="1:26" x14ac:dyDescent="0.25">
      <c r="A35" s="1">
        <v>36</v>
      </c>
      <c r="B35" s="3">
        <v>21</v>
      </c>
      <c r="C35" s="2" t="s">
        <v>6</v>
      </c>
      <c r="D35" s="2" t="s">
        <v>290</v>
      </c>
      <c r="E35" s="2" t="s">
        <v>7</v>
      </c>
      <c r="F35" s="2" t="s">
        <v>251</v>
      </c>
      <c r="G35" s="2">
        <f t="shared" si="1"/>
        <v>2</v>
      </c>
      <c r="H35" s="2" t="s">
        <v>32</v>
      </c>
      <c r="I35" s="2" t="s">
        <v>82</v>
      </c>
      <c r="J35" s="2" t="s">
        <v>19</v>
      </c>
      <c r="K35" s="2" t="s">
        <v>83</v>
      </c>
      <c r="L35" s="2" t="s">
        <v>294</v>
      </c>
      <c r="M35" s="2">
        <v>1</v>
      </c>
      <c r="N35" s="2" t="s">
        <v>12</v>
      </c>
      <c r="O35" s="2" t="s">
        <v>13</v>
      </c>
      <c r="P35" s="2" t="s">
        <v>24</v>
      </c>
      <c r="Q35" s="2" t="s">
        <v>13</v>
      </c>
      <c r="R35" s="2" t="s">
        <v>12</v>
      </c>
      <c r="S35" s="2" t="s">
        <v>15</v>
      </c>
      <c r="T35" s="2" t="s">
        <v>15</v>
      </c>
      <c r="U35" s="2" t="s">
        <v>24</v>
      </c>
      <c r="V35" s="2" t="s">
        <v>12</v>
      </c>
      <c r="W35" s="2" t="s">
        <v>13</v>
      </c>
      <c r="X35" s="2" t="s">
        <v>13</v>
      </c>
      <c r="Y35" s="2" t="s">
        <v>15</v>
      </c>
      <c r="Z35" s="2" t="s">
        <v>14</v>
      </c>
    </row>
    <row r="36" spans="1:26" x14ac:dyDescent="0.25">
      <c r="A36" s="1">
        <v>37</v>
      </c>
      <c r="B36" s="3">
        <v>22</v>
      </c>
      <c r="C36" s="2" t="s">
        <v>6</v>
      </c>
      <c r="D36" s="2" t="s">
        <v>290</v>
      </c>
      <c r="E36" s="2" t="s">
        <v>39</v>
      </c>
      <c r="F36" s="2" t="s">
        <v>248</v>
      </c>
      <c r="G36" s="2">
        <f t="shared" si="1"/>
        <v>2</v>
      </c>
      <c r="H36" s="2" t="s">
        <v>32</v>
      </c>
      <c r="I36" s="2" t="s">
        <v>35</v>
      </c>
      <c r="J36" s="2" t="s">
        <v>26</v>
      </c>
      <c r="K36" s="2" t="s">
        <v>84</v>
      </c>
      <c r="L36" s="2" t="s">
        <v>293</v>
      </c>
      <c r="M36" s="2">
        <v>1</v>
      </c>
      <c r="N36" s="2" t="s">
        <v>12</v>
      </c>
      <c r="O36" s="2" t="s">
        <v>12</v>
      </c>
      <c r="P36" s="2" t="s">
        <v>13</v>
      </c>
      <c r="Q36" s="2" t="s">
        <v>13</v>
      </c>
      <c r="R36" s="2" t="s">
        <v>24</v>
      </c>
      <c r="S36" s="2" t="s">
        <v>24</v>
      </c>
      <c r="T36" s="2" t="s">
        <v>24</v>
      </c>
      <c r="U36" s="2" t="s">
        <v>12</v>
      </c>
      <c r="V36" s="2" t="s">
        <v>13</v>
      </c>
      <c r="W36" s="2" t="s">
        <v>13</v>
      </c>
      <c r="X36" s="2" t="s">
        <v>15</v>
      </c>
      <c r="Y36" s="2" t="s">
        <v>12</v>
      </c>
      <c r="Z36" s="2" t="s">
        <v>15</v>
      </c>
    </row>
    <row r="37" spans="1:26" x14ac:dyDescent="0.25">
      <c r="A37" s="1">
        <v>38</v>
      </c>
      <c r="B37" s="3">
        <v>21</v>
      </c>
      <c r="C37" s="2" t="s">
        <v>6</v>
      </c>
      <c r="D37" s="2" t="s">
        <v>290</v>
      </c>
      <c r="E37" s="2" t="s">
        <v>7</v>
      </c>
      <c r="F37" s="2" t="s">
        <v>246</v>
      </c>
      <c r="G37" s="2">
        <f t="shared" si="1"/>
        <v>2</v>
      </c>
      <c r="H37" s="2" t="s">
        <v>32</v>
      </c>
      <c r="I37" s="2" t="s">
        <v>75</v>
      </c>
      <c r="J37" s="2" t="s">
        <v>19</v>
      </c>
      <c r="K37" s="2" t="s">
        <v>85</v>
      </c>
      <c r="L37" s="2" t="s">
        <v>294</v>
      </c>
      <c r="M37" s="2">
        <v>1</v>
      </c>
      <c r="N37" s="2" t="s">
        <v>24</v>
      </c>
      <c r="O37" s="2" t="s">
        <v>12</v>
      </c>
      <c r="P37" s="2" t="s">
        <v>24</v>
      </c>
      <c r="Q37" s="2" t="s">
        <v>24</v>
      </c>
      <c r="R37" s="2" t="s">
        <v>13</v>
      </c>
      <c r="S37" s="2" t="s">
        <v>13</v>
      </c>
      <c r="T37" s="2" t="s">
        <v>24</v>
      </c>
      <c r="U37" s="2" t="s">
        <v>24</v>
      </c>
      <c r="V37" s="2" t="s">
        <v>24</v>
      </c>
      <c r="W37" s="2" t="s">
        <v>24</v>
      </c>
      <c r="X37" s="2" t="s">
        <v>24</v>
      </c>
      <c r="Y37" s="2" t="s">
        <v>24</v>
      </c>
      <c r="Z37" s="2" t="s">
        <v>13</v>
      </c>
    </row>
    <row r="38" spans="1:26" x14ac:dyDescent="0.25">
      <c r="A38" s="1">
        <v>39</v>
      </c>
      <c r="B38" s="3">
        <v>46</v>
      </c>
      <c r="C38" s="2" t="s">
        <v>6</v>
      </c>
      <c r="D38" s="2" t="s">
        <v>290</v>
      </c>
      <c r="E38" s="2" t="s">
        <v>39</v>
      </c>
      <c r="F38" s="2" t="s">
        <v>31</v>
      </c>
      <c r="G38" s="2">
        <f t="shared" si="1"/>
        <v>1</v>
      </c>
      <c r="H38" s="2" t="s">
        <v>50</v>
      </c>
      <c r="I38" s="2" t="s">
        <v>86</v>
      </c>
      <c r="J38" s="2" t="s">
        <v>87</v>
      </c>
      <c r="K38" s="2" t="s">
        <v>88</v>
      </c>
      <c r="L38" s="2" t="s">
        <v>294</v>
      </c>
      <c r="M38" s="2">
        <v>1</v>
      </c>
      <c r="N38" s="2" t="s">
        <v>24</v>
      </c>
      <c r="O38" s="2" t="s">
        <v>12</v>
      </c>
      <c r="P38" s="2" t="s">
        <v>24</v>
      </c>
      <c r="Q38" s="2" t="s">
        <v>24</v>
      </c>
      <c r="R38" s="2" t="s">
        <v>24</v>
      </c>
      <c r="S38" s="2" t="s">
        <v>24</v>
      </c>
      <c r="T38" s="2" t="s">
        <v>24</v>
      </c>
      <c r="U38" s="2" t="s">
        <v>24</v>
      </c>
      <c r="V38" s="2" t="s">
        <v>24</v>
      </c>
      <c r="W38" s="2" t="s">
        <v>24</v>
      </c>
      <c r="X38" s="2" t="s">
        <v>24</v>
      </c>
      <c r="Y38" s="2" t="s">
        <v>24</v>
      </c>
      <c r="Z38" s="2" t="s">
        <v>24</v>
      </c>
    </row>
    <row r="39" spans="1:26" x14ac:dyDescent="0.25">
      <c r="A39" s="1">
        <v>40</v>
      </c>
      <c r="B39" s="3">
        <v>23</v>
      </c>
      <c r="C39" s="2" t="s">
        <v>89</v>
      </c>
      <c r="D39" s="2" t="s">
        <v>290</v>
      </c>
      <c r="E39" s="2" t="s">
        <v>39</v>
      </c>
      <c r="F39" s="2" t="s">
        <v>31</v>
      </c>
      <c r="G39" s="2">
        <f t="shared" si="1"/>
        <v>1</v>
      </c>
      <c r="H39" s="2" t="s">
        <v>32</v>
      </c>
      <c r="I39" s="2" t="s">
        <v>86</v>
      </c>
      <c r="J39" s="2" t="s">
        <v>10</v>
      </c>
      <c r="K39" s="2" t="s">
        <v>90</v>
      </c>
      <c r="L39" s="2" t="s">
        <v>294</v>
      </c>
      <c r="M39" s="2">
        <v>1</v>
      </c>
      <c r="N39" s="2" t="s">
        <v>13</v>
      </c>
      <c r="O39" s="2" t="s">
        <v>15</v>
      </c>
      <c r="P39" s="2" t="s">
        <v>24</v>
      </c>
      <c r="Q39" s="2" t="s">
        <v>24</v>
      </c>
      <c r="R39" s="2" t="s">
        <v>12</v>
      </c>
      <c r="S39" s="2" t="s">
        <v>13</v>
      </c>
      <c r="T39" s="2" t="s">
        <v>24</v>
      </c>
      <c r="U39" s="2" t="s">
        <v>13</v>
      </c>
      <c r="V39" s="2" t="s">
        <v>15</v>
      </c>
      <c r="W39" s="2" t="s">
        <v>15</v>
      </c>
      <c r="X39" s="2" t="s">
        <v>24</v>
      </c>
      <c r="Y39" s="2" t="s">
        <v>13</v>
      </c>
      <c r="Z39" s="2" t="s">
        <v>24</v>
      </c>
    </row>
    <row r="40" spans="1:26" x14ac:dyDescent="0.25">
      <c r="A40" s="1">
        <v>41</v>
      </c>
      <c r="B40" s="3">
        <v>18</v>
      </c>
      <c r="C40" s="2" t="s">
        <v>91</v>
      </c>
      <c r="D40" s="2" t="s">
        <v>290</v>
      </c>
      <c r="E40" s="2" t="s">
        <v>7</v>
      </c>
      <c r="F40" s="2" t="s">
        <v>246</v>
      </c>
      <c r="G40" s="2">
        <f t="shared" si="1"/>
        <v>2</v>
      </c>
      <c r="H40" s="2" t="s">
        <v>32</v>
      </c>
      <c r="I40" s="2" t="s">
        <v>75</v>
      </c>
      <c r="J40" s="2" t="s">
        <v>19</v>
      </c>
      <c r="K40" s="2" t="s">
        <v>92</v>
      </c>
      <c r="L40" s="2" t="s">
        <v>294</v>
      </c>
      <c r="M40" s="2">
        <v>1</v>
      </c>
      <c r="N40" s="2" t="s">
        <v>12</v>
      </c>
      <c r="O40" s="2" t="s">
        <v>14</v>
      </c>
      <c r="P40" s="2" t="s">
        <v>24</v>
      </c>
      <c r="Q40" s="2" t="s">
        <v>15</v>
      </c>
      <c r="R40" s="2" t="s">
        <v>12</v>
      </c>
      <c r="S40" s="2" t="s">
        <v>24</v>
      </c>
      <c r="T40" s="2" t="s">
        <v>24</v>
      </c>
      <c r="U40" s="2" t="s">
        <v>12</v>
      </c>
      <c r="V40" s="2" t="s">
        <v>13</v>
      </c>
      <c r="W40" s="2" t="s">
        <v>13</v>
      </c>
      <c r="X40" s="2" t="s">
        <v>13</v>
      </c>
      <c r="Y40" s="2" t="s">
        <v>13</v>
      </c>
      <c r="Z40" s="2" t="s">
        <v>13</v>
      </c>
    </row>
    <row r="41" spans="1:26" x14ac:dyDescent="0.25">
      <c r="A41" s="1">
        <v>42</v>
      </c>
      <c r="B41" s="3">
        <v>26</v>
      </c>
      <c r="C41" s="2" t="s">
        <v>93</v>
      </c>
      <c r="D41" s="2" t="s">
        <v>290</v>
      </c>
      <c r="E41" s="2" t="s">
        <v>7</v>
      </c>
      <c r="F41" s="2" t="s">
        <v>252</v>
      </c>
      <c r="G41" s="2">
        <f t="shared" si="1"/>
        <v>3</v>
      </c>
      <c r="H41" s="2" t="s">
        <v>17</v>
      </c>
      <c r="I41" s="2" t="s">
        <v>94</v>
      </c>
      <c r="J41" s="2" t="s">
        <v>19</v>
      </c>
      <c r="K41" s="2" t="s">
        <v>95</v>
      </c>
      <c r="L41" s="2" t="s">
        <v>293</v>
      </c>
      <c r="M41" s="2">
        <v>2</v>
      </c>
      <c r="N41" s="2" t="s">
        <v>15</v>
      </c>
      <c r="O41" s="2" t="s">
        <v>15</v>
      </c>
      <c r="P41" s="2" t="s">
        <v>14</v>
      </c>
      <c r="Q41" s="2" t="s">
        <v>24</v>
      </c>
      <c r="R41" s="2" t="s">
        <v>13</v>
      </c>
      <c r="S41" s="2" t="s">
        <v>24</v>
      </c>
      <c r="T41" s="2" t="s">
        <v>13</v>
      </c>
      <c r="U41" s="2" t="s">
        <v>13</v>
      </c>
      <c r="V41" s="2" t="s">
        <v>13</v>
      </c>
      <c r="W41" s="2" t="s">
        <v>13</v>
      </c>
      <c r="X41" s="2" t="s">
        <v>12</v>
      </c>
      <c r="Y41" s="2" t="s">
        <v>12</v>
      </c>
      <c r="Z41" s="2" t="s">
        <v>12</v>
      </c>
    </row>
    <row r="42" spans="1:26" x14ac:dyDescent="0.25">
      <c r="A42" s="1">
        <v>43</v>
      </c>
      <c r="B42" s="3">
        <v>24</v>
      </c>
      <c r="C42" s="2" t="s">
        <v>6</v>
      </c>
      <c r="D42" s="2" t="s">
        <v>290</v>
      </c>
      <c r="E42" s="2" t="s">
        <v>7</v>
      </c>
      <c r="F42" s="2" t="s">
        <v>253</v>
      </c>
      <c r="G42" s="2">
        <f t="shared" si="1"/>
        <v>4</v>
      </c>
      <c r="H42" s="2" t="s">
        <v>17</v>
      </c>
      <c r="I42" s="2" t="s">
        <v>73</v>
      </c>
      <c r="J42" s="2" t="s">
        <v>19</v>
      </c>
      <c r="K42" s="2" t="s">
        <v>96</v>
      </c>
      <c r="L42" s="2" t="s">
        <v>293</v>
      </c>
      <c r="M42" s="2">
        <v>3</v>
      </c>
      <c r="N42" s="2" t="s">
        <v>13</v>
      </c>
      <c r="O42" s="2" t="s">
        <v>24</v>
      </c>
      <c r="P42" s="2" t="s">
        <v>24</v>
      </c>
      <c r="Q42" s="2" t="s">
        <v>12</v>
      </c>
      <c r="R42" s="2" t="s">
        <v>12</v>
      </c>
      <c r="S42" s="2" t="s">
        <v>15</v>
      </c>
      <c r="T42" s="2" t="s">
        <v>24</v>
      </c>
      <c r="U42" s="2" t="s">
        <v>13</v>
      </c>
      <c r="V42" s="2" t="s">
        <v>12</v>
      </c>
      <c r="W42" s="2" t="s">
        <v>13</v>
      </c>
      <c r="X42" s="2" t="s">
        <v>12</v>
      </c>
      <c r="Y42" s="2" t="s">
        <v>12</v>
      </c>
      <c r="Z42" s="2" t="s">
        <v>14</v>
      </c>
    </row>
    <row r="43" spans="1:26" x14ac:dyDescent="0.25">
      <c r="A43" s="1">
        <v>44</v>
      </c>
      <c r="B43" s="3">
        <v>22</v>
      </c>
      <c r="C43" s="2" t="s">
        <v>89</v>
      </c>
      <c r="D43" s="2" t="s">
        <v>290</v>
      </c>
      <c r="E43" s="2" t="s">
        <v>39</v>
      </c>
      <c r="F43" s="2" t="s">
        <v>253</v>
      </c>
      <c r="G43" s="2">
        <f t="shared" si="1"/>
        <v>4</v>
      </c>
      <c r="H43" s="2" t="s">
        <v>21</v>
      </c>
      <c r="I43" s="2" t="s">
        <v>40</v>
      </c>
      <c r="J43" s="2" t="s">
        <v>44</v>
      </c>
      <c r="K43" s="2" t="s">
        <v>97</v>
      </c>
      <c r="L43" s="2" t="s">
        <v>294</v>
      </c>
      <c r="M43" s="2">
        <v>2</v>
      </c>
      <c r="N43" s="2" t="s">
        <v>24</v>
      </c>
      <c r="O43" s="2" t="s">
        <v>24</v>
      </c>
      <c r="P43" s="2" t="s">
        <v>24</v>
      </c>
      <c r="Q43" s="2" t="s">
        <v>24</v>
      </c>
      <c r="R43" s="2" t="s">
        <v>12</v>
      </c>
      <c r="S43" s="2" t="s">
        <v>24</v>
      </c>
      <c r="T43" s="2" t="s">
        <v>15</v>
      </c>
      <c r="U43" s="2" t="s">
        <v>24</v>
      </c>
      <c r="V43" s="2" t="s">
        <v>24</v>
      </c>
      <c r="W43" s="2" t="s">
        <v>15</v>
      </c>
      <c r="X43" s="2" t="s">
        <v>13</v>
      </c>
      <c r="Y43" s="2" t="s">
        <v>13</v>
      </c>
      <c r="Z43" s="2" t="s">
        <v>15</v>
      </c>
    </row>
    <row r="44" spans="1:26" x14ac:dyDescent="0.25">
      <c r="A44" s="1">
        <v>45</v>
      </c>
      <c r="B44" s="3">
        <v>20</v>
      </c>
      <c r="C44" s="2" t="s">
        <v>6</v>
      </c>
      <c r="D44" s="2" t="s">
        <v>16</v>
      </c>
      <c r="E44" s="2" t="s">
        <v>7</v>
      </c>
      <c r="F44" s="2" t="s">
        <v>246</v>
      </c>
      <c r="G44" s="2">
        <f t="shared" si="1"/>
        <v>2</v>
      </c>
      <c r="H44" s="2" t="s">
        <v>21</v>
      </c>
      <c r="I44" s="2" t="s">
        <v>98</v>
      </c>
      <c r="J44" s="2" t="s">
        <v>19</v>
      </c>
      <c r="K44" s="2" t="s">
        <v>99</v>
      </c>
      <c r="L44" s="2" t="s">
        <v>293</v>
      </c>
      <c r="M44" s="2">
        <v>2</v>
      </c>
      <c r="N44" s="2" t="s">
        <v>24</v>
      </c>
      <c r="O44" s="2" t="s">
        <v>13</v>
      </c>
      <c r="P44" s="2" t="s">
        <v>14</v>
      </c>
      <c r="Q44" s="2" t="s">
        <v>24</v>
      </c>
      <c r="R44" s="2" t="s">
        <v>12</v>
      </c>
      <c r="S44" s="2" t="s">
        <v>24</v>
      </c>
      <c r="T44" s="2" t="s">
        <v>15</v>
      </c>
      <c r="U44" s="2" t="s">
        <v>24</v>
      </c>
      <c r="V44" s="2" t="s">
        <v>13</v>
      </c>
      <c r="W44" s="2" t="s">
        <v>24</v>
      </c>
      <c r="X44" s="2" t="s">
        <v>12</v>
      </c>
      <c r="Y44" s="2" t="s">
        <v>15</v>
      </c>
      <c r="Z44" s="2" t="s">
        <v>14</v>
      </c>
    </row>
    <row r="45" spans="1:26" x14ac:dyDescent="0.25">
      <c r="A45" s="1">
        <v>46</v>
      </c>
      <c r="B45" s="3">
        <v>52</v>
      </c>
      <c r="C45" s="2" t="s">
        <v>6</v>
      </c>
      <c r="D45" s="2" t="s">
        <v>16</v>
      </c>
      <c r="E45" s="2" t="s">
        <v>7</v>
      </c>
      <c r="F45" s="2" t="s">
        <v>31</v>
      </c>
      <c r="G45" s="2">
        <f t="shared" si="1"/>
        <v>1</v>
      </c>
      <c r="H45" s="2" t="s">
        <v>50</v>
      </c>
      <c r="I45" s="2" t="s">
        <v>35</v>
      </c>
      <c r="J45" s="2" t="s">
        <v>19</v>
      </c>
      <c r="K45" s="2" t="s">
        <v>100</v>
      </c>
      <c r="L45" s="2" t="s">
        <v>293</v>
      </c>
      <c r="M45" s="2">
        <v>2</v>
      </c>
      <c r="N45" s="2" t="s">
        <v>24</v>
      </c>
      <c r="O45" s="2" t="s">
        <v>24</v>
      </c>
      <c r="P45" s="2" t="s">
        <v>24</v>
      </c>
      <c r="Q45" s="2" t="s">
        <v>15</v>
      </c>
      <c r="R45" s="2" t="s">
        <v>13</v>
      </c>
      <c r="S45" s="2" t="s">
        <v>12</v>
      </c>
      <c r="T45" s="2" t="s">
        <v>14</v>
      </c>
      <c r="U45" s="2" t="s">
        <v>13</v>
      </c>
      <c r="V45" s="2" t="s">
        <v>12</v>
      </c>
      <c r="W45" s="2" t="s">
        <v>15</v>
      </c>
      <c r="X45" s="2" t="s">
        <v>13</v>
      </c>
      <c r="Y45" s="2" t="s">
        <v>13</v>
      </c>
      <c r="Z45" s="2" t="s">
        <v>15</v>
      </c>
    </row>
    <row r="46" spans="1:26" x14ac:dyDescent="0.25">
      <c r="A46" s="1">
        <v>47</v>
      </c>
      <c r="B46" s="3">
        <v>21</v>
      </c>
      <c r="C46" s="2" t="s">
        <v>43</v>
      </c>
      <c r="D46" s="2" t="s">
        <v>290</v>
      </c>
      <c r="E46" s="2" t="s">
        <v>7</v>
      </c>
      <c r="F46" s="2" t="s">
        <v>246</v>
      </c>
      <c r="G46" s="2">
        <f t="shared" si="1"/>
        <v>2</v>
      </c>
      <c r="H46" s="2" t="s">
        <v>17</v>
      </c>
      <c r="I46" s="2" t="s">
        <v>9</v>
      </c>
      <c r="J46" s="2" t="s">
        <v>19</v>
      </c>
      <c r="K46" s="2" t="s">
        <v>101</v>
      </c>
      <c r="L46" s="2" t="s">
        <v>293</v>
      </c>
      <c r="M46" s="2">
        <v>2</v>
      </c>
      <c r="N46" s="2" t="s">
        <v>24</v>
      </c>
      <c r="O46" s="2" t="s">
        <v>13</v>
      </c>
      <c r="P46" s="2" t="s">
        <v>24</v>
      </c>
      <c r="Q46" s="2" t="s">
        <v>13</v>
      </c>
      <c r="R46" s="2" t="s">
        <v>12</v>
      </c>
      <c r="S46" s="2" t="s">
        <v>13</v>
      </c>
      <c r="T46" s="2" t="s">
        <v>13</v>
      </c>
      <c r="U46" s="2" t="s">
        <v>13</v>
      </c>
      <c r="V46" s="2" t="s">
        <v>12</v>
      </c>
      <c r="W46" s="2" t="s">
        <v>13</v>
      </c>
      <c r="X46" s="2" t="s">
        <v>13</v>
      </c>
      <c r="Y46" s="2" t="s">
        <v>15</v>
      </c>
      <c r="Z46" s="2" t="s">
        <v>14</v>
      </c>
    </row>
    <row r="47" spans="1:26" x14ac:dyDescent="0.25">
      <c r="A47" s="1">
        <v>48</v>
      </c>
      <c r="B47" s="3">
        <v>53</v>
      </c>
      <c r="C47" s="2" t="s">
        <v>6</v>
      </c>
      <c r="D47" s="2" t="s">
        <v>290</v>
      </c>
      <c r="E47" s="2" t="s">
        <v>39</v>
      </c>
      <c r="F47" s="2" t="s">
        <v>31</v>
      </c>
      <c r="G47" s="2">
        <f t="shared" si="1"/>
        <v>1</v>
      </c>
      <c r="H47" s="2" t="s">
        <v>32</v>
      </c>
      <c r="I47" s="2" t="s">
        <v>86</v>
      </c>
      <c r="J47" s="2" t="s">
        <v>87</v>
      </c>
      <c r="K47" s="2" t="s">
        <v>102</v>
      </c>
      <c r="L47" s="2" t="s">
        <v>294</v>
      </c>
      <c r="M47" s="2">
        <v>1</v>
      </c>
      <c r="N47" s="2" t="s">
        <v>24</v>
      </c>
      <c r="O47" s="2" t="s">
        <v>13</v>
      </c>
      <c r="P47" s="2" t="s">
        <v>24</v>
      </c>
      <c r="Q47" s="2" t="s">
        <v>13</v>
      </c>
      <c r="R47" s="2" t="s">
        <v>13</v>
      </c>
      <c r="S47" s="2" t="s">
        <v>15</v>
      </c>
      <c r="T47" s="2" t="s">
        <v>24</v>
      </c>
      <c r="U47" s="2" t="s">
        <v>24</v>
      </c>
      <c r="V47" s="2" t="s">
        <v>24</v>
      </c>
      <c r="W47" s="2" t="s">
        <v>24</v>
      </c>
      <c r="X47" s="2" t="s">
        <v>13</v>
      </c>
      <c r="Y47" s="2" t="s">
        <v>24</v>
      </c>
      <c r="Z47" s="2" t="s">
        <v>15</v>
      </c>
    </row>
    <row r="48" spans="1:26" x14ac:dyDescent="0.25">
      <c r="A48" s="1">
        <v>49</v>
      </c>
      <c r="B48" s="3">
        <v>62</v>
      </c>
      <c r="C48" s="2" t="s">
        <v>6</v>
      </c>
      <c r="D48" s="2" t="s">
        <v>16</v>
      </c>
      <c r="E48" s="2" t="s">
        <v>39</v>
      </c>
      <c r="F48" s="2" t="s">
        <v>248</v>
      </c>
      <c r="G48" s="2">
        <f t="shared" si="1"/>
        <v>2</v>
      </c>
      <c r="H48" s="2" t="s">
        <v>32</v>
      </c>
      <c r="I48" s="2" t="s">
        <v>86</v>
      </c>
      <c r="J48" s="2" t="s">
        <v>19</v>
      </c>
      <c r="K48" s="2" t="s">
        <v>103</v>
      </c>
      <c r="L48" s="2" t="s">
        <v>294</v>
      </c>
      <c r="M48" s="2">
        <v>1</v>
      </c>
      <c r="N48" s="2" t="s">
        <v>14</v>
      </c>
      <c r="O48" s="2" t="s">
        <v>24</v>
      </c>
      <c r="P48" s="2" t="s">
        <v>15</v>
      </c>
      <c r="Q48" s="2" t="s">
        <v>24</v>
      </c>
      <c r="R48" s="2" t="s">
        <v>13</v>
      </c>
      <c r="S48" s="2" t="s">
        <v>13</v>
      </c>
      <c r="T48" s="2" t="s">
        <v>24</v>
      </c>
      <c r="U48" s="2" t="s">
        <v>24</v>
      </c>
      <c r="V48" s="2" t="s">
        <v>12</v>
      </c>
      <c r="W48" s="2" t="s">
        <v>12</v>
      </c>
      <c r="X48" s="2" t="s">
        <v>12</v>
      </c>
      <c r="Y48" s="2" t="s">
        <v>14</v>
      </c>
      <c r="Z48" s="2" t="s">
        <v>14</v>
      </c>
    </row>
    <row r="49" spans="1:26" x14ac:dyDescent="0.25">
      <c r="A49" s="1">
        <v>50</v>
      </c>
      <c r="B49" s="3">
        <v>45</v>
      </c>
      <c r="C49" s="2" t="s">
        <v>104</v>
      </c>
      <c r="D49" s="2" t="s">
        <v>290</v>
      </c>
      <c r="E49" s="2" t="s">
        <v>39</v>
      </c>
      <c r="F49" s="2" t="s">
        <v>254</v>
      </c>
      <c r="G49" s="2">
        <f t="shared" si="1"/>
        <v>2</v>
      </c>
      <c r="H49" s="2" t="s">
        <v>32</v>
      </c>
      <c r="I49" s="2" t="s">
        <v>98</v>
      </c>
      <c r="J49" s="2" t="s">
        <v>44</v>
      </c>
      <c r="K49" s="2" t="s">
        <v>105</v>
      </c>
      <c r="L49" s="2" t="s">
        <v>294</v>
      </c>
      <c r="M49" s="2">
        <v>1</v>
      </c>
      <c r="N49" s="2" t="s">
        <v>15</v>
      </c>
      <c r="O49" s="2" t="s">
        <v>24</v>
      </c>
      <c r="P49" s="2" t="s">
        <v>24</v>
      </c>
      <c r="Q49" s="2" t="s">
        <v>24</v>
      </c>
      <c r="R49" s="2" t="s">
        <v>13</v>
      </c>
      <c r="S49" s="2" t="s">
        <v>13</v>
      </c>
      <c r="T49" s="2" t="s">
        <v>13</v>
      </c>
      <c r="U49" s="2" t="s">
        <v>24</v>
      </c>
      <c r="V49" s="2" t="s">
        <v>13</v>
      </c>
      <c r="W49" s="2" t="s">
        <v>24</v>
      </c>
      <c r="X49" s="2" t="s">
        <v>13</v>
      </c>
      <c r="Y49" s="2" t="s">
        <v>13</v>
      </c>
      <c r="Z49" s="2" t="s">
        <v>24</v>
      </c>
    </row>
    <row r="50" spans="1:26" x14ac:dyDescent="0.25">
      <c r="A50" s="1">
        <v>51</v>
      </c>
      <c r="B50" s="3">
        <v>63</v>
      </c>
      <c r="C50" s="2" t="s">
        <v>6</v>
      </c>
      <c r="D50" s="2" t="s">
        <v>16</v>
      </c>
      <c r="E50" s="2" t="s">
        <v>39</v>
      </c>
      <c r="F50" s="2" t="s">
        <v>31</v>
      </c>
      <c r="G50" s="2">
        <f t="shared" si="1"/>
        <v>1</v>
      </c>
      <c r="H50" s="2" t="s">
        <v>50</v>
      </c>
      <c r="I50" s="2" t="s">
        <v>86</v>
      </c>
      <c r="J50" s="2" t="s">
        <v>87</v>
      </c>
      <c r="K50" s="2" t="s">
        <v>106</v>
      </c>
      <c r="L50" s="2" t="s">
        <v>294</v>
      </c>
      <c r="M50" s="2">
        <v>0</v>
      </c>
      <c r="N50" s="2" t="s">
        <v>12</v>
      </c>
      <c r="O50" s="2" t="s">
        <v>12</v>
      </c>
      <c r="P50" s="2" t="s">
        <v>24</v>
      </c>
      <c r="Q50" s="2" t="s">
        <v>13</v>
      </c>
      <c r="R50" s="2" t="s">
        <v>12</v>
      </c>
      <c r="S50" s="2" t="s">
        <v>24</v>
      </c>
      <c r="T50" s="2" t="s">
        <v>24</v>
      </c>
      <c r="U50" s="2" t="s">
        <v>24</v>
      </c>
      <c r="V50" s="2" t="s">
        <v>14</v>
      </c>
      <c r="W50" s="2" t="s">
        <v>14</v>
      </c>
      <c r="X50" s="2" t="s">
        <v>24</v>
      </c>
      <c r="Y50" s="2" t="s">
        <v>14</v>
      </c>
      <c r="Z50" s="2" t="s">
        <v>24</v>
      </c>
    </row>
    <row r="51" spans="1:26" x14ac:dyDescent="0.25">
      <c r="A51" s="1">
        <v>52</v>
      </c>
      <c r="B51" s="3">
        <v>47</v>
      </c>
      <c r="C51" s="2" t="s">
        <v>107</v>
      </c>
      <c r="D51" s="2" t="s">
        <v>16</v>
      </c>
      <c r="E51" s="2" t="s">
        <v>39</v>
      </c>
      <c r="F51" s="2" t="s">
        <v>250</v>
      </c>
      <c r="G51" s="2">
        <f t="shared" si="1"/>
        <v>3</v>
      </c>
      <c r="H51" s="2" t="s">
        <v>17</v>
      </c>
      <c r="I51" s="2" t="s">
        <v>46</v>
      </c>
      <c r="J51" s="2" t="s">
        <v>26</v>
      </c>
      <c r="K51" s="2" t="s">
        <v>108</v>
      </c>
      <c r="L51" s="2" t="s">
        <v>293</v>
      </c>
      <c r="M51" s="2">
        <v>1</v>
      </c>
      <c r="N51" s="2" t="s">
        <v>24</v>
      </c>
      <c r="O51" s="2" t="s">
        <v>12</v>
      </c>
      <c r="P51" s="2" t="s">
        <v>12</v>
      </c>
      <c r="Q51" s="2" t="s">
        <v>13</v>
      </c>
      <c r="R51" s="2" t="s">
        <v>13</v>
      </c>
      <c r="S51" s="2" t="s">
        <v>24</v>
      </c>
      <c r="T51" s="2" t="s">
        <v>13</v>
      </c>
      <c r="U51" s="2" t="s">
        <v>13</v>
      </c>
      <c r="V51" s="2" t="s">
        <v>12</v>
      </c>
      <c r="W51" s="2" t="s">
        <v>12</v>
      </c>
      <c r="X51" s="2" t="s">
        <v>13</v>
      </c>
      <c r="Y51" s="2" t="s">
        <v>13</v>
      </c>
      <c r="Z51" s="2" t="s">
        <v>14</v>
      </c>
    </row>
    <row r="52" spans="1:26" x14ac:dyDescent="0.25">
      <c r="A52" s="1">
        <v>53</v>
      </c>
      <c r="B52" s="3">
        <v>50</v>
      </c>
      <c r="C52" s="2" t="s">
        <v>6</v>
      </c>
      <c r="D52" s="2" t="s">
        <v>16</v>
      </c>
      <c r="E52" s="2" t="s">
        <v>39</v>
      </c>
      <c r="F52" s="2" t="s">
        <v>31</v>
      </c>
      <c r="G52" s="2">
        <f t="shared" si="1"/>
        <v>1</v>
      </c>
      <c r="H52" s="2" t="s">
        <v>50</v>
      </c>
      <c r="I52" s="2" t="s">
        <v>58</v>
      </c>
      <c r="J52" s="2" t="s">
        <v>19</v>
      </c>
      <c r="K52" s="2" t="s">
        <v>109</v>
      </c>
      <c r="L52" s="2" t="s">
        <v>293</v>
      </c>
      <c r="M52" s="2">
        <v>1</v>
      </c>
      <c r="N52" s="2" t="s">
        <v>24</v>
      </c>
      <c r="O52" s="2" t="s">
        <v>24</v>
      </c>
      <c r="P52" s="2" t="s">
        <v>15</v>
      </c>
      <c r="Q52" s="2" t="s">
        <v>24</v>
      </c>
      <c r="R52" s="2" t="s">
        <v>15</v>
      </c>
      <c r="S52" s="2" t="s">
        <v>13</v>
      </c>
      <c r="T52" s="2" t="s">
        <v>24</v>
      </c>
      <c r="U52" s="2" t="s">
        <v>24</v>
      </c>
      <c r="V52" s="2" t="s">
        <v>13</v>
      </c>
      <c r="W52" s="2" t="s">
        <v>13</v>
      </c>
      <c r="X52" s="2" t="s">
        <v>13</v>
      </c>
      <c r="Y52" s="2" t="s">
        <v>24</v>
      </c>
      <c r="Z52" s="2" t="s">
        <v>24</v>
      </c>
    </row>
    <row r="53" spans="1:26" x14ac:dyDescent="0.25">
      <c r="A53" s="1">
        <v>54</v>
      </c>
      <c r="B53" s="3">
        <v>47</v>
      </c>
      <c r="C53" s="2" t="s">
        <v>6</v>
      </c>
      <c r="D53" s="2" t="s">
        <v>290</v>
      </c>
      <c r="E53" s="2" t="s">
        <v>7</v>
      </c>
      <c r="F53" s="2" t="s">
        <v>31</v>
      </c>
      <c r="G53" s="2">
        <f t="shared" si="1"/>
        <v>1</v>
      </c>
      <c r="H53" s="2" t="s">
        <v>21</v>
      </c>
      <c r="I53" s="2" t="s">
        <v>110</v>
      </c>
      <c r="J53" s="2" t="s">
        <v>26</v>
      </c>
      <c r="K53" s="2" t="s">
        <v>111</v>
      </c>
      <c r="L53" s="2" t="s">
        <v>294</v>
      </c>
      <c r="M53" s="2">
        <v>1</v>
      </c>
      <c r="N53" s="2" t="s">
        <v>15</v>
      </c>
      <c r="O53" s="2" t="s">
        <v>13</v>
      </c>
      <c r="P53" s="2" t="s">
        <v>24</v>
      </c>
      <c r="Q53" s="2" t="s">
        <v>24</v>
      </c>
      <c r="R53" s="2" t="s">
        <v>13</v>
      </c>
      <c r="S53" s="2" t="s">
        <v>24</v>
      </c>
      <c r="T53" s="2" t="s">
        <v>24</v>
      </c>
      <c r="U53" s="2" t="s">
        <v>15</v>
      </c>
      <c r="V53" s="2" t="s">
        <v>13</v>
      </c>
      <c r="W53" s="2" t="s">
        <v>13</v>
      </c>
      <c r="X53" s="2" t="s">
        <v>13</v>
      </c>
      <c r="Y53" s="2" t="s">
        <v>15</v>
      </c>
      <c r="Z53" s="2" t="s">
        <v>14</v>
      </c>
    </row>
    <row r="54" spans="1:26" x14ac:dyDescent="0.25">
      <c r="A54" s="1">
        <v>55</v>
      </c>
      <c r="B54" s="3">
        <v>24</v>
      </c>
      <c r="C54" s="2" t="s">
        <v>6</v>
      </c>
      <c r="D54" s="2" t="s">
        <v>290</v>
      </c>
      <c r="E54" s="2" t="s">
        <v>7</v>
      </c>
      <c r="F54" s="2" t="s">
        <v>246</v>
      </c>
      <c r="G54" s="2">
        <f t="shared" si="1"/>
        <v>2</v>
      </c>
      <c r="H54" s="2" t="s">
        <v>8</v>
      </c>
      <c r="I54" s="2" t="s">
        <v>112</v>
      </c>
      <c r="J54" s="2" t="s">
        <v>26</v>
      </c>
      <c r="K54" s="2" t="s">
        <v>113</v>
      </c>
      <c r="L54" s="2" t="s">
        <v>293</v>
      </c>
      <c r="M54" s="2">
        <v>1</v>
      </c>
      <c r="N54" s="2" t="s">
        <v>15</v>
      </c>
      <c r="O54" s="2" t="s">
        <v>13</v>
      </c>
      <c r="P54" s="2" t="s">
        <v>13</v>
      </c>
      <c r="Q54" s="2" t="s">
        <v>24</v>
      </c>
      <c r="R54" s="2" t="s">
        <v>13</v>
      </c>
      <c r="S54" s="2" t="s">
        <v>13</v>
      </c>
      <c r="T54" s="2" t="s">
        <v>15</v>
      </c>
      <c r="U54" s="2" t="s">
        <v>13</v>
      </c>
      <c r="V54" s="2" t="s">
        <v>24</v>
      </c>
      <c r="W54" s="2" t="s">
        <v>15</v>
      </c>
      <c r="X54" s="2" t="s">
        <v>12</v>
      </c>
      <c r="Y54" s="2" t="s">
        <v>13</v>
      </c>
      <c r="Z54" s="2" t="s">
        <v>15</v>
      </c>
    </row>
    <row r="55" spans="1:26" x14ac:dyDescent="0.25">
      <c r="A55" s="1">
        <v>56</v>
      </c>
      <c r="B55" s="3">
        <v>54</v>
      </c>
      <c r="C55" s="2" t="s">
        <v>6</v>
      </c>
      <c r="D55" s="2" t="s">
        <v>290</v>
      </c>
      <c r="E55" s="2" t="s">
        <v>7</v>
      </c>
      <c r="F55" s="2" t="s">
        <v>31</v>
      </c>
      <c r="G55" s="2">
        <f t="shared" si="1"/>
        <v>1</v>
      </c>
      <c r="H55" s="2" t="s">
        <v>32</v>
      </c>
      <c r="I55" s="2" t="s">
        <v>114</v>
      </c>
      <c r="J55" s="2" t="s">
        <v>19</v>
      </c>
      <c r="K55" s="2" t="s">
        <v>115</v>
      </c>
      <c r="L55" s="2" t="s">
        <v>294</v>
      </c>
      <c r="M55" s="2">
        <v>2</v>
      </c>
      <c r="N55" s="2" t="s">
        <v>13</v>
      </c>
      <c r="O55" s="2" t="s">
        <v>13</v>
      </c>
      <c r="P55" s="2" t="s">
        <v>13</v>
      </c>
      <c r="Q55" s="2" t="s">
        <v>24</v>
      </c>
      <c r="R55" s="2" t="s">
        <v>13</v>
      </c>
      <c r="S55" s="2" t="s">
        <v>13</v>
      </c>
      <c r="T55" s="2" t="s">
        <v>24</v>
      </c>
      <c r="U55" s="2" t="s">
        <v>13</v>
      </c>
      <c r="V55" s="2" t="s">
        <v>13</v>
      </c>
      <c r="W55" s="2" t="s">
        <v>15</v>
      </c>
      <c r="X55" s="2" t="s">
        <v>13</v>
      </c>
      <c r="Y55" s="2" t="s">
        <v>24</v>
      </c>
      <c r="Z55" s="2" t="s">
        <v>24</v>
      </c>
    </row>
    <row r="56" spans="1:26" x14ac:dyDescent="0.25">
      <c r="A56" s="1">
        <v>57</v>
      </c>
      <c r="B56" s="3">
        <v>61</v>
      </c>
      <c r="C56" s="2" t="s">
        <v>6</v>
      </c>
      <c r="D56" s="2" t="s">
        <v>290</v>
      </c>
      <c r="E56" s="2" t="s">
        <v>39</v>
      </c>
      <c r="F56" s="2" t="s">
        <v>31</v>
      </c>
      <c r="G56" s="2">
        <f t="shared" si="1"/>
        <v>1</v>
      </c>
      <c r="H56" s="2" t="s">
        <v>50</v>
      </c>
      <c r="I56" s="2" t="s">
        <v>86</v>
      </c>
      <c r="J56" s="2" t="s">
        <v>87</v>
      </c>
      <c r="K56" s="2" t="s">
        <v>116</v>
      </c>
      <c r="L56" s="2" t="s">
        <v>294</v>
      </c>
      <c r="M56" s="2">
        <v>1</v>
      </c>
      <c r="N56" s="2" t="s">
        <v>14</v>
      </c>
      <c r="O56" s="2" t="s">
        <v>24</v>
      </c>
      <c r="P56" s="2" t="s">
        <v>13</v>
      </c>
      <c r="Q56" s="2" t="s">
        <v>24</v>
      </c>
      <c r="R56" s="2" t="s">
        <v>13</v>
      </c>
      <c r="S56" s="2" t="s">
        <v>13</v>
      </c>
      <c r="T56" s="2" t="s">
        <v>13</v>
      </c>
      <c r="U56" s="2" t="s">
        <v>24</v>
      </c>
      <c r="V56" s="2" t="s">
        <v>13</v>
      </c>
      <c r="W56" s="2" t="s">
        <v>15</v>
      </c>
      <c r="X56" s="2" t="s">
        <v>13</v>
      </c>
      <c r="Y56" s="2" t="s">
        <v>15</v>
      </c>
      <c r="Z56" s="2" t="s">
        <v>15</v>
      </c>
    </row>
    <row r="57" spans="1:26" x14ac:dyDescent="0.25">
      <c r="A57" s="1">
        <v>58</v>
      </c>
      <c r="B57" s="3">
        <v>45</v>
      </c>
      <c r="C57" s="2" t="s">
        <v>6</v>
      </c>
      <c r="D57" s="2" t="s">
        <v>290</v>
      </c>
      <c r="E57" s="2" t="s">
        <v>7</v>
      </c>
      <c r="F57" s="2" t="s">
        <v>31</v>
      </c>
      <c r="G57" s="2">
        <f t="shared" si="1"/>
        <v>1</v>
      </c>
      <c r="H57" s="2" t="s">
        <v>32</v>
      </c>
      <c r="I57" s="2" t="s">
        <v>86</v>
      </c>
      <c r="J57" s="2" t="s">
        <v>19</v>
      </c>
      <c r="K57" s="2" t="s">
        <v>117</v>
      </c>
      <c r="L57" s="2" t="s">
        <v>294</v>
      </c>
      <c r="M57" s="2">
        <v>1</v>
      </c>
      <c r="N57" s="2" t="s">
        <v>24</v>
      </c>
      <c r="O57" s="2" t="s">
        <v>12</v>
      </c>
      <c r="P57" s="2" t="s">
        <v>13</v>
      </c>
      <c r="Q57" s="2" t="s">
        <v>13</v>
      </c>
      <c r="R57" s="2" t="s">
        <v>13</v>
      </c>
      <c r="S57" s="2" t="s">
        <v>24</v>
      </c>
      <c r="T57" s="2" t="s">
        <v>15</v>
      </c>
      <c r="U57" s="2" t="s">
        <v>13</v>
      </c>
      <c r="V57" s="2" t="s">
        <v>13</v>
      </c>
      <c r="W57" s="2" t="s">
        <v>13</v>
      </c>
      <c r="X57" s="2" t="s">
        <v>24</v>
      </c>
      <c r="Y57" s="2" t="s">
        <v>24</v>
      </c>
      <c r="Z57" s="2" t="s">
        <v>15</v>
      </c>
    </row>
    <row r="58" spans="1:26" x14ac:dyDescent="0.25">
      <c r="A58" s="1">
        <v>59</v>
      </c>
      <c r="B58" s="3">
        <v>64</v>
      </c>
      <c r="C58" s="2" t="s">
        <v>6</v>
      </c>
      <c r="D58" s="2" t="s">
        <v>290</v>
      </c>
      <c r="E58" s="2" t="s">
        <v>39</v>
      </c>
      <c r="F58" s="2" t="s">
        <v>31</v>
      </c>
      <c r="G58" s="2">
        <f t="shared" si="1"/>
        <v>1</v>
      </c>
      <c r="H58" s="2" t="s">
        <v>32</v>
      </c>
      <c r="I58" s="2" t="s">
        <v>86</v>
      </c>
      <c r="J58" s="2" t="s">
        <v>44</v>
      </c>
      <c r="K58" s="2" t="s">
        <v>118</v>
      </c>
      <c r="L58" s="2" t="s">
        <v>293</v>
      </c>
      <c r="M58" s="2">
        <v>3</v>
      </c>
      <c r="N58" s="2" t="s">
        <v>15</v>
      </c>
      <c r="O58" s="2" t="s">
        <v>24</v>
      </c>
      <c r="P58" s="2" t="s">
        <v>14</v>
      </c>
      <c r="Q58" s="2" t="s">
        <v>24</v>
      </c>
      <c r="R58" s="2" t="s">
        <v>12</v>
      </c>
      <c r="S58" s="2" t="s">
        <v>15</v>
      </c>
      <c r="T58" s="2" t="s">
        <v>15</v>
      </c>
      <c r="U58" s="2" t="s">
        <v>14</v>
      </c>
      <c r="V58" s="2" t="s">
        <v>12</v>
      </c>
      <c r="W58" s="2" t="s">
        <v>14</v>
      </c>
      <c r="X58" s="2" t="s">
        <v>12</v>
      </c>
      <c r="Y58" s="2" t="s">
        <v>15</v>
      </c>
      <c r="Z58" s="2" t="s">
        <v>14</v>
      </c>
    </row>
    <row r="59" spans="1:26" x14ac:dyDescent="0.25">
      <c r="A59" s="1">
        <v>60</v>
      </c>
      <c r="B59" s="3">
        <v>24</v>
      </c>
      <c r="C59" s="2" t="s">
        <v>6</v>
      </c>
      <c r="D59" s="2" t="s">
        <v>16</v>
      </c>
      <c r="E59" s="2" t="s">
        <v>7</v>
      </c>
      <c r="F59" s="2" t="s">
        <v>246</v>
      </c>
      <c r="G59" s="2">
        <f t="shared" si="1"/>
        <v>2</v>
      </c>
      <c r="H59" s="2" t="s">
        <v>21</v>
      </c>
      <c r="I59" s="2" t="s">
        <v>33</v>
      </c>
      <c r="J59" s="2" t="s">
        <v>26</v>
      </c>
      <c r="K59" s="2" t="s">
        <v>119</v>
      </c>
      <c r="L59" s="2" t="s">
        <v>293</v>
      </c>
      <c r="M59" s="2">
        <v>3</v>
      </c>
      <c r="N59" s="2" t="s">
        <v>14</v>
      </c>
      <c r="O59" s="2" t="s">
        <v>12</v>
      </c>
      <c r="P59" s="2" t="s">
        <v>13</v>
      </c>
      <c r="Q59" s="2" t="s">
        <v>24</v>
      </c>
      <c r="R59" s="2" t="s">
        <v>15</v>
      </c>
      <c r="S59" s="2" t="s">
        <v>15</v>
      </c>
      <c r="T59" s="2" t="s">
        <v>14</v>
      </c>
      <c r="U59" s="2" t="s">
        <v>14</v>
      </c>
      <c r="V59" s="2" t="s">
        <v>13</v>
      </c>
      <c r="W59" s="2" t="s">
        <v>15</v>
      </c>
      <c r="X59" s="2" t="s">
        <v>13</v>
      </c>
      <c r="Y59" s="2" t="s">
        <v>12</v>
      </c>
      <c r="Z59" s="2" t="s">
        <v>14</v>
      </c>
    </row>
    <row r="60" spans="1:26" x14ac:dyDescent="0.25">
      <c r="A60" s="1">
        <v>61</v>
      </c>
      <c r="B60" s="3">
        <v>20</v>
      </c>
      <c r="C60" s="2" t="s">
        <v>6</v>
      </c>
      <c r="D60" s="2" t="s">
        <v>16</v>
      </c>
      <c r="E60" s="2" t="s">
        <v>7</v>
      </c>
      <c r="F60" s="2" t="s">
        <v>246</v>
      </c>
      <c r="G60" s="2">
        <f t="shared" si="1"/>
        <v>2</v>
      </c>
      <c r="H60" s="2" t="s">
        <v>21</v>
      </c>
      <c r="I60" s="2" t="s">
        <v>58</v>
      </c>
      <c r="J60" s="2" t="s">
        <v>19</v>
      </c>
      <c r="K60" s="2" t="s">
        <v>120</v>
      </c>
      <c r="L60" s="2" t="s">
        <v>294</v>
      </c>
      <c r="M60" s="2">
        <v>1</v>
      </c>
      <c r="N60" s="2" t="s">
        <v>24</v>
      </c>
      <c r="O60" s="2" t="s">
        <v>12</v>
      </c>
      <c r="P60" s="2" t="s">
        <v>12</v>
      </c>
      <c r="Q60" s="2" t="s">
        <v>24</v>
      </c>
      <c r="R60" s="2" t="s">
        <v>24</v>
      </c>
      <c r="S60" s="2" t="s">
        <v>13</v>
      </c>
      <c r="T60" s="2" t="s">
        <v>15</v>
      </c>
      <c r="U60" s="2" t="s">
        <v>13</v>
      </c>
      <c r="V60" s="2" t="s">
        <v>12</v>
      </c>
      <c r="W60" s="2" t="s">
        <v>15</v>
      </c>
      <c r="X60" s="2" t="s">
        <v>24</v>
      </c>
      <c r="Y60" s="2" t="s">
        <v>13</v>
      </c>
      <c r="Z60" s="2" t="s">
        <v>15</v>
      </c>
    </row>
    <row r="61" spans="1:26" x14ac:dyDescent="0.25">
      <c r="A61" s="1">
        <v>62</v>
      </c>
      <c r="B61" s="3">
        <v>23</v>
      </c>
      <c r="C61" s="2" t="s">
        <v>6</v>
      </c>
      <c r="D61" s="2" t="s">
        <v>16</v>
      </c>
      <c r="E61" s="2" t="s">
        <v>39</v>
      </c>
      <c r="F61" s="2" t="s">
        <v>31</v>
      </c>
      <c r="G61" s="2">
        <f t="shared" si="1"/>
        <v>1</v>
      </c>
      <c r="H61" s="2" t="s">
        <v>21</v>
      </c>
      <c r="I61" s="2" t="s">
        <v>46</v>
      </c>
      <c r="J61" s="2" t="s">
        <v>19</v>
      </c>
      <c r="K61" s="2" t="s">
        <v>121</v>
      </c>
      <c r="L61" s="2" t="s">
        <v>293</v>
      </c>
      <c r="M61" s="2">
        <v>3</v>
      </c>
      <c r="N61" s="2" t="s">
        <v>24</v>
      </c>
      <c r="O61" s="2" t="s">
        <v>24</v>
      </c>
      <c r="P61" s="2" t="s">
        <v>14</v>
      </c>
      <c r="Q61" s="2" t="s">
        <v>12</v>
      </c>
      <c r="R61" s="2" t="s">
        <v>12</v>
      </c>
      <c r="S61" s="2" t="s">
        <v>13</v>
      </c>
      <c r="T61" s="2" t="s">
        <v>24</v>
      </c>
      <c r="U61" s="2" t="s">
        <v>24</v>
      </c>
      <c r="V61" s="2" t="s">
        <v>15</v>
      </c>
      <c r="W61" s="2" t="s">
        <v>24</v>
      </c>
      <c r="X61" s="2" t="s">
        <v>12</v>
      </c>
      <c r="Y61" s="2" t="s">
        <v>13</v>
      </c>
      <c r="Z61" s="2" t="s">
        <v>14</v>
      </c>
    </row>
    <row r="62" spans="1:26" x14ac:dyDescent="0.25">
      <c r="A62" s="1">
        <v>63</v>
      </c>
      <c r="B62" s="3">
        <v>46</v>
      </c>
      <c r="C62" s="2" t="s">
        <v>43</v>
      </c>
      <c r="D62" s="2" t="s">
        <v>290</v>
      </c>
      <c r="E62" s="2" t="s">
        <v>39</v>
      </c>
      <c r="F62" s="2" t="s">
        <v>246</v>
      </c>
      <c r="G62" s="2">
        <f t="shared" si="1"/>
        <v>2</v>
      </c>
      <c r="H62" s="2" t="s">
        <v>32</v>
      </c>
      <c r="I62" s="2" t="s">
        <v>86</v>
      </c>
      <c r="J62" s="2" t="s">
        <v>19</v>
      </c>
      <c r="K62" s="2" t="s">
        <v>122</v>
      </c>
      <c r="L62" s="2" t="s">
        <v>293</v>
      </c>
      <c r="M62" s="2">
        <v>3</v>
      </c>
      <c r="N62" s="2" t="s">
        <v>24</v>
      </c>
      <c r="O62" s="2" t="s">
        <v>24</v>
      </c>
      <c r="P62" s="2" t="s">
        <v>24</v>
      </c>
      <c r="Q62" s="2" t="s">
        <v>13</v>
      </c>
      <c r="R62" s="2" t="s">
        <v>12</v>
      </c>
      <c r="S62" s="2" t="s">
        <v>24</v>
      </c>
      <c r="T62" s="2" t="s">
        <v>13</v>
      </c>
      <c r="U62" s="2" t="s">
        <v>13</v>
      </c>
      <c r="V62" s="2" t="s">
        <v>13</v>
      </c>
      <c r="W62" s="2" t="s">
        <v>13</v>
      </c>
      <c r="X62" s="2" t="s">
        <v>13</v>
      </c>
      <c r="Y62" s="2" t="s">
        <v>13</v>
      </c>
      <c r="Z62" s="2" t="s">
        <v>15</v>
      </c>
    </row>
    <row r="63" spans="1:26" x14ac:dyDescent="0.25">
      <c r="A63" s="1">
        <v>64</v>
      </c>
      <c r="B63" s="3">
        <v>27</v>
      </c>
      <c r="C63" s="2" t="s">
        <v>6</v>
      </c>
      <c r="D63" s="2" t="s">
        <v>290</v>
      </c>
      <c r="E63" s="2" t="s">
        <v>7</v>
      </c>
      <c r="F63" s="2" t="s">
        <v>246</v>
      </c>
      <c r="G63" s="2">
        <f t="shared" si="1"/>
        <v>2</v>
      </c>
      <c r="H63" s="2" t="s">
        <v>21</v>
      </c>
      <c r="I63" s="2" t="s">
        <v>53</v>
      </c>
      <c r="J63" s="2" t="s">
        <v>19</v>
      </c>
      <c r="K63" s="2" t="s">
        <v>123</v>
      </c>
      <c r="L63" s="2" t="s">
        <v>293</v>
      </c>
      <c r="M63" s="2">
        <v>1</v>
      </c>
      <c r="N63" s="2" t="s">
        <v>24</v>
      </c>
      <c r="O63" s="2" t="s">
        <v>24</v>
      </c>
      <c r="P63" s="2" t="s">
        <v>15</v>
      </c>
      <c r="Q63" s="2" t="s">
        <v>24</v>
      </c>
      <c r="R63" s="2" t="s">
        <v>12</v>
      </c>
      <c r="S63" s="2" t="s">
        <v>24</v>
      </c>
      <c r="T63" s="2" t="s">
        <v>15</v>
      </c>
      <c r="U63" s="2" t="s">
        <v>13</v>
      </c>
      <c r="V63" s="2" t="s">
        <v>12</v>
      </c>
      <c r="W63" s="2" t="s">
        <v>12</v>
      </c>
      <c r="X63" s="2" t="s">
        <v>12</v>
      </c>
      <c r="Y63" s="2" t="s">
        <v>13</v>
      </c>
      <c r="Z63" s="2" t="s">
        <v>14</v>
      </c>
    </row>
    <row r="64" spans="1:26" x14ac:dyDescent="0.25">
      <c r="A64" s="1">
        <v>65</v>
      </c>
      <c r="B64" s="3">
        <v>22</v>
      </c>
      <c r="C64" s="2" t="s">
        <v>43</v>
      </c>
      <c r="D64" s="2" t="s">
        <v>290</v>
      </c>
      <c r="E64" s="2" t="s">
        <v>7</v>
      </c>
      <c r="F64" s="2" t="s">
        <v>246</v>
      </c>
      <c r="G64" s="2">
        <f t="shared" ref="G64:G95" si="2">IF(LEN(TRIM(F64))=0,0,LEN(TRIM(F64))-LEN(SUBSTITUTE(F64," ",""))+1)</f>
        <v>2</v>
      </c>
      <c r="H64" s="2" t="s">
        <v>8</v>
      </c>
      <c r="I64" s="2" t="s">
        <v>124</v>
      </c>
      <c r="J64" s="2" t="s">
        <v>10</v>
      </c>
      <c r="K64" s="2" t="s">
        <v>125</v>
      </c>
      <c r="L64" s="2" t="s">
        <v>293</v>
      </c>
      <c r="M64" s="2">
        <v>2</v>
      </c>
      <c r="N64" s="2" t="s">
        <v>15</v>
      </c>
      <c r="O64" s="2" t="s">
        <v>14</v>
      </c>
      <c r="P64" s="2" t="s">
        <v>14</v>
      </c>
      <c r="Q64" s="2" t="s">
        <v>13</v>
      </c>
      <c r="R64" s="2" t="s">
        <v>12</v>
      </c>
      <c r="S64" s="2" t="s">
        <v>13</v>
      </c>
      <c r="T64" s="2" t="s">
        <v>24</v>
      </c>
      <c r="U64" s="2" t="s">
        <v>13</v>
      </c>
      <c r="V64" s="2" t="s">
        <v>12</v>
      </c>
      <c r="W64" s="2" t="s">
        <v>13</v>
      </c>
      <c r="X64" s="2" t="s">
        <v>12</v>
      </c>
      <c r="Y64" s="2" t="s">
        <v>12</v>
      </c>
      <c r="Z64" s="2" t="s">
        <v>14</v>
      </c>
    </row>
    <row r="65" spans="1:26" x14ac:dyDescent="0.25">
      <c r="A65" s="1">
        <v>66</v>
      </c>
      <c r="B65" s="3">
        <v>24</v>
      </c>
      <c r="C65" s="2" t="s">
        <v>64</v>
      </c>
      <c r="D65" s="2" t="s">
        <v>290</v>
      </c>
      <c r="E65" s="2" t="s">
        <v>7</v>
      </c>
      <c r="F65" s="2" t="s">
        <v>31</v>
      </c>
      <c r="G65" s="2">
        <f t="shared" si="2"/>
        <v>1</v>
      </c>
      <c r="H65" s="2" t="s">
        <v>32</v>
      </c>
      <c r="I65" s="2" t="s">
        <v>35</v>
      </c>
      <c r="J65" s="2" t="s">
        <v>26</v>
      </c>
      <c r="K65" s="2" t="s">
        <v>126</v>
      </c>
      <c r="L65" s="2" t="s">
        <v>294</v>
      </c>
      <c r="M65" s="2">
        <v>1</v>
      </c>
      <c r="N65" s="2" t="s">
        <v>15</v>
      </c>
      <c r="O65" s="2" t="s">
        <v>24</v>
      </c>
      <c r="P65" s="2" t="s">
        <v>24</v>
      </c>
      <c r="Q65" s="2" t="s">
        <v>13</v>
      </c>
      <c r="R65" s="2" t="s">
        <v>12</v>
      </c>
      <c r="S65" s="2" t="s">
        <v>13</v>
      </c>
      <c r="T65" s="2" t="s">
        <v>15</v>
      </c>
      <c r="U65" s="2" t="s">
        <v>24</v>
      </c>
      <c r="V65" s="2" t="s">
        <v>13</v>
      </c>
      <c r="W65" s="2" t="s">
        <v>13</v>
      </c>
      <c r="X65" s="2" t="s">
        <v>13</v>
      </c>
      <c r="Y65" s="2" t="s">
        <v>15</v>
      </c>
      <c r="Z65" s="2" t="s">
        <v>15</v>
      </c>
    </row>
    <row r="66" spans="1:26" x14ac:dyDescent="0.25">
      <c r="A66" s="1">
        <v>67</v>
      </c>
      <c r="B66" s="3">
        <v>39</v>
      </c>
      <c r="C66" s="2" t="s">
        <v>6</v>
      </c>
      <c r="D66" s="2" t="s">
        <v>16</v>
      </c>
      <c r="E66" s="2" t="s">
        <v>7</v>
      </c>
      <c r="F66" s="2" t="s">
        <v>246</v>
      </c>
      <c r="G66" s="2">
        <f t="shared" si="2"/>
        <v>2</v>
      </c>
      <c r="H66" s="2" t="s">
        <v>32</v>
      </c>
      <c r="I66" s="2" t="s">
        <v>35</v>
      </c>
      <c r="J66" s="2" t="s">
        <v>26</v>
      </c>
      <c r="K66" s="2" t="s">
        <v>127</v>
      </c>
      <c r="L66" s="2" t="s">
        <v>294</v>
      </c>
      <c r="M66" s="2">
        <v>1</v>
      </c>
      <c r="N66" s="2" t="s">
        <v>12</v>
      </c>
      <c r="O66" s="2" t="s">
        <v>12</v>
      </c>
      <c r="P66" s="2" t="s">
        <v>13</v>
      </c>
      <c r="Q66" s="2" t="s">
        <v>24</v>
      </c>
      <c r="R66" s="2" t="s">
        <v>24</v>
      </c>
      <c r="S66" s="2" t="s">
        <v>24</v>
      </c>
      <c r="T66" s="2" t="s">
        <v>24</v>
      </c>
      <c r="U66" s="2" t="s">
        <v>15</v>
      </c>
      <c r="V66" s="2" t="s">
        <v>14</v>
      </c>
      <c r="W66" s="2" t="s">
        <v>14</v>
      </c>
      <c r="X66" s="2" t="s">
        <v>13</v>
      </c>
      <c r="Y66" s="2" t="s">
        <v>12</v>
      </c>
      <c r="Z66" s="2" t="s">
        <v>15</v>
      </c>
    </row>
    <row r="67" spans="1:26" x14ac:dyDescent="0.25">
      <c r="A67" s="1">
        <v>68</v>
      </c>
      <c r="B67" s="3">
        <v>37</v>
      </c>
      <c r="C67" s="2" t="s">
        <v>43</v>
      </c>
      <c r="D67" s="2" t="s">
        <v>290</v>
      </c>
      <c r="E67" s="2" t="s">
        <v>39</v>
      </c>
      <c r="F67" s="2" t="s">
        <v>31</v>
      </c>
      <c r="G67" s="2">
        <f t="shared" si="2"/>
        <v>1</v>
      </c>
      <c r="H67" s="2" t="s">
        <v>32</v>
      </c>
      <c r="I67" s="2" t="s">
        <v>86</v>
      </c>
      <c r="J67" s="2" t="s">
        <v>19</v>
      </c>
      <c r="K67" s="2" t="s">
        <v>128</v>
      </c>
      <c r="L67" s="2" t="s">
        <v>293</v>
      </c>
      <c r="M67" s="2">
        <v>1</v>
      </c>
      <c r="N67" s="2" t="s">
        <v>24</v>
      </c>
      <c r="O67" s="2" t="s">
        <v>12</v>
      </c>
      <c r="P67" s="2" t="s">
        <v>24</v>
      </c>
      <c r="Q67" s="2" t="s">
        <v>24</v>
      </c>
      <c r="R67" s="2" t="s">
        <v>12</v>
      </c>
      <c r="S67" s="2" t="s">
        <v>24</v>
      </c>
      <c r="T67" s="2" t="s">
        <v>24</v>
      </c>
      <c r="U67" s="2" t="s">
        <v>13</v>
      </c>
      <c r="V67" s="2" t="s">
        <v>13</v>
      </c>
      <c r="W67" s="2" t="s">
        <v>13</v>
      </c>
      <c r="X67" s="2" t="s">
        <v>13</v>
      </c>
      <c r="Y67" s="2" t="s">
        <v>15</v>
      </c>
      <c r="Z67" s="2" t="s">
        <v>15</v>
      </c>
    </row>
    <row r="68" spans="1:26" x14ac:dyDescent="0.25">
      <c r="A68" s="1">
        <v>69</v>
      </c>
      <c r="B68" s="3">
        <v>21</v>
      </c>
      <c r="C68" s="2" t="s">
        <v>6</v>
      </c>
      <c r="D68" s="2" t="s">
        <v>16</v>
      </c>
      <c r="E68" s="2" t="s">
        <v>7</v>
      </c>
      <c r="F68" s="2" t="s">
        <v>246</v>
      </c>
      <c r="G68" s="2">
        <f t="shared" si="2"/>
        <v>2</v>
      </c>
      <c r="H68" s="2" t="s">
        <v>17</v>
      </c>
      <c r="I68" s="2" t="s">
        <v>129</v>
      </c>
      <c r="J68" s="2" t="s">
        <v>19</v>
      </c>
      <c r="K68" s="2" t="s">
        <v>130</v>
      </c>
      <c r="L68" s="2" t="s">
        <v>294</v>
      </c>
      <c r="M68" s="2">
        <v>3</v>
      </c>
      <c r="N68" s="2" t="s">
        <v>14</v>
      </c>
      <c r="O68" s="2" t="s">
        <v>24</v>
      </c>
      <c r="P68" s="2" t="s">
        <v>14</v>
      </c>
      <c r="Q68" s="2" t="s">
        <v>24</v>
      </c>
      <c r="R68" s="2" t="s">
        <v>13</v>
      </c>
      <c r="S68" s="2" t="s">
        <v>24</v>
      </c>
      <c r="T68" s="2" t="s">
        <v>13</v>
      </c>
      <c r="U68" s="2" t="s">
        <v>15</v>
      </c>
      <c r="V68" s="2" t="s">
        <v>13</v>
      </c>
      <c r="W68" s="2" t="s">
        <v>15</v>
      </c>
      <c r="X68" s="2" t="s">
        <v>12</v>
      </c>
      <c r="Y68" s="2" t="s">
        <v>15</v>
      </c>
      <c r="Z68" s="2" t="s">
        <v>14</v>
      </c>
    </row>
    <row r="69" spans="1:26" x14ac:dyDescent="0.25">
      <c r="A69" s="1">
        <v>70</v>
      </c>
      <c r="B69" s="3">
        <v>27</v>
      </c>
      <c r="C69" s="2" t="s">
        <v>6</v>
      </c>
      <c r="D69" s="2" t="s">
        <v>16</v>
      </c>
      <c r="E69" s="2" t="s">
        <v>39</v>
      </c>
      <c r="F69" s="2" t="s">
        <v>245</v>
      </c>
      <c r="G69" s="2">
        <f t="shared" si="2"/>
        <v>3</v>
      </c>
      <c r="H69" s="2" t="s">
        <v>21</v>
      </c>
      <c r="I69" s="2" t="s">
        <v>40</v>
      </c>
      <c r="J69" s="2" t="s">
        <v>19</v>
      </c>
      <c r="K69" s="2" t="s">
        <v>131</v>
      </c>
      <c r="L69" s="2" t="s">
        <v>293</v>
      </c>
      <c r="M69" s="2">
        <v>3</v>
      </c>
      <c r="N69" s="2" t="s">
        <v>14</v>
      </c>
      <c r="O69" s="2" t="s">
        <v>12</v>
      </c>
      <c r="P69" s="2" t="s">
        <v>15</v>
      </c>
      <c r="Q69" s="2" t="s">
        <v>13</v>
      </c>
      <c r="R69" s="2" t="s">
        <v>12</v>
      </c>
      <c r="S69" s="2" t="s">
        <v>13</v>
      </c>
      <c r="T69" s="2" t="s">
        <v>24</v>
      </c>
      <c r="U69" s="2" t="s">
        <v>13</v>
      </c>
      <c r="V69" s="2" t="s">
        <v>13</v>
      </c>
      <c r="W69" s="2" t="s">
        <v>12</v>
      </c>
      <c r="X69" s="2" t="s">
        <v>12</v>
      </c>
      <c r="Y69" s="2" t="s">
        <v>15</v>
      </c>
      <c r="Z69" s="2" t="s">
        <v>14</v>
      </c>
    </row>
    <row r="70" spans="1:26" x14ac:dyDescent="0.25">
      <c r="A70" s="1">
        <v>71</v>
      </c>
      <c r="B70" s="3">
        <v>26</v>
      </c>
      <c r="C70" s="2" t="s">
        <v>64</v>
      </c>
      <c r="D70" s="2" t="s">
        <v>16</v>
      </c>
      <c r="E70" s="2" t="s">
        <v>39</v>
      </c>
      <c r="F70" s="2" t="s">
        <v>250</v>
      </c>
      <c r="G70" s="2">
        <f t="shared" si="2"/>
        <v>3</v>
      </c>
      <c r="H70" s="2" t="s">
        <v>17</v>
      </c>
      <c r="I70" s="2" t="s">
        <v>41</v>
      </c>
      <c r="J70" s="2" t="s">
        <v>26</v>
      </c>
      <c r="K70" s="2" t="s">
        <v>132</v>
      </c>
      <c r="L70" s="2" t="s">
        <v>294</v>
      </c>
      <c r="M70" s="2">
        <v>3</v>
      </c>
      <c r="N70" s="2" t="s">
        <v>12</v>
      </c>
      <c r="O70" s="2" t="s">
        <v>12</v>
      </c>
      <c r="P70" s="2" t="s">
        <v>12</v>
      </c>
      <c r="Q70" s="2" t="s">
        <v>13</v>
      </c>
      <c r="R70" s="2" t="s">
        <v>13</v>
      </c>
      <c r="S70" s="2" t="s">
        <v>13</v>
      </c>
      <c r="T70" s="2" t="s">
        <v>24</v>
      </c>
      <c r="U70" s="2" t="s">
        <v>13</v>
      </c>
      <c r="V70" s="2" t="s">
        <v>12</v>
      </c>
      <c r="W70" s="2" t="s">
        <v>24</v>
      </c>
      <c r="X70" s="2" t="s">
        <v>13</v>
      </c>
      <c r="Y70" s="2" t="s">
        <v>14</v>
      </c>
      <c r="Z70" s="2" t="s">
        <v>15</v>
      </c>
    </row>
    <row r="71" spans="1:26" x14ac:dyDescent="0.25">
      <c r="A71" s="1">
        <v>72</v>
      </c>
      <c r="B71" s="3">
        <v>46</v>
      </c>
      <c r="C71" s="2" t="s">
        <v>6</v>
      </c>
      <c r="D71" s="2" t="s">
        <v>16</v>
      </c>
      <c r="E71" s="2" t="s">
        <v>7</v>
      </c>
      <c r="F71" s="2" t="s">
        <v>31</v>
      </c>
      <c r="G71" s="2">
        <f t="shared" si="2"/>
        <v>1</v>
      </c>
      <c r="H71" s="2" t="s">
        <v>32</v>
      </c>
      <c r="I71" s="2" t="s">
        <v>41</v>
      </c>
      <c r="J71" s="2" t="s">
        <v>19</v>
      </c>
      <c r="K71" s="2" t="s">
        <v>133</v>
      </c>
      <c r="L71" s="2" t="s">
        <v>293</v>
      </c>
      <c r="M71" s="2">
        <v>1</v>
      </c>
      <c r="N71" s="2" t="s">
        <v>24</v>
      </c>
      <c r="O71" s="2" t="s">
        <v>12</v>
      </c>
      <c r="P71" s="2" t="s">
        <v>13</v>
      </c>
      <c r="Q71" s="2" t="s">
        <v>24</v>
      </c>
      <c r="R71" s="2" t="s">
        <v>13</v>
      </c>
      <c r="S71" s="2" t="s">
        <v>13</v>
      </c>
      <c r="T71" s="2" t="s">
        <v>24</v>
      </c>
      <c r="U71" s="2" t="s">
        <v>13</v>
      </c>
      <c r="V71" s="2" t="s">
        <v>13</v>
      </c>
      <c r="W71" s="2" t="s">
        <v>13</v>
      </c>
      <c r="X71" s="2" t="s">
        <v>13</v>
      </c>
      <c r="Y71" s="2" t="s">
        <v>15</v>
      </c>
      <c r="Z71" s="2" t="s">
        <v>15</v>
      </c>
    </row>
    <row r="72" spans="1:26" x14ac:dyDescent="0.25">
      <c r="A72" s="1">
        <v>73</v>
      </c>
      <c r="B72" s="3">
        <v>24</v>
      </c>
      <c r="C72" s="2" t="s">
        <v>6</v>
      </c>
      <c r="D72" s="2" t="s">
        <v>290</v>
      </c>
      <c r="E72" s="2" t="s">
        <v>7</v>
      </c>
      <c r="F72" s="2" t="s">
        <v>246</v>
      </c>
      <c r="G72" s="2">
        <f t="shared" si="2"/>
        <v>2</v>
      </c>
      <c r="H72" s="2" t="s">
        <v>17</v>
      </c>
      <c r="I72" s="2" t="s">
        <v>9</v>
      </c>
      <c r="J72" s="2" t="s">
        <v>10</v>
      </c>
      <c r="K72" s="2" t="s">
        <v>134</v>
      </c>
      <c r="L72" s="2" t="s">
        <v>293</v>
      </c>
      <c r="M72" s="2">
        <v>2</v>
      </c>
      <c r="N72" s="2" t="s">
        <v>24</v>
      </c>
      <c r="O72" s="2" t="s">
        <v>14</v>
      </c>
      <c r="P72" s="2" t="s">
        <v>24</v>
      </c>
      <c r="Q72" s="2" t="s">
        <v>12</v>
      </c>
      <c r="R72" s="2" t="s">
        <v>12</v>
      </c>
      <c r="S72" s="2" t="s">
        <v>24</v>
      </c>
      <c r="T72" s="2" t="s">
        <v>24</v>
      </c>
      <c r="U72" s="2" t="s">
        <v>15</v>
      </c>
      <c r="V72" s="2" t="s">
        <v>12</v>
      </c>
      <c r="W72" s="2" t="s">
        <v>13</v>
      </c>
      <c r="X72" s="2" t="s">
        <v>12</v>
      </c>
      <c r="Y72" s="2" t="s">
        <v>14</v>
      </c>
      <c r="Z72" s="2" t="s">
        <v>14</v>
      </c>
    </row>
    <row r="73" spans="1:26" x14ac:dyDescent="0.25">
      <c r="A73" s="1">
        <v>74</v>
      </c>
      <c r="B73" s="3">
        <v>20</v>
      </c>
      <c r="C73" s="2" t="s">
        <v>6</v>
      </c>
      <c r="D73" s="2" t="s">
        <v>16</v>
      </c>
      <c r="E73" s="2" t="s">
        <v>7</v>
      </c>
      <c r="F73" s="2" t="s">
        <v>31</v>
      </c>
      <c r="G73" s="2">
        <f t="shared" si="2"/>
        <v>1</v>
      </c>
      <c r="H73" s="2" t="s">
        <v>32</v>
      </c>
      <c r="I73" s="2" t="s">
        <v>86</v>
      </c>
      <c r="J73" s="2" t="s">
        <v>87</v>
      </c>
      <c r="K73" s="2" t="s">
        <v>135</v>
      </c>
      <c r="L73" s="2" t="s">
        <v>294</v>
      </c>
      <c r="M73" s="2">
        <v>1</v>
      </c>
      <c r="N73" s="2" t="s">
        <v>15</v>
      </c>
      <c r="O73" s="2" t="s">
        <v>24</v>
      </c>
      <c r="P73" s="2" t="s">
        <v>15</v>
      </c>
      <c r="Q73" s="2" t="s">
        <v>24</v>
      </c>
      <c r="R73" s="2" t="s">
        <v>24</v>
      </c>
      <c r="S73" s="2" t="s">
        <v>13</v>
      </c>
      <c r="T73" s="2" t="s">
        <v>24</v>
      </c>
      <c r="U73" s="2" t="s">
        <v>24</v>
      </c>
      <c r="V73" s="2" t="s">
        <v>12</v>
      </c>
      <c r="W73" s="2" t="s">
        <v>12</v>
      </c>
      <c r="X73" s="2" t="s">
        <v>13</v>
      </c>
      <c r="Y73" s="2" t="s">
        <v>13</v>
      </c>
      <c r="Z73" s="2" t="s">
        <v>14</v>
      </c>
    </row>
    <row r="74" spans="1:26" x14ac:dyDescent="0.25">
      <c r="A74" s="1">
        <v>75</v>
      </c>
      <c r="B74" s="3">
        <v>58</v>
      </c>
      <c r="C74" s="2" t="s">
        <v>43</v>
      </c>
      <c r="D74" s="2" t="s">
        <v>290</v>
      </c>
      <c r="E74" s="2" t="s">
        <v>39</v>
      </c>
      <c r="F74" s="2" t="s">
        <v>248</v>
      </c>
      <c r="G74" s="2">
        <f t="shared" si="2"/>
        <v>2</v>
      </c>
      <c r="H74" s="2" t="s">
        <v>50</v>
      </c>
      <c r="I74" s="2" t="s">
        <v>86</v>
      </c>
      <c r="J74" s="2" t="s">
        <v>87</v>
      </c>
      <c r="K74" s="2" t="s">
        <v>136</v>
      </c>
      <c r="L74" s="2" t="s">
        <v>294</v>
      </c>
      <c r="M74" s="2">
        <v>2</v>
      </c>
      <c r="N74" s="2" t="s">
        <v>24</v>
      </c>
      <c r="O74" s="2" t="s">
        <v>24</v>
      </c>
      <c r="P74" s="2" t="s">
        <v>13</v>
      </c>
      <c r="Q74" s="2" t="s">
        <v>13</v>
      </c>
      <c r="R74" s="2" t="s">
        <v>12</v>
      </c>
      <c r="S74" s="2" t="s">
        <v>24</v>
      </c>
      <c r="T74" s="2" t="s">
        <v>24</v>
      </c>
      <c r="U74" s="2" t="s">
        <v>24</v>
      </c>
      <c r="V74" s="2" t="s">
        <v>12</v>
      </c>
      <c r="W74" s="2" t="s">
        <v>12</v>
      </c>
      <c r="X74" s="2" t="s">
        <v>12</v>
      </c>
      <c r="Y74" s="2" t="s">
        <v>15</v>
      </c>
      <c r="Z74" s="2" t="s">
        <v>14</v>
      </c>
    </row>
    <row r="75" spans="1:26" x14ac:dyDescent="0.25">
      <c r="A75" s="1">
        <v>76</v>
      </c>
      <c r="B75" s="3">
        <v>23</v>
      </c>
      <c r="C75" s="2" t="s">
        <v>64</v>
      </c>
      <c r="D75" s="2" t="s">
        <v>290</v>
      </c>
      <c r="E75" s="2" t="s">
        <v>7</v>
      </c>
      <c r="F75" s="2" t="s">
        <v>31</v>
      </c>
      <c r="G75" s="2">
        <f t="shared" si="2"/>
        <v>1</v>
      </c>
      <c r="H75" s="2" t="s">
        <v>21</v>
      </c>
      <c r="I75" s="2" t="s">
        <v>35</v>
      </c>
      <c r="J75" s="2" t="s">
        <v>19</v>
      </c>
      <c r="K75" s="2" t="s">
        <v>137</v>
      </c>
      <c r="L75" s="2" t="s">
        <v>293</v>
      </c>
      <c r="M75" s="2">
        <v>3</v>
      </c>
      <c r="N75" s="2" t="s">
        <v>12</v>
      </c>
      <c r="O75" s="2" t="s">
        <v>12</v>
      </c>
      <c r="P75" s="2" t="s">
        <v>24</v>
      </c>
      <c r="Q75" s="2" t="s">
        <v>24</v>
      </c>
      <c r="R75" s="2" t="s">
        <v>12</v>
      </c>
      <c r="S75" s="2" t="s">
        <v>15</v>
      </c>
      <c r="T75" s="2" t="s">
        <v>24</v>
      </c>
      <c r="U75" s="2" t="s">
        <v>12</v>
      </c>
      <c r="V75" s="2" t="s">
        <v>12</v>
      </c>
      <c r="W75" s="2" t="s">
        <v>14</v>
      </c>
      <c r="X75" s="2" t="s">
        <v>15</v>
      </c>
      <c r="Y75" s="2" t="s">
        <v>12</v>
      </c>
      <c r="Z75" s="2" t="s">
        <v>14</v>
      </c>
    </row>
    <row r="76" spans="1:26" x14ac:dyDescent="0.25">
      <c r="A76" s="1">
        <v>77</v>
      </c>
      <c r="B76" s="3">
        <v>67</v>
      </c>
      <c r="C76" s="2" t="s">
        <v>6</v>
      </c>
      <c r="D76" s="2" t="s">
        <v>290</v>
      </c>
      <c r="E76" s="2" t="s">
        <v>39</v>
      </c>
      <c r="F76" s="2" t="s">
        <v>255</v>
      </c>
      <c r="G76" s="2">
        <f t="shared" si="2"/>
        <v>4</v>
      </c>
      <c r="H76" s="2" t="s">
        <v>32</v>
      </c>
      <c r="I76" s="2" t="s">
        <v>53</v>
      </c>
      <c r="J76" s="2" t="s">
        <v>10</v>
      </c>
      <c r="K76" s="2" t="s">
        <v>138</v>
      </c>
      <c r="L76" s="2" t="s">
        <v>293</v>
      </c>
      <c r="M76" s="2">
        <v>3</v>
      </c>
      <c r="N76" s="2" t="s">
        <v>15</v>
      </c>
      <c r="O76" s="2" t="s">
        <v>13</v>
      </c>
      <c r="P76" s="2" t="s">
        <v>24</v>
      </c>
      <c r="Q76" s="2" t="s">
        <v>24</v>
      </c>
      <c r="R76" s="2" t="s">
        <v>12</v>
      </c>
      <c r="S76" s="2" t="s">
        <v>13</v>
      </c>
      <c r="T76" s="2" t="s">
        <v>13</v>
      </c>
      <c r="U76" s="2" t="s">
        <v>13</v>
      </c>
      <c r="V76" s="2" t="s">
        <v>12</v>
      </c>
      <c r="W76" s="2" t="s">
        <v>24</v>
      </c>
      <c r="X76" s="2" t="s">
        <v>13</v>
      </c>
      <c r="Y76" s="2" t="s">
        <v>15</v>
      </c>
      <c r="Z76" s="2" t="s">
        <v>14</v>
      </c>
    </row>
    <row r="77" spans="1:26" x14ac:dyDescent="0.25">
      <c r="A77" s="1">
        <v>78</v>
      </c>
      <c r="B77" s="3">
        <v>40</v>
      </c>
      <c r="C77" s="2" t="s">
        <v>6</v>
      </c>
      <c r="D77" s="2" t="s">
        <v>290</v>
      </c>
      <c r="E77" s="2" t="s">
        <v>7</v>
      </c>
      <c r="F77" s="2" t="s">
        <v>256</v>
      </c>
      <c r="G77" s="2">
        <f t="shared" si="2"/>
        <v>4</v>
      </c>
      <c r="H77" s="2" t="s">
        <v>8</v>
      </c>
      <c r="I77" s="2" t="s">
        <v>139</v>
      </c>
      <c r="J77" s="2" t="s">
        <v>10</v>
      </c>
      <c r="K77" s="2" t="s">
        <v>140</v>
      </c>
      <c r="L77" s="2" t="s">
        <v>293</v>
      </c>
      <c r="M77" s="2">
        <v>2</v>
      </c>
      <c r="N77" s="2" t="s">
        <v>24</v>
      </c>
      <c r="O77" s="2" t="s">
        <v>15</v>
      </c>
      <c r="P77" s="2" t="s">
        <v>15</v>
      </c>
      <c r="Q77" s="2" t="s">
        <v>24</v>
      </c>
      <c r="R77" s="2" t="s">
        <v>12</v>
      </c>
      <c r="S77" s="2" t="s">
        <v>24</v>
      </c>
      <c r="T77" s="2" t="s">
        <v>13</v>
      </c>
      <c r="U77" s="2" t="s">
        <v>24</v>
      </c>
      <c r="V77" s="2" t="s">
        <v>13</v>
      </c>
      <c r="W77" s="2" t="s">
        <v>24</v>
      </c>
      <c r="X77" s="2" t="s">
        <v>13</v>
      </c>
      <c r="Y77" s="2" t="s">
        <v>15</v>
      </c>
      <c r="Z77" s="2" t="s">
        <v>15</v>
      </c>
    </row>
    <row r="78" spans="1:26" x14ac:dyDescent="0.25">
      <c r="A78" s="1">
        <v>79</v>
      </c>
      <c r="B78" s="3">
        <v>63</v>
      </c>
      <c r="C78" s="2" t="s">
        <v>43</v>
      </c>
      <c r="D78" s="2" t="s">
        <v>16</v>
      </c>
      <c r="E78" s="2" t="s">
        <v>7</v>
      </c>
      <c r="F78" s="2" t="s">
        <v>257</v>
      </c>
      <c r="G78" s="2">
        <f t="shared" si="2"/>
        <v>3</v>
      </c>
      <c r="H78" s="2" t="s">
        <v>50</v>
      </c>
      <c r="I78" s="2" t="s">
        <v>58</v>
      </c>
      <c r="J78" s="2" t="s">
        <v>19</v>
      </c>
      <c r="K78" s="2" t="s">
        <v>141</v>
      </c>
      <c r="L78" s="2" t="s">
        <v>293</v>
      </c>
      <c r="M78" s="2">
        <v>3</v>
      </c>
      <c r="N78" s="2" t="s">
        <v>15</v>
      </c>
      <c r="O78" s="2" t="s">
        <v>24</v>
      </c>
      <c r="P78" s="2" t="s">
        <v>24</v>
      </c>
      <c r="Q78" s="2" t="s">
        <v>15</v>
      </c>
      <c r="R78" s="2" t="s">
        <v>13</v>
      </c>
      <c r="S78" s="2" t="s">
        <v>13</v>
      </c>
      <c r="T78" s="2" t="s">
        <v>13</v>
      </c>
      <c r="U78" s="2" t="s">
        <v>13</v>
      </c>
      <c r="V78" s="2" t="s">
        <v>12</v>
      </c>
      <c r="W78" s="2" t="s">
        <v>12</v>
      </c>
      <c r="X78" s="2" t="s">
        <v>12</v>
      </c>
      <c r="Y78" s="2" t="s">
        <v>15</v>
      </c>
      <c r="Z78" s="2" t="s">
        <v>14</v>
      </c>
    </row>
    <row r="79" spans="1:26" x14ac:dyDescent="0.25">
      <c r="A79" s="1">
        <v>80</v>
      </c>
      <c r="B79" s="3">
        <v>30</v>
      </c>
      <c r="C79" s="2" t="s">
        <v>142</v>
      </c>
      <c r="D79" s="2" t="s">
        <v>290</v>
      </c>
      <c r="E79" s="2" t="s">
        <v>7</v>
      </c>
      <c r="F79" s="2" t="s">
        <v>258</v>
      </c>
      <c r="G79" s="2">
        <f t="shared" si="2"/>
        <v>3</v>
      </c>
      <c r="H79" s="2" t="s">
        <v>21</v>
      </c>
      <c r="I79" s="2" t="s">
        <v>25</v>
      </c>
      <c r="J79" s="2" t="s">
        <v>10</v>
      </c>
      <c r="K79" s="2" t="s">
        <v>143</v>
      </c>
      <c r="L79" s="2" t="s">
        <v>294</v>
      </c>
      <c r="M79" s="2">
        <v>2</v>
      </c>
      <c r="N79" s="2" t="s">
        <v>15</v>
      </c>
      <c r="O79" s="2" t="s">
        <v>15</v>
      </c>
      <c r="P79" s="2" t="s">
        <v>15</v>
      </c>
      <c r="Q79" s="2" t="s">
        <v>15</v>
      </c>
      <c r="R79" s="2" t="s">
        <v>12</v>
      </c>
      <c r="S79" s="2" t="s">
        <v>15</v>
      </c>
      <c r="T79" s="2" t="s">
        <v>15</v>
      </c>
      <c r="U79" s="2" t="s">
        <v>14</v>
      </c>
      <c r="V79" s="2" t="s">
        <v>12</v>
      </c>
      <c r="W79" s="2" t="s">
        <v>14</v>
      </c>
      <c r="X79" s="2" t="s">
        <v>12</v>
      </c>
      <c r="Y79" s="2" t="s">
        <v>15</v>
      </c>
      <c r="Z79" s="2" t="s">
        <v>24</v>
      </c>
    </row>
    <row r="80" spans="1:26" x14ac:dyDescent="0.25">
      <c r="A80" s="1">
        <v>81</v>
      </c>
      <c r="B80" s="3">
        <v>23</v>
      </c>
      <c r="C80" s="2" t="s">
        <v>6</v>
      </c>
      <c r="D80" s="2" t="s">
        <v>16</v>
      </c>
      <c r="E80" s="2" t="s">
        <v>39</v>
      </c>
      <c r="F80" s="2" t="s">
        <v>246</v>
      </c>
      <c r="G80" s="2">
        <f t="shared" si="2"/>
        <v>2</v>
      </c>
      <c r="H80" s="2" t="s">
        <v>8</v>
      </c>
      <c r="I80" s="2" t="s">
        <v>35</v>
      </c>
      <c r="J80" s="2" t="s">
        <v>19</v>
      </c>
      <c r="K80" s="2" t="s">
        <v>144</v>
      </c>
      <c r="L80" s="2" t="s">
        <v>293</v>
      </c>
      <c r="M80" s="2">
        <v>2</v>
      </c>
      <c r="N80" s="2" t="s">
        <v>15</v>
      </c>
      <c r="O80" s="2" t="s">
        <v>13</v>
      </c>
      <c r="P80" s="2" t="s">
        <v>24</v>
      </c>
      <c r="Q80" s="2" t="s">
        <v>15</v>
      </c>
      <c r="R80" s="2" t="s">
        <v>13</v>
      </c>
      <c r="S80" s="2" t="s">
        <v>13</v>
      </c>
      <c r="T80" s="2" t="s">
        <v>24</v>
      </c>
      <c r="U80" s="2" t="s">
        <v>24</v>
      </c>
      <c r="V80" s="2" t="s">
        <v>13</v>
      </c>
      <c r="W80" s="2" t="s">
        <v>13</v>
      </c>
      <c r="X80" s="2" t="s">
        <v>13</v>
      </c>
      <c r="Y80" s="2" t="s">
        <v>15</v>
      </c>
      <c r="Z80" s="2" t="s">
        <v>15</v>
      </c>
    </row>
    <row r="81" spans="1:26" x14ac:dyDescent="0.25">
      <c r="A81" s="1">
        <v>82</v>
      </c>
      <c r="B81" s="3">
        <v>43</v>
      </c>
      <c r="C81" s="2" t="s">
        <v>6</v>
      </c>
      <c r="D81" s="2" t="s">
        <v>16</v>
      </c>
      <c r="E81" s="2" t="s">
        <v>7</v>
      </c>
      <c r="F81" s="2" t="s">
        <v>259</v>
      </c>
      <c r="G81" s="2">
        <f t="shared" si="2"/>
        <v>3</v>
      </c>
      <c r="H81" s="2" t="s">
        <v>8</v>
      </c>
      <c r="I81" s="2" t="s">
        <v>145</v>
      </c>
      <c r="J81" s="2" t="s">
        <v>19</v>
      </c>
      <c r="K81" s="2" t="s">
        <v>146</v>
      </c>
      <c r="L81" s="2" t="s">
        <v>293</v>
      </c>
      <c r="M81" s="2">
        <v>3</v>
      </c>
      <c r="N81" s="2" t="s">
        <v>24</v>
      </c>
      <c r="O81" s="2" t="s">
        <v>24</v>
      </c>
      <c r="P81" s="2" t="s">
        <v>24</v>
      </c>
      <c r="Q81" s="2" t="s">
        <v>24</v>
      </c>
      <c r="R81" s="2" t="s">
        <v>24</v>
      </c>
      <c r="S81" s="2" t="s">
        <v>24</v>
      </c>
      <c r="T81" s="2" t="s">
        <v>24</v>
      </c>
      <c r="U81" s="2" t="s">
        <v>24</v>
      </c>
      <c r="V81" s="2" t="s">
        <v>12</v>
      </c>
      <c r="W81" s="2" t="s">
        <v>24</v>
      </c>
      <c r="X81" s="2" t="s">
        <v>13</v>
      </c>
      <c r="Y81" s="2" t="s">
        <v>15</v>
      </c>
      <c r="Z81" s="2" t="s">
        <v>15</v>
      </c>
    </row>
    <row r="82" spans="1:26" x14ac:dyDescent="0.25">
      <c r="A82" s="1">
        <v>83</v>
      </c>
      <c r="B82" s="3">
        <v>22</v>
      </c>
      <c r="C82" s="2" t="s">
        <v>43</v>
      </c>
      <c r="D82" s="2" t="s">
        <v>290</v>
      </c>
      <c r="E82" s="2" t="s">
        <v>7</v>
      </c>
      <c r="F82" s="2" t="s">
        <v>246</v>
      </c>
      <c r="G82" s="2">
        <f t="shared" si="2"/>
        <v>2</v>
      </c>
      <c r="H82" s="2" t="s">
        <v>32</v>
      </c>
      <c r="I82" s="2" t="s">
        <v>35</v>
      </c>
      <c r="J82" s="2" t="s">
        <v>19</v>
      </c>
      <c r="K82" s="2" t="s">
        <v>147</v>
      </c>
      <c r="L82" s="2" t="s">
        <v>294</v>
      </c>
      <c r="M82" s="2">
        <v>1</v>
      </c>
      <c r="N82" s="2" t="s">
        <v>13</v>
      </c>
      <c r="O82" s="2" t="s">
        <v>24</v>
      </c>
      <c r="P82" s="2" t="s">
        <v>24</v>
      </c>
      <c r="Q82" s="2" t="s">
        <v>24</v>
      </c>
      <c r="R82" s="2" t="s">
        <v>13</v>
      </c>
      <c r="S82" s="2" t="s">
        <v>13</v>
      </c>
      <c r="T82" s="2" t="s">
        <v>24</v>
      </c>
      <c r="U82" s="2" t="s">
        <v>13</v>
      </c>
      <c r="V82" s="2" t="s">
        <v>15</v>
      </c>
      <c r="W82" s="2" t="s">
        <v>15</v>
      </c>
      <c r="X82" s="2" t="s">
        <v>15</v>
      </c>
      <c r="Y82" s="2" t="s">
        <v>13</v>
      </c>
      <c r="Z82" s="2" t="s">
        <v>24</v>
      </c>
    </row>
    <row r="83" spans="1:26" x14ac:dyDescent="0.25">
      <c r="A83" s="1">
        <v>84</v>
      </c>
      <c r="B83" s="3">
        <v>53</v>
      </c>
      <c r="C83" s="2" t="s">
        <v>6</v>
      </c>
      <c r="D83" s="2" t="s">
        <v>290</v>
      </c>
      <c r="E83" s="2" t="s">
        <v>39</v>
      </c>
      <c r="F83" s="2" t="s">
        <v>256</v>
      </c>
      <c r="G83" s="2">
        <f t="shared" si="2"/>
        <v>4</v>
      </c>
      <c r="H83" s="2" t="s">
        <v>17</v>
      </c>
      <c r="I83" s="2" t="s">
        <v>148</v>
      </c>
      <c r="J83" s="2" t="s">
        <v>87</v>
      </c>
      <c r="K83" s="2" t="s">
        <v>149</v>
      </c>
      <c r="L83" s="2" t="s">
        <v>293</v>
      </c>
      <c r="M83" s="2">
        <v>3</v>
      </c>
      <c r="N83" s="2" t="s">
        <v>15</v>
      </c>
      <c r="O83" s="2" t="s">
        <v>24</v>
      </c>
      <c r="P83" s="2" t="s">
        <v>24</v>
      </c>
      <c r="Q83" s="2" t="s">
        <v>12</v>
      </c>
      <c r="R83" s="2" t="s">
        <v>12</v>
      </c>
      <c r="S83" s="2" t="s">
        <v>13</v>
      </c>
      <c r="T83" s="2" t="s">
        <v>24</v>
      </c>
      <c r="U83" s="2" t="s">
        <v>24</v>
      </c>
      <c r="V83" s="2" t="s">
        <v>12</v>
      </c>
      <c r="W83" s="2" t="s">
        <v>12</v>
      </c>
      <c r="X83" s="2" t="s">
        <v>12</v>
      </c>
      <c r="Y83" s="2" t="s">
        <v>24</v>
      </c>
      <c r="Z83" s="2" t="s">
        <v>15</v>
      </c>
    </row>
    <row r="84" spans="1:26" x14ac:dyDescent="0.25">
      <c r="A84" s="1">
        <v>85</v>
      </c>
      <c r="B84" s="3">
        <v>27</v>
      </c>
      <c r="C84" s="2" t="s">
        <v>6</v>
      </c>
      <c r="D84" s="2" t="s">
        <v>290</v>
      </c>
      <c r="E84" s="2" t="s">
        <v>39</v>
      </c>
      <c r="F84" s="2" t="s">
        <v>246</v>
      </c>
      <c r="G84" s="2">
        <f t="shared" si="2"/>
        <v>2</v>
      </c>
      <c r="H84" s="2" t="s">
        <v>8</v>
      </c>
      <c r="I84" s="2" t="s">
        <v>77</v>
      </c>
      <c r="J84" s="2" t="s">
        <v>87</v>
      </c>
      <c r="K84" s="2" t="s">
        <v>150</v>
      </c>
      <c r="L84" s="2" t="s">
        <v>294</v>
      </c>
      <c r="M84" s="2">
        <v>1</v>
      </c>
      <c r="N84" s="2" t="s">
        <v>14</v>
      </c>
      <c r="O84" s="2" t="s">
        <v>14</v>
      </c>
      <c r="P84" s="2" t="s">
        <v>14</v>
      </c>
      <c r="Q84" s="2" t="s">
        <v>12</v>
      </c>
      <c r="R84" s="2" t="s">
        <v>12</v>
      </c>
      <c r="S84" s="2" t="s">
        <v>24</v>
      </c>
      <c r="T84" s="2" t="s">
        <v>24</v>
      </c>
      <c r="U84" s="2" t="s">
        <v>14</v>
      </c>
      <c r="V84" s="2" t="s">
        <v>12</v>
      </c>
      <c r="W84" s="2" t="s">
        <v>12</v>
      </c>
      <c r="X84" s="2" t="s">
        <v>12</v>
      </c>
      <c r="Y84" s="2" t="s">
        <v>13</v>
      </c>
      <c r="Z84" s="2" t="s">
        <v>14</v>
      </c>
    </row>
    <row r="85" spans="1:26" x14ac:dyDescent="0.25">
      <c r="A85" s="1">
        <v>86</v>
      </c>
      <c r="B85" s="3">
        <v>22</v>
      </c>
      <c r="C85" s="2" t="s">
        <v>6</v>
      </c>
      <c r="D85" s="2" t="s">
        <v>290</v>
      </c>
      <c r="E85" s="2" t="s">
        <v>7</v>
      </c>
      <c r="F85" s="2" t="s">
        <v>249</v>
      </c>
      <c r="G85" s="2">
        <f t="shared" si="2"/>
        <v>3</v>
      </c>
      <c r="H85" s="2" t="s">
        <v>17</v>
      </c>
      <c r="I85" s="2" t="s">
        <v>73</v>
      </c>
      <c r="J85" s="2" t="s">
        <v>26</v>
      </c>
      <c r="K85" s="2" t="s">
        <v>151</v>
      </c>
      <c r="L85" s="2" t="s">
        <v>293</v>
      </c>
      <c r="M85" s="2">
        <v>3</v>
      </c>
      <c r="N85" s="2" t="s">
        <v>24</v>
      </c>
      <c r="O85" s="2" t="s">
        <v>24</v>
      </c>
      <c r="P85" s="2" t="s">
        <v>15</v>
      </c>
      <c r="Q85" s="2" t="s">
        <v>13</v>
      </c>
      <c r="R85" s="2" t="s">
        <v>12</v>
      </c>
      <c r="S85" s="2" t="s">
        <v>24</v>
      </c>
      <c r="T85" s="2" t="s">
        <v>24</v>
      </c>
      <c r="U85" s="2" t="s">
        <v>13</v>
      </c>
      <c r="V85" s="2" t="s">
        <v>12</v>
      </c>
      <c r="W85" s="2" t="s">
        <v>12</v>
      </c>
      <c r="X85" s="2" t="s">
        <v>13</v>
      </c>
      <c r="Y85" s="2" t="s">
        <v>13</v>
      </c>
      <c r="Z85" s="2" t="s">
        <v>15</v>
      </c>
    </row>
    <row r="86" spans="1:26" x14ac:dyDescent="0.25">
      <c r="A86" s="1">
        <v>87</v>
      </c>
      <c r="B86" s="3">
        <v>22</v>
      </c>
      <c r="C86" s="2" t="s">
        <v>6</v>
      </c>
      <c r="D86" s="2" t="s">
        <v>290</v>
      </c>
      <c r="E86" s="2" t="s">
        <v>7</v>
      </c>
      <c r="F86" s="2" t="s">
        <v>246</v>
      </c>
      <c r="G86" s="2">
        <f t="shared" si="2"/>
        <v>2</v>
      </c>
      <c r="H86" s="2" t="s">
        <v>17</v>
      </c>
      <c r="I86" s="2" t="s">
        <v>40</v>
      </c>
      <c r="J86" s="2" t="s">
        <v>10</v>
      </c>
      <c r="K86" s="2" t="s">
        <v>152</v>
      </c>
      <c r="L86" s="2" t="s">
        <v>293</v>
      </c>
      <c r="M86" s="2">
        <v>2</v>
      </c>
      <c r="N86" s="2" t="s">
        <v>13</v>
      </c>
      <c r="O86" s="2" t="s">
        <v>12</v>
      </c>
      <c r="P86" s="2" t="s">
        <v>12</v>
      </c>
      <c r="Q86" s="2" t="s">
        <v>13</v>
      </c>
      <c r="R86" s="2" t="s">
        <v>12</v>
      </c>
      <c r="S86" s="2" t="s">
        <v>15</v>
      </c>
      <c r="T86" s="2" t="s">
        <v>15</v>
      </c>
      <c r="U86" s="2" t="s">
        <v>13</v>
      </c>
      <c r="V86" s="2" t="s">
        <v>13</v>
      </c>
      <c r="W86" s="2" t="s">
        <v>15</v>
      </c>
      <c r="X86" s="2" t="s">
        <v>13</v>
      </c>
      <c r="Y86" s="2" t="s">
        <v>13</v>
      </c>
      <c r="Z86" s="2" t="s">
        <v>14</v>
      </c>
    </row>
    <row r="87" spans="1:26" x14ac:dyDescent="0.25">
      <c r="A87" s="1">
        <v>88</v>
      </c>
      <c r="B87" s="3">
        <v>55</v>
      </c>
      <c r="C87" s="2" t="s">
        <v>6</v>
      </c>
      <c r="D87" s="2" t="s">
        <v>290</v>
      </c>
      <c r="E87" s="2" t="s">
        <v>7</v>
      </c>
      <c r="F87" s="2" t="s">
        <v>31</v>
      </c>
      <c r="G87" s="2">
        <f t="shared" si="2"/>
        <v>1</v>
      </c>
      <c r="H87" s="2" t="s">
        <v>50</v>
      </c>
      <c r="I87" s="2" t="s">
        <v>86</v>
      </c>
      <c r="J87" s="2" t="s">
        <v>87</v>
      </c>
      <c r="K87" s="2" t="s">
        <v>153</v>
      </c>
      <c r="L87" s="2" t="s">
        <v>293</v>
      </c>
      <c r="M87" s="2">
        <v>2</v>
      </c>
      <c r="N87" s="2" t="s">
        <v>13</v>
      </c>
      <c r="O87" s="2" t="s">
        <v>15</v>
      </c>
      <c r="P87" s="2" t="s">
        <v>13</v>
      </c>
      <c r="Q87" s="2" t="s">
        <v>24</v>
      </c>
      <c r="R87" s="2" t="s">
        <v>13</v>
      </c>
      <c r="S87" s="2" t="s">
        <v>13</v>
      </c>
      <c r="T87" s="2" t="s">
        <v>24</v>
      </c>
      <c r="U87" s="2" t="s">
        <v>13</v>
      </c>
      <c r="V87" s="2" t="s">
        <v>13</v>
      </c>
      <c r="W87" s="2" t="s">
        <v>13</v>
      </c>
      <c r="X87" s="2" t="s">
        <v>13</v>
      </c>
      <c r="Y87" s="2" t="s">
        <v>15</v>
      </c>
      <c r="Z87" s="2" t="s">
        <v>13</v>
      </c>
    </row>
    <row r="88" spans="1:26" x14ac:dyDescent="0.25">
      <c r="A88" s="1">
        <v>89</v>
      </c>
      <c r="B88" s="3">
        <v>23</v>
      </c>
      <c r="C88" s="2" t="s">
        <v>6</v>
      </c>
      <c r="D88" s="2" t="s">
        <v>290</v>
      </c>
      <c r="E88" s="2" t="s">
        <v>39</v>
      </c>
      <c r="F88" s="2" t="s">
        <v>31</v>
      </c>
      <c r="G88" s="2">
        <f t="shared" si="2"/>
        <v>1</v>
      </c>
      <c r="H88" s="2" t="s">
        <v>32</v>
      </c>
      <c r="I88" s="2" t="s">
        <v>35</v>
      </c>
      <c r="J88" s="2" t="s">
        <v>19</v>
      </c>
      <c r="K88" s="2" t="s">
        <v>154</v>
      </c>
      <c r="L88" s="2" t="s">
        <v>294</v>
      </c>
      <c r="M88" s="2">
        <v>3</v>
      </c>
      <c r="N88" s="2" t="s">
        <v>13</v>
      </c>
      <c r="O88" s="2" t="s">
        <v>24</v>
      </c>
      <c r="P88" s="2" t="s">
        <v>24</v>
      </c>
      <c r="Q88" s="2" t="s">
        <v>24</v>
      </c>
      <c r="R88" s="2" t="s">
        <v>12</v>
      </c>
      <c r="S88" s="2" t="s">
        <v>13</v>
      </c>
      <c r="T88" s="2" t="s">
        <v>13</v>
      </c>
      <c r="U88" s="2" t="s">
        <v>12</v>
      </c>
      <c r="V88" s="2" t="s">
        <v>12</v>
      </c>
      <c r="W88" s="2" t="s">
        <v>15</v>
      </c>
      <c r="X88" s="2" t="s">
        <v>13</v>
      </c>
      <c r="Y88" s="2" t="s">
        <v>12</v>
      </c>
      <c r="Z88" s="2" t="s">
        <v>15</v>
      </c>
    </row>
    <row r="89" spans="1:26" x14ac:dyDescent="0.25">
      <c r="A89" s="1">
        <v>90</v>
      </c>
      <c r="B89" s="3">
        <v>49</v>
      </c>
      <c r="C89" s="2" t="s">
        <v>6</v>
      </c>
      <c r="D89" s="2" t="s">
        <v>290</v>
      </c>
      <c r="E89" s="2" t="s">
        <v>7</v>
      </c>
      <c r="F89" s="2" t="s">
        <v>31</v>
      </c>
      <c r="G89" s="2">
        <f t="shared" si="2"/>
        <v>1</v>
      </c>
      <c r="H89" s="2" t="s">
        <v>32</v>
      </c>
      <c r="I89" s="2" t="s">
        <v>86</v>
      </c>
      <c r="J89" s="2" t="s">
        <v>19</v>
      </c>
      <c r="K89" s="2" t="s">
        <v>155</v>
      </c>
      <c r="L89" s="2" t="s">
        <v>294</v>
      </c>
      <c r="M89" s="2">
        <v>2</v>
      </c>
      <c r="N89" s="2" t="s">
        <v>13</v>
      </c>
      <c r="O89" s="2" t="s">
        <v>24</v>
      </c>
      <c r="P89" s="2" t="s">
        <v>13</v>
      </c>
      <c r="Q89" s="2" t="s">
        <v>24</v>
      </c>
      <c r="R89" s="2" t="s">
        <v>15</v>
      </c>
      <c r="S89" s="2" t="s">
        <v>24</v>
      </c>
      <c r="T89" s="2" t="s">
        <v>15</v>
      </c>
      <c r="U89" s="2" t="s">
        <v>13</v>
      </c>
      <c r="V89" s="2" t="s">
        <v>24</v>
      </c>
      <c r="W89" s="2" t="s">
        <v>13</v>
      </c>
      <c r="X89" s="2" t="s">
        <v>13</v>
      </c>
      <c r="Y89" s="2" t="s">
        <v>24</v>
      </c>
      <c r="Z89" s="2" t="s">
        <v>14</v>
      </c>
    </row>
    <row r="90" spans="1:26" x14ac:dyDescent="0.25">
      <c r="A90" s="1">
        <v>91</v>
      </c>
      <c r="B90" s="3">
        <v>26</v>
      </c>
      <c r="C90" s="2" t="s">
        <v>43</v>
      </c>
      <c r="D90" s="2" t="s">
        <v>16</v>
      </c>
      <c r="E90" s="2" t="s">
        <v>39</v>
      </c>
      <c r="F90" s="2" t="s">
        <v>246</v>
      </c>
      <c r="G90" s="2">
        <f t="shared" si="2"/>
        <v>2</v>
      </c>
      <c r="H90" s="2" t="s">
        <v>8</v>
      </c>
      <c r="I90" s="2" t="s">
        <v>35</v>
      </c>
      <c r="J90" s="2" t="s">
        <v>19</v>
      </c>
      <c r="K90" s="2" t="s">
        <v>156</v>
      </c>
      <c r="L90" s="2" t="s">
        <v>293</v>
      </c>
      <c r="M90" s="2">
        <v>2</v>
      </c>
      <c r="N90" s="2" t="s">
        <v>14</v>
      </c>
      <c r="O90" s="2" t="s">
        <v>24</v>
      </c>
      <c r="P90" s="2" t="s">
        <v>24</v>
      </c>
      <c r="Q90" s="2" t="s">
        <v>24</v>
      </c>
      <c r="R90" s="2" t="s">
        <v>12</v>
      </c>
      <c r="S90" s="2" t="s">
        <v>13</v>
      </c>
      <c r="T90" s="2" t="s">
        <v>24</v>
      </c>
      <c r="U90" s="2" t="s">
        <v>24</v>
      </c>
      <c r="V90" s="2" t="s">
        <v>24</v>
      </c>
      <c r="W90" s="2" t="s">
        <v>24</v>
      </c>
      <c r="X90" s="2" t="s">
        <v>12</v>
      </c>
      <c r="Y90" s="2" t="s">
        <v>14</v>
      </c>
      <c r="Z90" s="2" t="s">
        <v>14</v>
      </c>
    </row>
    <row r="91" spans="1:26" x14ac:dyDescent="0.25">
      <c r="A91" s="1">
        <v>92</v>
      </c>
      <c r="B91" s="3">
        <v>62</v>
      </c>
      <c r="C91" s="2" t="s">
        <v>6</v>
      </c>
      <c r="D91" s="2" t="s">
        <v>16</v>
      </c>
      <c r="E91" s="2" t="s">
        <v>39</v>
      </c>
      <c r="F91" s="2" t="s">
        <v>31</v>
      </c>
      <c r="G91" s="2">
        <f t="shared" si="2"/>
        <v>1</v>
      </c>
      <c r="H91" s="2" t="s">
        <v>50</v>
      </c>
      <c r="I91" s="2" t="s">
        <v>86</v>
      </c>
      <c r="J91" s="2" t="s">
        <v>87</v>
      </c>
      <c r="K91" s="2" t="s">
        <v>157</v>
      </c>
      <c r="L91" s="2" t="s">
        <v>294</v>
      </c>
      <c r="M91" s="2">
        <v>2</v>
      </c>
      <c r="N91" s="2" t="s">
        <v>15</v>
      </c>
      <c r="O91" s="2" t="s">
        <v>15</v>
      </c>
      <c r="P91" s="2" t="s">
        <v>13</v>
      </c>
      <c r="Q91" s="2" t="s">
        <v>12</v>
      </c>
      <c r="R91" s="2" t="s">
        <v>24</v>
      </c>
      <c r="S91" s="2" t="s">
        <v>24</v>
      </c>
      <c r="T91" s="2" t="s">
        <v>24</v>
      </c>
      <c r="U91" s="2" t="s">
        <v>15</v>
      </c>
      <c r="V91" s="2" t="s">
        <v>12</v>
      </c>
      <c r="W91" s="2" t="s">
        <v>24</v>
      </c>
      <c r="X91" s="2" t="s">
        <v>12</v>
      </c>
      <c r="Y91" s="2" t="s">
        <v>13</v>
      </c>
      <c r="Z91" s="2" t="s">
        <v>15</v>
      </c>
    </row>
    <row r="92" spans="1:26" x14ac:dyDescent="0.25">
      <c r="A92" s="1">
        <v>93</v>
      </c>
      <c r="B92" s="3">
        <v>59</v>
      </c>
      <c r="C92" s="2" t="s">
        <v>6</v>
      </c>
      <c r="D92" s="2" t="s">
        <v>290</v>
      </c>
      <c r="E92" s="2" t="s">
        <v>39</v>
      </c>
      <c r="F92" s="2" t="s">
        <v>31</v>
      </c>
      <c r="G92" s="2">
        <f t="shared" si="2"/>
        <v>1</v>
      </c>
      <c r="H92" s="2" t="s">
        <v>50</v>
      </c>
      <c r="I92" s="2" t="s">
        <v>53</v>
      </c>
      <c r="J92" s="2" t="s">
        <v>26</v>
      </c>
      <c r="K92" s="2" t="s">
        <v>158</v>
      </c>
      <c r="L92" s="2" t="s">
        <v>293</v>
      </c>
      <c r="M92" s="2">
        <v>2</v>
      </c>
      <c r="N92" s="2" t="s">
        <v>24</v>
      </c>
      <c r="O92" s="2" t="s">
        <v>14</v>
      </c>
      <c r="P92" s="2" t="s">
        <v>12</v>
      </c>
      <c r="Q92" s="2" t="s">
        <v>12</v>
      </c>
      <c r="R92" s="2" t="s">
        <v>15</v>
      </c>
      <c r="S92" s="2" t="s">
        <v>12</v>
      </c>
      <c r="T92" s="2" t="s">
        <v>24</v>
      </c>
      <c r="U92" s="2" t="s">
        <v>24</v>
      </c>
      <c r="V92" s="2" t="s">
        <v>12</v>
      </c>
      <c r="W92" s="2" t="s">
        <v>12</v>
      </c>
      <c r="X92" s="2" t="s">
        <v>13</v>
      </c>
      <c r="Y92" s="2" t="s">
        <v>14</v>
      </c>
      <c r="Z92" s="2" t="s">
        <v>14</v>
      </c>
    </row>
    <row r="93" spans="1:26" x14ac:dyDescent="0.25">
      <c r="A93" s="1">
        <v>94</v>
      </c>
      <c r="B93" s="3">
        <v>52</v>
      </c>
      <c r="C93" s="2" t="s">
        <v>64</v>
      </c>
      <c r="D93" s="2" t="s">
        <v>290</v>
      </c>
      <c r="E93" s="2" t="s">
        <v>39</v>
      </c>
      <c r="F93" s="2" t="s">
        <v>31</v>
      </c>
      <c r="G93" s="2">
        <f t="shared" si="2"/>
        <v>1</v>
      </c>
      <c r="H93" s="2" t="s">
        <v>50</v>
      </c>
      <c r="I93" s="2" t="s">
        <v>86</v>
      </c>
      <c r="J93" s="2" t="s">
        <v>26</v>
      </c>
      <c r="K93" s="2" t="s">
        <v>159</v>
      </c>
      <c r="L93" s="2" t="s">
        <v>293</v>
      </c>
      <c r="M93" s="2">
        <v>2</v>
      </c>
      <c r="N93" s="2" t="s">
        <v>13</v>
      </c>
      <c r="O93" s="2" t="s">
        <v>13</v>
      </c>
      <c r="P93" s="2" t="s">
        <v>24</v>
      </c>
      <c r="Q93" s="2" t="s">
        <v>14</v>
      </c>
      <c r="R93" s="2" t="s">
        <v>13</v>
      </c>
      <c r="S93" s="2" t="s">
        <v>13</v>
      </c>
      <c r="T93" s="2" t="s">
        <v>24</v>
      </c>
      <c r="U93" s="2" t="s">
        <v>13</v>
      </c>
      <c r="V93" s="2" t="s">
        <v>24</v>
      </c>
      <c r="W93" s="2" t="s">
        <v>24</v>
      </c>
      <c r="X93" s="2" t="s">
        <v>13</v>
      </c>
      <c r="Y93" s="2" t="s">
        <v>13</v>
      </c>
      <c r="Z93" s="2" t="s">
        <v>13</v>
      </c>
    </row>
    <row r="94" spans="1:26" x14ac:dyDescent="0.25">
      <c r="A94" s="1">
        <v>95</v>
      </c>
      <c r="B94" s="3">
        <v>57</v>
      </c>
      <c r="C94" s="2" t="s">
        <v>6</v>
      </c>
      <c r="D94" s="2" t="s">
        <v>290</v>
      </c>
      <c r="E94" s="2" t="s">
        <v>39</v>
      </c>
      <c r="F94" s="2" t="s">
        <v>246</v>
      </c>
      <c r="G94" s="2">
        <f t="shared" si="2"/>
        <v>2</v>
      </c>
      <c r="H94" s="2" t="s">
        <v>21</v>
      </c>
      <c r="I94" s="2" t="s">
        <v>98</v>
      </c>
      <c r="J94" s="2" t="s">
        <v>26</v>
      </c>
      <c r="K94" s="2" t="s">
        <v>160</v>
      </c>
      <c r="L94" s="2" t="s">
        <v>293</v>
      </c>
      <c r="M94" s="2">
        <v>2</v>
      </c>
      <c r="N94" s="2" t="s">
        <v>15</v>
      </c>
      <c r="O94" s="2" t="s">
        <v>15</v>
      </c>
      <c r="P94" s="2" t="s">
        <v>13</v>
      </c>
      <c r="Q94" s="2" t="s">
        <v>13</v>
      </c>
      <c r="R94" s="2" t="s">
        <v>13</v>
      </c>
      <c r="S94" s="2" t="s">
        <v>15</v>
      </c>
      <c r="T94" s="2" t="s">
        <v>24</v>
      </c>
      <c r="U94" s="2" t="s">
        <v>24</v>
      </c>
      <c r="V94" s="2" t="s">
        <v>15</v>
      </c>
      <c r="W94" s="2" t="s">
        <v>24</v>
      </c>
      <c r="X94" s="2" t="s">
        <v>13</v>
      </c>
      <c r="Y94" s="2" t="s">
        <v>13</v>
      </c>
      <c r="Z94" s="2" t="s">
        <v>15</v>
      </c>
    </row>
    <row r="95" spans="1:26" x14ac:dyDescent="0.25">
      <c r="A95" s="1">
        <v>96</v>
      </c>
      <c r="B95" s="3">
        <v>47</v>
      </c>
      <c r="C95" s="2" t="s">
        <v>43</v>
      </c>
      <c r="D95" s="2" t="s">
        <v>16</v>
      </c>
      <c r="E95" s="2" t="s">
        <v>39</v>
      </c>
      <c r="F95" s="2" t="s">
        <v>246</v>
      </c>
      <c r="G95" s="2">
        <f t="shared" si="2"/>
        <v>2</v>
      </c>
      <c r="H95" s="2" t="s">
        <v>32</v>
      </c>
      <c r="I95" s="2" t="s">
        <v>35</v>
      </c>
      <c r="J95" s="2" t="s">
        <v>19</v>
      </c>
      <c r="K95" s="2" t="s">
        <v>161</v>
      </c>
      <c r="L95" s="2" t="s">
        <v>294</v>
      </c>
      <c r="M95" s="2">
        <v>1</v>
      </c>
      <c r="N95" s="2" t="s">
        <v>14</v>
      </c>
      <c r="O95" s="2" t="s">
        <v>24</v>
      </c>
      <c r="P95" s="2" t="s">
        <v>24</v>
      </c>
      <c r="Q95" s="2" t="s">
        <v>24</v>
      </c>
      <c r="R95" s="2" t="s">
        <v>24</v>
      </c>
      <c r="S95" s="2" t="s">
        <v>13</v>
      </c>
      <c r="T95" s="2" t="s">
        <v>15</v>
      </c>
      <c r="U95" s="2" t="s">
        <v>24</v>
      </c>
      <c r="V95" s="2" t="s">
        <v>13</v>
      </c>
      <c r="W95" s="2" t="s">
        <v>13</v>
      </c>
      <c r="X95" s="2" t="s">
        <v>12</v>
      </c>
      <c r="Y95" s="2" t="s">
        <v>24</v>
      </c>
      <c r="Z95" s="2" t="s">
        <v>14</v>
      </c>
    </row>
    <row r="96" spans="1:26" x14ac:dyDescent="0.25">
      <c r="A96" s="1">
        <v>97</v>
      </c>
      <c r="B96" s="3">
        <v>37</v>
      </c>
      <c r="C96" s="2" t="s">
        <v>162</v>
      </c>
      <c r="D96" s="2" t="s">
        <v>290</v>
      </c>
      <c r="E96" s="2" t="s">
        <v>39</v>
      </c>
      <c r="F96" s="2" t="s">
        <v>260</v>
      </c>
      <c r="G96" s="2">
        <f t="shared" ref="G96:G120" si="3">IF(LEN(TRIM(F96))=0,0,LEN(TRIM(F96))-LEN(SUBSTITUTE(F96," ",""))+1)</f>
        <v>2</v>
      </c>
      <c r="H96" s="2" t="s">
        <v>17</v>
      </c>
      <c r="I96" s="2" t="s">
        <v>35</v>
      </c>
      <c r="J96" s="2" t="s">
        <v>10</v>
      </c>
      <c r="K96" s="2" t="s">
        <v>163</v>
      </c>
      <c r="L96" s="2" t="s">
        <v>294</v>
      </c>
      <c r="M96" s="2">
        <v>0</v>
      </c>
      <c r="N96" s="2" t="s">
        <v>14</v>
      </c>
      <c r="O96" s="2" t="s">
        <v>24</v>
      </c>
      <c r="P96" s="2" t="s">
        <v>24</v>
      </c>
      <c r="Q96" s="2" t="s">
        <v>24</v>
      </c>
      <c r="R96" s="2" t="s">
        <v>24</v>
      </c>
      <c r="S96" s="2" t="s">
        <v>24</v>
      </c>
      <c r="T96" s="2" t="s">
        <v>24</v>
      </c>
      <c r="U96" s="2" t="s">
        <v>24</v>
      </c>
      <c r="V96" s="2" t="s">
        <v>12</v>
      </c>
      <c r="W96" s="2" t="s">
        <v>24</v>
      </c>
      <c r="X96" s="2" t="s">
        <v>24</v>
      </c>
      <c r="Y96" s="2" t="s">
        <v>14</v>
      </c>
      <c r="Z96" s="2" t="s">
        <v>24</v>
      </c>
    </row>
    <row r="97" spans="1:26" x14ac:dyDescent="0.25">
      <c r="A97" s="1">
        <v>98</v>
      </c>
      <c r="B97" s="3">
        <v>24</v>
      </c>
      <c r="C97" s="2" t="s">
        <v>142</v>
      </c>
      <c r="D97" s="2" t="s">
        <v>290</v>
      </c>
      <c r="E97" s="2" t="s">
        <v>7</v>
      </c>
      <c r="F97" s="2" t="s">
        <v>246</v>
      </c>
      <c r="G97" s="2">
        <f t="shared" si="3"/>
        <v>2</v>
      </c>
      <c r="H97" s="2" t="s">
        <v>32</v>
      </c>
      <c r="I97" s="2" t="s">
        <v>98</v>
      </c>
      <c r="J97" s="2" t="s">
        <v>19</v>
      </c>
      <c r="K97" s="2" t="s">
        <v>164</v>
      </c>
      <c r="L97" s="2" t="s">
        <v>294</v>
      </c>
      <c r="M97" s="2">
        <v>0</v>
      </c>
      <c r="N97" s="2" t="s">
        <v>12</v>
      </c>
      <c r="O97" s="2" t="s">
        <v>24</v>
      </c>
      <c r="P97" s="2" t="s">
        <v>24</v>
      </c>
      <c r="Q97" s="2" t="s">
        <v>24</v>
      </c>
      <c r="R97" s="2" t="s">
        <v>24</v>
      </c>
      <c r="S97" s="2" t="s">
        <v>24</v>
      </c>
      <c r="T97" s="2" t="s">
        <v>15</v>
      </c>
      <c r="U97" s="2" t="s">
        <v>13</v>
      </c>
      <c r="V97" s="2" t="s">
        <v>13</v>
      </c>
      <c r="W97" s="2" t="s">
        <v>13</v>
      </c>
      <c r="X97" s="2" t="s">
        <v>13</v>
      </c>
      <c r="Y97" s="2" t="s">
        <v>12</v>
      </c>
      <c r="Z97" s="2" t="s">
        <v>24</v>
      </c>
    </row>
    <row r="98" spans="1:26" x14ac:dyDescent="0.25">
      <c r="A98" s="1">
        <v>99</v>
      </c>
      <c r="B98" s="3">
        <v>54</v>
      </c>
      <c r="C98" s="2" t="s">
        <v>43</v>
      </c>
      <c r="D98" s="2" t="s">
        <v>290</v>
      </c>
      <c r="E98" s="2" t="s">
        <v>39</v>
      </c>
      <c r="F98" s="2" t="s">
        <v>245</v>
      </c>
      <c r="G98" s="2">
        <f t="shared" si="3"/>
        <v>3</v>
      </c>
      <c r="H98" s="2" t="s">
        <v>21</v>
      </c>
      <c r="I98" s="2" t="s">
        <v>53</v>
      </c>
      <c r="J98" s="2" t="s">
        <v>19</v>
      </c>
      <c r="K98" s="2" t="s">
        <v>165</v>
      </c>
      <c r="L98" s="2" t="s">
        <v>293</v>
      </c>
      <c r="M98" s="2">
        <v>2</v>
      </c>
      <c r="N98" s="2" t="s">
        <v>13</v>
      </c>
      <c r="O98" s="2" t="s">
        <v>24</v>
      </c>
      <c r="P98" s="2" t="s">
        <v>13</v>
      </c>
      <c r="Q98" s="2" t="s">
        <v>24</v>
      </c>
      <c r="R98" s="2" t="s">
        <v>24</v>
      </c>
      <c r="S98" s="2" t="s">
        <v>13</v>
      </c>
      <c r="T98" s="2" t="s">
        <v>24</v>
      </c>
      <c r="U98" s="2" t="s">
        <v>15</v>
      </c>
      <c r="V98" s="2" t="s">
        <v>13</v>
      </c>
      <c r="W98" s="2" t="s">
        <v>13</v>
      </c>
      <c r="X98" s="2" t="s">
        <v>13</v>
      </c>
      <c r="Y98" s="2" t="s">
        <v>24</v>
      </c>
      <c r="Z98" s="2" t="s">
        <v>15</v>
      </c>
    </row>
    <row r="99" spans="1:26" x14ac:dyDescent="0.25">
      <c r="A99" s="1">
        <v>100</v>
      </c>
      <c r="B99" s="3">
        <v>57</v>
      </c>
      <c r="C99" s="2" t="s">
        <v>6</v>
      </c>
      <c r="D99" s="2" t="s">
        <v>290</v>
      </c>
      <c r="E99" s="2" t="s">
        <v>39</v>
      </c>
      <c r="F99" s="2" t="s">
        <v>246</v>
      </c>
      <c r="G99" s="2">
        <f t="shared" si="3"/>
        <v>2</v>
      </c>
      <c r="H99" s="2" t="s">
        <v>17</v>
      </c>
      <c r="I99" s="2" t="s">
        <v>70</v>
      </c>
      <c r="J99" s="2" t="s">
        <v>26</v>
      </c>
      <c r="K99" s="2" t="s">
        <v>166</v>
      </c>
      <c r="L99" s="2" t="s">
        <v>293</v>
      </c>
      <c r="M99" s="2">
        <v>3</v>
      </c>
      <c r="N99" s="2" t="s">
        <v>15</v>
      </c>
      <c r="O99" s="2" t="s">
        <v>13</v>
      </c>
      <c r="P99" s="2" t="s">
        <v>13</v>
      </c>
      <c r="Q99" s="2" t="s">
        <v>13</v>
      </c>
      <c r="R99" s="2" t="s">
        <v>24</v>
      </c>
      <c r="S99" s="2" t="s">
        <v>13</v>
      </c>
      <c r="T99" s="2" t="s">
        <v>24</v>
      </c>
      <c r="U99" s="2" t="s">
        <v>15</v>
      </c>
      <c r="V99" s="2" t="s">
        <v>12</v>
      </c>
      <c r="W99" s="2" t="s">
        <v>13</v>
      </c>
      <c r="X99" s="2" t="s">
        <v>13</v>
      </c>
      <c r="Y99" s="2" t="s">
        <v>15</v>
      </c>
      <c r="Z99" s="2" t="s">
        <v>14</v>
      </c>
    </row>
    <row r="100" spans="1:26" x14ac:dyDescent="0.25">
      <c r="A100" s="1">
        <v>101</v>
      </c>
      <c r="B100" s="3">
        <v>44</v>
      </c>
      <c r="C100" s="2" t="s">
        <v>6</v>
      </c>
      <c r="D100" s="2" t="s">
        <v>16</v>
      </c>
      <c r="E100" s="2" t="s">
        <v>39</v>
      </c>
      <c r="F100" s="2" t="s">
        <v>246</v>
      </c>
      <c r="G100" s="2">
        <f t="shared" si="3"/>
        <v>2</v>
      </c>
      <c r="H100" s="2" t="s">
        <v>21</v>
      </c>
      <c r="I100" s="2" t="s">
        <v>86</v>
      </c>
      <c r="J100" s="2" t="s">
        <v>26</v>
      </c>
      <c r="K100" s="2" t="s">
        <v>167</v>
      </c>
      <c r="L100" s="2" t="s">
        <v>294</v>
      </c>
      <c r="M100" s="2">
        <v>1</v>
      </c>
      <c r="N100" s="2" t="s">
        <v>15</v>
      </c>
      <c r="O100" s="2" t="s">
        <v>12</v>
      </c>
      <c r="P100" s="2" t="s">
        <v>14</v>
      </c>
      <c r="Q100" s="2" t="s">
        <v>14</v>
      </c>
      <c r="R100" s="2" t="s">
        <v>12</v>
      </c>
      <c r="S100" s="2" t="s">
        <v>13</v>
      </c>
      <c r="T100" s="2" t="s">
        <v>24</v>
      </c>
      <c r="U100" s="2" t="s">
        <v>14</v>
      </c>
      <c r="V100" s="2" t="s">
        <v>12</v>
      </c>
      <c r="W100" s="2" t="s">
        <v>14</v>
      </c>
      <c r="X100" s="2" t="s">
        <v>13</v>
      </c>
      <c r="Y100" s="2" t="s">
        <v>14</v>
      </c>
      <c r="Z100" s="2" t="s">
        <v>15</v>
      </c>
    </row>
    <row r="101" spans="1:26" x14ac:dyDescent="0.25">
      <c r="A101" s="1">
        <v>102</v>
      </c>
      <c r="B101" s="3">
        <v>40</v>
      </c>
      <c r="C101" s="2" t="s">
        <v>168</v>
      </c>
      <c r="D101" s="2" t="s">
        <v>290</v>
      </c>
      <c r="E101" s="2" t="s">
        <v>39</v>
      </c>
      <c r="F101" s="2" t="s">
        <v>251</v>
      </c>
      <c r="G101" s="2">
        <f t="shared" si="3"/>
        <v>2</v>
      </c>
      <c r="H101" s="2" t="s">
        <v>21</v>
      </c>
      <c r="I101" s="2" t="s">
        <v>35</v>
      </c>
      <c r="J101" s="2" t="s">
        <v>10</v>
      </c>
      <c r="K101" s="2" t="s">
        <v>169</v>
      </c>
      <c r="L101" s="2" t="s">
        <v>293</v>
      </c>
      <c r="M101" s="2">
        <v>1</v>
      </c>
      <c r="N101" s="2" t="s">
        <v>15</v>
      </c>
      <c r="O101" s="2" t="s">
        <v>13</v>
      </c>
      <c r="P101" s="2" t="s">
        <v>13</v>
      </c>
      <c r="Q101" s="2" t="s">
        <v>24</v>
      </c>
      <c r="R101" s="2" t="s">
        <v>12</v>
      </c>
      <c r="S101" s="2" t="s">
        <v>12</v>
      </c>
      <c r="T101" s="2" t="s">
        <v>13</v>
      </c>
      <c r="U101" s="2" t="s">
        <v>13</v>
      </c>
      <c r="V101" s="2" t="s">
        <v>12</v>
      </c>
      <c r="W101" s="2" t="s">
        <v>12</v>
      </c>
      <c r="X101" s="2" t="s">
        <v>13</v>
      </c>
      <c r="Y101" s="2" t="s">
        <v>15</v>
      </c>
      <c r="Z101" s="2" t="s">
        <v>15</v>
      </c>
    </row>
    <row r="102" spans="1:26" x14ac:dyDescent="0.25">
      <c r="A102" s="1">
        <v>103</v>
      </c>
      <c r="B102" s="3">
        <v>62</v>
      </c>
      <c r="C102" s="2" t="s">
        <v>6</v>
      </c>
      <c r="D102" s="2" t="s">
        <v>290</v>
      </c>
      <c r="E102" s="2" t="s">
        <v>7</v>
      </c>
      <c r="F102" s="2" t="s">
        <v>31</v>
      </c>
      <c r="G102" s="2">
        <f t="shared" si="3"/>
        <v>1</v>
      </c>
      <c r="H102" s="2" t="s">
        <v>50</v>
      </c>
      <c r="I102" s="2" t="s">
        <v>98</v>
      </c>
      <c r="J102" s="2" t="s">
        <v>87</v>
      </c>
      <c r="K102" s="2" t="s">
        <v>170</v>
      </c>
      <c r="L102" s="2" t="s">
        <v>294</v>
      </c>
      <c r="M102" s="2">
        <v>1</v>
      </c>
      <c r="N102" s="2" t="s">
        <v>14</v>
      </c>
      <c r="O102" s="2" t="s">
        <v>24</v>
      </c>
      <c r="P102" s="2" t="s">
        <v>12</v>
      </c>
      <c r="Q102" s="2" t="s">
        <v>14</v>
      </c>
      <c r="R102" s="2" t="s">
        <v>13</v>
      </c>
      <c r="S102" s="2" t="s">
        <v>14</v>
      </c>
      <c r="T102" s="2" t="s">
        <v>14</v>
      </c>
      <c r="U102" s="2" t="s">
        <v>14</v>
      </c>
      <c r="V102" s="2" t="s">
        <v>14</v>
      </c>
      <c r="W102" s="2" t="s">
        <v>13</v>
      </c>
      <c r="X102" s="2" t="s">
        <v>13</v>
      </c>
      <c r="Y102" s="2" t="s">
        <v>12</v>
      </c>
      <c r="Z102" s="2" t="s">
        <v>14</v>
      </c>
    </row>
    <row r="103" spans="1:26" x14ac:dyDescent="0.25">
      <c r="A103" s="1">
        <v>104</v>
      </c>
      <c r="B103" s="3">
        <v>61</v>
      </c>
      <c r="C103" s="2" t="s">
        <v>6</v>
      </c>
      <c r="D103" s="2" t="s">
        <v>16</v>
      </c>
      <c r="E103" s="2" t="s">
        <v>39</v>
      </c>
      <c r="F103" s="2" t="s">
        <v>31</v>
      </c>
      <c r="G103" s="2">
        <f t="shared" si="3"/>
        <v>1</v>
      </c>
      <c r="H103" s="2" t="s">
        <v>21</v>
      </c>
      <c r="I103" s="2" t="s">
        <v>35</v>
      </c>
      <c r="J103" s="2" t="s">
        <v>19</v>
      </c>
      <c r="K103" s="2" t="s">
        <v>171</v>
      </c>
      <c r="L103" s="2" t="s">
        <v>293</v>
      </c>
      <c r="M103" s="2">
        <v>1</v>
      </c>
      <c r="N103" s="2" t="s">
        <v>24</v>
      </c>
      <c r="O103" s="2" t="s">
        <v>24</v>
      </c>
      <c r="P103" s="2" t="s">
        <v>12</v>
      </c>
      <c r="Q103" s="2" t="s">
        <v>24</v>
      </c>
      <c r="R103" s="2" t="s">
        <v>15</v>
      </c>
      <c r="S103" s="2" t="s">
        <v>13</v>
      </c>
      <c r="T103" s="2" t="s">
        <v>24</v>
      </c>
      <c r="U103" s="2" t="s">
        <v>24</v>
      </c>
      <c r="V103" s="2" t="s">
        <v>14</v>
      </c>
      <c r="W103" s="2" t="s">
        <v>13</v>
      </c>
      <c r="X103" s="2" t="s">
        <v>13</v>
      </c>
      <c r="Y103" s="2" t="s">
        <v>13</v>
      </c>
      <c r="Z103" s="2" t="s">
        <v>15</v>
      </c>
    </row>
    <row r="104" spans="1:26" x14ac:dyDescent="0.25">
      <c r="A104" s="1">
        <v>105</v>
      </c>
      <c r="B104" s="3">
        <v>62</v>
      </c>
      <c r="C104" s="2" t="s">
        <v>43</v>
      </c>
      <c r="D104" s="2" t="s">
        <v>16</v>
      </c>
      <c r="E104" s="2" t="s">
        <v>39</v>
      </c>
      <c r="F104" s="2" t="s">
        <v>31</v>
      </c>
      <c r="G104" s="2">
        <f t="shared" si="3"/>
        <v>1</v>
      </c>
      <c r="H104" s="2" t="s">
        <v>32</v>
      </c>
      <c r="I104" s="2" t="s">
        <v>86</v>
      </c>
      <c r="J104" s="2" t="s">
        <v>87</v>
      </c>
      <c r="K104" s="2" t="s">
        <v>172</v>
      </c>
      <c r="L104" s="2" t="s">
        <v>293</v>
      </c>
      <c r="M104" s="2">
        <v>2</v>
      </c>
      <c r="N104" s="2" t="s">
        <v>13</v>
      </c>
      <c r="O104" s="2" t="s">
        <v>13</v>
      </c>
      <c r="P104" s="2" t="s">
        <v>12</v>
      </c>
      <c r="Q104" s="2" t="s">
        <v>13</v>
      </c>
      <c r="R104" s="2" t="s">
        <v>15</v>
      </c>
      <c r="S104" s="2" t="s">
        <v>15</v>
      </c>
      <c r="T104" s="2" t="s">
        <v>24</v>
      </c>
      <c r="U104" s="2" t="s">
        <v>13</v>
      </c>
      <c r="V104" s="2" t="s">
        <v>24</v>
      </c>
      <c r="W104" s="2" t="s">
        <v>15</v>
      </c>
      <c r="X104" s="2" t="s">
        <v>13</v>
      </c>
      <c r="Y104" s="2" t="s">
        <v>13</v>
      </c>
      <c r="Z104" s="2" t="s">
        <v>13</v>
      </c>
    </row>
    <row r="105" spans="1:26" x14ac:dyDescent="0.25">
      <c r="A105" s="1">
        <v>106</v>
      </c>
      <c r="B105" s="3">
        <v>60</v>
      </c>
      <c r="C105" s="2" t="s">
        <v>6</v>
      </c>
      <c r="D105" s="2" t="s">
        <v>290</v>
      </c>
      <c r="E105" s="2" t="s">
        <v>39</v>
      </c>
      <c r="F105" s="2" t="s">
        <v>261</v>
      </c>
      <c r="G105" s="2">
        <f t="shared" si="3"/>
        <v>3</v>
      </c>
      <c r="H105" s="2" t="s">
        <v>17</v>
      </c>
      <c r="I105" s="2" t="s">
        <v>35</v>
      </c>
      <c r="J105" s="2" t="s">
        <v>26</v>
      </c>
      <c r="K105" s="2" t="s">
        <v>173</v>
      </c>
      <c r="L105" s="2" t="s">
        <v>294</v>
      </c>
      <c r="M105" s="2">
        <v>1</v>
      </c>
      <c r="N105" s="2" t="s">
        <v>13</v>
      </c>
      <c r="O105" s="2" t="s">
        <v>12</v>
      </c>
      <c r="P105" s="2" t="s">
        <v>12</v>
      </c>
      <c r="Q105" s="2" t="s">
        <v>12</v>
      </c>
      <c r="R105" s="2" t="s">
        <v>24</v>
      </c>
      <c r="S105" s="2" t="s">
        <v>12</v>
      </c>
      <c r="T105" s="2" t="s">
        <v>24</v>
      </c>
      <c r="U105" s="2" t="s">
        <v>24</v>
      </c>
      <c r="V105" s="2" t="s">
        <v>13</v>
      </c>
      <c r="W105" s="2" t="s">
        <v>24</v>
      </c>
      <c r="X105" s="2" t="s">
        <v>24</v>
      </c>
      <c r="Y105" s="2" t="s">
        <v>15</v>
      </c>
      <c r="Z105" s="2" t="s">
        <v>24</v>
      </c>
    </row>
    <row r="106" spans="1:26" x14ac:dyDescent="0.25">
      <c r="A106" s="1">
        <v>107</v>
      </c>
      <c r="B106" s="3">
        <v>48</v>
      </c>
      <c r="C106" s="2" t="s">
        <v>43</v>
      </c>
      <c r="D106" s="2" t="s">
        <v>290</v>
      </c>
      <c r="E106" s="2" t="s">
        <v>39</v>
      </c>
      <c r="F106" s="2" t="s">
        <v>31</v>
      </c>
      <c r="G106" s="2">
        <f t="shared" si="3"/>
        <v>1</v>
      </c>
      <c r="H106" s="2" t="s">
        <v>21</v>
      </c>
      <c r="I106" s="2" t="s">
        <v>98</v>
      </c>
      <c r="J106" s="2" t="s">
        <v>19</v>
      </c>
      <c r="K106" s="2" t="s">
        <v>174</v>
      </c>
      <c r="L106" s="2" t="s">
        <v>293</v>
      </c>
      <c r="M106" s="2">
        <v>2</v>
      </c>
      <c r="N106" s="2" t="s">
        <v>24</v>
      </c>
      <c r="O106" s="2" t="s">
        <v>12</v>
      </c>
      <c r="P106" s="2" t="s">
        <v>13</v>
      </c>
      <c r="Q106" s="2" t="s">
        <v>24</v>
      </c>
      <c r="R106" s="2" t="s">
        <v>13</v>
      </c>
      <c r="S106" s="2" t="s">
        <v>24</v>
      </c>
      <c r="T106" s="2" t="s">
        <v>15</v>
      </c>
      <c r="U106" s="2" t="s">
        <v>13</v>
      </c>
      <c r="V106" s="2" t="s">
        <v>12</v>
      </c>
      <c r="W106" s="2" t="s">
        <v>13</v>
      </c>
      <c r="X106" s="2" t="s">
        <v>13</v>
      </c>
      <c r="Y106" s="2" t="s">
        <v>15</v>
      </c>
      <c r="Z106" s="2" t="s">
        <v>24</v>
      </c>
    </row>
    <row r="107" spans="1:26" x14ac:dyDescent="0.25">
      <c r="A107" s="1">
        <v>108</v>
      </c>
      <c r="B107" s="3">
        <v>45</v>
      </c>
      <c r="C107" s="2" t="s">
        <v>6</v>
      </c>
      <c r="D107" s="2" t="s">
        <v>290</v>
      </c>
      <c r="E107" s="2" t="s">
        <v>39</v>
      </c>
      <c r="F107" s="2" t="s">
        <v>31</v>
      </c>
      <c r="G107" s="2">
        <f t="shared" si="3"/>
        <v>1</v>
      </c>
      <c r="H107" s="2" t="s">
        <v>50</v>
      </c>
      <c r="I107" s="2" t="s">
        <v>75</v>
      </c>
      <c r="J107" s="2" t="s">
        <v>19</v>
      </c>
      <c r="K107" s="2" t="s">
        <v>175</v>
      </c>
      <c r="L107" s="2" t="s">
        <v>294</v>
      </c>
      <c r="M107" s="2">
        <v>2</v>
      </c>
      <c r="N107" s="2" t="s">
        <v>24</v>
      </c>
      <c r="O107" s="2" t="s">
        <v>24</v>
      </c>
      <c r="P107" s="2" t="s">
        <v>24</v>
      </c>
      <c r="Q107" s="2" t="s">
        <v>24</v>
      </c>
      <c r="R107" s="2" t="s">
        <v>13</v>
      </c>
      <c r="S107" s="2" t="s">
        <v>24</v>
      </c>
      <c r="T107" s="2" t="s">
        <v>15</v>
      </c>
      <c r="U107" s="2" t="s">
        <v>24</v>
      </c>
      <c r="V107" s="2" t="s">
        <v>15</v>
      </c>
      <c r="W107" s="2" t="s">
        <v>15</v>
      </c>
      <c r="X107" s="2" t="s">
        <v>12</v>
      </c>
      <c r="Y107" s="2" t="s">
        <v>13</v>
      </c>
      <c r="Z107" s="2" t="s">
        <v>14</v>
      </c>
    </row>
    <row r="108" spans="1:26" x14ac:dyDescent="0.25">
      <c r="A108" s="1">
        <v>109</v>
      </c>
      <c r="B108" s="3">
        <v>59</v>
      </c>
      <c r="C108" s="2" t="s">
        <v>6</v>
      </c>
      <c r="D108" s="2" t="s">
        <v>290</v>
      </c>
      <c r="E108" s="2" t="s">
        <v>39</v>
      </c>
      <c r="F108" s="2" t="s">
        <v>31</v>
      </c>
      <c r="G108" s="2">
        <f t="shared" si="3"/>
        <v>1</v>
      </c>
      <c r="H108" s="2" t="s">
        <v>50</v>
      </c>
      <c r="I108" s="2" t="s">
        <v>58</v>
      </c>
      <c r="J108" s="2" t="s">
        <v>19</v>
      </c>
      <c r="K108" s="2" t="s">
        <v>176</v>
      </c>
      <c r="L108" s="2" t="s">
        <v>293</v>
      </c>
      <c r="M108" s="2">
        <v>1</v>
      </c>
      <c r="N108" s="2" t="s">
        <v>13</v>
      </c>
      <c r="O108" s="2" t="s">
        <v>13</v>
      </c>
      <c r="P108" s="2" t="s">
        <v>24</v>
      </c>
      <c r="Q108" s="2" t="s">
        <v>24</v>
      </c>
      <c r="R108" s="2" t="s">
        <v>24</v>
      </c>
      <c r="S108" s="2" t="s">
        <v>13</v>
      </c>
      <c r="T108" s="2" t="s">
        <v>13</v>
      </c>
      <c r="U108" s="2" t="s">
        <v>13</v>
      </c>
      <c r="V108" s="2" t="s">
        <v>15</v>
      </c>
      <c r="W108" s="2" t="s">
        <v>15</v>
      </c>
      <c r="X108" s="2" t="s">
        <v>13</v>
      </c>
      <c r="Y108" s="2" t="s">
        <v>24</v>
      </c>
      <c r="Z108" s="2" t="s">
        <v>15</v>
      </c>
    </row>
    <row r="109" spans="1:26" x14ac:dyDescent="0.25">
      <c r="A109" s="1">
        <v>110</v>
      </c>
      <c r="B109" s="3">
        <v>45</v>
      </c>
      <c r="C109" s="2" t="s">
        <v>6</v>
      </c>
      <c r="D109" s="2" t="s">
        <v>290</v>
      </c>
      <c r="E109" s="2" t="s">
        <v>39</v>
      </c>
      <c r="F109" s="2" t="s">
        <v>31</v>
      </c>
      <c r="G109" s="2">
        <f t="shared" si="3"/>
        <v>1</v>
      </c>
      <c r="H109" s="2" t="s">
        <v>50</v>
      </c>
      <c r="I109" s="2" t="s">
        <v>35</v>
      </c>
      <c r="J109" s="2" t="s">
        <v>19</v>
      </c>
      <c r="K109" s="2" t="s">
        <v>85</v>
      </c>
      <c r="L109" s="2" t="s">
        <v>294</v>
      </c>
      <c r="M109" s="2">
        <v>1</v>
      </c>
      <c r="N109" s="2" t="s">
        <v>14</v>
      </c>
      <c r="O109" s="2" t="s">
        <v>13</v>
      </c>
      <c r="P109" s="2" t="s">
        <v>13</v>
      </c>
      <c r="Q109" s="2" t="s">
        <v>24</v>
      </c>
      <c r="R109" s="2" t="s">
        <v>15</v>
      </c>
      <c r="S109" s="2" t="s">
        <v>15</v>
      </c>
      <c r="T109" s="2" t="s">
        <v>15</v>
      </c>
      <c r="U109" s="2" t="s">
        <v>24</v>
      </c>
      <c r="V109" s="2" t="s">
        <v>13</v>
      </c>
      <c r="W109" s="2" t="s">
        <v>14</v>
      </c>
      <c r="X109" s="2" t="s">
        <v>13</v>
      </c>
      <c r="Y109" s="2" t="s">
        <v>14</v>
      </c>
      <c r="Z109" s="2" t="s">
        <v>24</v>
      </c>
    </row>
    <row r="110" spans="1:26" x14ac:dyDescent="0.25">
      <c r="A110" s="1">
        <v>111</v>
      </c>
      <c r="B110" s="3">
        <v>54</v>
      </c>
      <c r="C110" s="2" t="s">
        <v>43</v>
      </c>
      <c r="D110" s="2" t="s">
        <v>290</v>
      </c>
      <c r="E110" s="2" t="s">
        <v>39</v>
      </c>
      <c r="F110" s="2" t="s">
        <v>246</v>
      </c>
      <c r="G110" s="2">
        <f t="shared" si="3"/>
        <v>2</v>
      </c>
      <c r="H110" s="2" t="s">
        <v>32</v>
      </c>
      <c r="I110" s="2" t="s">
        <v>98</v>
      </c>
      <c r="J110" s="2" t="s">
        <v>10</v>
      </c>
      <c r="K110" s="2" t="s">
        <v>177</v>
      </c>
      <c r="L110" s="2" t="s">
        <v>293</v>
      </c>
      <c r="M110" s="2">
        <v>2</v>
      </c>
      <c r="N110" s="2" t="s">
        <v>13</v>
      </c>
      <c r="O110" s="2" t="s">
        <v>13</v>
      </c>
      <c r="P110" s="2" t="s">
        <v>24</v>
      </c>
      <c r="Q110" s="2" t="s">
        <v>13</v>
      </c>
      <c r="R110" s="2" t="s">
        <v>12</v>
      </c>
      <c r="S110" s="2" t="s">
        <v>13</v>
      </c>
      <c r="T110" s="2" t="s">
        <v>15</v>
      </c>
      <c r="U110" s="2" t="s">
        <v>24</v>
      </c>
      <c r="V110" s="2" t="s">
        <v>13</v>
      </c>
      <c r="W110" s="2" t="s">
        <v>13</v>
      </c>
      <c r="X110" s="2" t="s">
        <v>13</v>
      </c>
      <c r="Y110" s="2" t="s">
        <v>13</v>
      </c>
      <c r="Z110" s="2" t="s">
        <v>15</v>
      </c>
    </row>
    <row r="111" spans="1:26" x14ac:dyDescent="0.25">
      <c r="A111" s="1">
        <v>112</v>
      </c>
      <c r="B111" s="3">
        <v>53</v>
      </c>
      <c r="C111" s="2" t="s">
        <v>6</v>
      </c>
      <c r="D111" s="2" t="s">
        <v>290</v>
      </c>
      <c r="E111" s="2" t="s">
        <v>7</v>
      </c>
      <c r="F111" s="2" t="s">
        <v>31</v>
      </c>
      <c r="G111" s="2">
        <f t="shared" si="3"/>
        <v>1</v>
      </c>
      <c r="H111" s="2" t="s">
        <v>32</v>
      </c>
      <c r="I111" s="2" t="s">
        <v>58</v>
      </c>
      <c r="J111" s="2" t="s">
        <v>26</v>
      </c>
      <c r="K111" s="2" t="s">
        <v>88</v>
      </c>
      <c r="L111" s="2" t="s">
        <v>294</v>
      </c>
      <c r="M111" s="2">
        <v>1</v>
      </c>
      <c r="N111" s="2" t="s">
        <v>13</v>
      </c>
      <c r="O111" s="2" t="s">
        <v>24</v>
      </c>
      <c r="P111" s="2" t="s">
        <v>13</v>
      </c>
      <c r="Q111" s="2" t="s">
        <v>15</v>
      </c>
      <c r="R111" s="2" t="s">
        <v>24</v>
      </c>
      <c r="S111" s="2" t="s">
        <v>13</v>
      </c>
      <c r="T111" s="2" t="s">
        <v>15</v>
      </c>
      <c r="U111" s="2" t="s">
        <v>15</v>
      </c>
      <c r="V111" s="2" t="s">
        <v>13</v>
      </c>
      <c r="W111" s="2" t="s">
        <v>13</v>
      </c>
      <c r="X111" s="2" t="s">
        <v>15</v>
      </c>
      <c r="Y111" s="2" t="s">
        <v>13</v>
      </c>
      <c r="Z111" s="2" t="s">
        <v>15</v>
      </c>
    </row>
    <row r="112" spans="1:26" x14ac:dyDescent="0.25">
      <c r="A112" s="1">
        <v>113</v>
      </c>
      <c r="B112" s="3">
        <v>59</v>
      </c>
      <c r="C112" s="2" t="s">
        <v>6</v>
      </c>
      <c r="D112" s="2" t="s">
        <v>16</v>
      </c>
      <c r="E112" s="2" t="s">
        <v>39</v>
      </c>
      <c r="F112" s="2" t="s">
        <v>31</v>
      </c>
      <c r="G112" s="2">
        <f t="shared" si="3"/>
        <v>1</v>
      </c>
      <c r="H112" s="2" t="s">
        <v>32</v>
      </c>
      <c r="I112" s="2" t="s">
        <v>58</v>
      </c>
      <c r="J112" s="2" t="s">
        <v>19</v>
      </c>
      <c r="K112" s="2" t="s">
        <v>178</v>
      </c>
      <c r="L112" s="2" t="s">
        <v>293</v>
      </c>
      <c r="M112" s="2">
        <v>2</v>
      </c>
      <c r="N112" s="2" t="s">
        <v>24</v>
      </c>
      <c r="O112" s="2" t="s">
        <v>13</v>
      </c>
      <c r="P112" s="2" t="s">
        <v>13</v>
      </c>
      <c r="Q112" s="2" t="s">
        <v>24</v>
      </c>
      <c r="R112" s="2" t="s">
        <v>13</v>
      </c>
      <c r="S112" s="2" t="s">
        <v>13</v>
      </c>
      <c r="T112" s="2" t="s">
        <v>13</v>
      </c>
      <c r="U112" s="2" t="s">
        <v>24</v>
      </c>
      <c r="V112" s="2" t="s">
        <v>13</v>
      </c>
      <c r="W112" s="2" t="s">
        <v>13</v>
      </c>
      <c r="X112" s="2" t="s">
        <v>13</v>
      </c>
      <c r="Y112" s="2" t="s">
        <v>15</v>
      </c>
      <c r="Z112" s="2" t="s">
        <v>15</v>
      </c>
    </row>
    <row r="113" spans="1:26" x14ac:dyDescent="0.25">
      <c r="A113" s="1">
        <v>114</v>
      </c>
      <c r="B113" s="3">
        <v>36</v>
      </c>
      <c r="C113" s="2" t="s">
        <v>6</v>
      </c>
      <c r="D113" s="2" t="s">
        <v>290</v>
      </c>
      <c r="E113" s="2" t="s">
        <v>39</v>
      </c>
      <c r="F113" s="2" t="s">
        <v>246</v>
      </c>
      <c r="G113" s="2">
        <f t="shared" si="3"/>
        <v>2</v>
      </c>
      <c r="H113" s="2" t="s">
        <v>32</v>
      </c>
      <c r="I113" s="2" t="s">
        <v>179</v>
      </c>
      <c r="J113" s="2" t="s">
        <v>19</v>
      </c>
      <c r="K113" s="2" t="s">
        <v>180</v>
      </c>
      <c r="L113" s="2" t="s">
        <v>294</v>
      </c>
      <c r="M113" s="2">
        <v>2</v>
      </c>
      <c r="N113" s="2" t="s">
        <v>24</v>
      </c>
      <c r="O113" s="2" t="s">
        <v>13</v>
      </c>
      <c r="P113" s="2" t="s">
        <v>12</v>
      </c>
      <c r="Q113" s="2" t="s">
        <v>24</v>
      </c>
      <c r="R113" s="2" t="s">
        <v>13</v>
      </c>
      <c r="S113" s="2" t="s">
        <v>14</v>
      </c>
      <c r="T113" s="2" t="s">
        <v>14</v>
      </c>
      <c r="U113" s="2" t="s">
        <v>12</v>
      </c>
      <c r="V113" s="2" t="s">
        <v>12</v>
      </c>
      <c r="W113" s="2" t="s">
        <v>12</v>
      </c>
      <c r="X113" s="2" t="s">
        <v>12</v>
      </c>
      <c r="Y113" s="2" t="s">
        <v>13</v>
      </c>
      <c r="Z113" s="2" t="s">
        <v>14</v>
      </c>
    </row>
    <row r="114" spans="1:26" x14ac:dyDescent="0.25">
      <c r="A114" s="1">
        <v>115</v>
      </c>
      <c r="B114" s="2">
        <v>53</v>
      </c>
      <c r="C114" s="2" t="s">
        <v>6</v>
      </c>
      <c r="D114" s="2" t="s">
        <v>290</v>
      </c>
      <c r="E114" s="2" t="s">
        <v>39</v>
      </c>
      <c r="F114" s="2" t="s">
        <v>31</v>
      </c>
      <c r="G114" s="2">
        <f t="shared" si="3"/>
        <v>1</v>
      </c>
      <c r="H114" s="2" t="s">
        <v>50</v>
      </c>
      <c r="I114" s="2" t="s">
        <v>86</v>
      </c>
      <c r="J114" s="2" t="s">
        <v>19</v>
      </c>
      <c r="K114" s="2" t="s">
        <v>181</v>
      </c>
      <c r="L114" s="2" t="s">
        <v>294</v>
      </c>
      <c r="M114" s="2">
        <v>1</v>
      </c>
      <c r="N114" s="2" t="s">
        <v>15</v>
      </c>
      <c r="O114" s="2" t="s">
        <v>15</v>
      </c>
      <c r="P114" s="2" t="s">
        <v>15</v>
      </c>
      <c r="Q114" s="2" t="s">
        <v>13</v>
      </c>
      <c r="R114" s="2" t="s">
        <v>15</v>
      </c>
      <c r="S114" s="2" t="s">
        <v>15</v>
      </c>
      <c r="T114" s="2" t="s">
        <v>15</v>
      </c>
      <c r="U114" s="2" t="s">
        <v>13</v>
      </c>
      <c r="V114" s="2" t="s">
        <v>15</v>
      </c>
      <c r="W114" s="2" t="s">
        <v>15</v>
      </c>
      <c r="X114" s="2" t="s">
        <v>15</v>
      </c>
      <c r="Y114" s="2" t="s">
        <v>13</v>
      </c>
      <c r="Z114" s="2" t="s">
        <v>15</v>
      </c>
    </row>
    <row r="115" spans="1:26" x14ac:dyDescent="0.25">
      <c r="A115" s="1">
        <v>116</v>
      </c>
      <c r="B115" s="3">
        <v>36</v>
      </c>
      <c r="C115" s="2" t="s">
        <v>6</v>
      </c>
      <c r="D115" s="2" t="s">
        <v>290</v>
      </c>
      <c r="E115" s="2" t="s">
        <v>39</v>
      </c>
      <c r="F115" s="2" t="s">
        <v>246</v>
      </c>
      <c r="G115" s="2">
        <f t="shared" si="3"/>
        <v>2</v>
      </c>
      <c r="H115" s="2" t="s">
        <v>17</v>
      </c>
      <c r="I115" s="2" t="s">
        <v>77</v>
      </c>
      <c r="J115" s="2" t="s">
        <v>19</v>
      </c>
      <c r="K115" s="2" t="s">
        <v>182</v>
      </c>
      <c r="L115" s="2" t="s">
        <v>294</v>
      </c>
      <c r="M115" s="2">
        <v>2</v>
      </c>
      <c r="N115" s="2" t="s">
        <v>24</v>
      </c>
      <c r="O115" s="2" t="s">
        <v>12</v>
      </c>
      <c r="P115" s="2" t="s">
        <v>12</v>
      </c>
      <c r="Q115" s="2" t="s">
        <v>15</v>
      </c>
      <c r="R115" s="2" t="s">
        <v>12</v>
      </c>
      <c r="S115" s="2" t="s">
        <v>15</v>
      </c>
      <c r="T115" s="2" t="s">
        <v>15</v>
      </c>
      <c r="U115" s="2" t="s">
        <v>15</v>
      </c>
      <c r="V115" s="2" t="s">
        <v>12</v>
      </c>
      <c r="W115" s="2" t="s">
        <v>12</v>
      </c>
      <c r="X115" s="2" t="s">
        <v>12</v>
      </c>
      <c r="Y115" s="2" t="s">
        <v>13</v>
      </c>
      <c r="Z115" s="2" t="s">
        <v>14</v>
      </c>
    </row>
    <row r="116" spans="1:26" x14ac:dyDescent="0.25">
      <c r="A116" s="1">
        <v>118</v>
      </c>
      <c r="B116" s="3">
        <v>18</v>
      </c>
      <c r="C116" s="2" t="s">
        <v>183</v>
      </c>
      <c r="D116" s="2" t="s">
        <v>290</v>
      </c>
      <c r="E116" s="2" t="s">
        <v>39</v>
      </c>
      <c r="F116" s="2" t="s">
        <v>262</v>
      </c>
      <c r="G116" s="2">
        <f t="shared" si="3"/>
        <v>3</v>
      </c>
      <c r="H116" s="2" t="s">
        <v>21</v>
      </c>
      <c r="I116" s="2" t="s">
        <v>35</v>
      </c>
      <c r="J116" s="2" t="s">
        <v>19</v>
      </c>
      <c r="K116" s="2" t="s">
        <v>184</v>
      </c>
      <c r="L116" s="2" t="s">
        <v>294</v>
      </c>
      <c r="M116" s="2">
        <v>1</v>
      </c>
      <c r="N116" s="2" t="s">
        <v>13</v>
      </c>
      <c r="O116" s="2" t="s">
        <v>24</v>
      </c>
      <c r="P116" s="2" t="s">
        <v>24</v>
      </c>
      <c r="Q116" s="2" t="s">
        <v>24</v>
      </c>
      <c r="R116" s="2" t="s">
        <v>24</v>
      </c>
      <c r="S116" s="2" t="s">
        <v>24</v>
      </c>
      <c r="T116" s="2" t="s">
        <v>24</v>
      </c>
      <c r="U116" s="2" t="s">
        <v>24</v>
      </c>
      <c r="V116" s="2" t="s">
        <v>24</v>
      </c>
      <c r="W116" s="2" t="s">
        <v>24</v>
      </c>
      <c r="X116" s="2" t="s">
        <v>24</v>
      </c>
      <c r="Y116" s="2" t="s">
        <v>13</v>
      </c>
      <c r="Z116" s="2" t="s">
        <v>24</v>
      </c>
    </row>
    <row r="117" spans="1:26" x14ac:dyDescent="0.25">
      <c r="A117" s="1">
        <v>119</v>
      </c>
      <c r="B117" s="3">
        <v>53</v>
      </c>
      <c r="C117" s="2" t="s">
        <v>185</v>
      </c>
      <c r="D117" s="2" t="s">
        <v>290</v>
      </c>
      <c r="E117" s="2" t="s">
        <v>39</v>
      </c>
      <c r="F117" s="2" t="s">
        <v>31</v>
      </c>
      <c r="G117" s="2">
        <f t="shared" si="3"/>
        <v>1</v>
      </c>
      <c r="H117" s="2" t="s">
        <v>50</v>
      </c>
      <c r="I117" s="2" t="s">
        <v>86</v>
      </c>
      <c r="J117" s="2" t="s">
        <v>19</v>
      </c>
      <c r="K117" s="2" t="s">
        <v>186</v>
      </c>
      <c r="L117" s="2" t="s">
        <v>293</v>
      </c>
      <c r="M117" s="2">
        <v>1</v>
      </c>
      <c r="N117" s="2" t="s">
        <v>14</v>
      </c>
      <c r="O117" s="2" t="s">
        <v>24</v>
      </c>
      <c r="P117" s="2" t="s">
        <v>13</v>
      </c>
      <c r="Q117" s="2" t="s">
        <v>13</v>
      </c>
      <c r="R117" s="2" t="s">
        <v>13</v>
      </c>
      <c r="S117" s="2" t="s">
        <v>14</v>
      </c>
      <c r="T117" s="2" t="s">
        <v>14</v>
      </c>
      <c r="U117" s="2" t="s">
        <v>24</v>
      </c>
      <c r="V117" s="2" t="s">
        <v>13</v>
      </c>
      <c r="W117" s="2" t="s">
        <v>13</v>
      </c>
      <c r="X117" s="2" t="s">
        <v>13</v>
      </c>
      <c r="Y117" s="2" t="s">
        <v>24</v>
      </c>
      <c r="Z117" s="2" t="s">
        <v>15</v>
      </c>
    </row>
    <row r="118" spans="1:26" x14ac:dyDescent="0.25">
      <c r="A118" s="1">
        <v>120</v>
      </c>
      <c r="B118" s="3">
        <v>23</v>
      </c>
      <c r="C118" s="2" t="s">
        <v>6</v>
      </c>
      <c r="D118" s="2" t="s">
        <v>290</v>
      </c>
      <c r="E118" s="2" t="s">
        <v>7</v>
      </c>
      <c r="F118" s="2" t="s">
        <v>246</v>
      </c>
      <c r="G118" s="2">
        <f t="shared" si="3"/>
        <v>2</v>
      </c>
      <c r="H118" s="2" t="s">
        <v>21</v>
      </c>
      <c r="I118" s="2" t="s">
        <v>53</v>
      </c>
      <c r="J118" s="2" t="s">
        <v>19</v>
      </c>
      <c r="K118" s="2" t="s">
        <v>187</v>
      </c>
      <c r="L118" s="2" t="s">
        <v>294</v>
      </c>
      <c r="M118" s="2">
        <v>1</v>
      </c>
      <c r="N118" s="2" t="s">
        <v>24</v>
      </c>
      <c r="O118" s="2" t="s">
        <v>13</v>
      </c>
      <c r="P118" s="2" t="s">
        <v>15</v>
      </c>
      <c r="Q118" s="2" t="s">
        <v>15</v>
      </c>
      <c r="R118" s="2" t="s">
        <v>12</v>
      </c>
      <c r="S118" s="2" t="s">
        <v>13</v>
      </c>
      <c r="T118" s="2" t="s">
        <v>24</v>
      </c>
      <c r="U118" s="2" t="s">
        <v>13</v>
      </c>
      <c r="V118" s="2" t="s">
        <v>13</v>
      </c>
      <c r="W118" s="2" t="s">
        <v>13</v>
      </c>
      <c r="X118" s="2" t="s">
        <v>13</v>
      </c>
      <c r="Y118" s="2" t="s">
        <v>15</v>
      </c>
      <c r="Z118" s="2" t="s">
        <v>14</v>
      </c>
    </row>
    <row r="119" spans="1:26" x14ac:dyDescent="0.25">
      <c r="A119" s="1">
        <v>121</v>
      </c>
      <c r="B119" s="3">
        <v>26</v>
      </c>
      <c r="C119" s="2" t="s">
        <v>6</v>
      </c>
      <c r="D119" s="2" t="s">
        <v>16</v>
      </c>
      <c r="E119" s="2" t="s">
        <v>39</v>
      </c>
      <c r="F119" s="2" t="s">
        <v>254</v>
      </c>
      <c r="G119" s="2">
        <f t="shared" si="3"/>
        <v>2</v>
      </c>
      <c r="H119" s="2" t="s">
        <v>21</v>
      </c>
      <c r="I119" s="2" t="s">
        <v>35</v>
      </c>
      <c r="J119" s="2" t="s">
        <v>26</v>
      </c>
      <c r="K119" s="2" t="s">
        <v>188</v>
      </c>
      <c r="L119" s="2" t="s">
        <v>293</v>
      </c>
      <c r="M119" s="2">
        <v>2</v>
      </c>
      <c r="N119" s="2" t="s">
        <v>24</v>
      </c>
      <c r="O119" s="2" t="s">
        <v>13</v>
      </c>
      <c r="P119" s="2" t="s">
        <v>24</v>
      </c>
      <c r="Q119" s="2" t="s">
        <v>15</v>
      </c>
      <c r="R119" s="2" t="s">
        <v>12</v>
      </c>
      <c r="S119" s="2" t="s">
        <v>24</v>
      </c>
      <c r="T119" s="2" t="s">
        <v>24</v>
      </c>
      <c r="U119" s="2" t="s">
        <v>24</v>
      </c>
      <c r="V119" s="2" t="s">
        <v>12</v>
      </c>
      <c r="W119" s="2" t="s">
        <v>12</v>
      </c>
      <c r="X119" s="2" t="s">
        <v>15</v>
      </c>
      <c r="Y119" s="2" t="s">
        <v>13</v>
      </c>
      <c r="Z119" s="2" t="s">
        <v>15</v>
      </c>
    </row>
    <row r="120" spans="1:26" x14ac:dyDescent="0.25">
      <c r="A120" s="1">
        <v>122</v>
      </c>
      <c r="B120" s="3">
        <v>21</v>
      </c>
      <c r="C120" s="2" t="s">
        <v>6</v>
      </c>
      <c r="D120" s="2" t="s">
        <v>290</v>
      </c>
      <c r="E120" s="2" t="s">
        <v>7</v>
      </c>
      <c r="F120" s="2" t="s">
        <v>31</v>
      </c>
      <c r="G120" s="2">
        <f t="shared" si="3"/>
        <v>1</v>
      </c>
      <c r="H120" s="2" t="s">
        <v>17</v>
      </c>
      <c r="I120" s="2" t="s">
        <v>33</v>
      </c>
      <c r="J120" s="2" t="s">
        <v>19</v>
      </c>
      <c r="K120" s="2" t="s">
        <v>189</v>
      </c>
      <c r="L120" s="2" t="s">
        <v>293</v>
      </c>
      <c r="M120" s="2">
        <v>2</v>
      </c>
      <c r="N120" s="2" t="s">
        <v>12</v>
      </c>
      <c r="O120" s="2" t="s">
        <v>13</v>
      </c>
      <c r="P120" s="2" t="s">
        <v>13</v>
      </c>
      <c r="Q120" s="2" t="s">
        <v>24</v>
      </c>
      <c r="R120" s="2" t="s">
        <v>13</v>
      </c>
      <c r="S120" s="2" t="s">
        <v>15</v>
      </c>
      <c r="T120" s="2" t="s">
        <v>15</v>
      </c>
      <c r="U120" s="2" t="s">
        <v>15</v>
      </c>
      <c r="V120" s="2" t="s">
        <v>12</v>
      </c>
      <c r="W120" s="2" t="s">
        <v>14</v>
      </c>
      <c r="X120" s="2" t="s">
        <v>12</v>
      </c>
      <c r="Y120" s="2" t="s">
        <v>13</v>
      </c>
      <c r="Z120" s="2" t="s">
        <v>14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FD0FE-FEB5-4836-9076-5AB766D9FF2F}">
  <dimension ref="A1:L22"/>
  <sheetViews>
    <sheetView workbookViewId="0">
      <selection activeCell="N15" sqref="N15"/>
    </sheetView>
  </sheetViews>
  <sheetFormatPr defaultRowHeight="15" x14ac:dyDescent="0.25"/>
  <cols>
    <col min="1" max="1" width="9.140625" style="1"/>
  </cols>
  <sheetData>
    <row r="1" spans="1:12" x14ac:dyDescent="0.25">
      <c r="A1" s="4" t="s">
        <v>190</v>
      </c>
      <c r="B1" s="95" t="s">
        <v>212</v>
      </c>
      <c r="C1" s="95"/>
      <c r="D1" s="95"/>
      <c r="E1" s="95"/>
      <c r="F1" s="95"/>
      <c r="G1" s="95"/>
      <c r="H1" s="95"/>
      <c r="I1" s="95"/>
      <c r="J1" s="95"/>
      <c r="K1" s="95"/>
      <c r="L1" s="96"/>
    </row>
    <row r="2" spans="1:12" x14ac:dyDescent="0.25">
      <c r="A2" s="5" t="s">
        <v>191</v>
      </c>
      <c r="B2" s="93" t="s">
        <v>1</v>
      </c>
      <c r="C2" s="93"/>
      <c r="D2" s="93"/>
      <c r="E2" s="93"/>
      <c r="F2" s="93"/>
      <c r="G2" s="93"/>
      <c r="H2" s="93"/>
      <c r="I2" s="93"/>
      <c r="J2" s="93"/>
      <c r="K2" s="93"/>
      <c r="L2" s="94"/>
    </row>
    <row r="3" spans="1:12" x14ac:dyDescent="0.25">
      <c r="A3" s="5" t="s">
        <v>192</v>
      </c>
      <c r="B3" s="93" t="s">
        <v>2</v>
      </c>
      <c r="C3" s="93"/>
      <c r="D3" s="93"/>
      <c r="E3" s="93"/>
      <c r="F3" s="93"/>
      <c r="G3" s="93"/>
      <c r="H3" s="93"/>
      <c r="I3" s="93"/>
      <c r="J3" s="93"/>
      <c r="K3" s="93"/>
      <c r="L3" s="94"/>
    </row>
    <row r="4" spans="1:12" x14ac:dyDescent="0.25">
      <c r="A4" s="5" t="s">
        <v>193</v>
      </c>
      <c r="B4" s="93" t="s">
        <v>213</v>
      </c>
      <c r="C4" s="93"/>
      <c r="D4" s="93"/>
      <c r="E4" s="93"/>
      <c r="F4" s="93"/>
      <c r="G4" s="93"/>
      <c r="H4" s="93"/>
      <c r="I4" s="93"/>
      <c r="J4" s="93"/>
      <c r="K4" s="93"/>
      <c r="L4" s="94"/>
    </row>
    <row r="5" spans="1:12" x14ac:dyDescent="0.25">
      <c r="A5" s="5" t="s">
        <v>194</v>
      </c>
      <c r="B5" s="93" t="s">
        <v>214</v>
      </c>
      <c r="C5" s="93"/>
      <c r="D5" s="93"/>
      <c r="E5" s="93"/>
      <c r="F5" s="93"/>
      <c r="G5" s="93"/>
      <c r="H5" s="93"/>
      <c r="I5" s="93"/>
      <c r="J5" s="93"/>
      <c r="K5" s="93"/>
      <c r="L5" s="94"/>
    </row>
    <row r="6" spans="1:12" x14ac:dyDescent="0.25">
      <c r="A6" s="5" t="s">
        <v>195</v>
      </c>
      <c r="B6" s="93" t="s">
        <v>215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1:12" x14ac:dyDescent="0.25">
      <c r="A7" s="5" t="s">
        <v>196</v>
      </c>
      <c r="B7" s="93" t="s">
        <v>216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1:12" x14ac:dyDescent="0.25">
      <c r="A8" s="5" t="s">
        <v>197</v>
      </c>
      <c r="B8" s="93" t="s">
        <v>3</v>
      </c>
      <c r="C8" s="93"/>
      <c r="D8" s="93"/>
      <c r="E8" s="93"/>
      <c r="F8" s="93"/>
      <c r="G8" s="93"/>
      <c r="H8" s="93"/>
      <c r="I8" s="93"/>
      <c r="J8" s="93"/>
      <c r="K8" s="93"/>
      <c r="L8" s="94"/>
    </row>
    <row r="9" spans="1:12" x14ac:dyDescent="0.25">
      <c r="A9" s="5" t="s">
        <v>198</v>
      </c>
      <c r="B9" s="93" t="s">
        <v>217</v>
      </c>
      <c r="C9" s="93"/>
      <c r="D9" s="93"/>
      <c r="E9" s="93"/>
      <c r="F9" s="93"/>
      <c r="G9" s="93"/>
      <c r="H9" s="93"/>
      <c r="I9" s="93"/>
      <c r="J9" s="93"/>
      <c r="K9" s="93"/>
      <c r="L9" s="94"/>
    </row>
    <row r="10" spans="1:12" x14ac:dyDescent="0.25">
      <c r="A10" s="5" t="s">
        <v>199</v>
      </c>
      <c r="B10" s="93" t="s">
        <v>4</v>
      </c>
      <c r="C10" s="93"/>
      <c r="D10" s="93"/>
      <c r="E10" s="93"/>
      <c r="F10" s="93"/>
      <c r="G10" s="93"/>
      <c r="H10" s="93"/>
      <c r="I10" s="93"/>
      <c r="J10" s="93"/>
      <c r="K10" s="93"/>
      <c r="L10" s="94"/>
    </row>
    <row r="11" spans="1:12" x14ac:dyDescent="0.25">
      <c r="A11" s="5" t="s">
        <v>200</v>
      </c>
      <c r="B11" s="93" t="s">
        <v>5</v>
      </c>
      <c r="C11" s="93"/>
      <c r="D11" s="93"/>
      <c r="E11" s="93"/>
      <c r="F11" s="93"/>
      <c r="G11" s="93"/>
      <c r="H11" s="93"/>
      <c r="I11" s="93"/>
      <c r="J11" s="93"/>
      <c r="K11" s="93"/>
      <c r="L11" s="94"/>
    </row>
    <row r="12" spans="1:12" x14ac:dyDescent="0.25">
      <c r="A12" s="5" t="s">
        <v>201</v>
      </c>
      <c r="B12" s="93" t="s">
        <v>218</v>
      </c>
      <c r="C12" s="93"/>
      <c r="D12" s="93"/>
      <c r="E12" s="93"/>
      <c r="F12" s="93"/>
      <c r="G12" s="93"/>
      <c r="H12" s="93"/>
      <c r="I12" s="93"/>
      <c r="J12" s="93"/>
      <c r="K12" s="93"/>
      <c r="L12" s="94"/>
    </row>
    <row r="13" spans="1:12" x14ac:dyDescent="0.25">
      <c r="A13" s="5" t="s">
        <v>202</v>
      </c>
      <c r="B13" s="93" t="s">
        <v>219</v>
      </c>
      <c r="C13" s="93"/>
      <c r="D13" s="93"/>
      <c r="E13" s="93"/>
      <c r="F13" s="93"/>
      <c r="G13" s="93"/>
      <c r="H13" s="93"/>
      <c r="I13" s="93"/>
      <c r="J13" s="93"/>
      <c r="K13" s="93"/>
      <c r="L13" s="94"/>
    </row>
    <row r="14" spans="1:12" x14ac:dyDescent="0.25">
      <c r="A14" s="5" t="s">
        <v>203</v>
      </c>
      <c r="B14" s="93" t="s">
        <v>220</v>
      </c>
      <c r="C14" s="93"/>
      <c r="D14" s="93"/>
      <c r="E14" s="93"/>
      <c r="F14" s="93"/>
      <c r="G14" s="93"/>
      <c r="H14" s="93"/>
      <c r="I14" s="93"/>
      <c r="J14" s="93"/>
      <c r="K14" s="93"/>
      <c r="L14" s="94"/>
    </row>
    <row r="15" spans="1:12" x14ac:dyDescent="0.25">
      <c r="A15" s="5" t="s">
        <v>204</v>
      </c>
      <c r="B15" s="93" t="s">
        <v>221</v>
      </c>
      <c r="C15" s="93"/>
      <c r="D15" s="93"/>
      <c r="E15" s="93"/>
      <c r="F15" s="93"/>
      <c r="G15" s="93"/>
      <c r="H15" s="93"/>
      <c r="I15" s="93"/>
      <c r="J15" s="93"/>
      <c r="K15" s="93"/>
      <c r="L15" s="94"/>
    </row>
    <row r="16" spans="1:12" x14ac:dyDescent="0.25">
      <c r="A16" s="5" t="s">
        <v>205</v>
      </c>
      <c r="B16" s="93" t="s">
        <v>222</v>
      </c>
      <c r="C16" s="93"/>
      <c r="D16" s="93"/>
      <c r="E16" s="93"/>
      <c r="F16" s="93"/>
      <c r="G16" s="93"/>
      <c r="H16" s="93"/>
      <c r="I16" s="93"/>
      <c r="J16" s="93"/>
      <c r="K16" s="93"/>
      <c r="L16" s="94"/>
    </row>
    <row r="17" spans="1:12" x14ac:dyDescent="0.25">
      <c r="A17" s="5" t="s">
        <v>206</v>
      </c>
      <c r="B17" s="93" t="s">
        <v>223</v>
      </c>
      <c r="C17" s="93"/>
      <c r="D17" s="93"/>
      <c r="E17" s="93"/>
      <c r="F17" s="93"/>
      <c r="G17" s="93"/>
      <c r="H17" s="93"/>
      <c r="I17" s="93"/>
      <c r="J17" s="93"/>
      <c r="K17" s="93"/>
      <c r="L17" s="94"/>
    </row>
    <row r="18" spans="1:12" x14ac:dyDescent="0.25">
      <c r="A18" s="5" t="s">
        <v>207</v>
      </c>
      <c r="B18" s="93" t="s">
        <v>224</v>
      </c>
      <c r="C18" s="93"/>
      <c r="D18" s="93"/>
      <c r="E18" s="93"/>
      <c r="F18" s="93"/>
      <c r="G18" s="93"/>
      <c r="H18" s="93"/>
      <c r="I18" s="93"/>
      <c r="J18" s="93"/>
      <c r="K18" s="93"/>
      <c r="L18" s="94"/>
    </row>
    <row r="19" spans="1:12" x14ac:dyDescent="0.25">
      <c r="A19" s="5" t="s">
        <v>208</v>
      </c>
      <c r="B19" s="93" t="s">
        <v>328</v>
      </c>
      <c r="C19" s="93"/>
      <c r="D19" s="93"/>
      <c r="E19" s="93"/>
      <c r="F19" s="93"/>
      <c r="G19" s="93"/>
      <c r="H19" s="93"/>
      <c r="I19" s="93"/>
      <c r="J19" s="93"/>
      <c r="K19" s="93"/>
      <c r="L19" s="94"/>
    </row>
    <row r="20" spans="1:12" x14ac:dyDescent="0.25">
      <c r="A20" s="5" t="s">
        <v>209</v>
      </c>
      <c r="B20" s="93" t="s">
        <v>225</v>
      </c>
      <c r="C20" s="93"/>
      <c r="D20" s="93"/>
      <c r="E20" s="93"/>
      <c r="F20" s="93"/>
      <c r="G20" s="93"/>
      <c r="H20" s="93"/>
      <c r="I20" s="93"/>
      <c r="J20" s="93"/>
      <c r="K20" s="93"/>
      <c r="L20" s="94"/>
    </row>
    <row r="21" spans="1:12" x14ac:dyDescent="0.25">
      <c r="A21" s="5" t="s">
        <v>210</v>
      </c>
      <c r="B21" s="93" t="s">
        <v>226</v>
      </c>
      <c r="C21" s="93"/>
      <c r="D21" s="93"/>
      <c r="E21" s="93"/>
      <c r="F21" s="93"/>
      <c r="G21" s="93"/>
      <c r="H21" s="93"/>
      <c r="I21" s="93"/>
      <c r="J21" s="93"/>
      <c r="K21" s="93"/>
      <c r="L21" s="94"/>
    </row>
    <row r="22" spans="1:12" ht="15.75" thickBot="1" x14ac:dyDescent="0.3">
      <c r="A22" s="6" t="s">
        <v>211</v>
      </c>
      <c r="B22" s="97" t="s">
        <v>227</v>
      </c>
      <c r="C22" s="97"/>
      <c r="D22" s="97"/>
      <c r="E22" s="97"/>
      <c r="F22" s="97"/>
      <c r="G22" s="97"/>
      <c r="H22" s="97"/>
      <c r="I22" s="97"/>
      <c r="J22" s="97"/>
      <c r="K22" s="97"/>
      <c r="L22" s="98"/>
    </row>
  </sheetData>
  <mergeCells count="22">
    <mergeCell ref="B19:L19"/>
    <mergeCell ref="B20:L20"/>
    <mergeCell ref="B21:L21"/>
    <mergeCell ref="B22:L22"/>
    <mergeCell ref="B13:L13"/>
    <mergeCell ref="B14:L14"/>
    <mergeCell ref="B15:L15"/>
    <mergeCell ref="B16:L16"/>
    <mergeCell ref="B17:L17"/>
    <mergeCell ref="B18:L18"/>
    <mergeCell ref="B12:L12"/>
    <mergeCell ref="B1:L1"/>
    <mergeCell ref="B2:L2"/>
    <mergeCell ref="B3:L3"/>
    <mergeCell ref="B4:L4"/>
    <mergeCell ref="B5:L5"/>
    <mergeCell ref="B6:L6"/>
    <mergeCell ref="B7:L7"/>
    <mergeCell ref="B8:L8"/>
    <mergeCell ref="B9:L9"/>
    <mergeCell ref="B10:L10"/>
    <mergeCell ref="B11:L11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370BF-1852-4AC6-B458-05BE13F3FE63}">
  <dimension ref="B6:H756"/>
  <sheetViews>
    <sheetView tabSelected="1" topLeftCell="A743" zoomScaleNormal="100" workbookViewId="0">
      <selection activeCell="C763" sqref="C763"/>
    </sheetView>
  </sheetViews>
  <sheetFormatPr defaultRowHeight="15" x14ac:dyDescent="0.25"/>
  <cols>
    <col min="1" max="1" width="9.140625" style="1"/>
    <col min="2" max="3" width="18" style="1" bestFit="1" customWidth="1"/>
    <col min="4" max="4" width="18" style="1" customWidth="1"/>
    <col min="5" max="5" width="18" style="1" bestFit="1" customWidth="1"/>
    <col min="6" max="6" width="17.140625" style="1" customWidth="1"/>
    <col min="7" max="7" width="17.42578125" style="1" customWidth="1"/>
    <col min="8" max="11" width="9.140625" style="1" customWidth="1"/>
    <col min="12" max="16384" width="9.140625" style="1"/>
  </cols>
  <sheetData>
    <row r="6" spans="3:5" ht="15.75" thickBot="1" x14ac:dyDescent="0.3"/>
    <row r="7" spans="3:5" ht="15.75" thickBot="1" x14ac:dyDescent="0.3">
      <c r="C7" s="101" t="s">
        <v>193</v>
      </c>
      <c r="D7" s="121"/>
      <c r="E7" s="73"/>
    </row>
    <row r="8" spans="3:5" x14ac:dyDescent="0.25">
      <c r="C8" s="23" t="s">
        <v>231</v>
      </c>
      <c r="D8" s="24">
        <f>COUNTIF(Datos!E:E,Datos!E2)</f>
        <v>68</v>
      </c>
    </row>
    <row r="9" spans="3:5" ht="15.75" thickBot="1" x14ac:dyDescent="0.3">
      <c r="C9" s="25" t="s">
        <v>232</v>
      </c>
      <c r="D9" s="26">
        <f>COUNTIF(Datos!E:E,Datos!E20)</f>
        <v>51</v>
      </c>
    </row>
    <row r="10" spans="3:5" ht="15.75" thickBot="1" x14ac:dyDescent="0.3">
      <c r="C10" s="27" t="s">
        <v>228</v>
      </c>
      <c r="D10" s="28">
        <f>D8+D9</f>
        <v>119</v>
      </c>
    </row>
    <row r="23" spans="3:4" ht="15.75" thickBot="1" x14ac:dyDescent="0.3"/>
    <row r="24" spans="3:4" ht="15.75" thickBot="1" x14ac:dyDescent="0.3">
      <c r="C24" s="111" t="s">
        <v>192</v>
      </c>
      <c r="D24" s="112"/>
    </row>
    <row r="25" spans="3:4" x14ac:dyDescent="0.25">
      <c r="C25" s="29" t="s">
        <v>229</v>
      </c>
      <c r="D25" s="30">
        <f>COUNTIF(Datos!D:D,Datos!D3)</f>
        <v>38</v>
      </c>
    </row>
    <row r="26" spans="3:4" ht="15.75" thickBot="1" x14ac:dyDescent="0.3">
      <c r="C26" s="13" t="s">
        <v>230</v>
      </c>
      <c r="D26" s="14">
        <f>COUNTIF(Datos!D:D,Datos!D2)</f>
        <v>81</v>
      </c>
    </row>
    <row r="27" spans="3:4" ht="15.75" thickBot="1" x14ac:dyDescent="0.3">
      <c r="C27" s="31" t="s">
        <v>228</v>
      </c>
      <c r="D27" s="16">
        <f>D25+D26</f>
        <v>119</v>
      </c>
    </row>
    <row r="43" spans="3:4" ht="15.75" thickBot="1" x14ac:dyDescent="0.3"/>
    <row r="44" spans="3:4" ht="15.75" thickBot="1" x14ac:dyDescent="0.3">
      <c r="C44" s="113" t="s">
        <v>191</v>
      </c>
      <c r="D44" s="120"/>
    </row>
    <row r="45" spans="3:4" x14ac:dyDescent="0.25">
      <c r="C45" s="32" t="s">
        <v>233</v>
      </c>
      <c r="D45" s="22">
        <f>COUNTIF(Datos!C:C,"*España*")</f>
        <v>108</v>
      </c>
    </row>
    <row r="46" spans="3:4" ht="15.75" thickBot="1" x14ac:dyDescent="0.3">
      <c r="C46" s="33" t="s">
        <v>232</v>
      </c>
      <c r="D46" s="34">
        <f>119-D45</f>
        <v>11</v>
      </c>
    </row>
    <row r="47" spans="3:4" ht="15.75" thickBot="1" x14ac:dyDescent="0.3">
      <c r="C47" s="27" t="s">
        <v>228</v>
      </c>
      <c r="D47" s="16">
        <f>SUM(D45:D46)</f>
        <v>119</v>
      </c>
    </row>
    <row r="49" spans="3:4" x14ac:dyDescent="0.25">
      <c r="C49" s="1" t="s">
        <v>283</v>
      </c>
    </row>
    <row r="62" spans="3:4" ht="15.75" thickBot="1" x14ac:dyDescent="0.3"/>
    <row r="63" spans="3:4" ht="15.75" thickBot="1" x14ac:dyDescent="0.3">
      <c r="C63" s="74" t="s">
        <v>276</v>
      </c>
      <c r="D63" s="16">
        <f>AVERAGE(Datos!B:B)</f>
        <v>35.815126050420169</v>
      </c>
    </row>
    <row r="66" spans="3:4" ht="15.75" thickBot="1" x14ac:dyDescent="0.3"/>
    <row r="67" spans="3:4" x14ac:dyDescent="0.25">
      <c r="C67" s="117" t="s">
        <v>190</v>
      </c>
      <c r="D67" s="117"/>
    </row>
    <row r="68" spans="3:4" x14ac:dyDescent="0.25">
      <c r="C68" s="7" t="s">
        <v>234</v>
      </c>
      <c r="D68" s="7">
        <f>COUNTIFS(Datos!B:B,"&gt;=18",Datos!B:B,"&lt;25")</f>
        <v>53</v>
      </c>
    </row>
    <row r="69" spans="3:4" x14ac:dyDescent="0.25">
      <c r="C69" s="7" t="s">
        <v>281</v>
      </c>
      <c r="D69" s="7">
        <f>COUNTIFS(Datos!B:B,"&gt;=25", Datos!B:B,"&lt;35")</f>
        <v>12</v>
      </c>
    </row>
    <row r="70" spans="3:4" x14ac:dyDescent="0.25">
      <c r="C70" s="7" t="s">
        <v>282</v>
      </c>
      <c r="D70" s="7">
        <f>COUNTIFS(Datos!B:B,"&gt;=35", Datos!B:B,"&lt;50")</f>
        <v>21</v>
      </c>
    </row>
    <row r="71" spans="3:4" ht="15.75" thickBot="1" x14ac:dyDescent="0.3">
      <c r="C71" s="11" t="s">
        <v>235</v>
      </c>
      <c r="D71" s="11">
        <f>COUNTIF(Datos!B:B,"&gt;=50")</f>
        <v>33</v>
      </c>
    </row>
    <row r="72" spans="3:4" ht="15.75" thickBot="1" x14ac:dyDescent="0.3">
      <c r="C72" s="12" t="s">
        <v>228</v>
      </c>
      <c r="D72" s="12">
        <f>SUM(D68:D71)</f>
        <v>119</v>
      </c>
    </row>
    <row r="81" spans="3:4" ht="15.75" thickBot="1" x14ac:dyDescent="0.3"/>
    <row r="82" spans="3:4" x14ac:dyDescent="0.25">
      <c r="C82" s="118" t="s">
        <v>194</v>
      </c>
      <c r="D82" s="119"/>
    </row>
    <row r="83" spans="3:4" x14ac:dyDescent="0.25">
      <c r="C83" s="8" t="s">
        <v>236</v>
      </c>
      <c r="D83" s="9">
        <f>COUNTIF(Datos!G:G,1)</f>
        <v>46</v>
      </c>
    </row>
    <row r="84" spans="3:4" x14ac:dyDescent="0.25">
      <c r="C84" s="8" t="s">
        <v>237</v>
      </c>
      <c r="D84" s="9">
        <f>COUNTIF(Datos!G:G,2)</f>
        <v>51</v>
      </c>
    </row>
    <row r="85" spans="3:4" x14ac:dyDescent="0.25">
      <c r="C85" s="8" t="s">
        <v>238</v>
      </c>
      <c r="D85" s="9">
        <f>COUNTIF(Datos!G:G,3)</f>
        <v>17</v>
      </c>
    </row>
    <row r="86" spans="3:4" ht="15.75" thickBot="1" x14ac:dyDescent="0.3">
      <c r="C86" s="13" t="s">
        <v>239</v>
      </c>
      <c r="D86" s="14">
        <f>COUNTIF(Datos!G:G, "&gt;3")</f>
        <v>5</v>
      </c>
    </row>
    <row r="87" spans="3:4" ht="15.75" thickBot="1" x14ac:dyDescent="0.3">
      <c r="C87" s="15" t="s">
        <v>228</v>
      </c>
      <c r="D87" s="16">
        <f>SUM(D83:D86)</f>
        <v>119</v>
      </c>
    </row>
    <row r="98" spans="3:4" ht="15.75" thickBot="1" x14ac:dyDescent="0.3"/>
    <row r="99" spans="3:4" x14ac:dyDescent="0.25">
      <c r="C99" s="118" t="s">
        <v>195</v>
      </c>
      <c r="D99" s="119"/>
    </row>
    <row r="100" spans="3:4" x14ac:dyDescent="0.25">
      <c r="C100" s="8" t="s">
        <v>240</v>
      </c>
      <c r="D100" s="9">
        <f>COUNTIF(Datos!H:H,Datos!H2)</f>
        <v>11</v>
      </c>
    </row>
    <row r="101" spans="3:4" x14ac:dyDescent="0.25">
      <c r="C101" s="8" t="s">
        <v>241</v>
      </c>
      <c r="D101" s="9">
        <f>COUNTIF(Datos!H:H, "Muy bueno")</f>
        <v>23</v>
      </c>
    </row>
    <row r="102" spans="3:4" x14ac:dyDescent="0.25">
      <c r="C102" s="8" t="s">
        <v>242</v>
      </c>
      <c r="D102" s="9">
        <f>COUNTIF(Datos!H:H, "Bueno")</f>
        <v>30</v>
      </c>
    </row>
    <row r="103" spans="3:4" x14ac:dyDescent="0.25">
      <c r="C103" s="8" t="s">
        <v>243</v>
      </c>
      <c r="D103" s="9">
        <f>COUNTIF(Datos!H:H, "Regular")</f>
        <v>36</v>
      </c>
    </row>
    <row r="104" spans="3:4" ht="15.75" thickBot="1" x14ac:dyDescent="0.3">
      <c r="C104" s="33" t="s">
        <v>244</v>
      </c>
      <c r="D104" s="34">
        <f>COUNTIF(Datos!H:H, "Malo")</f>
        <v>19</v>
      </c>
    </row>
    <row r="105" spans="3:4" ht="15.75" thickBot="1" x14ac:dyDescent="0.3">
      <c r="C105" s="15" t="s">
        <v>228</v>
      </c>
      <c r="D105" s="16">
        <f>SUM(D100:D104)</f>
        <v>119</v>
      </c>
    </row>
    <row r="116" spans="3:5" ht="15.75" thickBot="1" x14ac:dyDescent="0.3"/>
    <row r="117" spans="3:5" ht="15.75" thickBot="1" x14ac:dyDescent="0.3">
      <c r="C117" s="113" t="s">
        <v>197</v>
      </c>
      <c r="D117" s="114"/>
      <c r="E117" s="73"/>
    </row>
    <row r="118" spans="3:5" x14ac:dyDescent="0.25">
      <c r="C118" s="78" t="s">
        <v>264</v>
      </c>
      <c r="D118" s="22">
        <f>COUNTIF(Datos!J:J, Datos!J11)</f>
        <v>25</v>
      </c>
    </row>
    <row r="119" spans="3:5" x14ac:dyDescent="0.25">
      <c r="C119" s="79" t="s">
        <v>265</v>
      </c>
      <c r="D119" s="9">
        <f>COUNTIF(Datos!J:J, Datos!J2)</f>
        <v>17</v>
      </c>
    </row>
    <row r="120" spans="3:5" x14ac:dyDescent="0.25">
      <c r="C120" s="79" t="s">
        <v>296</v>
      </c>
      <c r="D120" s="9">
        <f>COUNTIF(Datos!J:J, Datos!J26)</f>
        <v>6</v>
      </c>
    </row>
    <row r="121" spans="3:5" x14ac:dyDescent="0.25">
      <c r="C121" s="79" t="s">
        <v>297</v>
      </c>
      <c r="D121" s="9">
        <f>COUNTIF(Datos!J:J, Datos!J19)</f>
        <v>59</v>
      </c>
    </row>
    <row r="122" spans="3:5" ht="15.75" thickBot="1" x14ac:dyDescent="0.3">
      <c r="C122" s="80" t="s">
        <v>232</v>
      </c>
      <c r="D122" s="34">
        <f>COUNTIF(Datos!J:J, Datos!J38)</f>
        <v>12</v>
      </c>
    </row>
    <row r="123" spans="3:5" ht="15.75" thickBot="1" x14ac:dyDescent="0.3">
      <c r="C123" s="75" t="s">
        <v>228</v>
      </c>
      <c r="D123" s="16">
        <f>SUM(D118:D122)</f>
        <v>119</v>
      </c>
    </row>
    <row r="132" spans="3:6" ht="15.75" thickBot="1" x14ac:dyDescent="0.3"/>
    <row r="133" spans="3:6" ht="15.75" thickBot="1" x14ac:dyDescent="0.3">
      <c r="C133" s="113" t="s">
        <v>196</v>
      </c>
      <c r="D133" s="114"/>
      <c r="E133" s="73"/>
      <c r="F133" s="76"/>
    </row>
    <row r="134" spans="3:6" x14ac:dyDescent="0.25">
      <c r="C134" s="32" t="s">
        <v>267</v>
      </c>
      <c r="D134" s="22">
        <f>COUNTIF(Datos!I:I, "*Son un recurso muy importante para buscar trabajo y para mejorar mi currículum*")</f>
        <v>57</v>
      </c>
      <c r="E134" s="10"/>
    </row>
    <row r="135" spans="3:6" x14ac:dyDescent="0.25">
      <c r="C135" s="79" t="s">
        <v>268</v>
      </c>
      <c r="D135" s="9">
        <f>COUNTIF(Datos!I:I, "*Quiero sacar buenas notas en la asignatura*")</f>
        <v>1</v>
      </c>
      <c r="E135" s="10"/>
    </row>
    <row r="136" spans="3:6" x14ac:dyDescent="0.25">
      <c r="C136" s="79" t="s">
        <v>269</v>
      </c>
      <c r="D136" s="9">
        <f>COUNTIF(Datos!I:I, "*Quiero comunicarme con personas de diferentes países y hacer amigos*")</f>
        <v>45</v>
      </c>
      <c r="E136" s="10"/>
    </row>
    <row r="137" spans="3:6" x14ac:dyDescent="0.25">
      <c r="C137" s="79" t="s">
        <v>298</v>
      </c>
      <c r="D137" s="9">
        <f>COUNTIF(Datos!I:I, "*Quiero ser capaz de entender series, música y libros en el idioma original*")</f>
        <v>45</v>
      </c>
      <c r="E137" s="10"/>
    </row>
    <row r="138" spans="3:6" x14ac:dyDescent="0.25">
      <c r="C138" s="79" t="s">
        <v>270</v>
      </c>
      <c r="D138" s="9">
        <f>COUNTIF(Datos!I:I, "*¡Me encantan! Incluso estudio idiomas por mi cuenta*")</f>
        <v>29</v>
      </c>
      <c r="E138" s="10"/>
    </row>
    <row r="139" spans="3:6" x14ac:dyDescent="0.25">
      <c r="C139" s="79" t="s">
        <v>271</v>
      </c>
      <c r="D139" s="9">
        <f>COUNTIF(Datos!I:I, "*Me parecen un rollo, pero no me queda otra porque es un requisito académico para la graduación*")</f>
        <v>10</v>
      </c>
      <c r="E139" s="10"/>
    </row>
    <row r="140" spans="3:6" ht="15.75" thickBot="1" x14ac:dyDescent="0.3">
      <c r="C140" s="80" t="s">
        <v>232</v>
      </c>
      <c r="D140" s="34">
        <f>COUNTIF(Datos!I:I, "*Otro*")</f>
        <v>23</v>
      </c>
      <c r="E140" s="25"/>
    </row>
    <row r="152" spans="3:4" ht="15.75" thickBot="1" x14ac:dyDescent="0.3"/>
    <row r="153" spans="3:4" x14ac:dyDescent="0.25">
      <c r="C153" s="115" t="s">
        <v>198</v>
      </c>
      <c r="D153" s="116"/>
    </row>
    <row r="154" spans="3:4" x14ac:dyDescent="0.25">
      <c r="C154" s="8" t="s">
        <v>272</v>
      </c>
      <c r="D154" s="9">
        <f>COUNTIF(Datos!M:M, 3)</f>
        <v>22</v>
      </c>
    </row>
    <row r="155" spans="3:4" x14ac:dyDescent="0.25">
      <c r="C155" s="8" t="s">
        <v>273</v>
      </c>
      <c r="D155" s="9">
        <f>COUNTIF(Datos!M:M, 2)</f>
        <v>44</v>
      </c>
    </row>
    <row r="156" spans="3:4" x14ac:dyDescent="0.25">
      <c r="C156" s="8" t="s">
        <v>274</v>
      </c>
      <c r="D156" s="9">
        <f>COUNTIF(Datos!M:M, 1)</f>
        <v>47</v>
      </c>
    </row>
    <row r="157" spans="3:4" ht="15.75" thickBot="1" x14ac:dyDescent="0.3">
      <c r="C157" s="33" t="s">
        <v>275</v>
      </c>
      <c r="D157" s="34">
        <f>COUNTIF(Datos!M:M, 0)</f>
        <v>6</v>
      </c>
    </row>
    <row r="158" spans="3:4" ht="15.75" thickBot="1" x14ac:dyDescent="0.3">
      <c r="C158" s="77" t="s">
        <v>228</v>
      </c>
      <c r="D158" s="16">
        <f>SUM(D154:D157)</f>
        <v>119</v>
      </c>
    </row>
    <row r="170" spans="3:4" ht="15.75" thickBot="1" x14ac:dyDescent="0.3"/>
    <row r="171" spans="3:4" x14ac:dyDescent="0.25">
      <c r="C171" s="99" t="s">
        <v>199</v>
      </c>
      <c r="D171" s="100"/>
    </row>
    <row r="172" spans="3:4" x14ac:dyDescent="0.25">
      <c r="C172" s="8" t="s">
        <v>277</v>
      </c>
      <c r="D172" s="9">
        <f>COUNTIF(Datos!N:N, "Totalmente de acuerdo")</f>
        <v>16</v>
      </c>
    </row>
    <row r="173" spans="3:4" x14ac:dyDescent="0.25">
      <c r="C173" s="8" t="s">
        <v>278</v>
      </c>
      <c r="D173" s="9">
        <f>COUNTIF(Datos!N:N, "De acuerdo")</f>
        <v>23</v>
      </c>
    </row>
    <row r="174" spans="3:4" x14ac:dyDescent="0.25">
      <c r="C174" s="8" t="s">
        <v>24</v>
      </c>
      <c r="D174" s="9">
        <f>COUNTIF(Datos!N:N, "Neutral")</f>
        <v>41</v>
      </c>
    </row>
    <row r="175" spans="3:4" x14ac:dyDescent="0.25">
      <c r="C175" s="8" t="s">
        <v>279</v>
      </c>
      <c r="D175" s="9">
        <f>COUNTIF(Datos!N:N, "En desacuerdo")</f>
        <v>26</v>
      </c>
    </row>
    <row r="176" spans="3:4" ht="15.75" thickBot="1" x14ac:dyDescent="0.3">
      <c r="C176" s="33" t="s">
        <v>280</v>
      </c>
      <c r="D176" s="34">
        <f>COUNTIF(Datos!N:N, "Totalmente en desacuerdo")</f>
        <v>13</v>
      </c>
    </row>
    <row r="177" spans="2:5" ht="15.75" thickBot="1" x14ac:dyDescent="0.3">
      <c r="C177" s="38" t="s">
        <v>228</v>
      </c>
      <c r="D177" s="16">
        <f>SUM(D172:D176)</f>
        <v>119</v>
      </c>
    </row>
    <row r="189" spans="2:5" ht="15.75" thickBot="1" x14ac:dyDescent="0.3"/>
    <row r="190" spans="2:5" x14ac:dyDescent="0.25">
      <c r="B190" s="99" t="s">
        <v>299</v>
      </c>
      <c r="C190" s="105"/>
      <c r="D190" s="105"/>
      <c r="E190" s="100"/>
    </row>
    <row r="191" spans="2:5" x14ac:dyDescent="0.25">
      <c r="B191" s="17" t="s">
        <v>284</v>
      </c>
      <c r="C191" s="18" t="s">
        <v>285</v>
      </c>
      <c r="D191" s="18" t="s">
        <v>286</v>
      </c>
      <c r="E191" s="19" t="s">
        <v>287</v>
      </c>
    </row>
    <row r="192" spans="2:5" x14ac:dyDescent="0.25">
      <c r="B192" s="8" t="s">
        <v>234</v>
      </c>
      <c r="C192" s="36">
        <f>COUNTIFS(Datos!B:B,"&gt;=18",Datos!B:B,"&lt;25")</f>
        <v>53</v>
      </c>
      <c r="D192" s="39">
        <f>COUNTIFS(Table1[P1],"&gt;=18",Table1[P1],"&lt;25",Table1[P19],"Totalmente de acuerdo") + COUNTIFS(Table1[P1],"&gt;=18",Table1[P1],"&lt;25",Table1[P19],"De acuerdo")</f>
        <v>26</v>
      </c>
      <c r="E192" s="40">
        <f>D192/C192</f>
        <v>0.49056603773584906</v>
      </c>
    </row>
    <row r="193" spans="2:6" x14ac:dyDescent="0.25">
      <c r="B193" s="8" t="s">
        <v>281</v>
      </c>
      <c r="C193" s="36">
        <f>COUNTIFS(Datos!B:B,"&gt;=25",Datos!B:B,"&lt;35")</f>
        <v>12</v>
      </c>
      <c r="D193" s="39">
        <f>COUNTIFS(Table1[P1],"&gt;=25",Table1[P1],"&lt;35",Table1[P19],"Totalmente de acuerdo") + COUNTIFS(Table1[P1],"&gt;=25",Table1[P1],"&lt;35",Table1[P19],"De acuerdo")</f>
        <v>6</v>
      </c>
      <c r="E193" s="40">
        <f t="shared" ref="E193:E195" si="0">D193/C193</f>
        <v>0.5</v>
      </c>
    </row>
    <row r="194" spans="2:6" x14ac:dyDescent="0.25">
      <c r="B194" s="13" t="s">
        <v>282</v>
      </c>
      <c r="C194" s="41">
        <f>COUNTIFS(Datos!B:B,"&gt;=35",Datos!B:B,"&lt;50")</f>
        <v>21</v>
      </c>
      <c r="D194" s="42">
        <f>COUNTIFS(Table1[P1],"&gt;=35",Table1[P1],"&lt;50",Table1[P19],"Totalmente de acuerdo") + COUNTIFS(Table1[P1],"&gt;=35",Table1[P1],"&lt;50",Table1[P19],"De acuerdo")</f>
        <v>12</v>
      </c>
      <c r="E194" s="40">
        <f t="shared" si="0"/>
        <v>0.5714285714285714</v>
      </c>
    </row>
    <row r="195" spans="2:6" ht="15.75" thickBot="1" x14ac:dyDescent="0.3">
      <c r="B195" s="43" t="s">
        <v>235</v>
      </c>
      <c r="C195" s="37">
        <f>COUNTIF(Datos!B:B,"&gt;=50")</f>
        <v>33</v>
      </c>
      <c r="D195" s="44">
        <f>COUNTIFS(Table1[P1],"&gt;=50",Table1[P19],"Totalmente de acuerdo") + COUNTIFS(Table1[P1],"&gt;=50",Table1[P19],"De acuerdo")</f>
        <v>15</v>
      </c>
      <c r="E195" s="40">
        <f t="shared" si="0"/>
        <v>0.45454545454545453</v>
      </c>
    </row>
    <row r="196" spans="2:6" ht="15.75" thickBot="1" x14ac:dyDescent="0.3">
      <c r="B196" s="15" t="s">
        <v>228</v>
      </c>
      <c r="C196" s="45">
        <f>SUM(C192:C195)</f>
        <v>119</v>
      </c>
      <c r="D196" s="45"/>
      <c r="E196" s="16"/>
    </row>
    <row r="207" spans="2:6" ht="15.75" thickBot="1" x14ac:dyDescent="0.3"/>
    <row r="208" spans="2:6" x14ac:dyDescent="0.25">
      <c r="B208" s="108" t="s">
        <v>300</v>
      </c>
      <c r="C208" s="109"/>
      <c r="D208" s="109"/>
      <c r="E208" s="109"/>
      <c r="F208" s="110"/>
    </row>
    <row r="209" spans="2:6" x14ac:dyDescent="0.25">
      <c r="B209" s="17" t="s">
        <v>286</v>
      </c>
      <c r="C209" s="18" t="s">
        <v>288</v>
      </c>
      <c r="D209" s="20" t="s">
        <v>289</v>
      </c>
      <c r="E209" s="18" t="s">
        <v>229</v>
      </c>
      <c r="F209" s="19" t="s">
        <v>230</v>
      </c>
    </row>
    <row r="210" spans="2:6" x14ac:dyDescent="0.25">
      <c r="B210" s="8" t="s">
        <v>277</v>
      </c>
      <c r="C210" s="36">
        <f>COUNTIFS(Datos!D:D,"Masculino", Datos!W:W,"Totalmente de acuerdo")</f>
        <v>7</v>
      </c>
      <c r="D210" s="39">
        <f>COUNTIFS(Datos!D:D,"Femenino", Datos!W:W,"Totalmente de acuerdo")</f>
        <v>17</v>
      </c>
      <c r="E210" s="46">
        <f>C210/C$215</f>
        <v>0.18421052631578946</v>
      </c>
      <c r="F210" s="61">
        <f>D210/D$215</f>
        <v>0.20987654320987653</v>
      </c>
    </row>
    <row r="211" spans="2:6" x14ac:dyDescent="0.25">
      <c r="B211" s="8" t="s">
        <v>278</v>
      </c>
      <c r="C211" s="36">
        <f>COUNTIFS(Datos!D:D,"Masculino", Datos!W:W,"De acuerdo")</f>
        <v>9</v>
      </c>
      <c r="D211" s="39">
        <f>COUNTIFS(Datos!D:D,"Femenino", Datos!W:W,"De acuerdo")</f>
        <v>26</v>
      </c>
      <c r="E211" s="46">
        <f t="shared" ref="E211:F214" si="1">C211/C$215</f>
        <v>0.23684210526315788</v>
      </c>
      <c r="F211" s="61">
        <f t="shared" si="1"/>
        <v>0.32098765432098764</v>
      </c>
    </row>
    <row r="212" spans="2:6" x14ac:dyDescent="0.25">
      <c r="B212" s="13" t="s">
        <v>24</v>
      </c>
      <c r="C212" s="41">
        <f>COUNTIFS(Datos!D:D,"Masculino", Datos!W:W,"Neutral")</f>
        <v>12</v>
      </c>
      <c r="D212" s="42">
        <f>COUNTIFS(Datos!D:D,"Femenino", Datos!W:W,"Neutral")</f>
        <v>17</v>
      </c>
      <c r="E212" s="46">
        <f t="shared" si="1"/>
        <v>0.31578947368421051</v>
      </c>
      <c r="F212" s="61">
        <f t="shared" si="1"/>
        <v>0.20987654320987653</v>
      </c>
    </row>
    <row r="213" spans="2:6" x14ac:dyDescent="0.25">
      <c r="B213" s="47" t="s">
        <v>279</v>
      </c>
      <c r="C213" s="41">
        <f>COUNTIFS(Datos!D:D,"Masculino", Datos!W:W,"En desacuerdo")</f>
        <v>5</v>
      </c>
      <c r="D213" s="42">
        <f>COUNTIFS(Datos!D:D,"Femenino", Datos!W:W,"En desacuerdo")</f>
        <v>14</v>
      </c>
      <c r="E213" s="46">
        <f t="shared" si="1"/>
        <v>0.13157894736842105</v>
      </c>
      <c r="F213" s="61">
        <f t="shared" si="1"/>
        <v>0.1728395061728395</v>
      </c>
    </row>
    <row r="214" spans="2:6" ht="15.75" thickBot="1" x14ac:dyDescent="0.3">
      <c r="B214" s="43" t="s">
        <v>280</v>
      </c>
      <c r="C214" s="37">
        <f>COUNTIFS(Datos!D:D,"Masculino", Datos!W:W,"Totalmente en desacuerdo")</f>
        <v>5</v>
      </c>
      <c r="D214" s="44">
        <f>COUNTIFS(Datos!D:D,"Femenino", Datos!W:W,"Totalmente en desacuerdo")</f>
        <v>7</v>
      </c>
      <c r="E214" s="46">
        <f t="shared" si="1"/>
        <v>0.13157894736842105</v>
      </c>
      <c r="F214" s="62">
        <f t="shared" si="1"/>
        <v>8.6419753086419748E-2</v>
      </c>
    </row>
    <row r="215" spans="2:6" x14ac:dyDescent="0.25">
      <c r="B215" s="48" t="s">
        <v>228</v>
      </c>
      <c r="C215" s="21">
        <f>SUM(C210:C214)</f>
        <v>38</v>
      </c>
      <c r="D215" s="50">
        <f>SUM(D210:D214)</f>
        <v>81</v>
      </c>
      <c r="E215" s="21"/>
      <c r="F215" s="22"/>
    </row>
    <row r="216" spans="2:6" ht="15.75" thickBot="1" x14ac:dyDescent="0.3">
      <c r="B216" s="43" t="s">
        <v>291</v>
      </c>
      <c r="C216" s="37">
        <f>SUM(C215:D215)</f>
        <v>119</v>
      </c>
      <c r="D216" s="44"/>
      <c r="E216" s="37"/>
      <c r="F216" s="34"/>
    </row>
    <row r="225" spans="2:6" ht="15.75" thickBot="1" x14ac:dyDescent="0.3"/>
    <row r="226" spans="2:6" x14ac:dyDescent="0.25">
      <c r="B226" s="108" t="s">
        <v>301</v>
      </c>
      <c r="C226" s="109"/>
      <c r="D226" s="109"/>
      <c r="E226" s="109"/>
      <c r="F226" s="110"/>
    </row>
    <row r="227" spans="2:6" x14ac:dyDescent="0.25">
      <c r="B227" s="17" t="s">
        <v>286</v>
      </c>
      <c r="C227" s="18" t="s">
        <v>236</v>
      </c>
      <c r="D227" s="20" t="s">
        <v>237</v>
      </c>
      <c r="E227" s="18" t="s">
        <v>238</v>
      </c>
      <c r="F227" s="19" t="s">
        <v>239</v>
      </c>
    </row>
    <row r="228" spans="2:6" x14ac:dyDescent="0.25">
      <c r="B228" s="8" t="s">
        <v>277</v>
      </c>
      <c r="C228" s="36">
        <f>COUNTIFS(Datos!G:G,1,Datos!W:W,"Totalmente de acuerdo")</f>
        <v>4</v>
      </c>
      <c r="D228" s="39">
        <f>COUNTIFS(Datos!G:G,2,Datos!W:W,"Totalmente de acuerdo")</f>
        <v>12</v>
      </c>
      <c r="E228" s="49">
        <f>COUNTIFS(Datos!G:G,3,Datos!W:W,"Totalmente de acuerdo")</f>
        <v>7</v>
      </c>
      <c r="F228" s="63">
        <f>COUNTIFS(Datos!G:G,"&gt;3",Datos!W:W,"Totalmente de acuerdo")</f>
        <v>1</v>
      </c>
    </row>
    <row r="229" spans="2:6" x14ac:dyDescent="0.25">
      <c r="B229" s="8" t="s">
        <v>278</v>
      </c>
      <c r="C229" s="36">
        <f>COUNTIFS(Datos!G:G,1,Datos!W:W,"De acuerdo")</f>
        <v>16</v>
      </c>
      <c r="D229" s="39">
        <f>COUNTIFS(Datos!G:G,2,Datos!W:W,"De acuerdo")</f>
        <v>15</v>
      </c>
      <c r="E229" s="49">
        <f>COUNTIFS(Datos!G:G,3,Datos!W:W,"De acuerdo")</f>
        <v>3</v>
      </c>
      <c r="F229" s="63">
        <f>COUNTIFS(Datos!G:G,"&gt;3",Datos!W:W,"De acuerdo")</f>
        <v>1</v>
      </c>
    </row>
    <row r="230" spans="2:6" x14ac:dyDescent="0.25">
      <c r="B230" s="13" t="s">
        <v>24</v>
      </c>
      <c r="C230" s="41">
        <f>COUNTIFS(Datos!G:G,1,Datos!W:W,"Neutral")</f>
        <v>11</v>
      </c>
      <c r="D230" s="42">
        <f>COUNTIFS(Datos!G:G,2,Datos!W:W,"Neutral")</f>
        <v>12</v>
      </c>
      <c r="E230" s="49">
        <f>COUNTIFS(Datos!G:G,3,Datos!W:W,"Neutral")</f>
        <v>4</v>
      </c>
      <c r="F230" s="63">
        <f>COUNTIFS(Datos!G:G,"&gt;3",Datos!W:W,"Neutral")</f>
        <v>2</v>
      </c>
    </row>
    <row r="231" spans="2:6" x14ac:dyDescent="0.25">
      <c r="B231" s="47" t="s">
        <v>279</v>
      </c>
      <c r="C231" s="41">
        <f>COUNTIFS(Datos!G:G,1,Datos!W:W,"En desacuerdo")</f>
        <v>10</v>
      </c>
      <c r="D231" s="42">
        <f>COUNTIFS(Datos!G:G,2,Datos!W:W,"En desacuerdo")</f>
        <v>8</v>
      </c>
      <c r="E231" s="49">
        <f>COUNTIFS(Datos!G:G,3,Datos!W:W,"En desacuerdo")</f>
        <v>0</v>
      </c>
      <c r="F231" s="63">
        <f>COUNTIFS(Datos!G:G,"&gt;3",Datos!W:W,"En desacuerdo")</f>
        <v>1</v>
      </c>
    </row>
    <row r="232" spans="2:6" ht="15.75" thickBot="1" x14ac:dyDescent="0.3">
      <c r="B232" s="43" t="s">
        <v>280</v>
      </c>
      <c r="C232" s="37">
        <f>COUNTIFS(Datos!G:G,1,Datos!W:W,"Totalmente en desacuerdo")</f>
        <v>5</v>
      </c>
      <c r="D232" s="44">
        <f>COUNTIFS(Datos!G:G,2,Datos!W:W,"Totalmente en desacuerdo")</f>
        <v>4</v>
      </c>
      <c r="E232" s="49">
        <f>COUNTIFS(Datos!G:G,3,Datos!W:W,"Totalmente en desacuerdo")</f>
        <v>3</v>
      </c>
      <c r="F232" s="64">
        <f>COUNTIFS(Datos!G:G,"&gt;3",Datos!W:W,"Totalmente en desacuerdo")</f>
        <v>0</v>
      </c>
    </row>
    <row r="233" spans="2:6" x14ac:dyDescent="0.25">
      <c r="B233" s="48" t="s">
        <v>228</v>
      </c>
      <c r="C233" s="21">
        <f>SUM(C228:C232)</f>
        <v>46</v>
      </c>
      <c r="D233" s="50">
        <f>SUM(D228:D232)</f>
        <v>51</v>
      </c>
      <c r="E233" s="21">
        <f>SUM(E228:E232)</f>
        <v>17</v>
      </c>
      <c r="F233" s="22">
        <f>SUM(F228:F232)</f>
        <v>5</v>
      </c>
    </row>
    <row r="234" spans="2:6" ht="15.75" thickBot="1" x14ac:dyDescent="0.3">
      <c r="B234" s="43" t="s">
        <v>291</v>
      </c>
      <c r="C234" s="37">
        <f>SUM(C233:F233)</f>
        <v>119</v>
      </c>
      <c r="D234" s="44"/>
      <c r="E234" s="37"/>
      <c r="F234" s="34"/>
    </row>
    <row r="236" spans="2:6" ht="15.75" thickBot="1" x14ac:dyDescent="0.3"/>
    <row r="237" spans="2:6" x14ac:dyDescent="0.25">
      <c r="B237" s="108" t="s">
        <v>301</v>
      </c>
      <c r="C237" s="109"/>
      <c r="D237" s="109"/>
      <c r="E237" s="109"/>
      <c r="F237" s="110"/>
    </row>
    <row r="238" spans="2:6" x14ac:dyDescent="0.25">
      <c r="B238" s="17" t="s">
        <v>286</v>
      </c>
      <c r="C238" s="18" t="s">
        <v>236</v>
      </c>
      <c r="D238" s="20" t="s">
        <v>237</v>
      </c>
      <c r="E238" s="18" t="s">
        <v>238</v>
      </c>
      <c r="F238" s="19" t="s">
        <v>239</v>
      </c>
    </row>
    <row r="239" spans="2:6" x14ac:dyDescent="0.25">
      <c r="B239" s="8" t="s">
        <v>277</v>
      </c>
      <c r="C239" s="51">
        <f>C228/C$233</f>
        <v>8.6956521739130432E-2</v>
      </c>
      <c r="D239" s="51">
        <f>D228/D$233</f>
        <v>0.23529411764705882</v>
      </c>
      <c r="E239" s="51">
        <f>E228/E$233</f>
        <v>0.41176470588235292</v>
      </c>
      <c r="F239" s="40">
        <f>F228/F$233</f>
        <v>0.2</v>
      </c>
    </row>
    <row r="240" spans="2:6" x14ac:dyDescent="0.25">
      <c r="B240" s="8" t="s">
        <v>278</v>
      </c>
      <c r="C240" s="51">
        <f t="shared" ref="C240:D243" si="2">C229/C$233</f>
        <v>0.34782608695652173</v>
      </c>
      <c r="D240" s="51">
        <f t="shared" si="2"/>
        <v>0.29411764705882354</v>
      </c>
      <c r="E240" s="51">
        <f t="shared" ref="E240:F240" si="3">E229/E$233</f>
        <v>0.17647058823529413</v>
      </c>
      <c r="F240" s="40">
        <f t="shared" si="3"/>
        <v>0.2</v>
      </c>
    </row>
    <row r="241" spans="2:7" x14ac:dyDescent="0.25">
      <c r="B241" s="13" t="s">
        <v>24</v>
      </c>
      <c r="C241" s="51">
        <f t="shared" si="2"/>
        <v>0.2391304347826087</v>
      </c>
      <c r="D241" s="51">
        <f t="shared" si="2"/>
        <v>0.23529411764705882</v>
      </c>
      <c r="E241" s="51">
        <f t="shared" ref="E241:F241" si="4">E230/E$233</f>
        <v>0.23529411764705882</v>
      </c>
      <c r="F241" s="40">
        <f t="shared" si="4"/>
        <v>0.4</v>
      </c>
    </row>
    <row r="242" spans="2:7" x14ac:dyDescent="0.25">
      <c r="B242" s="47" t="s">
        <v>279</v>
      </c>
      <c r="C242" s="51">
        <f t="shared" si="2"/>
        <v>0.21739130434782608</v>
      </c>
      <c r="D242" s="51">
        <f t="shared" si="2"/>
        <v>0.15686274509803921</v>
      </c>
      <c r="E242" s="51">
        <f t="shared" ref="E242:F242" si="5">E231/E$233</f>
        <v>0</v>
      </c>
      <c r="F242" s="40">
        <f t="shared" si="5"/>
        <v>0.2</v>
      </c>
    </row>
    <row r="243" spans="2:7" ht="15.75" thickBot="1" x14ac:dyDescent="0.3">
      <c r="B243" s="43" t="s">
        <v>280</v>
      </c>
      <c r="C243" s="52">
        <f t="shared" si="2"/>
        <v>0.10869565217391304</v>
      </c>
      <c r="D243" s="52">
        <f t="shared" si="2"/>
        <v>7.8431372549019607E-2</v>
      </c>
      <c r="E243" s="52">
        <f t="shared" ref="E243:F243" si="6">E232/E$233</f>
        <v>0.17647058823529413</v>
      </c>
      <c r="F243" s="53">
        <f t="shared" si="6"/>
        <v>0</v>
      </c>
    </row>
    <row r="244" spans="2:7" x14ac:dyDescent="0.25">
      <c r="B244" s="54"/>
      <c r="C244" s="54"/>
      <c r="D244" s="54"/>
      <c r="E244" s="54"/>
      <c r="F244" s="54"/>
    </row>
    <row r="245" spans="2:7" x14ac:dyDescent="0.25">
      <c r="B245" s="54"/>
      <c r="C245" s="54"/>
      <c r="D245" s="54"/>
      <c r="E245" s="54"/>
      <c r="F245" s="54"/>
    </row>
    <row r="252" spans="2:7" ht="15.75" thickBot="1" x14ac:dyDescent="0.3"/>
    <row r="253" spans="2:7" x14ac:dyDescent="0.25">
      <c r="B253" s="99" t="s">
        <v>302</v>
      </c>
      <c r="C253" s="105"/>
      <c r="D253" s="105"/>
      <c r="E253" s="105"/>
      <c r="F253" s="105"/>
      <c r="G253" s="100"/>
    </row>
    <row r="254" spans="2:7" x14ac:dyDescent="0.25">
      <c r="B254" s="17" t="s">
        <v>284</v>
      </c>
      <c r="C254" s="18" t="s">
        <v>285</v>
      </c>
      <c r="D254" s="18" t="s">
        <v>303</v>
      </c>
      <c r="E254" s="20" t="s">
        <v>273</v>
      </c>
      <c r="F254" s="18" t="s">
        <v>274</v>
      </c>
      <c r="G254" s="19" t="s">
        <v>275</v>
      </c>
    </row>
    <row r="255" spans="2:7" x14ac:dyDescent="0.25">
      <c r="B255" s="8" t="s">
        <v>234</v>
      </c>
      <c r="C255" s="36">
        <f>COUNTIFS(Datos!B:B,"&gt;=18",Datos!B:B,"&lt;25")</f>
        <v>53</v>
      </c>
      <c r="D255" s="39">
        <f>COUNTIFS(Datos!B:B,"&gt;=18",Datos!B:B,"&lt;25",Datos!M:M,0)</f>
        <v>3</v>
      </c>
      <c r="E255" s="55">
        <f>COUNTIFS(Datos!B:B,"&gt;=18",Datos!B:B,"&lt;25",Datos!M:M,1)</f>
        <v>21</v>
      </c>
      <c r="F255" s="36">
        <f>COUNTIFS(Datos!B:B,"&gt;=18",Datos!B:B,"&lt;25",Datos!M:M,2)</f>
        <v>17</v>
      </c>
      <c r="G255" s="9">
        <f>COUNTIFS(Datos!B:B,"&gt;=18",Datos!B:B,"&lt;25",Datos!M:M,3)</f>
        <v>12</v>
      </c>
    </row>
    <row r="256" spans="2:7" x14ac:dyDescent="0.25">
      <c r="B256" s="8" t="s">
        <v>281</v>
      </c>
      <c r="C256" s="36">
        <f>COUNTIFS(Datos!B:B,"&gt;=25",Datos!B:B,"&lt;35")</f>
        <v>12</v>
      </c>
      <c r="D256" s="39">
        <f>COUNTIFS(Datos!B:B,"&gt;=25",Datos!B:B,"&lt;35",Datos!M:M,0)</f>
        <v>0</v>
      </c>
      <c r="E256" s="55">
        <f>COUNTIFS(Datos!B:B,"&gt;=25",Datos!B:B,"&lt;35",Datos!M:M,1)</f>
        <v>2</v>
      </c>
      <c r="F256" s="36">
        <f>COUNTIFS(Datos!B:B,"&gt;=25",Datos!B:B,"&lt;35",Datos!M:M,2)</f>
        <v>8</v>
      </c>
      <c r="G256" s="9">
        <f>COUNTIFS(Datos!B:B,"&gt;=25",Datos!B:B,"&lt;35",Datos!M:M,3)</f>
        <v>2</v>
      </c>
    </row>
    <row r="257" spans="2:8" x14ac:dyDescent="0.25">
      <c r="B257" s="13" t="s">
        <v>282</v>
      </c>
      <c r="C257" s="41">
        <f>COUNTIFS(Datos!B:B,"&gt;=35",Datos!B:B,"&lt;50")</f>
        <v>21</v>
      </c>
      <c r="D257" s="42">
        <f>COUNTIFS(Datos!B:B,"&gt;=35",Datos!B:B,"&lt;50",Datos!M:M,0)</f>
        <v>1</v>
      </c>
      <c r="E257" s="55">
        <f>COUNTIFS(Datos!B:B,"&gt;=35",Datos!B:B,"&lt;50",Datos!M:M,1)</f>
        <v>12</v>
      </c>
      <c r="F257" s="36">
        <f>COUNTIFS(Datos!B:B,"&gt;=35",Datos!B:B,"&lt;50",Datos!M:M,2)</f>
        <v>6</v>
      </c>
      <c r="G257" s="9">
        <f>COUNTIFS(Datos!B:B,"&gt;=35",Datos!B:B,"&lt;50",Datos!M:M,3)</f>
        <v>2</v>
      </c>
    </row>
    <row r="258" spans="2:8" ht="15.75" thickBot="1" x14ac:dyDescent="0.3">
      <c r="B258" s="43" t="s">
        <v>235</v>
      </c>
      <c r="C258" s="37">
        <f>COUNTIF(Datos!B:B,"&gt;=50")</f>
        <v>33</v>
      </c>
      <c r="D258" s="44">
        <f>COUNTIFS(Datos!B:B,"&gt;=50",Datos!M:M,0)</f>
        <v>2</v>
      </c>
      <c r="E258" s="55">
        <f>COUNTIFS(Datos!B:B,"&gt;=50",Datos!M:M,1)</f>
        <v>12</v>
      </c>
      <c r="F258" s="41">
        <f>COUNTIFS(Datos!B:B,"&gt;=50",Datos!M:M,2)</f>
        <v>13</v>
      </c>
      <c r="G258" s="14">
        <f>COUNTIFS(Datos!B:B,"&gt;=50",Datos!M:M,3)</f>
        <v>6</v>
      </c>
    </row>
    <row r="259" spans="2:8" ht="15.75" thickBot="1" x14ac:dyDescent="0.3">
      <c r="B259" s="15" t="s">
        <v>228</v>
      </c>
      <c r="C259" s="45">
        <f>SUM(D255:G258)</f>
        <v>119</v>
      </c>
      <c r="D259" s="45"/>
      <c r="E259" s="56"/>
      <c r="F259" s="45"/>
      <c r="G259" s="16"/>
    </row>
    <row r="261" spans="2:8" ht="15.75" thickBot="1" x14ac:dyDescent="0.3"/>
    <row r="262" spans="2:8" x14ac:dyDescent="0.25">
      <c r="B262" s="99" t="s">
        <v>302</v>
      </c>
      <c r="C262" s="105"/>
      <c r="D262" s="105"/>
      <c r="E262" s="105"/>
      <c r="F262" s="105"/>
      <c r="G262" s="100"/>
    </row>
    <row r="263" spans="2:8" x14ac:dyDescent="0.25">
      <c r="B263" s="17" t="s">
        <v>284</v>
      </c>
      <c r="C263" s="18" t="s">
        <v>285</v>
      </c>
      <c r="D263" s="18" t="s">
        <v>303</v>
      </c>
      <c r="E263" s="20" t="s">
        <v>273</v>
      </c>
      <c r="F263" s="18" t="s">
        <v>274</v>
      </c>
      <c r="G263" s="19" t="s">
        <v>275</v>
      </c>
    </row>
    <row r="264" spans="2:8" x14ac:dyDescent="0.25">
      <c r="B264" s="8" t="s">
        <v>234</v>
      </c>
      <c r="C264" s="36">
        <f>COUNTIFS(Datos!B:B,"&gt;=18",Datos!B:B,"&lt;25")</f>
        <v>53</v>
      </c>
      <c r="D264" s="58">
        <f>D255/C255</f>
        <v>5.6603773584905662E-2</v>
      </c>
      <c r="E264" s="58">
        <f>E255/C264</f>
        <v>0.39622641509433965</v>
      </c>
      <c r="F264" s="51">
        <f>F255/C255</f>
        <v>0.32075471698113206</v>
      </c>
      <c r="G264" s="40">
        <f>G255/C255</f>
        <v>0.22641509433962265</v>
      </c>
      <c r="H264" s="59"/>
    </row>
    <row r="265" spans="2:8" x14ac:dyDescent="0.25">
      <c r="B265" s="8" t="s">
        <v>281</v>
      </c>
      <c r="C265" s="36">
        <f>COUNTIFS(Datos!B:B,"&gt;=25",Datos!B:B,"&lt;35")</f>
        <v>12</v>
      </c>
      <c r="D265" s="58">
        <f>D256/C256</f>
        <v>0</v>
      </c>
      <c r="E265" s="58">
        <f t="shared" ref="E265:E267" si="7">E256/C265</f>
        <v>0.16666666666666666</v>
      </c>
      <c r="F265" s="51">
        <f t="shared" ref="F265:F267" si="8">F256/C256</f>
        <v>0.66666666666666663</v>
      </c>
      <c r="G265" s="40">
        <f t="shared" ref="G265:G267" si="9">G256/C256</f>
        <v>0.16666666666666666</v>
      </c>
    </row>
    <row r="266" spans="2:8" x14ac:dyDescent="0.25">
      <c r="B266" s="13" t="s">
        <v>282</v>
      </c>
      <c r="C266" s="41">
        <f>COUNTIFS(Datos!B:B,"&gt;=35",Datos!B:B,"&lt;50")</f>
        <v>21</v>
      </c>
      <c r="D266" s="58">
        <f>D257/C257</f>
        <v>4.7619047619047616E-2</v>
      </c>
      <c r="E266" s="58">
        <f t="shared" si="7"/>
        <v>0.5714285714285714</v>
      </c>
      <c r="F266" s="51">
        <f t="shared" si="8"/>
        <v>0.2857142857142857</v>
      </c>
      <c r="G266" s="40">
        <f t="shared" si="9"/>
        <v>9.5238095238095233E-2</v>
      </c>
    </row>
    <row r="267" spans="2:8" ht="15.75" thickBot="1" x14ac:dyDescent="0.3">
      <c r="B267" s="43" t="s">
        <v>235</v>
      </c>
      <c r="C267" s="37">
        <f>COUNTIF(Datos!B:B,"&gt;=50")</f>
        <v>33</v>
      </c>
      <c r="D267" s="58">
        <f>D258/C258</f>
        <v>6.0606060606060608E-2</v>
      </c>
      <c r="E267" s="58">
        <f t="shared" si="7"/>
        <v>0.36363636363636365</v>
      </c>
      <c r="F267" s="51">
        <f t="shared" si="8"/>
        <v>0.39393939393939392</v>
      </c>
      <c r="G267" s="40">
        <f t="shared" si="9"/>
        <v>0.18181818181818182</v>
      </c>
    </row>
    <row r="268" spans="2:8" x14ac:dyDescent="0.25">
      <c r="B268" s="57"/>
      <c r="C268" s="35"/>
      <c r="D268" s="35"/>
      <c r="E268" s="35"/>
      <c r="F268" s="35"/>
      <c r="G268" s="35"/>
    </row>
    <row r="275" spans="2:6" ht="15.75" thickBot="1" x14ac:dyDescent="0.3"/>
    <row r="276" spans="2:6" x14ac:dyDescent="0.25">
      <c r="B276" s="108" t="s">
        <v>321</v>
      </c>
      <c r="C276" s="109"/>
      <c r="D276" s="109"/>
      <c r="E276" s="109"/>
      <c r="F276" s="110"/>
    </row>
    <row r="277" spans="2:6" x14ac:dyDescent="0.25">
      <c r="B277" s="17" t="s">
        <v>304</v>
      </c>
      <c r="C277" s="18" t="s">
        <v>288</v>
      </c>
      <c r="D277" s="20" t="s">
        <v>289</v>
      </c>
      <c r="E277" s="18" t="s">
        <v>229</v>
      </c>
      <c r="F277" s="19" t="s">
        <v>230</v>
      </c>
    </row>
    <row r="278" spans="2:6" x14ac:dyDescent="0.25">
      <c r="B278" s="8" t="s">
        <v>303</v>
      </c>
      <c r="C278" s="36">
        <f>COUNTIFS(Datos!D:D,"Masculino",Datos!M:M,0)</f>
        <v>1</v>
      </c>
      <c r="D278" s="39">
        <f>COUNTIFS(Datos!D:D,"Femenino",Datos!M:M,0)</f>
        <v>5</v>
      </c>
      <c r="E278" s="46">
        <f t="shared" ref="E278:F281" si="10">C278/C$282</f>
        <v>2.6315789473684209E-2</v>
      </c>
      <c r="F278" s="61">
        <f t="shared" si="10"/>
        <v>6.1728395061728392E-2</v>
      </c>
    </row>
    <row r="279" spans="2:6" x14ac:dyDescent="0.25">
      <c r="B279" s="8" t="s">
        <v>273</v>
      </c>
      <c r="C279" s="36">
        <f>COUNTIFS(Datos!D:D,"Masculino",Datos!M:M,1)</f>
        <v>13</v>
      </c>
      <c r="D279" s="39">
        <f>COUNTIFS(Datos!D:D,"Femenino",Datos!M:M,1)</f>
        <v>34</v>
      </c>
      <c r="E279" s="46">
        <f t="shared" si="10"/>
        <v>0.34210526315789475</v>
      </c>
      <c r="F279" s="61">
        <f t="shared" si="10"/>
        <v>0.41975308641975306</v>
      </c>
    </row>
    <row r="280" spans="2:6" x14ac:dyDescent="0.25">
      <c r="B280" s="13" t="s">
        <v>274</v>
      </c>
      <c r="C280" s="41">
        <f>COUNTIFS(Datos!D:D,"Masculino",Datos!M:M,2)</f>
        <v>15</v>
      </c>
      <c r="D280" s="42">
        <f>COUNTIFS(Datos!D:D,"Femenino",Datos!M:M,2)</f>
        <v>29</v>
      </c>
      <c r="E280" s="46">
        <f t="shared" si="10"/>
        <v>0.39473684210526316</v>
      </c>
      <c r="F280" s="61">
        <f t="shared" si="10"/>
        <v>0.35802469135802467</v>
      </c>
    </row>
    <row r="281" spans="2:6" ht="15.75" thickBot="1" x14ac:dyDescent="0.3">
      <c r="B281" s="47" t="s">
        <v>275</v>
      </c>
      <c r="C281" s="41">
        <f>COUNTIFS(Datos!D:D,"Masculino",Datos!M:M,3)</f>
        <v>9</v>
      </c>
      <c r="D281" s="42">
        <f>COUNTIFS(Datos!D:D,"Femenino",Datos!M:M,3)</f>
        <v>13</v>
      </c>
      <c r="E281" s="46">
        <f t="shared" si="10"/>
        <v>0.23684210526315788</v>
      </c>
      <c r="F281" s="62">
        <f t="shared" si="10"/>
        <v>0.16049382716049382</v>
      </c>
    </row>
    <row r="282" spans="2:6" x14ac:dyDescent="0.25">
      <c r="B282" s="48" t="s">
        <v>228</v>
      </c>
      <c r="C282" s="21">
        <f>SUM(C278:C281)</f>
        <v>38</v>
      </c>
      <c r="D282" s="50">
        <f>SUM(D278:D281)</f>
        <v>81</v>
      </c>
      <c r="E282" s="21"/>
      <c r="F282" s="22"/>
    </row>
    <row r="283" spans="2:6" ht="15.75" thickBot="1" x14ac:dyDescent="0.3">
      <c r="B283" s="43" t="s">
        <v>291</v>
      </c>
      <c r="C283" s="37">
        <f>SUM(C282:D282)</f>
        <v>119</v>
      </c>
      <c r="D283" s="44"/>
      <c r="E283" s="37"/>
      <c r="F283" s="34"/>
    </row>
    <row r="290" spans="2:6" ht="15.75" thickBot="1" x14ac:dyDescent="0.3"/>
    <row r="291" spans="2:6" x14ac:dyDescent="0.25">
      <c r="B291" s="108" t="s">
        <v>305</v>
      </c>
      <c r="C291" s="109"/>
      <c r="D291" s="109"/>
      <c r="E291" s="109"/>
      <c r="F291" s="110"/>
    </row>
    <row r="292" spans="2:6" x14ac:dyDescent="0.25">
      <c r="B292" s="17" t="s">
        <v>304</v>
      </c>
      <c r="C292" s="18" t="s">
        <v>236</v>
      </c>
      <c r="D292" s="20" t="s">
        <v>237</v>
      </c>
      <c r="E292" s="18" t="s">
        <v>238</v>
      </c>
      <c r="F292" s="19" t="s">
        <v>239</v>
      </c>
    </row>
    <row r="293" spans="2:6" x14ac:dyDescent="0.25">
      <c r="B293" s="8" t="s">
        <v>303</v>
      </c>
      <c r="C293" s="36">
        <f>COUNTIFS(Datos!G:G,1,Datos!M:M,0)</f>
        <v>3</v>
      </c>
      <c r="D293" s="39">
        <f>COUNTIFS(Datos!G:G,2,Datos!M:M,0)</f>
        <v>3</v>
      </c>
      <c r="E293" s="49">
        <f>COUNTIFS(Datos!G:G,3,Datos!M:M,0)</f>
        <v>0</v>
      </c>
      <c r="F293" s="63">
        <f>COUNTIFS(Datos!G:G,"&gt;3",Datos!M:M,0)</f>
        <v>0</v>
      </c>
    </row>
    <row r="294" spans="2:6" x14ac:dyDescent="0.25">
      <c r="B294" s="8" t="s">
        <v>273</v>
      </c>
      <c r="C294" s="36">
        <f>COUNTIFS(Datos!G:G,1,Datos!M:M,1)</f>
        <v>22</v>
      </c>
      <c r="D294" s="39">
        <f>COUNTIFS(Datos!G:G,2,Datos!M:M,1)</f>
        <v>20</v>
      </c>
      <c r="E294" s="49">
        <f>COUNTIFS(Datos!G:G,3,Datos!M:M,1)</f>
        <v>5</v>
      </c>
      <c r="F294" s="63">
        <f>COUNTIFS(Datos!G:G,"&gt;3",Datos!M:M,1)</f>
        <v>0</v>
      </c>
    </row>
    <row r="295" spans="2:6" x14ac:dyDescent="0.25">
      <c r="B295" s="13" t="s">
        <v>274</v>
      </c>
      <c r="C295" s="41">
        <f>COUNTIFS(Datos!G:G,1,Datos!M:M,2)</f>
        <v>17</v>
      </c>
      <c r="D295" s="42">
        <f>COUNTIFS(Datos!G:G,2,Datos!M:M,2)</f>
        <v>20</v>
      </c>
      <c r="E295" s="49">
        <f>COUNTIFS(Datos!G:G,3,Datos!M:M,2)</f>
        <v>5</v>
      </c>
      <c r="F295" s="63">
        <f>COUNTIFS(Datos!G:G,"&gt;3",Datos!M:M,2)</f>
        <v>2</v>
      </c>
    </row>
    <row r="296" spans="2:6" ht="15.75" thickBot="1" x14ac:dyDescent="0.3">
      <c r="B296" s="47" t="s">
        <v>275</v>
      </c>
      <c r="C296" s="41">
        <f>COUNTIFS(Datos!G:G,1,Datos!M:M,3)</f>
        <v>4</v>
      </c>
      <c r="D296" s="42">
        <f>COUNTIFS(Datos!G:G,2,Datos!M:M,3)</f>
        <v>8</v>
      </c>
      <c r="E296" s="49">
        <f>COUNTIFS(Datos!G:G,3,Datos!M:M,3)</f>
        <v>7</v>
      </c>
      <c r="F296" s="64">
        <f>COUNTIFS(Datos!G:G,"&gt;3",Datos!M:M,3)</f>
        <v>3</v>
      </c>
    </row>
    <row r="297" spans="2:6" x14ac:dyDescent="0.25">
      <c r="B297" s="48" t="s">
        <v>228</v>
      </c>
      <c r="C297" s="21">
        <f>SUM(C293:C296)</f>
        <v>46</v>
      </c>
      <c r="D297" s="50">
        <f>SUM(D293:D296)</f>
        <v>51</v>
      </c>
      <c r="E297" s="21">
        <f>SUM(E293:E296)</f>
        <v>17</v>
      </c>
      <c r="F297" s="22">
        <f>SUM(F293:F296)</f>
        <v>5</v>
      </c>
    </row>
    <row r="298" spans="2:6" ht="15.75" thickBot="1" x14ac:dyDescent="0.3">
      <c r="B298" s="43" t="s">
        <v>291</v>
      </c>
      <c r="C298" s="37">
        <f>SUM(C297:F297)</f>
        <v>119</v>
      </c>
      <c r="D298" s="44"/>
      <c r="E298" s="37"/>
      <c r="F298" s="34"/>
    </row>
    <row r="301" spans="2:6" ht="15.75" thickBot="1" x14ac:dyDescent="0.3"/>
    <row r="302" spans="2:6" x14ac:dyDescent="0.25">
      <c r="B302" s="108" t="s">
        <v>305</v>
      </c>
      <c r="C302" s="109"/>
      <c r="D302" s="109"/>
      <c r="E302" s="109"/>
      <c r="F302" s="110"/>
    </row>
    <row r="303" spans="2:6" x14ac:dyDescent="0.25">
      <c r="B303" s="17" t="s">
        <v>304</v>
      </c>
      <c r="C303" s="18" t="s">
        <v>236</v>
      </c>
      <c r="D303" s="20" t="s">
        <v>237</v>
      </c>
      <c r="E303" s="18" t="s">
        <v>238</v>
      </c>
      <c r="F303" s="19" t="s">
        <v>239</v>
      </c>
    </row>
    <row r="304" spans="2:6" x14ac:dyDescent="0.25">
      <c r="B304" s="8" t="s">
        <v>303</v>
      </c>
      <c r="C304" s="51">
        <f>C293/C$297</f>
        <v>6.5217391304347824E-2</v>
      </c>
      <c r="D304" s="51">
        <f>D293/D$297</f>
        <v>5.8823529411764705E-2</v>
      </c>
      <c r="E304" s="51">
        <f>E293/E$297</f>
        <v>0</v>
      </c>
      <c r="F304" s="40">
        <f>F293/F$297</f>
        <v>0</v>
      </c>
    </row>
    <row r="305" spans="2:6" x14ac:dyDescent="0.25">
      <c r="B305" s="8" t="s">
        <v>273</v>
      </c>
      <c r="C305" s="51">
        <f t="shared" ref="C305:D307" si="11">C294/C$297</f>
        <v>0.47826086956521741</v>
      </c>
      <c r="D305" s="51">
        <f t="shared" si="11"/>
        <v>0.39215686274509803</v>
      </c>
      <c r="E305" s="51">
        <f t="shared" ref="E305:F305" si="12">E294/E$297</f>
        <v>0.29411764705882354</v>
      </c>
      <c r="F305" s="40">
        <f t="shared" si="12"/>
        <v>0</v>
      </c>
    </row>
    <row r="306" spans="2:6" x14ac:dyDescent="0.25">
      <c r="B306" s="13" t="s">
        <v>274</v>
      </c>
      <c r="C306" s="51">
        <f t="shared" si="11"/>
        <v>0.36956521739130432</v>
      </c>
      <c r="D306" s="51">
        <f t="shared" si="11"/>
        <v>0.39215686274509803</v>
      </c>
      <c r="E306" s="51">
        <f t="shared" ref="E306:F306" si="13">E295/E$297</f>
        <v>0.29411764705882354</v>
      </c>
      <c r="F306" s="40">
        <f t="shared" si="13"/>
        <v>0.4</v>
      </c>
    </row>
    <row r="307" spans="2:6" ht="15.75" thickBot="1" x14ac:dyDescent="0.3">
      <c r="B307" s="47" t="s">
        <v>275</v>
      </c>
      <c r="C307" s="51">
        <f t="shared" si="11"/>
        <v>8.6956521739130432E-2</v>
      </c>
      <c r="D307" s="51">
        <f t="shared" si="11"/>
        <v>0.15686274509803921</v>
      </c>
      <c r="E307" s="51">
        <f t="shared" ref="E307:F307" si="14">E296/E$297</f>
        <v>0.41176470588235292</v>
      </c>
      <c r="F307" s="53">
        <f t="shared" si="14"/>
        <v>0.6</v>
      </c>
    </row>
    <row r="308" spans="2:6" x14ac:dyDescent="0.25">
      <c r="B308" s="57"/>
      <c r="C308" s="60"/>
      <c r="D308" s="60"/>
      <c r="E308" s="60"/>
      <c r="F308" s="60"/>
    </row>
    <row r="315" spans="2:6" ht="15.75" thickBot="1" x14ac:dyDescent="0.3"/>
    <row r="316" spans="2:6" x14ac:dyDescent="0.25">
      <c r="B316" s="99" t="s">
        <v>307</v>
      </c>
      <c r="C316" s="105"/>
      <c r="D316" s="105"/>
      <c r="E316" s="100"/>
    </row>
    <row r="317" spans="2:6" x14ac:dyDescent="0.25">
      <c r="B317" s="17" t="s">
        <v>284</v>
      </c>
      <c r="C317" s="18" t="s">
        <v>285</v>
      </c>
      <c r="D317" s="18" t="s">
        <v>306</v>
      </c>
      <c r="E317" s="19" t="s">
        <v>308</v>
      </c>
    </row>
    <row r="318" spans="2:6" x14ac:dyDescent="0.25">
      <c r="B318" s="8" t="s">
        <v>234</v>
      </c>
      <c r="C318" s="36">
        <f>COUNTIFS(Datos!B:B,"&gt;=18",Datos!B:B,"&lt;25")</f>
        <v>53</v>
      </c>
      <c r="D318" s="39">
        <f>COUNTIFS(Table1[P1],"&gt;=18",Table1[P1],"&lt;25",Table1[P10],"Totalmente de acuerdo") + COUNTIFS(Table1[P1],"&gt;=18",Table1[P1],"&lt;25",Table1[P10],"De acuerdo")</f>
        <v>25</v>
      </c>
      <c r="E318" s="40">
        <f>D318/C318</f>
        <v>0.47169811320754718</v>
      </c>
    </row>
    <row r="319" spans="2:6" x14ac:dyDescent="0.25">
      <c r="B319" s="8" t="s">
        <v>281</v>
      </c>
      <c r="C319" s="36">
        <f>COUNTIFS(Datos!B:B,"&gt;=25",Datos!B:B,"&lt;35")</f>
        <v>12</v>
      </c>
      <c r="D319" s="39">
        <f>COUNTIFS(Table1[P1],"&gt;=25",Table1[P1],"&lt;35",Table1[P10],"Totalmente de acuerdo") + COUNTIFS(Table1[P1],"&gt;=25",Table1[P1],"&lt;35",Table1[P10],"De acuerdo")</f>
        <v>1</v>
      </c>
      <c r="E319" s="40">
        <f t="shared" ref="E319:E321" si="15">D319/C319</f>
        <v>8.3333333333333329E-2</v>
      </c>
    </row>
    <row r="320" spans="2:6" x14ac:dyDescent="0.25">
      <c r="B320" s="13" t="s">
        <v>282</v>
      </c>
      <c r="C320" s="41">
        <f>COUNTIFS(Datos!B:B,"&gt;=35",Datos!B:B,"&lt;50")</f>
        <v>21</v>
      </c>
      <c r="D320" s="42">
        <f>COUNTIFS(Table1[P1],"&gt;=35",Table1[P1],"&lt;50",Table1[P10],"Totalmente de acuerdo") + COUNTIFS(Table1[P1],"&gt;=35",Table1[P1],"&lt;50",Table1[P10],"De acuerdo")</f>
        <v>2</v>
      </c>
      <c r="E320" s="40">
        <f t="shared" si="15"/>
        <v>9.5238095238095233E-2</v>
      </c>
    </row>
    <row r="321" spans="2:6" ht="15.75" thickBot="1" x14ac:dyDescent="0.3">
      <c r="B321" s="43" t="s">
        <v>235</v>
      </c>
      <c r="C321" s="37">
        <f>COUNTIF(Datos!B:B,"&gt;=50")</f>
        <v>33</v>
      </c>
      <c r="D321" s="44">
        <f>COUNTIFS(Table1[P1],"&gt;=50",Table1[P19],"Totalmente de acuerdo") + COUNTIFS(Table1[P1],"&gt;=50",Table1[P19],"De acuerdo")</f>
        <v>15</v>
      </c>
      <c r="E321" s="40">
        <f t="shared" si="15"/>
        <v>0.45454545454545453</v>
      </c>
    </row>
    <row r="322" spans="2:6" ht="15.75" thickBot="1" x14ac:dyDescent="0.3">
      <c r="B322" s="15" t="s">
        <v>228</v>
      </c>
      <c r="C322" s="45">
        <f>SUM(C318:C321)</f>
        <v>119</v>
      </c>
      <c r="D322" s="45"/>
      <c r="E322" s="16"/>
    </row>
    <row r="333" spans="2:6" ht="15.75" thickBot="1" x14ac:dyDescent="0.3"/>
    <row r="334" spans="2:6" x14ac:dyDescent="0.25">
      <c r="B334" s="108" t="s">
        <v>309</v>
      </c>
      <c r="C334" s="109"/>
      <c r="D334" s="109"/>
      <c r="E334" s="109"/>
      <c r="F334" s="110"/>
    </row>
    <row r="335" spans="2:6" x14ac:dyDescent="0.25">
      <c r="B335" s="17" t="s">
        <v>306</v>
      </c>
      <c r="C335" s="18" t="s">
        <v>288</v>
      </c>
      <c r="D335" s="20" t="s">
        <v>289</v>
      </c>
      <c r="E335" s="18" t="s">
        <v>229</v>
      </c>
      <c r="F335" s="19" t="s">
        <v>230</v>
      </c>
    </row>
    <row r="336" spans="2:6" x14ac:dyDescent="0.25">
      <c r="B336" s="8" t="s">
        <v>277</v>
      </c>
      <c r="C336" s="36">
        <f>COUNTIFS(Datos!D:D,"Masculino", Datos!N:N,"Totalmente de acuerdo")</f>
        <v>3</v>
      </c>
      <c r="D336" s="39">
        <f>COUNTIFS(Datos!D:D,"Femenino", Datos!N:N,"Totalmente de acuerdo")</f>
        <v>13</v>
      </c>
      <c r="E336" s="46">
        <f>C336/C$341</f>
        <v>7.8947368421052627E-2</v>
      </c>
      <c r="F336" s="61">
        <f>D336/D$341</f>
        <v>0.16049382716049382</v>
      </c>
    </row>
    <row r="337" spans="2:6" x14ac:dyDescent="0.25">
      <c r="B337" s="8" t="s">
        <v>278</v>
      </c>
      <c r="C337" s="36">
        <f>COUNTIFS(Datos!D:D,"Masculino", Datos!N:N,"De acuerdo")</f>
        <v>5</v>
      </c>
      <c r="D337" s="39">
        <f>COUNTIFS(Datos!D:D,"Femenino", Datos!N:N,"De acuerdo")</f>
        <v>18</v>
      </c>
      <c r="E337" s="46">
        <f t="shared" ref="E337:F340" si="16">C337/C$341</f>
        <v>0.13157894736842105</v>
      </c>
      <c r="F337" s="61">
        <f t="shared" si="16"/>
        <v>0.22222222222222221</v>
      </c>
    </row>
    <row r="338" spans="2:6" x14ac:dyDescent="0.25">
      <c r="B338" s="13" t="s">
        <v>24</v>
      </c>
      <c r="C338" s="41">
        <f>COUNTIFS(Datos!D:D,"Masculino", Datos!N:N,"Neutral")</f>
        <v>16</v>
      </c>
      <c r="D338" s="42">
        <f>COUNTIFS(Datos!D:D,"Femenino", Datos!N:N,"Neutral")</f>
        <v>25</v>
      </c>
      <c r="E338" s="46">
        <f t="shared" si="16"/>
        <v>0.42105263157894735</v>
      </c>
      <c r="F338" s="61">
        <f t="shared" si="16"/>
        <v>0.30864197530864196</v>
      </c>
    </row>
    <row r="339" spans="2:6" x14ac:dyDescent="0.25">
      <c r="B339" s="47" t="s">
        <v>279</v>
      </c>
      <c r="C339" s="41">
        <f>COUNTIFS(Datos!D:D,"Masculino", Datos!N:N,"En desacuerdo")</f>
        <v>8</v>
      </c>
      <c r="D339" s="42">
        <f>COUNTIFS(Datos!D:D,"Femenino", Datos!N:N,"En desacuerdo")</f>
        <v>18</v>
      </c>
      <c r="E339" s="46">
        <f t="shared" si="16"/>
        <v>0.21052631578947367</v>
      </c>
      <c r="F339" s="61">
        <f t="shared" si="16"/>
        <v>0.22222222222222221</v>
      </c>
    </row>
    <row r="340" spans="2:6" ht="15.75" thickBot="1" x14ac:dyDescent="0.3">
      <c r="B340" s="43" t="s">
        <v>280</v>
      </c>
      <c r="C340" s="37">
        <f>COUNTIFS(Datos!D:D,"Masculino", Datos!N:N,"Totalmente en desacuerdo")</f>
        <v>6</v>
      </c>
      <c r="D340" s="44">
        <f>COUNTIFS(Datos!D:D,"Femenino", Datos!N:N,"Totalmente en desacuerdo")</f>
        <v>7</v>
      </c>
      <c r="E340" s="46">
        <f t="shared" si="16"/>
        <v>0.15789473684210525</v>
      </c>
      <c r="F340" s="62">
        <f t="shared" si="16"/>
        <v>8.6419753086419748E-2</v>
      </c>
    </row>
    <row r="341" spans="2:6" x14ac:dyDescent="0.25">
      <c r="B341" s="48" t="s">
        <v>228</v>
      </c>
      <c r="C341" s="21">
        <f>SUM(C336:C340)</f>
        <v>38</v>
      </c>
      <c r="D341" s="50">
        <f>SUM(D336:D340)</f>
        <v>81</v>
      </c>
      <c r="E341" s="21"/>
      <c r="F341" s="22"/>
    </row>
    <row r="342" spans="2:6" ht="15.75" thickBot="1" x14ac:dyDescent="0.3">
      <c r="B342" s="43" t="s">
        <v>291</v>
      </c>
      <c r="C342" s="37">
        <f>SUM(C341:D341)</f>
        <v>119</v>
      </c>
      <c r="D342" s="44"/>
      <c r="E342" s="37"/>
      <c r="F342" s="34"/>
    </row>
    <row r="351" spans="2:6" ht="15.75" thickBot="1" x14ac:dyDescent="0.3"/>
    <row r="352" spans="2:6" x14ac:dyDescent="0.25">
      <c r="B352" s="108" t="s">
        <v>310</v>
      </c>
      <c r="C352" s="109"/>
      <c r="D352" s="109"/>
      <c r="E352" s="109"/>
      <c r="F352" s="110"/>
    </row>
    <row r="353" spans="2:6" x14ac:dyDescent="0.25">
      <c r="B353" s="17" t="s">
        <v>312</v>
      </c>
      <c r="C353" s="18" t="s">
        <v>236</v>
      </c>
      <c r="D353" s="20" t="s">
        <v>237</v>
      </c>
      <c r="E353" s="18" t="s">
        <v>238</v>
      </c>
      <c r="F353" s="19" t="s">
        <v>239</v>
      </c>
    </row>
    <row r="354" spans="2:6" x14ac:dyDescent="0.25">
      <c r="B354" s="8" t="s">
        <v>277</v>
      </c>
      <c r="C354" s="36">
        <f>COUNTIFS(Datos!G:G,1,Datos!N:N,"Totalmente de acuerdo")</f>
        <v>6</v>
      </c>
      <c r="D354" s="39">
        <f>COUNTIFS(Datos!G:G,2,Datos!N:N,"Totalmente de acuerdo")</f>
        <v>7</v>
      </c>
      <c r="E354" s="49">
        <f>COUNTIFS(Datos!G:G,3,Datos!N:N,"Totalmente de acuerdo")</f>
        <v>3</v>
      </c>
      <c r="F354" s="63">
        <f>COUNTIFS(Datos!G:G,"&gt;3",Datos!N:N,"Totalmente de acuerdo")</f>
        <v>0</v>
      </c>
    </row>
    <row r="355" spans="2:6" x14ac:dyDescent="0.25">
      <c r="B355" s="8" t="s">
        <v>278</v>
      </c>
      <c r="C355" s="36">
        <f>COUNTIFS(Datos!G:G,1,Datos!N:N,"De acuerdo")</f>
        <v>11</v>
      </c>
      <c r="D355" s="39">
        <f>COUNTIFS(Datos!G:G,2,Datos!N:N,"De acuerdo")</f>
        <v>7</v>
      </c>
      <c r="E355" s="49">
        <f>COUNTIFS(Datos!G:G,3,Datos!N:N,"De acuerdo")</f>
        <v>4</v>
      </c>
      <c r="F355" s="63">
        <f>COUNTIFS(Datos!G:G,"&gt;3",Datos!N:N,"De acuerdo")</f>
        <v>1</v>
      </c>
    </row>
    <row r="356" spans="2:6" x14ac:dyDescent="0.25">
      <c r="B356" s="13" t="s">
        <v>24</v>
      </c>
      <c r="C356" s="41">
        <f>COUNTIFS(Datos!G:G,1,Datos!N:N,"Neutral")</f>
        <v>18</v>
      </c>
      <c r="D356" s="42">
        <f>COUNTIFS(Datos!G:G,2,Datos!N:N,"Neutral")</f>
        <v>16</v>
      </c>
      <c r="E356" s="49">
        <f>COUNTIFS(Datos!G:G,3,Datos!N:N,"Neutral")</f>
        <v>5</v>
      </c>
      <c r="F356" s="63">
        <f>COUNTIFS(Datos!G:G,"&gt;3",Datos!N:N,"Neutral")</f>
        <v>2</v>
      </c>
    </row>
    <row r="357" spans="2:6" x14ac:dyDescent="0.25">
      <c r="B357" s="47" t="s">
        <v>279</v>
      </c>
      <c r="C357" s="41">
        <f>COUNTIFS(Datos!G:G,1,Datos!N:N,"En desacuerdo")</f>
        <v>7</v>
      </c>
      <c r="D357" s="42">
        <f>COUNTIFS(Datos!G:G,2,Datos!N:N,"En desacuerdo")</f>
        <v>13</v>
      </c>
      <c r="E357" s="49">
        <f>COUNTIFS(Datos!G:G,3,Datos!N:N,"En desacuerdo")</f>
        <v>4</v>
      </c>
      <c r="F357" s="63">
        <f>COUNTIFS(Datos!G:G,"&gt;3",Datos!N:N,"En desacuerdo")</f>
        <v>2</v>
      </c>
    </row>
    <row r="358" spans="2:6" ht="15.75" thickBot="1" x14ac:dyDescent="0.3">
      <c r="B358" s="43" t="s">
        <v>280</v>
      </c>
      <c r="C358" s="37">
        <f>COUNTIFS(Datos!G:G,1,Datos!N:N,"Totalmente en desacuerdo")</f>
        <v>4</v>
      </c>
      <c r="D358" s="44">
        <f>COUNTIFS(Datos!G:G,2,Datos!N:N,"Totalmente en desacuerdo")</f>
        <v>8</v>
      </c>
      <c r="E358" s="49">
        <f>COUNTIFS(Datos!G:G,3,Datos!N:N,"Totalmente en desacuerdo")</f>
        <v>1</v>
      </c>
      <c r="F358" s="64">
        <f>COUNTIFS(Datos!G:G,"&gt;3",Datos!N:N,"Totalmente en desacuerdo")</f>
        <v>0</v>
      </c>
    </row>
    <row r="359" spans="2:6" x14ac:dyDescent="0.25">
      <c r="B359" s="48" t="s">
        <v>228</v>
      </c>
      <c r="C359" s="21">
        <f>SUM(C354:C358)</f>
        <v>46</v>
      </c>
      <c r="D359" s="50">
        <f>SUM(D354:D358)</f>
        <v>51</v>
      </c>
      <c r="E359" s="21">
        <f>SUM(E354:E358)</f>
        <v>17</v>
      </c>
      <c r="F359" s="22">
        <f>SUM(F354:F358)</f>
        <v>5</v>
      </c>
    </row>
    <row r="360" spans="2:6" ht="15.75" thickBot="1" x14ac:dyDescent="0.3">
      <c r="B360" s="43" t="s">
        <v>291</v>
      </c>
      <c r="C360" s="37">
        <f>SUM(C359:F359)</f>
        <v>119</v>
      </c>
      <c r="D360" s="44"/>
      <c r="E360" s="37"/>
      <c r="F360" s="34"/>
    </row>
    <row r="362" spans="2:6" ht="15.75" thickBot="1" x14ac:dyDescent="0.3"/>
    <row r="363" spans="2:6" x14ac:dyDescent="0.25">
      <c r="B363" s="108" t="s">
        <v>310</v>
      </c>
      <c r="C363" s="109"/>
      <c r="D363" s="109"/>
      <c r="E363" s="109"/>
      <c r="F363" s="110"/>
    </row>
    <row r="364" spans="2:6" x14ac:dyDescent="0.25">
      <c r="B364" s="17" t="s">
        <v>312</v>
      </c>
      <c r="C364" s="18" t="s">
        <v>236</v>
      </c>
      <c r="D364" s="20" t="s">
        <v>237</v>
      </c>
      <c r="E364" s="18" t="s">
        <v>238</v>
      </c>
      <c r="F364" s="19" t="s">
        <v>239</v>
      </c>
    </row>
    <row r="365" spans="2:6" x14ac:dyDescent="0.25">
      <c r="B365" s="8" t="s">
        <v>277</v>
      </c>
      <c r="C365" s="51">
        <f>C354/C$359</f>
        <v>0.13043478260869565</v>
      </c>
      <c r="D365" s="51">
        <f>D354/D$359</f>
        <v>0.13725490196078433</v>
      </c>
      <c r="E365" s="51">
        <f>E354/E$359</f>
        <v>0.17647058823529413</v>
      </c>
      <c r="F365" s="40">
        <f>F354/F$359</f>
        <v>0</v>
      </c>
    </row>
    <row r="366" spans="2:6" x14ac:dyDescent="0.25">
      <c r="B366" s="8" t="s">
        <v>278</v>
      </c>
      <c r="C366" s="51">
        <f t="shared" ref="C366:D369" si="17">C355/C$359</f>
        <v>0.2391304347826087</v>
      </c>
      <c r="D366" s="51">
        <f t="shared" si="17"/>
        <v>0.13725490196078433</v>
      </c>
      <c r="E366" s="51">
        <f t="shared" ref="E366:F366" si="18">E355/E$359</f>
        <v>0.23529411764705882</v>
      </c>
      <c r="F366" s="40">
        <f t="shared" si="18"/>
        <v>0.2</v>
      </c>
    </row>
    <row r="367" spans="2:6" x14ac:dyDescent="0.25">
      <c r="B367" s="13" t="s">
        <v>24</v>
      </c>
      <c r="C367" s="51">
        <f t="shared" si="17"/>
        <v>0.39130434782608697</v>
      </c>
      <c r="D367" s="51">
        <f t="shared" si="17"/>
        <v>0.31372549019607843</v>
      </c>
      <c r="E367" s="51">
        <f t="shared" ref="E367:F367" si="19">E356/E$359</f>
        <v>0.29411764705882354</v>
      </c>
      <c r="F367" s="40">
        <f t="shared" si="19"/>
        <v>0.4</v>
      </c>
    </row>
    <row r="368" spans="2:6" x14ac:dyDescent="0.25">
      <c r="B368" s="47" t="s">
        <v>279</v>
      </c>
      <c r="C368" s="51">
        <f t="shared" si="17"/>
        <v>0.15217391304347827</v>
      </c>
      <c r="D368" s="51">
        <f t="shared" si="17"/>
        <v>0.25490196078431371</v>
      </c>
      <c r="E368" s="51">
        <f t="shared" ref="E368:F368" si="20">E357/E$359</f>
        <v>0.23529411764705882</v>
      </c>
      <c r="F368" s="40">
        <f t="shared" si="20"/>
        <v>0.4</v>
      </c>
    </row>
    <row r="369" spans="2:6" ht="15.75" thickBot="1" x14ac:dyDescent="0.3">
      <c r="B369" s="43" t="s">
        <v>280</v>
      </c>
      <c r="C369" s="52">
        <f t="shared" si="17"/>
        <v>8.6956521739130432E-2</v>
      </c>
      <c r="D369" s="52">
        <f t="shared" si="17"/>
        <v>0.15686274509803921</v>
      </c>
      <c r="E369" s="52">
        <f t="shared" ref="E369:F369" si="21">E358/E$359</f>
        <v>5.8823529411764705E-2</v>
      </c>
      <c r="F369" s="53">
        <f t="shared" si="21"/>
        <v>0</v>
      </c>
    </row>
    <row r="377" spans="2:6" ht="15.75" thickBot="1" x14ac:dyDescent="0.3"/>
    <row r="378" spans="2:6" x14ac:dyDescent="0.25">
      <c r="C378" s="99" t="s">
        <v>207</v>
      </c>
      <c r="D378" s="100"/>
    </row>
    <row r="379" spans="2:6" x14ac:dyDescent="0.25">
      <c r="C379" s="8" t="s">
        <v>277</v>
      </c>
      <c r="D379" s="9">
        <f>COUNTIF(Datos!V:V, "Totalmente de acuerdo")</f>
        <v>47</v>
      </c>
    </row>
    <row r="380" spans="2:6" x14ac:dyDescent="0.25">
      <c r="C380" s="8" t="s">
        <v>278</v>
      </c>
      <c r="D380" s="9">
        <f>COUNTIF(Datos!V:V, "De acuerdo")</f>
        <v>46</v>
      </c>
    </row>
    <row r="381" spans="2:6" x14ac:dyDescent="0.25">
      <c r="C381" s="8" t="s">
        <v>24</v>
      </c>
      <c r="D381" s="9">
        <f>COUNTIF(Datos!V:V, "Neutral")</f>
        <v>13</v>
      </c>
    </row>
    <row r="382" spans="2:6" x14ac:dyDescent="0.25">
      <c r="C382" s="8" t="s">
        <v>279</v>
      </c>
      <c r="D382" s="9">
        <f>COUNTIF(Datos!V:V, "En desacuerdo")</f>
        <v>9</v>
      </c>
    </row>
    <row r="383" spans="2:6" ht="15.75" thickBot="1" x14ac:dyDescent="0.3">
      <c r="C383" s="33" t="s">
        <v>280</v>
      </c>
      <c r="D383" s="34">
        <f>COUNTIF(Datos!V:V, "Totalmente en desacuerdo")</f>
        <v>4</v>
      </c>
    </row>
    <row r="384" spans="2:6" ht="15.75" thickBot="1" x14ac:dyDescent="0.3">
      <c r="C384" s="38" t="s">
        <v>228</v>
      </c>
      <c r="D384" s="16">
        <f>SUM(D379:D383)</f>
        <v>119</v>
      </c>
    </row>
    <row r="395" spans="2:6" ht="15.75" thickBot="1" x14ac:dyDescent="0.3"/>
    <row r="396" spans="2:6" x14ac:dyDescent="0.25">
      <c r="B396" s="108" t="s">
        <v>311</v>
      </c>
      <c r="C396" s="109"/>
      <c r="D396" s="109"/>
      <c r="E396" s="109"/>
      <c r="F396" s="110"/>
    </row>
    <row r="397" spans="2:6" x14ac:dyDescent="0.25">
      <c r="B397" s="17" t="s">
        <v>312</v>
      </c>
      <c r="C397" s="18" t="s">
        <v>236</v>
      </c>
      <c r="D397" s="18" t="s">
        <v>239</v>
      </c>
      <c r="E397" s="18" t="s">
        <v>236</v>
      </c>
      <c r="F397" s="19" t="s">
        <v>239</v>
      </c>
    </row>
    <row r="398" spans="2:6" x14ac:dyDescent="0.25">
      <c r="B398" s="81" t="s">
        <v>277</v>
      </c>
      <c r="C398" s="36">
        <f>COUNTIFS(Datos!G:G,1,Datos!P:P,"Totalmente de acuerdo")</f>
        <v>5</v>
      </c>
      <c r="D398" s="49">
        <f>COUNTIFS(Datos!G:G,"&gt;3",Datos!P:P,"Totalmente de acuerdo")</f>
        <v>0</v>
      </c>
      <c r="E398" s="58">
        <f t="shared" ref="E398:F402" si="22">C398/C$403</f>
        <v>0.10869565217391304</v>
      </c>
      <c r="F398" s="61">
        <f t="shared" si="22"/>
        <v>0</v>
      </c>
    </row>
    <row r="399" spans="2:6" x14ac:dyDescent="0.25">
      <c r="B399" s="82" t="s">
        <v>278</v>
      </c>
      <c r="C399" s="36">
        <f>COUNTIFS(Datos!G:G,1,Datos!P:P,"De acuerdo")</f>
        <v>16</v>
      </c>
      <c r="D399" s="49">
        <f>COUNTIFS(Datos!G:G,"&gt;3",Datos!P:P,"De acuerdo")</f>
        <v>0</v>
      </c>
      <c r="E399" s="58">
        <f t="shared" si="22"/>
        <v>0.34782608695652173</v>
      </c>
      <c r="F399" s="61">
        <f t="shared" si="22"/>
        <v>0</v>
      </c>
    </row>
    <row r="400" spans="2:6" x14ac:dyDescent="0.25">
      <c r="B400" s="83" t="s">
        <v>24</v>
      </c>
      <c r="C400" s="41">
        <f>COUNTIFS(Datos!G:G,1,Datos!P:P,"Neutral")</f>
        <v>20</v>
      </c>
      <c r="D400" s="49">
        <f>COUNTIFS(Datos!G:G,"&gt;3",Datos!P:P,"Neutral")</f>
        <v>4</v>
      </c>
      <c r="E400" s="58">
        <f t="shared" si="22"/>
        <v>0.43478260869565216</v>
      </c>
      <c r="F400" s="61">
        <f t="shared" si="22"/>
        <v>0.8</v>
      </c>
    </row>
    <row r="401" spans="2:6" x14ac:dyDescent="0.25">
      <c r="B401" s="84" t="s">
        <v>279</v>
      </c>
      <c r="C401" s="41">
        <f>COUNTIFS(Datos!G:G,1,Datos!P:P,"En desacuerdo")</f>
        <v>3</v>
      </c>
      <c r="D401" s="49">
        <f>COUNTIFS(Datos!G:G,"&gt;3",Datos!P:P,"En desacuerdo")</f>
        <v>1</v>
      </c>
      <c r="E401" s="58">
        <f t="shared" si="22"/>
        <v>6.5217391304347824E-2</v>
      </c>
      <c r="F401" s="61">
        <f t="shared" si="22"/>
        <v>0.2</v>
      </c>
    </row>
    <row r="402" spans="2:6" ht="15.75" thickBot="1" x14ac:dyDescent="0.3">
      <c r="B402" s="85" t="s">
        <v>280</v>
      </c>
      <c r="C402" s="37">
        <f>COUNTIFS(Datos!G:G,1,Datos!P:P,"Totalmente en desacuerdo")</f>
        <v>2</v>
      </c>
      <c r="D402" s="49">
        <f>COUNTIFS(Datos!G:G,"&gt;3",Datos!P:P,"Totalmente en desacuerdo")</f>
        <v>0</v>
      </c>
      <c r="E402" s="71">
        <f t="shared" si="22"/>
        <v>4.3478260869565216E-2</v>
      </c>
      <c r="F402" s="62">
        <f t="shared" si="22"/>
        <v>0</v>
      </c>
    </row>
    <row r="403" spans="2:6" ht="15.75" thickBot="1" x14ac:dyDescent="0.3">
      <c r="B403" s="68" t="s">
        <v>228</v>
      </c>
      <c r="C403" s="69">
        <f>SUM(C398:C402)</f>
        <v>46</v>
      </c>
      <c r="D403" s="69">
        <f>SUM(D398:D402)</f>
        <v>5</v>
      </c>
      <c r="E403" s="45"/>
      <c r="F403" s="70"/>
    </row>
    <row r="404" spans="2:6" x14ac:dyDescent="0.25">
      <c r="B404" s="57"/>
      <c r="C404" s="35"/>
      <c r="D404" s="35"/>
      <c r="E404" s="35"/>
      <c r="F404" s="35"/>
    </row>
    <row r="414" spans="2:6" ht="15.75" thickBot="1" x14ac:dyDescent="0.3"/>
    <row r="415" spans="2:6" x14ac:dyDescent="0.25">
      <c r="B415" s="108" t="s">
        <v>313</v>
      </c>
      <c r="C415" s="109"/>
      <c r="D415" s="109"/>
      <c r="E415" s="109"/>
      <c r="F415" s="110"/>
    </row>
    <row r="416" spans="2:6" x14ac:dyDescent="0.25">
      <c r="B416" s="17" t="s">
        <v>312</v>
      </c>
      <c r="C416" s="18" t="s">
        <v>236</v>
      </c>
      <c r="D416" s="18" t="s">
        <v>239</v>
      </c>
      <c r="E416" s="18" t="s">
        <v>236</v>
      </c>
      <c r="F416" s="19" t="s">
        <v>239</v>
      </c>
    </row>
    <row r="417" spans="2:6" x14ac:dyDescent="0.25">
      <c r="B417" s="81" t="s">
        <v>277</v>
      </c>
      <c r="C417" s="36">
        <f>COUNTIFS(Datos!G:G,1,Datos!Z:Z,"Totalmente de acuerdo")</f>
        <v>0</v>
      </c>
      <c r="D417" s="49">
        <f>COUNTIFS(Datos!G:G,"&gt;3",Datos!Z:Z,"Totalmente de acuerdo")</f>
        <v>0</v>
      </c>
      <c r="E417" s="58">
        <f t="shared" ref="E417:F421" si="23">C417/C$403</f>
        <v>0</v>
      </c>
      <c r="F417" s="61">
        <f t="shared" si="23"/>
        <v>0</v>
      </c>
    </row>
    <row r="418" spans="2:6" x14ac:dyDescent="0.25">
      <c r="B418" s="82" t="s">
        <v>278</v>
      </c>
      <c r="C418" s="36">
        <f>COUNTIFS(Datos!G:G,1,Datos!Z:Z,"De acuerdo")</f>
        <v>7</v>
      </c>
      <c r="D418" s="49">
        <f>COUNTIFS(Datos!G:G,"&gt;3",Datos!Z:Z,"De acuerdo")</f>
        <v>0</v>
      </c>
      <c r="E418" s="58">
        <f t="shared" si="23"/>
        <v>0.15217391304347827</v>
      </c>
      <c r="F418" s="61">
        <f t="shared" si="23"/>
        <v>0</v>
      </c>
    </row>
    <row r="419" spans="2:6" x14ac:dyDescent="0.25">
      <c r="B419" s="83" t="s">
        <v>24</v>
      </c>
      <c r="C419" s="41">
        <f>COUNTIFS(Datos!G:G,1,Datos!Z:Z,"Neutral")</f>
        <v>7</v>
      </c>
      <c r="D419" s="49">
        <f>COUNTIFS(Datos!G:G,"&gt;3",Datos!Z:Z,"Neutral")</f>
        <v>0</v>
      </c>
      <c r="E419" s="58">
        <f t="shared" si="23"/>
        <v>0.15217391304347827</v>
      </c>
      <c r="F419" s="61">
        <f t="shared" si="23"/>
        <v>0</v>
      </c>
    </row>
    <row r="420" spans="2:6" x14ac:dyDescent="0.25">
      <c r="B420" s="84" t="s">
        <v>279</v>
      </c>
      <c r="C420" s="41">
        <f>COUNTIFS(Datos!G:G,1,Datos!Z:Z,"En desacuerdo")</f>
        <v>20</v>
      </c>
      <c r="D420" s="49">
        <f>COUNTIFS(Datos!G:G,"&gt;3",Datos!Z:Z,"En desacuerdo")</f>
        <v>3</v>
      </c>
      <c r="E420" s="58">
        <f t="shared" si="23"/>
        <v>0.43478260869565216</v>
      </c>
      <c r="F420" s="61">
        <f t="shared" si="23"/>
        <v>0.6</v>
      </c>
    </row>
    <row r="421" spans="2:6" ht="15.75" thickBot="1" x14ac:dyDescent="0.3">
      <c r="B421" s="85" t="s">
        <v>280</v>
      </c>
      <c r="C421" s="37">
        <f>COUNTIFS(Datos!G:G,1,Datos!Z:Z,"Totalmente en desacuerdo")</f>
        <v>12</v>
      </c>
      <c r="D421" s="49">
        <f>COUNTIFS(Datos!G:G,"&gt;3",Datos!Z:Z,"Totalmente en desacuerdo")</f>
        <v>2</v>
      </c>
      <c r="E421" s="71">
        <f t="shared" si="23"/>
        <v>0.2608695652173913</v>
      </c>
      <c r="F421" s="62">
        <f t="shared" si="23"/>
        <v>0.4</v>
      </c>
    </row>
    <row r="422" spans="2:6" ht="15.75" thickBot="1" x14ac:dyDescent="0.3">
      <c r="B422" s="15" t="s">
        <v>228</v>
      </c>
      <c r="C422" s="45">
        <f>SUM(C417:C421)</f>
        <v>46</v>
      </c>
      <c r="D422" s="45">
        <f>SUM(D417:D421)</f>
        <v>5</v>
      </c>
      <c r="E422" s="45"/>
      <c r="F422" s="16"/>
    </row>
    <row r="433" spans="3:4" ht="15.75" thickBot="1" x14ac:dyDescent="0.3"/>
    <row r="434" spans="3:4" x14ac:dyDescent="0.25">
      <c r="C434" s="99" t="s">
        <v>202</v>
      </c>
      <c r="D434" s="100"/>
    </row>
    <row r="435" spans="3:4" x14ac:dyDescent="0.25">
      <c r="C435" s="8" t="s">
        <v>277</v>
      </c>
      <c r="D435" s="9">
        <f>COUNTIF(Datos!Q:Q, "Totalmente de acuerdo")</f>
        <v>10</v>
      </c>
    </row>
    <row r="436" spans="3:4" x14ac:dyDescent="0.25">
      <c r="C436" s="8" t="s">
        <v>278</v>
      </c>
      <c r="D436" s="9">
        <f>COUNTIF(Datos!Q:Q, "De acuerdo")</f>
        <v>30</v>
      </c>
    </row>
    <row r="437" spans="3:4" x14ac:dyDescent="0.25">
      <c r="C437" s="8" t="s">
        <v>24</v>
      </c>
      <c r="D437" s="9">
        <f>COUNTIF(Datos!Q:Q, "Neutral")</f>
        <v>60</v>
      </c>
    </row>
    <row r="438" spans="3:4" x14ac:dyDescent="0.25">
      <c r="C438" s="8" t="s">
        <v>279</v>
      </c>
      <c r="D438" s="9">
        <f>COUNTIF(Datos!Q:Q, "En desacuerdo")</f>
        <v>14</v>
      </c>
    </row>
    <row r="439" spans="3:4" ht="15.75" thickBot="1" x14ac:dyDescent="0.3">
      <c r="C439" s="33" t="s">
        <v>280</v>
      </c>
      <c r="D439" s="34">
        <f>COUNTIF(Datos!Q:Q, "Totalmente en desacuerdo")</f>
        <v>5</v>
      </c>
    </row>
    <row r="440" spans="3:4" ht="15.75" thickBot="1" x14ac:dyDescent="0.3">
      <c r="C440" s="38" t="s">
        <v>228</v>
      </c>
      <c r="D440" s="16">
        <f>SUM(D435:D439)</f>
        <v>119</v>
      </c>
    </row>
    <row r="452" spans="3:4" ht="15.75" thickBot="1" x14ac:dyDescent="0.3"/>
    <row r="453" spans="3:4" ht="15.75" thickBot="1" x14ac:dyDescent="0.3">
      <c r="C453" s="101" t="s">
        <v>314</v>
      </c>
      <c r="D453" s="102"/>
    </row>
    <row r="454" spans="3:4" x14ac:dyDescent="0.25">
      <c r="C454" s="32" t="s">
        <v>292</v>
      </c>
      <c r="D454" s="22">
        <f>COUNTIF(Datos!L:L,"Y")</f>
        <v>69</v>
      </c>
    </row>
    <row r="455" spans="3:4" ht="15.75" thickBot="1" x14ac:dyDescent="0.3">
      <c r="C455" s="33" t="s">
        <v>39</v>
      </c>
      <c r="D455" s="34">
        <f>COUNTIF(Datos!L:L,"N")</f>
        <v>50</v>
      </c>
    </row>
    <row r="456" spans="3:4" ht="15.75" thickBot="1" x14ac:dyDescent="0.3">
      <c r="C456" s="27" t="s">
        <v>228</v>
      </c>
      <c r="D456" s="16">
        <f>D454+D455</f>
        <v>119</v>
      </c>
    </row>
    <row r="459" spans="3:4" ht="15.75" thickBot="1" x14ac:dyDescent="0.3"/>
    <row r="460" spans="3:4" x14ac:dyDescent="0.25">
      <c r="C460" s="103" t="s">
        <v>315</v>
      </c>
      <c r="D460" s="86">
        <f>COUNTIF(Datos!K:K,"*Inglaterra*")</f>
        <v>34</v>
      </c>
    </row>
    <row r="461" spans="3:4" ht="15.75" thickBot="1" x14ac:dyDescent="0.3">
      <c r="C461" s="104"/>
      <c r="D461" s="87">
        <f>D460/D455</f>
        <v>0.68</v>
      </c>
    </row>
    <row r="471" spans="2:6" ht="15.75" thickBot="1" x14ac:dyDescent="0.3"/>
    <row r="472" spans="2:6" x14ac:dyDescent="0.25">
      <c r="B472" s="99" t="s">
        <v>316</v>
      </c>
      <c r="C472" s="105"/>
      <c r="D472" s="105"/>
      <c r="E472" s="105"/>
      <c r="F472" s="100"/>
    </row>
    <row r="473" spans="2:6" x14ac:dyDescent="0.25">
      <c r="B473" s="17" t="s">
        <v>312</v>
      </c>
      <c r="C473" s="18" t="s">
        <v>234</v>
      </c>
      <c r="D473" s="18" t="s">
        <v>235</v>
      </c>
      <c r="E473" s="18" t="s">
        <v>234</v>
      </c>
      <c r="F473" s="19" t="s">
        <v>235</v>
      </c>
    </row>
    <row r="474" spans="2:6" x14ac:dyDescent="0.25">
      <c r="B474" s="81" t="s">
        <v>277</v>
      </c>
      <c r="C474" s="36">
        <f>COUNTIFS(Datos!B:B,"&gt;=18",Datos!B:B,"&lt;25",Datos!R:R,"Totalmente de acuerdo")</f>
        <v>31</v>
      </c>
      <c r="D474" s="39">
        <f>COUNTIFS(Datos!B:B,"&gt;50",Datos!R:R,"Totalmente de acuerdo")</f>
        <v>6</v>
      </c>
      <c r="E474" s="58">
        <f>C474/C$479</f>
        <v>0.58490566037735847</v>
      </c>
      <c r="F474" s="40">
        <f>D474/D$479</f>
        <v>0.1875</v>
      </c>
    </row>
    <row r="475" spans="2:6" x14ac:dyDescent="0.25">
      <c r="B475" s="82" t="s">
        <v>278</v>
      </c>
      <c r="C475" s="36">
        <f>COUNTIFS(Datos!B:B,"&gt;=18",Datos!B:B,"&lt;25",Datos!R:R,"De acuerdo")</f>
        <v>15</v>
      </c>
      <c r="D475" s="39">
        <f>COUNTIFS(Datos!B:B,"&gt;50",Datos!R:R,"De acuerdo")</f>
        <v>16</v>
      </c>
      <c r="E475" s="58">
        <f t="shared" ref="E475:F478" si="24">C475/C$479</f>
        <v>0.28301886792452829</v>
      </c>
      <c r="F475" s="40">
        <f t="shared" si="24"/>
        <v>0.5</v>
      </c>
    </row>
    <row r="476" spans="2:6" x14ac:dyDescent="0.25">
      <c r="B476" s="83" t="s">
        <v>24</v>
      </c>
      <c r="C476" s="41">
        <f>COUNTIFS(Datos!B:B,"&gt;=18",Datos!B:B,"&lt;25",Datos!R:R,"Neutral")</f>
        <v>6</v>
      </c>
      <c r="D476" s="42">
        <f>COUNTIFS(Datos!B:B,"&gt;50",Datos!R:R,"Neutral")</f>
        <v>6</v>
      </c>
      <c r="E476" s="58">
        <f t="shared" si="24"/>
        <v>0.11320754716981132</v>
      </c>
      <c r="F476" s="40">
        <f t="shared" si="24"/>
        <v>0.1875</v>
      </c>
    </row>
    <row r="477" spans="2:6" x14ac:dyDescent="0.25">
      <c r="B477" s="84" t="s">
        <v>279</v>
      </c>
      <c r="C477" s="41">
        <f>COUNTIFS(Datos!B:B,"&gt;=18",Datos!B:B,"&lt;25",Datos!R:R,"En desacuerdo")</f>
        <v>1</v>
      </c>
      <c r="D477" s="42">
        <f>COUNTIFS(Datos!B:B,"&gt;50",Datos!R:R,"En desacuerdo")</f>
        <v>4</v>
      </c>
      <c r="E477" s="58">
        <f t="shared" si="24"/>
        <v>1.8867924528301886E-2</v>
      </c>
      <c r="F477" s="40">
        <f t="shared" si="24"/>
        <v>0.125</v>
      </c>
    </row>
    <row r="478" spans="2:6" ht="15.75" thickBot="1" x14ac:dyDescent="0.3">
      <c r="B478" s="85" t="s">
        <v>280</v>
      </c>
      <c r="C478" s="37">
        <f>COUNTIFS(Datos!B:B,"&gt;=18",Datos!B:B,"&lt;25",Datos!R:R,"Totalmente en desacuerdo")</f>
        <v>0</v>
      </c>
      <c r="D478" s="37">
        <f>COUNTIFS(Datos!B:B,"&gt;50",Datos!R:R,"Totalmente en desacuerdo")</f>
        <v>0</v>
      </c>
      <c r="E478" s="58">
        <f t="shared" si="24"/>
        <v>0</v>
      </c>
      <c r="F478" s="53">
        <f t="shared" si="24"/>
        <v>0</v>
      </c>
    </row>
    <row r="479" spans="2:6" ht="15.75" thickBot="1" x14ac:dyDescent="0.3">
      <c r="B479" s="65" t="s">
        <v>228</v>
      </c>
      <c r="C479" s="66">
        <f>SUM(C474:C478)</f>
        <v>53</v>
      </c>
      <c r="D479" s="66">
        <f>SUM(D474:D478)</f>
        <v>32</v>
      </c>
      <c r="E479" s="56"/>
      <c r="F479" s="16"/>
    </row>
    <row r="481" spans="2:6" ht="15.75" thickBot="1" x14ac:dyDescent="0.3"/>
    <row r="482" spans="2:6" ht="15.75" thickBot="1" x14ac:dyDescent="0.3">
      <c r="C482" s="106" t="s">
        <v>317</v>
      </c>
      <c r="D482" s="107"/>
    </row>
    <row r="483" spans="2:6" x14ac:dyDescent="0.25">
      <c r="C483" s="32" t="s">
        <v>234</v>
      </c>
      <c r="D483" s="88">
        <f>SUM(E474:E475)</f>
        <v>0.86792452830188682</v>
      </c>
    </row>
    <row r="484" spans="2:6" ht="15.75" thickBot="1" x14ac:dyDescent="0.3">
      <c r="C484" s="33" t="s">
        <v>235</v>
      </c>
      <c r="D484" s="53">
        <f>SUM(F474:F475)</f>
        <v>0.6875</v>
      </c>
    </row>
    <row r="491" spans="2:6" ht="15.75" thickBot="1" x14ac:dyDescent="0.3"/>
    <row r="492" spans="2:6" x14ac:dyDescent="0.25">
      <c r="B492" s="99" t="s">
        <v>318</v>
      </c>
      <c r="C492" s="105"/>
      <c r="D492" s="105"/>
      <c r="E492" s="105"/>
      <c r="F492" s="100"/>
    </row>
    <row r="493" spans="2:6" x14ac:dyDescent="0.25">
      <c r="B493" s="17" t="s">
        <v>312</v>
      </c>
      <c r="C493" s="18" t="s">
        <v>234</v>
      </c>
      <c r="D493" s="18" t="s">
        <v>235</v>
      </c>
      <c r="E493" s="18" t="s">
        <v>234</v>
      </c>
      <c r="F493" s="19" t="s">
        <v>235</v>
      </c>
    </row>
    <row r="494" spans="2:6" x14ac:dyDescent="0.25">
      <c r="B494" s="81" t="s">
        <v>277</v>
      </c>
      <c r="C494" s="36">
        <f>COUNTIFS(Datos!B:B,"&gt;=18",Datos!B:B,"&lt;25",Datos!W:W,"Totalmente de acuerdo")</f>
        <v>11</v>
      </c>
      <c r="D494" s="39">
        <f>COUNTIFS(Datos!B:B,"&gt;50",Datos!W:W,"Totalmente de acuerdo")</f>
        <v>5</v>
      </c>
      <c r="E494" s="58">
        <f>C494/C$479</f>
        <v>0.20754716981132076</v>
      </c>
      <c r="F494" s="40">
        <f>D494/D$479</f>
        <v>0.15625</v>
      </c>
    </row>
    <row r="495" spans="2:6" x14ac:dyDescent="0.25">
      <c r="B495" s="82" t="s">
        <v>278</v>
      </c>
      <c r="C495" s="36">
        <f>COUNTIFS(Datos!B:B,"&gt;=18",Datos!B:B,"&lt;25",Datos!W:W,"De acuerdo")</f>
        <v>15</v>
      </c>
      <c r="D495" s="39">
        <f>COUNTIFS(Datos!B:B,"&gt;50",Datos!W:W,"De acuerdo")</f>
        <v>9</v>
      </c>
      <c r="E495" s="58">
        <f t="shared" ref="E495:E498" si="25">C495/C$479</f>
        <v>0.28301886792452829</v>
      </c>
      <c r="F495" s="40">
        <f t="shared" ref="F495:F498" si="26">D495/D$479</f>
        <v>0.28125</v>
      </c>
    </row>
    <row r="496" spans="2:6" x14ac:dyDescent="0.25">
      <c r="B496" s="83" t="s">
        <v>24</v>
      </c>
      <c r="C496" s="41">
        <f>COUNTIFS(Datos!B:B,"&gt;=18",Datos!B:B,"&lt;25",Datos!W:W,"Neutral")</f>
        <v>10</v>
      </c>
      <c r="D496" s="42">
        <f>COUNTIFS(Datos!B:B,"&gt;50",Datos!W:W,"Neutral")</f>
        <v>10</v>
      </c>
      <c r="E496" s="58">
        <f t="shared" si="25"/>
        <v>0.18867924528301888</v>
      </c>
      <c r="F496" s="40">
        <f t="shared" si="26"/>
        <v>0.3125</v>
      </c>
    </row>
    <row r="497" spans="2:6" x14ac:dyDescent="0.25">
      <c r="B497" s="84" t="s">
        <v>279</v>
      </c>
      <c r="C497" s="41">
        <f>COUNTIFS(Datos!B:B,"&gt;=18",Datos!B:B,"&lt;25",Datos!W:W,"En desacuerdo")</f>
        <v>12</v>
      </c>
      <c r="D497" s="42">
        <f>COUNTIFS(Datos!B:B,"&gt;50",Datos!W:W,"En desacuerdo")</f>
        <v>6</v>
      </c>
      <c r="E497" s="58">
        <f t="shared" si="25"/>
        <v>0.22641509433962265</v>
      </c>
      <c r="F497" s="40">
        <f t="shared" si="26"/>
        <v>0.1875</v>
      </c>
    </row>
    <row r="498" spans="2:6" ht="15.75" thickBot="1" x14ac:dyDescent="0.3">
      <c r="B498" s="85" t="s">
        <v>280</v>
      </c>
      <c r="C498" s="37">
        <f>COUNTIFS(Datos!B:B,"&gt;=18",Datos!B:B,"&lt;25",Datos!W:W,"Totalmente en desacuerdo")</f>
        <v>5</v>
      </c>
      <c r="D498" s="37">
        <f>COUNTIFS(Datos!B:B,"&gt;50",Datos!W:W,"Totalmente en desacuerdo")</f>
        <v>2</v>
      </c>
      <c r="E498" s="58">
        <f t="shared" si="25"/>
        <v>9.4339622641509441E-2</v>
      </c>
      <c r="F498" s="53">
        <f t="shared" si="26"/>
        <v>6.25E-2</v>
      </c>
    </row>
    <row r="499" spans="2:6" ht="15.75" thickBot="1" x14ac:dyDescent="0.3">
      <c r="B499" s="65" t="s">
        <v>228</v>
      </c>
      <c r="C499" s="66">
        <f>SUM(C494:C498)</f>
        <v>53</v>
      </c>
      <c r="D499" s="66">
        <f>SUM(D494:D498)</f>
        <v>32</v>
      </c>
      <c r="E499" s="56"/>
      <c r="F499" s="16"/>
    </row>
    <row r="501" spans="2:6" ht="15.75" thickBot="1" x14ac:dyDescent="0.3"/>
    <row r="502" spans="2:6" ht="15.75" thickBot="1" x14ac:dyDescent="0.3">
      <c r="C502" s="106" t="s">
        <v>317</v>
      </c>
      <c r="D502" s="107"/>
    </row>
    <row r="503" spans="2:6" x14ac:dyDescent="0.25">
      <c r="C503" s="32" t="s">
        <v>234</v>
      </c>
      <c r="D503" s="88">
        <f>SUM(E494:E495)</f>
        <v>0.49056603773584906</v>
      </c>
    </row>
    <row r="504" spans="2:6" ht="15.75" thickBot="1" x14ac:dyDescent="0.3">
      <c r="C504" s="33" t="s">
        <v>235</v>
      </c>
      <c r="D504" s="53">
        <f>SUM(F494:F495)</f>
        <v>0.4375</v>
      </c>
    </row>
    <row r="513" spans="2:6" ht="15.75" thickBot="1" x14ac:dyDescent="0.3"/>
    <row r="514" spans="2:6" x14ac:dyDescent="0.25">
      <c r="B514" s="99" t="s">
        <v>319</v>
      </c>
      <c r="C514" s="105"/>
      <c r="D514" s="105"/>
      <c r="E514" s="105"/>
      <c r="F514" s="100"/>
    </row>
    <row r="515" spans="2:6" x14ac:dyDescent="0.25">
      <c r="B515" s="17" t="s">
        <v>286</v>
      </c>
      <c r="C515" s="18" t="s">
        <v>288</v>
      </c>
      <c r="D515" s="18" t="s">
        <v>289</v>
      </c>
      <c r="E515" s="18" t="s">
        <v>229</v>
      </c>
      <c r="F515" s="19" t="s">
        <v>230</v>
      </c>
    </row>
    <row r="516" spans="2:6" x14ac:dyDescent="0.25">
      <c r="B516" s="81" t="s">
        <v>277</v>
      </c>
      <c r="C516" s="36">
        <f>COUNTIFS(Datos!D:D,"Masculino",Datos!R:R,"Totalmente de acuerdo")</f>
        <v>12</v>
      </c>
      <c r="D516" s="39">
        <f>COUNTIFS(Datos!D:D,"Femenino",Datos!R:R,"Totalmente de acuerdo")</f>
        <v>39</v>
      </c>
      <c r="E516" s="58">
        <f>C516/C$521</f>
        <v>0.31578947368421051</v>
      </c>
      <c r="F516" s="40">
        <f>D516/D$521</f>
        <v>0.48148148148148145</v>
      </c>
    </row>
    <row r="517" spans="2:6" x14ac:dyDescent="0.25">
      <c r="B517" s="82" t="s">
        <v>278</v>
      </c>
      <c r="C517" s="36">
        <f>COUNTIFS(Datos!D:D,"Masculino",Datos!R:R,"De acuerdo")</f>
        <v>15</v>
      </c>
      <c r="D517" s="39">
        <f>COUNTIFS(Datos!D:D,"Femenino",Datos!R:R,"De acuerdo")</f>
        <v>27</v>
      </c>
      <c r="E517" s="58">
        <f t="shared" ref="E517:E520" si="27">C517/C$521</f>
        <v>0.39473684210526316</v>
      </c>
      <c r="F517" s="40">
        <f t="shared" ref="F517:F520" si="28">D517/D$521</f>
        <v>0.33333333333333331</v>
      </c>
    </row>
    <row r="518" spans="2:6" x14ac:dyDescent="0.25">
      <c r="B518" s="83" t="s">
        <v>24</v>
      </c>
      <c r="C518" s="41">
        <f>COUNTIFS(Datos!D:D,"Masculino",Datos!R:R,"Neutral")</f>
        <v>7</v>
      </c>
      <c r="D518" s="42">
        <f>COUNTIFS(Datos!D:D,"Femenino",Datos!R:R,"Neutral")</f>
        <v>11</v>
      </c>
      <c r="E518" s="58">
        <f t="shared" si="27"/>
        <v>0.18421052631578946</v>
      </c>
      <c r="F518" s="40">
        <f t="shared" si="28"/>
        <v>0.13580246913580246</v>
      </c>
    </row>
    <row r="519" spans="2:6" x14ac:dyDescent="0.25">
      <c r="B519" s="84" t="s">
        <v>279</v>
      </c>
      <c r="C519" s="41">
        <f>COUNTIFS(Datos!D:D,"Masculino",Datos!R:R,"En desacuerdo")</f>
        <v>4</v>
      </c>
      <c r="D519" s="42">
        <f>COUNTIFS(Datos!D:D,"Femenino",Datos!R:R,"En desacuerdo")</f>
        <v>4</v>
      </c>
      <c r="E519" s="58">
        <f t="shared" si="27"/>
        <v>0.10526315789473684</v>
      </c>
      <c r="F519" s="40">
        <f t="shared" si="28"/>
        <v>4.9382716049382713E-2</v>
      </c>
    </row>
    <row r="520" spans="2:6" ht="15.75" thickBot="1" x14ac:dyDescent="0.3">
      <c r="B520" s="85" t="s">
        <v>280</v>
      </c>
      <c r="C520" s="37">
        <f>COUNTIFS(Datos!D:D,"Masculino",Datos!R:R,"Totalmente en desacuerdo")</f>
        <v>0</v>
      </c>
      <c r="D520" s="37">
        <f>COUNTIFS(Datos!D:D,"Femenino",Datos!R:R,"Totalmente en desacuerdo")</f>
        <v>0</v>
      </c>
      <c r="E520" s="58">
        <f t="shared" si="27"/>
        <v>0</v>
      </c>
      <c r="F520" s="40">
        <f t="shared" si="28"/>
        <v>0</v>
      </c>
    </row>
    <row r="521" spans="2:6" ht="15.75" thickBot="1" x14ac:dyDescent="0.3">
      <c r="B521" s="65" t="s">
        <v>228</v>
      </c>
      <c r="C521" s="66">
        <f>SUM(C516:C520)</f>
        <v>38</v>
      </c>
      <c r="D521" s="66">
        <f>SUM(D516:D520)</f>
        <v>81</v>
      </c>
      <c r="E521" s="56"/>
      <c r="F521" s="16"/>
    </row>
    <row r="523" spans="2:6" ht="15.75" thickBot="1" x14ac:dyDescent="0.3"/>
    <row r="524" spans="2:6" ht="15.75" thickBot="1" x14ac:dyDescent="0.3">
      <c r="C524" s="106" t="s">
        <v>317</v>
      </c>
      <c r="D524" s="107"/>
    </row>
    <row r="525" spans="2:6" x14ac:dyDescent="0.25">
      <c r="C525" s="32" t="s">
        <v>288</v>
      </c>
      <c r="D525" s="88">
        <f>SUM(E516:E517)</f>
        <v>0.71052631578947367</v>
      </c>
    </row>
    <row r="526" spans="2:6" ht="15.75" thickBot="1" x14ac:dyDescent="0.3">
      <c r="C526" s="33" t="s">
        <v>289</v>
      </c>
      <c r="D526" s="53">
        <f>SUM(F516:F517)</f>
        <v>0.81481481481481477</v>
      </c>
    </row>
    <row r="533" spans="2:6" ht="15.75" thickBot="1" x14ac:dyDescent="0.3"/>
    <row r="534" spans="2:6" x14ac:dyDescent="0.25">
      <c r="B534" s="99" t="s">
        <v>320</v>
      </c>
      <c r="C534" s="105"/>
      <c r="D534" s="105"/>
      <c r="E534" s="105"/>
      <c r="F534" s="100"/>
    </row>
    <row r="535" spans="2:6" x14ac:dyDescent="0.25">
      <c r="B535" s="17" t="s">
        <v>286</v>
      </c>
      <c r="C535" s="18" t="s">
        <v>288</v>
      </c>
      <c r="D535" s="18" t="s">
        <v>289</v>
      </c>
      <c r="E535" s="89" t="s">
        <v>229</v>
      </c>
      <c r="F535" s="90" t="s">
        <v>230</v>
      </c>
    </row>
    <row r="536" spans="2:6" x14ac:dyDescent="0.25">
      <c r="B536" s="81" t="s">
        <v>277</v>
      </c>
      <c r="C536" s="36">
        <f>COUNTIFS(Datos!D:D, "Masculino",Datos!W:W,"Totalmente de acuerdo")</f>
        <v>7</v>
      </c>
      <c r="D536" s="39">
        <f>COUNTIFS(Datos!D:D, "Femenino",Datos!W:W,"Totalmente de acuerdo")</f>
        <v>17</v>
      </c>
      <c r="E536" s="58">
        <f>C536/C$541</f>
        <v>0.18421052631578946</v>
      </c>
      <c r="F536" s="40">
        <f>D536/D$541</f>
        <v>0.20987654320987653</v>
      </c>
    </row>
    <row r="537" spans="2:6" x14ac:dyDescent="0.25">
      <c r="B537" s="82" t="s">
        <v>278</v>
      </c>
      <c r="C537" s="36">
        <f>COUNTIFS(Datos!D:D, "Masculino",Datos!W:W,"De acuerdo")</f>
        <v>9</v>
      </c>
      <c r="D537" s="39">
        <f>COUNTIFS(Datos!D:D, "Femenino",Datos!W:W,"De acuerdo")</f>
        <v>26</v>
      </c>
      <c r="E537" s="58">
        <f t="shared" ref="E537:E540" si="29">C537/C$541</f>
        <v>0.23684210526315788</v>
      </c>
      <c r="F537" s="40">
        <f t="shared" ref="F537:F540" si="30">D537/D$541</f>
        <v>0.32098765432098764</v>
      </c>
    </row>
    <row r="538" spans="2:6" x14ac:dyDescent="0.25">
      <c r="B538" s="83" t="s">
        <v>24</v>
      </c>
      <c r="C538" s="41">
        <f>COUNTIFS(Datos!D:D, "Masculino",Datos!W:W,"Neutral")</f>
        <v>12</v>
      </c>
      <c r="D538" s="42">
        <f>COUNTIFS(Datos!D:D, "Femenino",Datos!W:W,"Neutral")</f>
        <v>17</v>
      </c>
      <c r="E538" s="58">
        <f t="shared" si="29"/>
        <v>0.31578947368421051</v>
      </c>
      <c r="F538" s="40">
        <f t="shared" si="30"/>
        <v>0.20987654320987653</v>
      </c>
    </row>
    <row r="539" spans="2:6" x14ac:dyDescent="0.25">
      <c r="B539" s="84" t="s">
        <v>279</v>
      </c>
      <c r="C539" s="41">
        <f>COUNTIFS(Datos!D:D, "Masculino",Datos!W:W,"En desacuerdo")</f>
        <v>5</v>
      </c>
      <c r="D539" s="42">
        <f>COUNTIFS(Datos!D:D, "Femenino",Datos!W:W,"En desacuerdo")</f>
        <v>14</v>
      </c>
      <c r="E539" s="58">
        <f t="shared" si="29"/>
        <v>0.13157894736842105</v>
      </c>
      <c r="F539" s="40">
        <f t="shared" si="30"/>
        <v>0.1728395061728395</v>
      </c>
    </row>
    <row r="540" spans="2:6" ht="15.75" thickBot="1" x14ac:dyDescent="0.3">
      <c r="B540" s="85" t="s">
        <v>280</v>
      </c>
      <c r="C540" s="37">
        <f>COUNTIFS(Datos!D:D, "Masculino",Datos!W:W,"Totalmente en desacuerdo")</f>
        <v>5</v>
      </c>
      <c r="D540" s="37">
        <f>COUNTIFS(Datos!D:D, "Femenino",Datos!W:W,"Totalmente en desacuerdo")</f>
        <v>7</v>
      </c>
      <c r="E540" s="58">
        <f t="shared" si="29"/>
        <v>0.13157894736842105</v>
      </c>
      <c r="F540" s="40">
        <f t="shared" si="30"/>
        <v>8.6419753086419748E-2</v>
      </c>
    </row>
    <row r="541" spans="2:6" ht="15.75" thickBot="1" x14ac:dyDescent="0.3">
      <c r="B541" s="65" t="s">
        <v>228</v>
      </c>
      <c r="C541" s="66">
        <f>SUM(C536:C540)</f>
        <v>38</v>
      </c>
      <c r="D541" s="66">
        <f>SUM(D536:D540)</f>
        <v>81</v>
      </c>
      <c r="E541" s="56"/>
      <c r="F541" s="16"/>
    </row>
    <row r="543" spans="2:6" ht="15.75" thickBot="1" x14ac:dyDescent="0.3"/>
    <row r="544" spans="2:6" ht="15.75" thickBot="1" x14ac:dyDescent="0.3">
      <c r="C544" s="106" t="s">
        <v>317</v>
      </c>
      <c r="D544" s="107"/>
    </row>
    <row r="545" spans="3:4" x14ac:dyDescent="0.25">
      <c r="C545" s="32" t="s">
        <v>288</v>
      </c>
      <c r="D545" s="88">
        <f>SUM(E536:E537)</f>
        <v>0.42105263157894735</v>
      </c>
    </row>
    <row r="546" spans="3:4" ht="15.75" thickBot="1" x14ac:dyDescent="0.3">
      <c r="C546" s="33" t="s">
        <v>289</v>
      </c>
      <c r="D546" s="53">
        <f>SUM(F536:F537)</f>
        <v>0.53086419753086411</v>
      </c>
    </row>
    <row r="554" spans="3:4" ht="15.75" thickBot="1" x14ac:dyDescent="0.3"/>
    <row r="555" spans="3:4" x14ac:dyDescent="0.25">
      <c r="C555" s="99" t="s">
        <v>200</v>
      </c>
      <c r="D555" s="100"/>
    </row>
    <row r="556" spans="3:4" x14ac:dyDescent="0.25">
      <c r="C556" s="8" t="s">
        <v>277</v>
      </c>
      <c r="D556" s="9">
        <f>COUNTIF(Datos!O:O, "Totalmente de acuerdo")</f>
        <v>27</v>
      </c>
    </row>
    <row r="557" spans="3:4" x14ac:dyDescent="0.25">
      <c r="C557" s="8" t="s">
        <v>278</v>
      </c>
      <c r="D557" s="9">
        <f>COUNTIF(Datos!O:O, "De acuerdo")</f>
        <v>30</v>
      </c>
    </row>
    <row r="558" spans="3:4" x14ac:dyDescent="0.25">
      <c r="C558" s="8" t="s">
        <v>24</v>
      </c>
      <c r="D558" s="9">
        <f>COUNTIF(Datos!O:O, "Neutral")</f>
        <v>46</v>
      </c>
    </row>
    <row r="559" spans="3:4" x14ac:dyDescent="0.25">
      <c r="C559" s="8" t="s">
        <v>279</v>
      </c>
      <c r="D559" s="9">
        <f>COUNTIF(Datos!O:O, "En desacuerdo")</f>
        <v>11</v>
      </c>
    </row>
    <row r="560" spans="3:4" ht="15.75" thickBot="1" x14ac:dyDescent="0.3">
      <c r="C560" s="33" t="s">
        <v>280</v>
      </c>
      <c r="D560" s="34">
        <f>COUNTIF(Datos!O:O, "Totalmente en desacuerdo")</f>
        <v>5</v>
      </c>
    </row>
    <row r="561" spans="3:4" ht="15.75" thickBot="1" x14ac:dyDescent="0.3">
      <c r="C561" s="67" t="s">
        <v>228</v>
      </c>
      <c r="D561" s="16">
        <f>SUM(D556:D560)</f>
        <v>119</v>
      </c>
    </row>
    <row r="572" spans="3:4" ht="15.75" thickBot="1" x14ac:dyDescent="0.3"/>
    <row r="573" spans="3:4" x14ac:dyDescent="0.25">
      <c r="C573" s="99" t="s">
        <v>206</v>
      </c>
      <c r="D573" s="100"/>
    </row>
    <row r="574" spans="3:4" x14ac:dyDescent="0.25">
      <c r="C574" s="8" t="s">
        <v>277</v>
      </c>
      <c r="D574" s="9">
        <f>COUNTIF(Datos!U:U, "Totalmente de acuerdo")</f>
        <v>10</v>
      </c>
    </row>
    <row r="575" spans="3:4" x14ac:dyDescent="0.25">
      <c r="C575" s="8" t="s">
        <v>278</v>
      </c>
      <c r="D575" s="9">
        <f>COUNTIF(Datos!U:U, "De acuerdo")</f>
        <v>49</v>
      </c>
    </row>
    <row r="576" spans="3:4" x14ac:dyDescent="0.25">
      <c r="C576" s="8" t="s">
        <v>24</v>
      </c>
      <c r="D576" s="9">
        <f>COUNTIF(Datos!U:U, "Neutral")</f>
        <v>39</v>
      </c>
    </row>
    <row r="577" spans="3:4" x14ac:dyDescent="0.25">
      <c r="C577" s="8" t="s">
        <v>279</v>
      </c>
      <c r="D577" s="9">
        <f>COUNTIF(Datos!U:U, "En desacuerdo")</f>
        <v>14</v>
      </c>
    </row>
    <row r="578" spans="3:4" ht="15.75" thickBot="1" x14ac:dyDescent="0.3">
      <c r="C578" s="33" t="s">
        <v>280</v>
      </c>
      <c r="D578" s="34">
        <f>COUNTIF(Datos!U:U, "Totalmente en desacuerdo")</f>
        <v>7</v>
      </c>
    </row>
    <row r="579" spans="3:4" ht="15.75" thickBot="1" x14ac:dyDescent="0.3">
      <c r="C579" s="67" t="s">
        <v>228</v>
      </c>
      <c r="D579" s="16">
        <f>SUM(D574:D578)</f>
        <v>119</v>
      </c>
    </row>
    <row r="589" spans="3:4" ht="15.75" thickBot="1" x14ac:dyDescent="0.3"/>
    <row r="590" spans="3:4" x14ac:dyDescent="0.25">
      <c r="C590" s="99" t="s">
        <v>204</v>
      </c>
      <c r="D590" s="100"/>
    </row>
    <row r="591" spans="3:4" x14ac:dyDescent="0.25">
      <c r="C591" s="8" t="s">
        <v>277</v>
      </c>
      <c r="D591" s="9">
        <f>COUNTIF(Datos!S:S, "Totalmente de acuerdo")</f>
        <v>8</v>
      </c>
    </row>
    <row r="592" spans="3:4" x14ac:dyDescent="0.25">
      <c r="C592" s="8" t="s">
        <v>278</v>
      </c>
      <c r="D592" s="9">
        <f>COUNTIF(Datos!S:S, "De acuerdo")</f>
        <v>51</v>
      </c>
    </row>
    <row r="593" spans="3:4" x14ac:dyDescent="0.25">
      <c r="C593" s="8" t="s">
        <v>24</v>
      </c>
      <c r="D593" s="9">
        <f>COUNTIF(Datos!S:S, "Neutral")</f>
        <v>39</v>
      </c>
    </row>
    <row r="594" spans="3:4" x14ac:dyDescent="0.25">
      <c r="C594" s="8" t="s">
        <v>279</v>
      </c>
      <c r="D594" s="9">
        <f>COUNTIF(Datos!S:S, "En desacuerdo")</f>
        <v>18</v>
      </c>
    </row>
    <row r="595" spans="3:4" ht="15.75" thickBot="1" x14ac:dyDescent="0.3">
      <c r="C595" s="33" t="s">
        <v>280</v>
      </c>
      <c r="D595" s="34">
        <f>COUNTIF(Datos!S:S, "Totalmente en desacuerdo")</f>
        <v>3</v>
      </c>
    </row>
    <row r="596" spans="3:4" ht="15.75" thickBot="1" x14ac:dyDescent="0.3">
      <c r="C596" s="67" t="s">
        <v>228</v>
      </c>
      <c r="D596" s="16">
        <f>SUM(D591:D595)</f>
        <v>119</v>
      </c>
    </row>
    <row r="606" spans="3:4" ht="15.75" thickBot="1" x14ac:dyDescent="0.3"/>
    <row r="607" spans="3:4" x14ac:dyDescent="0.25">
      <c r="C607" s="99" t="s">
        <v>205</v>
      </c>
      <c r="D607" s="100"/>
    </row>
    <row r="608" spans="3:4" x14ac:dyDescent="0.25">
      <c r="C608" s="8" t="s">
        <v>277</v>
      </c>
      <c r="D608" s="9">
        <f>COUNTIF(Datos!T:T, "Totalmente de acuerdo")</f>
        <v>2</v>
      </c>
    </row>
    <row r="609" spans="3:4" x14ac:dyDescent="0.25">
      <c r="C609" s="8" t="s">
        <v>278</v>
      </c>
      <c r="D609" s="9">
        <f>COUNTIF(Datos!T:T, "De acuerdo")</f>
        <v>18</v>
      </c>
    </row>
    <row r="610" spans="3:4" x14ac:dyDescent="0.25">
      <c r="C610" s="8" t="s">
        <v>24</v>
      </c>
      <c r="D610" s="9">
        <f>COUNTIF(Datos!T:T, "Neutral")</f>
        <v>59</v>
      </c>
    </row>
    <row r="611" spans="3:4" x14ac:dyDescent="0.25">
      <c r="C611" s="8" t="s">
        <v>279</v>
      </c>
      <c r="D611" s="9">
        <f>COUNTIF(Datos!T:T, "En desacuerdo")</f>
        <v>34</v>
      </c>
    </row>
    <row r="612" spans="3:4" ht="15.75" thickBot="1" x14ac:dyDescent="0.3">
      <c r="C612" s="33" t="s">
        <v>280</v>
      </c>
      <c r="D612" s="34">
        <f>COUNTIF(Datos!T:T, "Totalmente en desacuerdo")</f>
        <v>6</v>
      </c>
    </row>
    <row r="613" spans="3:4" ht="15.75" thickBot="1" x14ac:dyDescent="0.3">
      <c r="C613" s="67" t="s">
        <v>228</v>
      </c>
      <c r="D613" s="16">
        <f>SUM(D608:D612)</f>
        <v>119</v>
      </c>
    </row>
    <row r="624" spans="3:4" ht="15.75" thickBot="1" x14ac:dyDescent="0.3"/>
    <row r="625" spans="3:4" x14ac:dyDescent="0.25">
      <c r="C625" s="99" t="s">
        <v>209</v>
      </c>
      <c r="D625" s="100"/>
    </row>
    <row r="626" spans="3:4" x14ac:dyDescent="0.25">
      <c r="C626" s="8" t="s">
        <v>277</v>
      </c>
      <c r="D626" s="9">
        <f>COUNTIF(Datos!X:X, "Totalmente de acuerdo")</f>
        <v>33</v>
      </c>
    </row>
    <row r="627" spans="3:4" x14ac:dyDescent="0.25">
      <c r="C627" s="8" t="s">
        <v>278</v>
      </c>
      <c r="D627" s="9">
        <f>COUNTIF(Datos!X:X, "De acuerdo")</f>
        <v>65</v>
      </c>
    </row>
    <row r="628" spans="3:4" x14ac:dyDescent="0.25">
      <c r="C628" s="8" t="s">
        <v>24</v>
      </c>
      <c r="D628" s="9">
        <f>COUNTIF(Datos!X:X, "Neutral")</f>
        <v>15</v>
      </c>
    </row>
    <row r="629" spans="3:4" x14ac:dyDescent="0.25">
      <c r="C629" s="8" t="s">
        <v>279</v>
      </c>
      <c r="D629" s="9">
        <f>COUNTIF(Datos!X:X, "En desacuerdo")</f>
        <v>6</v>
      </c>
    </row>
    <row r="630" spans="3:4" ht="15.75" thickBot="1" x14ac:dyDescent="0.3">
      <c r="C630" s="33" t="s">
        <v>280</v>
      </c>
      <c r="D630" s="34">
        <f>COUNTIF(Datos!X:X, "Totalmente en desacuerdo")</f>
        <v>0</v>
      </c>
    </row>
    <row r="631" spans="3:4" ht="15.75" thickBot="1" x14ac:dyDescent="0.3">
      <c r="C631" s="67" t="s">
        <v>228</v>
      </c>
      <c r="D631" s="16">
        <f>SUM(D626:D630)</f>
        <v>119</v>
      </c>
    </row>
    <row r="643" spans="2:4" ht="15.75" thickBot="1" x14ac:dyDescent="0.3"/>
    <row r="644" spans="2:4" x14ac:dyDescent="0.25">
      <c r="C644" s="99" t="s">
        <v>322</v>
      </c>
      <c r="D644" s="100"/>
    </row>
    <row r="645" spans="2:4" x14ac:dyDescent="0.25">
      <c r="C645" s="8" t="s">
        <v>39</v>
      </c>
      <c r="D645" s="9">
        <f>COUNTIFS(Datos!X:X,"Totalmente de acuerdo", Datos!W:W, "Totalmente en desacuerdo")  + COUNTIFS(Datos!X:X,"Totalmente de acuerdo", Datos!W:W, "En desacuerdo")  + COUNTIFS(Datos!X:X,"De acuerdo", Datos!W:W, "Totalmente en desacuerdo")  + COUNTIFS(Datos!X:X,"De acuerdo", Datos!W:W, "En desacuerdo")</f>
        <v>24</v>
      </c>
    </row>
    <row r="646" spans="2:4" ht="15.75" thickBot="1" x14ac:dyDescent="0.3">
      <c r="C646" s="33" t="s">
        <v>7</v>
      </c>
      <c r="D646" s="34">
        <f>COUNTIFS(Datos!X:X,"Totalmente de acuerdo", Datos!W:W, "Totalmente de acuerdo")  + COUNTIFS(Datos!X:X,"Totalmente de acuerdo", Datos!W:W, "De acuerdo")  + COUNTIFS(Datos!X:X,"De acuerdo", Datos!W:W, "Totalmente de acuerdo")  + COUNTIFS(Datos!X:X,"De acuerdo", Datos!W:W, "De acuerdo")</f>
        <v>52</v>
      </c>
    </row>
    <row r="647" spans="2:4" x14ac:dyDescent="0.25">
      <c r="B647" s="10"/>
      <c r="C647" s="10"/>
      <c r="D647" s="10"/>
    </row>
    <row r="648" spans="2:4" x14ac:dyDescent="0.25">
      <c r="B648" s="54"/>
      <c r="C648" s="10"/>
      <c r="D648" s="10"/>
    </row>
    <row r="658" spans="3:4" ht="15.75" thickBot="1" x14ac:dyDescent="0.3"/>
    <row r="659" spans="3:4" x14ac:dyDescent="0.25">
      <c r="C659" s="99" t="s">
        <v>323</v>
      </c>
      <c r="D659" s="100"/>
    </row>
    <row r="660" spans="3:4" x14ac:dyDescent="0.25">
      <c r="C660" s="8" t="s">
        <v>39</v>
      </c>
      <c r="D660" s="9">
        <f>COUNTIFS(Datos!N:N,"Totalmente de acuerdo", Datos!W:W, "Totalmente en desacuerdo")  + COUNTIFS(Datos!N:N,"Totalmente de acuerdo", Datos!W:W, "En desacuerdo")  + COUNTIFS(Datos!N:N,"De acuerdo", Datos!W:W, "Totalmente en desacuerdo")  + COUNTIFS(Datos!N:N,"De acuerdo", Datos!W:W, "En desacuerdo")</f>
        <v>15</v>
      </c>
    </row>
    <row r="661" spans="3:4" ht="15.75" thickBot="1" x14ac:dyDescent="0.3">
      <c r="C661" s="33" t="s">
        <v>7</v>
      </c>
      <c r="D661" s="34">
        <f>COUNTIFS(Datos!N:N,"Totalmente de acuerdo", Datos!W:W, "Totalmente de acuerdo")  + COUNTIFS(Datos!N:N,"Totalmente de acuerdo", Datos!W:W, "De acuerdo")  + COUNTIFS(Datos!N:N,"De acuerdo", Datos!W:W, "Totalmente de acuerdo")  + COUNTIFS(Datos!N:N,"De acuerdo", Datos!W:W, "De acuerdo")</f>
        <v>18</v>
      </c>
    </row>
    <row r="674" spans="2:6" ht="15.75" thickBot="1" x14ac:dyDescent="0.3"/>
    <row r="675" spans="2:6" x14ac:dyDescent="0.25">
      <c r="B675" s="108" t="s">
        <v>324</v>
      </c>
      <c r="C675" s="109"/>
      <c r="D675" s="109"/>
      <c r="E675" s="109"/>
      <c r="F675" s="110"/>
    </row>
    <row r="676" spans="2:6" x14ac:dyDescent="0.25">
      <c r="B676" s="17" t="s">
        <v>312</v>
      </c>
      <c r="C676" s="18" t="s">
        <v>236</v>
      </c>
      <c r="D676" s="20" t="s">
        <v>237</v>
      </c>
      <c r="E676" s="18" t="s">
        <v>238</v>
      </c>
      <c r="F676" s="19" t="s">
        <v>239</v>
      </c>
    </row>
    <row r="677" spans="2:6" x14ac:dyDescent="0.25">
      <c r="B677" s="81" t="s">
        <v>277</v>
      </c>
      <c r="C677" s="36">
        <f>COUNTIFS(Datos!G:G,1,Datos!R:R,"Totalmente de acuerdo")</f>
        <v>9</v>
      </c>
      <c r="D677" s="39">
        <f>COUNTIFS(Datos!G:G,2,Datos!R:R,"Totalmente de acuerdo")</f>
        <v>29</v>
      </c>
      <c r="E677" s="49">
        <f>COUNTIFS(Datos!G:G,3,Datos!R:R,"Totalmente de acuerdo")</f>
        <v>8</v>
      </c>
      <c r="F677" s="63">
        <f>COUNTIFS(Datos!G:G,"&gt;3",Datos!R:R,"Totalmente de acuerdo")</f>
        <v>5</v>
      </c>
    </row>
    <row r="678" spans="2:6" x14ac:dyDescent="0.25">
      <c r="B678" s="82" t="s">
        <v>278</v>
      </c>
      <c r="C678" s="36">
        <f>COUNTIFS(Datos!G:G,1,Datos!R:R,"De acuerdo")</f>
        <v>23</v>
      </c>
      <c r="D678" s="39">
        <f>COUNTIFS(Datos!G:G,2,Datos!R:R,"De acuerdo")</f>
        <v>14</v>
      </c>
      <c r="E678" s="49">
        <f>COUNTIFS(Datos!G:G,3,Datos!R:R,"De acuerdo")</f>
        <v>5</v>
      </c>
      <c r="F678" s="63">
        <f>COUNTIFS(Datos!G:G,"&gt;3",Datos!R:R,"De acuerdo")</f>
        <v>0</v>
      </c>
    </row>
    <row r="679" spans="2:6" x14ac:dyDescent="0.25">
      <c r="B679" s="83" t="s">
        <v>24</v>
      </c>
      <c r="C679" s="41">
        <f>COUNTIFS(Datos!G:G,1,Datos!R:R,"Neutral")</f>
        <v>7</v>
      </c>
      <c r="D679" s="42">
        <f>COUNTIFS(Datos!G:G,2,Datos!R:R,"Neutral")</f>
        <v>7</v>
      </c>
      <c r="E679" s="49">
        <f>COUNTIFS(Datos!G:G,3,Datos!R:R,"Neutral")</f>
        <v>4</v>
      </c>
      <c r="F679" s="63">
        <f>COUNTIFS(Datos!G:G,"&gt;3",Datos!R:R,"Neutral")</f>
        <v>0</v>
      </c>
    </row>
    <row r="680" spans="2:6" x14ac:dyDescent="0.25">
      <c r="B680" s="84" t="s">
        <v>279</v>
      </c>
      <c r="C680" s="41">
        <f>COUNTIFS(Datos!G:G,1,Datos!R:R,"En desacuerdo")</f>
        <v>7</v>
      </c>
      <c r="D680" s="42">
        <f>COUNTIFS(Datos!G:G,2,Datos!R:R,"En desacuerdo")</f>
        <v>1</v>
      </c>
      <c r="E680" s="49">
        <f>COUNTIFS(Datos!G:G,3,Datos!R:R,"En desacuerdo")</f>
        <v>0</v>
      </c>
      <c r="F680" s="63">
        <f>COUNTIFS(Datos!G:G,"&gt;3",Datos!R:R,"En desacuerdo")</f>
        <v>0</v>
      </c>
    </row>
    <row r="681" spans="2:6" ht="15.75" thickBot="1" x14ac:dyDescent="0.3">
      <c r="B681" s="85" t="s">
        <v>280</v>
      </c>
      <c r="C681" s="37">
        <f>COUNTIFS(Datos!G:G,1,Datos!R:R,"Totalmente en desacuerdo")</f>
        <v>0</v>
      </c>
      <c r="D681" s="44">
        <f>COUNTIFS(Datos!G:G,2,Datos!R:R,"Totalmente en desacuerdo")</f>
        <v>0</v>
      </c>
      <c r="E681" s="49">
        <f>COUNTIFS(Datos!G:G,3,Datos!R:R,"Totalmente en desacuerdo")</f>
        <v>0</v>
      </c>
      <c r="F681" s="64">
        <f>COUNTIFS(Datos!G:G,"&gt;3",Datos!R:R,"Totalmente en desacuerdo")</f>
        <v>0</v>
      </c>
    </row>
    <row r="682" spans="2:6" x14ac:dyDescent="0.25">
      <c r="B682" s="48" t="s">
        <v>228</v>
      </c>
      <c r="C682" s="21">
        <f>SUM(C677:C681)</f>
        <v>46</v>
      </c>
      <c r="D682" s="50">
        <f>SUM(D677:D681)</f>
        <v>51</v>
      </c>
      <c r="E682" s="21">
        <f>SUM(E677:E681)</f>
        <v>17</v>
      </c>
      <c r="F682" s="22">
        <f>SUM(F677:F681)</f>
        <v>5</v>
      </c>
    </row>
    <row r="683" spans="2:6" ht="15.75" thickBot="1" x14ac:dyDescent="0.3">
      <c r="B683" s="43" t="s">
        <v>291</v>
      </c>
      <c r="C683" s="37">
        <f>SUM(C682:F682)</f>
        <v>119</v>
      </c>
      <c r="D683" s="44"/>
      <c r="E683" s="37"/>
      <c r="F683" s="34"/>
    </row>
    <row r="685" spans="2:6" ht="15.75" thickBot="1" x14ac:dyDescent="0.3"/>
    <row r="686" spans="2:6" x14ac:dyDescent="0.25">
      <c r="B686" s="108" t="s">
        <v>324</v>
      </c>
      <c r="C686" s="109"/>
      <c r="D686" s="109"/>
      <c r="E686" s="109"/>
      <c r="F686" s="110"/>
    </row>
    <row r="687" spans="2:6" x14ac:dyDescent="0.25">
      <c r="B687" s="17" t="s">
        <v>312</v>
      </c>
      <c r="C687" s="18" t="s">
        <v>236</v>
      </c>
      <c r="D687" s="20" t="s">
        <v>237</v>
      </c>
      <c r="E687" s="18" t="s">
        <v>238</v>
      </c>
      <c r="F687" s="19" t="s">
        <v>239</v>
      </c>
    </row>
    <row r="688" spans="2:6" x14ac:dyDescent="0.25">
      <c r="B688" s="81" t="s">
        <v>277</v>
      </c>
      <c r="C688" s="51">
        <f>C677/C$682</f>
        <v>0.19565217391304349</v>
      </c>
      <c r="D688" s="51">
        <f t="shared" ref="D688:F688" si="31">D677/D$682</f>
        <v>0.56862745098039214</v>
      </c>
      <c r="E688" s="51">
        <f t="shared" si="31"/>
        <v>0.47058823529411764</v>
      </c>
      <c r="F688" s="40">
        <f t="shared" si="31"/>
        <v>1</v>
      </c>
    </row>
    <row r="689" spans="2:6" x14ac:dyDescent="0.25">
      <c r="B689" s="82" t="s">
        <v>278</v>
      </c>
      <c r="C689" s="51">
        <f t="shared" ref="C689:F692" si="32">C678/C$682</f>
        <v>0.5</v>
      </c>
      <c r="D689" s="51">
        <f t="shared" si="32"/>
        <v>0.27450980392156865</v>
      </c>
      <c r="E689" s="51">
        <f t="shared" si="32"/>
        <v>0.29411764705882354</v>
      </c>
      <c r="F689" s="40">
        <f t="shared" si="32"/>
        <v>0</v>
      </c>
    </row>
    <row r="690" spans="2:6" x14ac:dyDescent="0.25">
      <c r="B690" s="83" t="s">
        <v>24</v>
      </c>
      <c r="C690" s="51">
        <f t="shared" si="32"/>
        <v>0.15217391304347827</v>
      </c>
      <c r="D690" s="51">
        <f t="shared" si="32"/>
        <v>0.13725490196078433</v>
      </c>
      <c r="E690" s="51">
        <f t="shared" si="32"/>
        <v>0.23529411764705882</v>
      </c>
      <c r="F690" s="40">
        <f t="shared" si="32"/>
        <v>0</v>
      </c>
    </row>
    <row r="691" spans="2:6" x14ac:dyDescent="0.25">
      <c r="B691" s="84" t="s">
        <v>279</v>
      </c>
      <c r="C691" s="51">
        <f t="shared" si="32"/>
        <v>0.15217391304347827</v>
      </c>
      <c r="D691" s="51">
        <f t="shared" si="32"/>
        <v>1.9607843137254902E-2</v>
      </c>
      <c r="E691" s="51">
        <f t="shared" si="32"/>
        <v>0</v>
      </c>
      <c r="F691" s="40">
        <f t="shared" si="32"/>
        <v>0</v>
      </c>
    </row>
    <row r="692" spans="2:6" ht="15.75" thickBot="1" x14ac:dyDescent="0.3">
      <c r="B692" s="85" t="s">
        <v>280</v>
      </c>
      <c r="C692" s="52">
        <f t="shared" si="32"/>
        <v>0</v>
      </c>
      <c r="D692" s="52">
        <f t="shared" si="32"/>
        <v>0</v>
      </c>
      <c r="E692" s="52">
        <f t="shared" si="32"/>
        <v>0</v>
      </c>
      <c r="F692" s="53">
        <f t="shared" si="32"/>
        <v>0</v>
      </c>
    </row>
    <row r="693" spans="2:6" ht="15.75" thickBot="1" x14ac:dyDescent="0.3"/>
    <row r="694" spans="2:6" x14ac:dyDescent="0.25">
      <c r="C694" s="91" t="s">
        <v>236</v>
      </c>
      <c r="D694" s="88">
        <f>SUM(C688:C689)</f>
        <v>0.69565217391304346</v>
      </c>
    </row>
    <row r="695" spans="2:6" x14ac:dyDescent="0.25">
      <c r="C695" s="17" t="s">
        <v>237</v>
      </c>
      <c r="D695" s="40">
        <f>SUM(D688:D689)</f>
        <v>0.84313725490196079</v>
      </c>
    </row>
    <row r="696" spans="2:6" x14ac:dyDescent="0.25">
      <c r="C696" s="17" t="s">
        <v>238</v>
      </c>
      <c r="D696" s="40">
        <f>SUM(E688:E689)</f>
        <v>0.76470588235294112</v>
      </c>
    </row>
    <row r="697" spans="2:6" ht="15.75" thickBot="1" x14ac:dyDescent="0.3">
      <c r="C697" s="92" t="s">
        <v>239</v>
      </c>
      <c r="D697" s="53">
        <f>SUM(F688:F689)</f>
        <v>1</v>
      </c>
    </row>
    <row r="704" spans="2:6" ht="15.75" thickBot="1" x14ac:dyDescent="0.3"/>
    <row r="705" spans="2:6" x14ac:dyDescent="0.25">
      <c r="C705" s="99" t="s">
        <v>327</v>
      </c>
      <c r="D705" s="100"/>
    </row>
    <row r="706" spans="2:6" x14ac:dyDescent="0.25">
      <c r="C706" s="8" t="s">
        <v>277</v>
      </c>
      <c r="D706" s="9">
        <f>COUNTIFS(Datos!H:H,"Excelente", Datos!R:R,"Totalmente de acuerdo") + COUNTIFS(Datos!H:H,"Muy bueno", Datos!R:R,"Totalmente de acuerdo")</f>
        <v>20</v>
      </c>
    </row>
    <row r="707" spans="2:6" x14ac:dyDescent="0.25">
      <c r="C707" s="8" t="s">
        <v>278</v>
      </c>
      <c r="D707" s="9">
        <f>COUNTIFS(Datos!H:H,"Excelente", Datos!R:R,"De acuerdo") + COUNTIFS(Datos!H:H,"Muy bueno", Datos!R:R,"De acuerdo")</f>
        <v>10</v>
      </c>
    </row>
    <row r="708" spans="2:6" x14ac:dyDescent="0.25">
      <c r="C708" s="8" t="s">
        <v>24</v>
      </c>
      <c r="D708" s="9">
        <f>COUNTIFS(Datos!H:H,"Excelente", Datos!R:R,"Neutral") + COUNTIFS(Datos!H:H,"Muy bueno", Datos!R:R,"Neutral")</f>
        <v>4</v>
      </c>
    </row>
    <row r="709" spans="2:6" x14ac:dyDescent="0.25">
      <c r="C709" s="8" t="s">
        <v>279</v>
      </c>
      <c r="D709" s="9">
        <f>COUNTIFS(Datos!H:H,"Excelente", Datos!R:R,"En desacuerdo") + COUNTIFS(Datos!H:H,"Muy bueno", Datos!R:R,"En desacuerdo")</f>
        <v>0</v>
      </c>
    </row>
    <row r="710" spans="2:6" ht="15.75" thickBot="1" x14ac:dyDescent="0.3">
      <c r="C710" s="33" t="s">
        <v>280</v>
      </c>
      <c r="D710" s="34">
        <f>COUNTIFS(Datos!H:H,"Excelente", Datos!R:R,"Totalmente en desacuerdo") + COUNTIFS(Datos!H:H,"Muy bueno", Datos!R:R,"Totalmente en desacuerdo")</f>
        <v>0</v>
      </c>
    </row>
    <row r="711" spans="2:6" ht="15.75" thickBot="1" x14ac:dyDescent="0.3">
      <c r="C711" s="72" t="s">
        <v>228</v>
      </c>
      <c r="D711" s="16">
        <f>SUM(D706:D710)</f>
        <v>34</v>
      </c>
    </row>
    <row r="719" spans="2:6" ht="15.75" thickBot="1" x14ac:dyDescent="0.3"/>
    <row r="720" spans="2:6" x14ac:dyDescent="0.25">
      <c r="B720" s="108" t="s">
        <v>325</v>
      </c>
      <c r="C720" s="109"/>
      <c r="D720" s="109"/>
      <c r="E720" s="109"/>
      <c r="F720" s="110"/>
    </row>
    <row r="721" spans="2:6" x14ac:dyDescent="0.25">
      <c r="B721" s="17" t="s">
        <v>312</v>
      </c>
      <c r="C721" s="18" t="s">
        <v>236</v>
      </c>
      <c r="D721" s="20" t="s">
        <v>237</v>
      </c>
      <c r="E721" s="18" t="s">
        <v>238</v>
      </c>
      <c r="F721" s="19" t="s">
        <v>239</v>
      </c>
    </row>
    <row r="722" spans="2:6" x14ac:dyDescent="0.25">
      <c r="B722" s="81" t="s">
        <v>277</v>
      </c>
      <c r="C722" s="36">
        <f>COUNTIFS(Datos!G:G,1,Datos!W:W,"Totalmente de acuerdo")</f>
        <v>4</v>
      </c>
      <c r="D722" s="39">
        <f>COUNTIFS(Datos!G:G,2,Datos!W:W,"Totalmente de acuerdo")</f>
        <v>12</v>
      </c>
      <c r="E722" s="49">
        <f>COUNTIFS(Datos!G:G,3,Datos!W:W,"Totalmente de acuerdo")</f>
        <v>7</v>
      </c>
      <c r="F722" s="63">
        <f>COUNTIFS(Datos!G:G,"&gt;3",Datos!W:W,"Totalmente de acuerdo")</f>
        <v>1</v>
      </c>
    </row>
    <row r="723" spans="2:6" x14ac:dyDescent="0.25">
      <c r="B723" s="82" t="s">
        <v>278</v>
      </c>
      <c r="C723" s="36">
        <f>COUNTIFS(Datos!G:G,1,Datos!W:W,"De acuerdo")</f>
        <v>16</v>
      </c>
      <c r="D723" s="39">
        <f>COUNTIFS(Datos!G:G,2,Datos!W:W,"De acuerdo")</f>
        <v>15</v>
      </c>
      <c r="E723" s="49">
        <f>COUNTIFS(Datos!G:G,3,Datos!W:W,"De acuerdo")</f>
        <v>3</v>
      </c>
      <c r="F723" s="63">
        <f>COUNTIFS(Datos!G:G,"&gt;3",Datos!W:W,"De acuerdo")</f>
        <v>1</v>
      </c>
    </row>
    <row r="724" spans="2:6" x14ac:dyDescent="0.25">
      <c r="B724" s="83" t="s">
        <v>24</v>
      </c>
      <c r="C724" s="41">
        <f>COUNTIFS(Datos!G:G,1,Datos!W:W,"Neutral")</f>
        <v>11</v>
      </c>
      <c r="D724" s="42">
        <f>COUNTIFS(Datos!G:G,2,Datos!W:W,"Neutral")</f>
        <v>12</v>
      </c>
      <c r="E724" s="49">
        <f>COUNTIFS(Datos!G:G,3,Datos!W:W,"Neutral")</f>
        <v>4</v>
      </c>
      <c r="F724" s="63">
        <f>COUNTIFS(Datos!G:G,"&gt;3",Datos!W:W,"Neutral")</f>
        <v>2</v>
      </c>
    </row>
    <row r="725" spans="2:6" x14ac:dyDescent="0.25">
      <c r="B725" s="84" t="s">
        <v>279</v>
      </c>
      <c r="C725" s="41">
        <f>COUNTIFS(Datos!G:G,1,Datos!W:W,"En desacuerdo")</f>
        <v>10</v>
      </c>
      <c r="D725" s="42">
        <f>COUNTIFS(Datos!G:G,2,Datos!W:W,"En desacuerdo")</f>
        <v>8</v>
      </c>
      <c r="E725" s="49">
        <f>COUNTIFS(Datos!G:G,3,Datos!W:W,"En desacuerdo")</f>
        <v>0</v>
      </c>
      <c r="F725" s="63">
        <f>COUNTIFS(Datos!G:G,"&gt;3",Datos!W:W,"En desacuerdo")</f>
        <v>1</v>
      </c>
    </row>
    <row r="726" spans="2:6" ht="15.75" thickBot="1" x14ac:dyDescent="0.3">
      <c r="B726" s="85" t="s">
        <v>280</v>
      </c>
      <c r="C726" s="37">
        <f>COUNTIFS(Datos!G:G,1,Datos!W:W,"Totalmente en desacuerdo")</f>
        <v>5</v>
      </c>
      <c r="D726" s="44">
        <f>COUNTIFS(Datos!G:G,2,Datos!W:W,"Totalmente en desacuerdo")</f>
        <v>4</v>
      </c>
      <c r="E726" s="49">
        <f>COUNTIFS(Datos!G:G,3,Datos!W:W,"Totalmente en desacuerdo")</f>
        <v>3</v>
      </c>
      <c r="F726" s="64">
        <f>COUNTIFS(Datos!G:G,"&gt;3",Datos!W:W,"Totalmente en desacuerdo")</f>
        <v>0</v>
      </c>
    </row>
    <row r="727" spans="2:6" x14ac:dyDescent="0.25">
      <c r="B727" s="48" t="s">
        <v>228</v>
      </c>
      <c r="C727" s="21">
        <f>SUM(C722:C726)</f>
        <v>46</v>
      </c>
      <c r="D727" s="50">
        <f>SUM(D722:D726)</f>
        <v>51</v>
      </c>
      <c r="E727" s="21">
        <f>SUM(E722:E726)</f>
        <v>17</v>
      </c>
      <c r="F727" s="22">
        <f>SUM(F722:F726)</f>
        <v>5</v>
      </c>
    </row>
    <row r="728" spans="2:6" ht="15.75" thickBot="1" x14ac:dyDescent="0.3">
      <c r="B728" s="43" t="s">
        <v>291</v>
      </c>
      <c r="C728" s="37">
        <f>SUM(C727:F727)</f>
        <v>119</v>
      </c>
      <c r="D728" s="44"/>
      <c r="E728" s="37"/>
      <c r="F728" s="34"/>
    </row>
    <row r="730" spans="2:6" ht="15.75" thickBot="1" x14ac:dyDescent="0.3"/>
    <row r="731" spans="2:6" x14ac:dyDescent="0.25">
      <c r="B731" s="108" t="s">
        <v>325</v>
      </c>
      <c r="C731" s="109"/>
      <c r="D731" s="109"/>
      <c r="E731" s="109"/>
      <c r="F731" s="110"/>
    </row>
    <row r="732" spans="2:6" x14ac:dyDescent="0.25">
      <c r="B732" s="17" t="s">
        <v>312</v>
      </c>
      <c r="C732" s="18" t="s">
        <v>236</v>
      </c>
      <c r="D732" s="20" t="s">
        <v>237</v>
      </c>
      <c r="E732" s="18" t="s">
        <v>238</v>
      </c>
      <c r="F732" s="19" t="s">
        <v>239</v>
      </c>
    </row>
    <row r="733" spans="2:6" x14ac:dyDescent="0.25">
      <c r="B733" s="81" t="s">
        <v>277</v>
      </c>
      <c r="C733" s="51">
        <f>C722/C$727</f>
        <v>8.6956521739130432E-2</v>
      </c>
      <c r="D733" s="51">
        <f t="shared" ref="D733:F733" si="33">D722/D$727</f>
        <v>0.23529411764705882</v>
      </c>
      <c r="E733" s="51">
        <f t="shared" si="33"/>
        <v>0.41176470588235292</v>
      </c>
      <c r="F733" s="40">
        <f t="shared" si="33"/>
        <v>0.2</v>
      </c>
    </row>
    <row r="734" spans="2:6" x14ac:dyDescent="0.25">
      <c r="B734" s="82" t="s">
        <v>278</v>
      </c>
      <c r="C734" s="51">
        <f t="shared" ref="C734:F737" si="34">C723/C$727</f>
        <v>0.34782608695652173</v>
      </c>
      <c r="D734" s="51">
        <f t="shared" si="34"/>
        <v>0.29411764705882354</v>
      </c>
      <c r="E734" s="51">
        <f t="shared" si="34"/>
        <v>0.17647058823529413</v>
      </c>
      <c r="F734" s="40">
        <f t="shared" si="34"/>
        <v>0.2</v>
      </c>
    </row>
    <row r="735" spans="2:6" x14ac:dyDescent="0.25">
      <c r="B735" s="83" t="s">
        <v>24</v>
      </c>
      <c r="C735" s="51">
        <f t="shared" si="34"/>
        <v>0.2391304347826087</v>
      </c>
      <c r="D735" s="51">
        <f t="shared" si="34"/>
        <v>0.23529411764705882</v>
      </c>
      <c r="E735" s="51">
        <f t="shared" si="34"/>
        <v>0.23529411764705882</v>
      </c>
      <c r="F735" s="40">
        <f t="shared" si="34"/>
        <v>0.4</v>
      </c>
    </row>
    <row r="736" spans="2:6" x14ac:dyDescent="0.25">
      <c r="B736" s="84" t="s">
        <v>279</v>
      </c>
      <c r="C736" s="51">
        <f t="shared" si="34"/>
        <v>0.21739130434782608</v>
      </c>
      <c r="D736" s="51">
        <f t="shared" si="34"/>
        <v>0.15686274509803921</v>
      </c>
      <c r="E736" s="51">
        <f t="shared" si="34"/>
        <v>0</v>
      </c>
      <c r="F736" s="40">
        <f t="shared" si="34"/>
        <v>0.2</v>
      </c>
    </row>
    <row r="737" spans="2:6" ht="15.75" thickBot="1" x14ac:dyDescent="0.3">
      <c r="B737" s="85" t="s">
        <v>280</v>
      </c>
      <c r="C737" s="52">
        <f t="shared" si="34"/>
        <v>0.10869565217391304</v>
      </c>
      <c r="D737" s="52">
        <f t="shared" si="34"/>
        <v>7.8431372549019607E-2</v>
      </c>
      <c r="E737" s="52">
        <f t="shared" si="34"/>
        <v>0.17647058823529413</v>
      </c>
      <c r="F737" s="53">
        <f t="shared" si="34"/>
        <v>0</v>
      </c>
    </row>
    <row r="738" spans="2:6" ht="15.75" thickBot="1" x14ac:dyDescent="0.3"/>
    <row r="739" spans="2:6" x14ac:dyDescent="0.25">
      <c r="C739" s="91" t="s">
        <v>236</v>
      </c>
      <c r="D739" s="88">
        <f>SUM(C733:C734)</f>
        <v>0.43478260869565216</v>
      </c>
    </row>
    <row r="740" spans="2:6" x14ac:dyDescent="0.25">
      <c r="C740" s="17" t="s">
        <v>237</v>
      </c>
      <c r="D740" s="40">
        <f>SUM(D733:D734)</f>
        <v>0.52941176470588236</v>
      </c>
    </row>
    <row r="741" spans="2:6" x14ac:dyDescent="0.25">
      <c r="C741" s="17" t="s">
        <v>238</v>
      </c>
      <c r="D741" s="40">
        <f>SUM(E733:E734)</f>
        <v>0.58823529411764708</v>
      </c>
    </row>
    <row r="742" spans="2:6" ht="15.75" thickBot="1" x14ac:dyDescent="0.3">
      <c r="C742" s="92" t="s">
        <v>239</v>
      </c>
      <c r="D742" s="53">
        <f>SUM(F733:F734)</f>
        <v>0.4</v>
      </c>
    </row>
    <row r="749" spans="2:6" ht="15.75" thickBot="1" x14ac:dyDescent="0.3"/>
    <row r="750" spans="2:6" x14ac:dyDescent="0.25">
      <c r="C750" s="99" t="s">
        <v>326</v>
      </c>
      <c r="D750" s="100"/>
    </row>
    <row r="751" spans="2:6" x14ac:dyDescent="0.25">
      <c r="C751" s="8" t="s">
        <v>277</v>
      </c>
      <c r="D751" s="9">
        <f>COUNTIFS(Datos!H:H,"Excelente", Datos!W:W,"Totalmente de acuerdo") + COUNTIFS(Datos!H:H,"Muy bueno", Datos!W:W,"Totalmente de acuerdo")</f>
        <v>8</v>
      </c>
    </row>
    <row r="752" spans="2:6" x14ac:dyDescent="0.25">
      <c r="C752" s="8" t="s">
        <v>278</v>
      </c>
      <c r="D752" s="9">
        <f>COUNTIFS(Datos!H:H,"Excelente", Datos!W:W,"De acuerdo") + COUNTIFS(Datos!H:H,"Muy bueno", Datos!W:W,"De acuerdo")</f>
        <v>9</v>
      </c>
    </row>
    <row r="753" spans="3:4" x14ac:dyDescent="0.25">
      <c r="C753" s="8" t="s">
        <v>24</v>
      </c>
      <c r="D753" s="9">
        <f>COUNTIFS(Datos!H:H,"Excelente", Datos!W:W,"Neutral") + COUNTIFS(Datos!H:H,"Muy bueno", Datos!W:W,"Neutral")</f>
        <v>8</v>
      </c>
    </row>
    <row r="754" spans="3:4" x14ac:dyDescent="0.25">
      <c r="C754" s="8" t="s">
        <v>279</v>
      </c>
      <c r="D754" s="9">
        <f>COUNTIFS(Datos!H:H,"Excelente", Datos!W:W,"En desacuerdo") + COUNTIFS(Datos!H:H,"Muy bueno", Datos!W:W,"En desacuerdo")</f>
        <v>5</v>
      </c>
    </row>
    <row r="755" spans="3:4" ht="15.75" thickBot="1" x14ac:dyDescent="0.3">
      <c r="C755" s="33" t="s">
        <v>280</v>
      </c>
      <c r="D755" s="34">
        <f>COUNTIFS(Datos!H:H,"Excelente", Datos!W:W,"Totalmente en desacuerdo") + COUNTIFS(Datos!H:H,"Muy bueno", Datos!W:W,"Totalmente en desacuerdo")</f>
        <v>4</v>
      </c>
    </row>
    <row r="756" spans="3:4" ht="15.75" thickBot="1" x14ac:dyDescent="0.3">
      <c r="C756" s="72" t="s">
        <v>228</v>
      </c>
      <c r="D756" s="16">
        <f>SUM(D751:D755)</f>
        <v>34</v>
      </c>
    </row>
  </sheetData>
  <mergeCells count="50">
    <mergeCell ref="C7:D7"/>
    <mergeCell ref="B675:F675"/>
    <mergeCell ref="B686:F686"/>
    <mergeCell ref="B720:F720"/>
    <mergeCell ref="B731:F731"/>
    <mergeCell ref="C705:D705"/>
    <mergeCell ref="C24:D24"/>
    <mergeCell ref="B237:F237"/>
    <mergeCell ref="B190:E190"/>
    <mergeCell ref="B208:F208"/>
    <mergeCell ref="B226:F226"/>
    <mergeCell ref="C117:D117"/>
    <mergeCell ref="C133:D133"/>
    <mergeCell ref="C153:D153"/>
    <mergeCell ref="C171:D171"/>
    <mergeCell ref="C67:D67"/>
    <mergeCell ref="C82:D82"/>
    <mergeCell ref="C99:D99"/>
    <mergeCell ref="C44:D44"/>
    <mergeCell ref="B396:F396"/>
    <mergeCell ref="B415:F415"/>
    <mergeCell ref="C378:D378"/>
    <mergeCell ref="B253:G253"/>
    <mergeCell ref="B262:G262"/>
    <mergeCell ref="B276:F276"/>
    <mergeCell ref="B291:F291"/>
    <mergeCell ref="B302:F302"/>
    <mergeCell ref="B316:E316"/>
    <mergeCell ref="B334:F334"/>
    <mergeCell ref="B352:F352"/>
    <mergeCell ref="B363:F363"/>
    <mergeCell ref="B534:F534"/>
    <mergeCell ref="C544:D544"/>
    <mergeCell ref="B472:F472"/>
    <mergeCell ref="C482:D482"/>
    <mergeCell ref="B492:F492"/>
    <mergeCell ref="C502:D502"/>
    <mergeCell ref="C434:D434"/>
    <mergeCell ref="C453:D453"/>
    <mergeCell ref="C460:C461"/>
    <mergeCell ref="B514:F514"/>
    <mergeCell ref="C524:D524"/>
    <mergeCell ref="C750:D750"/>
    <mergeCell ref="C625:D625"/>
    <mergeCell ref="C644:D644"/>
    <mergeCell ref="C659:D659"/>
    <mergeCell ref="C555:D555"/>
    <mergeCell ref="C573:D573"/>
    <mergeCell ref="C590:D590"/>
    <mergeCell ref="C607:D607"/>
  </mergeCells>
  <pageMargins left="0.7" right="0.7" top="0.75" bottom="0.75" header="0.3" footer="0.3"/>
  <pageSetup orientation="portrait" r:id="rId1"/>
  <ignoredErrors>
    <ignoredError sqref="C193 C22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</vt:lpstr>
      <vt:lpstr>Preguntas</vt:lpstr>
      <vt:lpstr>Gráficas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Pedro Estévez</cp:lastModifiedBy>
  <dcterms:created xsi:type="dcterms:W3CDTF">2021-04-22T12:46:38Z</dcterms:created>
  <dcterms:modified xsi:type="dcterms:W3CDTF">2021-05-02T17:36:44Z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