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silvi\Desktop\"/>
    </mc:Choice>
  </mc:AlternateContent>
  <xr:revisionPtr revIDLastSave="0" documentId="13_ncr:1_{4F873F8C-0813-491D-A61C-36841EB81612}" xr6:coauthVersionLast="47" xr6:coauthVersionMax="47" xr10:uidLastSave="{00000000-0000-0000-0000-000000000000}"/>
  <bookViews>
    <workbookView xWindow="-108" yWindow="-108" windowWidth="23256" windowHeight="12456" activeTab="3" xr2:uid="{00000000-000D-0000-FFFF-FFFF00000000}"/>
  </bookViews>
  <sheets>
    <sheet name="Task" sheetId="1" r:id="rId1"/>
    <sheet name="Ratios" sheetId="9" r:id="rId2"/>
    <sheet name="Invesment" sheetId="2" r:id="rId3"/>
    <sheet name="Income Statement - FACTORY" sheetId="3" r:id="rId4"/>
    <sheet name="Balance sheet - FACTORY" sheetId="4" r:id="rId5"/>
    <sheet name="Cash flows - FACTORY" sheetId="5" r:id="rId6"/>
    <sheet name="Income Statement - PRODUCT" sheetId="6" r:id="rId7"/>
    <sheet name="Balance sheet - PRODUCT" sheetId="7" r:id="rId8"/>
    <sheet name="Cash flows - PRODUCT" sheetId="8" r:id="rId9"/>
  </sheets>
  <definedNames>
    <definedName name="ats" localSheetId="4">#REF!</definedName>
    <definedName name="ats" localSheetId="7">#REF!</definedName>
    <definedName name="ats" localSheetId="5">#REF!</definedName>
    <definedName name="ats" localSheetId="8">#REF!</definedName>
    <definedName name="ats" localSheetId="3">#REF!</definedName>
    <definedName name="ats" localSheetId="6">#REF!</definedName>
    <definedName name="ats">#REF!</definedName>
    <definedName name="Atsargos_t" localSheetId="4">#REF!</definedName>
    <definedName name="Atsargos_t" localSheetId="7">#REF!</definedName>
    <definedName name="Atsargos_t" localSheetId="5">#REF!</definedName>
    <definedName name="Atsargos_t" localSheetId="8">#REF!</definedName>
    <definedName name="Atsargos_t" localSheetId="3">#REF!</definedName>
    <definedName name="Atsargos_t" localSheetId="6">#REF!</definedName>
    <definedName name="Atsargos_t">#REF!</definedName>
    <definedName name="BE_Fixed">#REF!</definedName>
    <definedName name="BE_Revenue">#REF!</definedName>
    <definedName name="BE_Total">#REF!</definedName>
    <definedName name="BE_Variable">#REF!</definedName>
    <definedName name="Contribution_margin">#REF!</definedName>
    <definedName name="Derlingumas">#REF!</definedName>
    <definedName name="Derlius">#REF!</definedName>
    <definedName name="Fixed_expenses">#REF!</definedName>
    <definedName name="Išlaidos_Lt">#REF!</definedName>
    <definedName name="Išlaikymo_nuostoliai">#REF!</definedName>
    <definedName name="Kainos">#REF!</definedName>
    <definedName name="korekcijos_faktor">#REF!</definedName>
    <definedName name="korekcijos_faktor2">#REF!</definedName>
    <definedName name="Pardavimai_Lt">#REF!</definedName>
    <definedName name="Pardavimai_užskaitoma">#REF!</definedName>
    <definedName name="Parduota_natūra">#REF!</definedName>
    <definedName name="Pirkta_produkcija">#REF!</definedName>
    <definedName name="Plotas">#REF!</definedName>
    <definedName name="Revenue_increments" localSheetId="4">#REF!</definedName>
    <definedName name="Revenue_increments" localSheetId="7">#REF!</definedName>
    <definedName name="Revenue_increments" localSheetId="5">#REF!</definedName>
    <definedName name="Revenue_increments" localSheetId="8">#REF!</definedName>
    <definedName name="Revenue_increments" localSheetId="3">#REF!</definedName>
    <definedName name="Revenue_increments" localSheetId="6">#REF!</definedName>
    <definedName name="Revenue_increments">#REF!</definedName>
    <definedName name="Suvartota_pašarams">#REF!</definedName>
    <definedName name="Suvartota_sėklai">#REF!</definedName>
    <definedName name="Table_Fixed">#REF!</definedName>
    <definedName name="Table_Revenue">#REF!</definedName>
    <definedName name="Table_total">#REF!</definedName>
    <definedName name="Table_Variabl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3" roundtripDataSignature="AMtx7mg9pYRKJHET/EfQAlceMYnAl65ygA=="/>
    </ext>
  </extLst>
</workbook>
</file>

<file path=xl/calcChain.xml><?xml version="1.0" encoding="utf-8"?>
<calcChain xmlns="http://schemas.openxmlformats.org/spreadsheetml/2006/main">
  <c r="F59" i="3" l="1"/>
  <c r="F61" i="3"/>
  <c r="N11" i="9" l="1"/>
  <c r="B11" i="9"/>
  <c r="K12" i="9"/>
  <c r="H12" i="9" s="1"/>
  <c r="I12" i="9" s="1"/>
  <c r="J12" i="9" s="1"/>
  <c r="E76" i="6"/>
  <c r="N25" i="9" s="1"/>
  <c r="D76" i="6"/>
  <c r="E75" i="3"/>
  <c r="B25" i="9" s="1"/>
  <c r="D75" i="3"/>
  <c r="N23" i="9"/>
  <c r="B23" i="9"/>
  <c r="N21" i="9"/>
  <c r="B21" i="9"/>
  <c r="N18" i="9"/>
  <c r="B18" i="9"/>
  <c r="N16" i="9"/>
  <c r="B16" i="9"/>
  <c r="K7" i="9"/>
  <c r="H7" i="9" s="1"/>
  <c r="I7" i="9" s="1"/>
  <c r="J7" i="9" s="1"/>
  <c r="K9" i="9"/>
  <c r="H9" i="9" s="1"/>
  <c r="I9" i="9" s="1"/>
  <c r="J9" i="9" s="1"/>
  <c r="K14" i="9"/>
  <c r="H14" i="9" s="1"/>
  <c r="I14" i="9" s="1"/>
  <c r="J14" i="9" s="1"/>
  <c r="K17" i="9"/>
  <c r="T17" i="9" s="1"/>
  <c r="U17" i="9" s="1"/>
  <c r="V17" i="9" s="1"/>
  <c r="K19" i="9"/>
  <c r="T19" i="9" s="1"/>
  <c r="U19" i="9" s="1"/>
  <c r="V19" i="9" s="1"/>
  <c r="K22" i="9"/>
  <c r="H22" i="9" s="1"/>
  <c r="I22" i="9" s="1"/>
  <c r="J22" i="9" s="1"/>
  <c r="K24" i="9"/>
  <c r="H24" i="9" s="1"/>
  <c r="I24" i="9" s="1"/>
  <c r="J24" i="9" s="1"/>
  <c r="K26" i="9"/>
  <c r="H26" i="9" s="1"/>
  <c r="I26" i="9" s="1"/>
  <c r="J26" i="9" s="1"/>
  <c r="K5" i="9"/>
  <c r="H5" i="9" s="1"/>
  <c r="I5" i="9" s="1"/>
  <c r="J5" i="9" s="1"/>
  <c r="M26" i="9"/>
  <c r="M24" i="9"/>
  <c r="M22" i="9"/>
  <c r="M19" i="9"/>
  <c r="M17" i="9"/>
  <c r="M14" i="9"/>
  <c r="A26" i="9"/>
  <c r="A24" i="9"/>
  <c r="A22" i="9"/>
  <c r="A19" i="9"/>
  <c r="A17" i="9"/>
  <c r="A14" i="9"/>
  <c r="M9" i="9"/>
  <c r="M7" i="9"/>
  <c r="M5" i="9"/>
  <c r="A9" i="9"/>
  <c r="A7" i="9"/>
  <c r="A5" i="9"/>
  <c r="D6" i="8"/>
  <c r="C6" i="8"/>
  <c r="C5" i="8" s="1"/>
  <c r="E58" i="7"/>
  <c r="F58" i="7" s="1"/>
  <c r="G58" i="7" s="1"/>
  <c r="H58" i="7" s="1"/>
  <c r="I58" i="7" s="1"/>
  <c r="J58" i="7" s="1"/>
  <c r="K58" i="7" s="1"/>
  <c r="L58" i="7" s="1"/>
  <c r="E17" i="7"/>
  <c r="E17" i="8" s="1"/>
  <c r="J15" i="7"/>
  <c r="K15" i="7"/>
  <c r="L15" i="7"/>
  <c r="E15" i="7"/>
  <c r="L14" i="7"/>
  <c r="E31" i="6"/>
  <c r="O92" i="6"/>
  <c r="K92" i="6" s="1"/>
  <c r="O94" i="6"/>
  <c r="F93" i="6" s="1"/>
  <c r="G93" i="6" s="1"/>
  <c r="H93" i="6" s="1"/>
  <c r="I93" i="6" s="1"/>
  <c r="J93" i="6" s="1"/>
  <c r="K93" i="6" s="1"/>
  <c r="L93" i="6" s="1"/>
  <c r="K14" i="7" s="1"/>
  <c r="O96" i="6"/>
  <c r="F95" i="6" s="1"/>
  <c r="G95" i="6" s="1"/>
  <c r="H95" i="6" s="1"/>
  <c r="I95" i="6" s="1"/>
  <c r="I15" i="7" s="1"/>
  <c r="O90" i="6"/>
  <c r="H90" i="6" s="1"/>
  <c r="G59" i="6"/>
  <c r="H59" i="6"/>
  <c r="I59" i="6"/>
  <c r="J59" i="6"/>
  <c r="K59" i="6"/>
  <c r="L59" i="6"/>
  <c r="M59" i="6"/>
  <c r="J81" i="6"/>
  <c r="J17" i="6" s="1"/>
  <c r="I81" i="6"/>
  <c r="I17" i="6" s="1"/>
  <c r="G81" i="6"/>
  <c r="G17" i="6" s="1"/>
  <c r="H81" i="6"/>
  <c r="H17" i="6" s="1"/>
  <c r="F81" i="6"/>
  <c r="F17" i="6" s="1"/>
  <c r="F79" i="6"/>
  <c r="G79" i="6"/>
  <c r="G61" i="6"/>
  <c r="H61" i="6"/>
  <c r="F61" i="6"/>
  <c r="F6" i="6"/>
  <c r="E6" i="8" s="1"/>
  <c r="E5" i="8" s="1"/>
  <c r="E11" i="8" s="1"/>
  <c r="D26" i="8"/>
  <c r="C26" i="8"/>
  <c r="D18" i="8"/>
  <c r="C18" i="8"/>
  <c r="D8" i="8"/>
  <c r="C8" i="8"/>
  <c r="F7" i="8"/>
  <c r="G7" i="8" s="1"/>
  <c r="H7" i="8" s="1"/>
  <c r="D7" i="8"/>
  <c r="L118" i="7"/>
  <c r="K118" i="7"/>
  <c r="J118" i="7"/>
  <c r="I118" i="7"/>
  <c r="H118" i="7"/>
  <c r="G118" i="7"/>
  <c r="F118" i="7"/>
  <c r="E118" i="7"/>
  <c r="L117" i="7"/>
  <c r="K117" i="7"/>
  <c r="J117" i="7"/>
  <c r="I117" i="7"/>
  <c r="H117" i="7"/>
  <c r="G117" i="7"/>
  <c r="F117" i="7"/>
  <c r="E117" i="7"/>
  <c r="L112" i="7"/>
  <c r="K112" i="7"/>
  <c r="J112" i="7"/>
  <c r="I112" i="7"/>
  <c r="H112" i="7"/>
  <c r="G112" i="7"/>
  <c r="F112" i="7"/>
  <c r="E112" i="7"/>
  <c r="L105" i="7"/>
  <c r="K105" i="7"/>
  <c r="J105" i="7"/>
  <c r="I105" i="7"/>
  <c r="H105" i="7"/>
  <c r="G105" i="7"/>
  <c r="F105" i="7"/>
  <c r="E105" i="7"/>
  <c r="L104" i="7"/>
  <c r="K104" i="7"/>
  <c r="J104" i="7"/>
  <c r="I104" i="7"/>
  <c r="H104" i="7"/>
  <c r="G104" i="7"/>
  <c r="F104" i="7"/>
  <c r="E104" i="7"/>
  <c r="L90" i="7"/>
  <c r="K90" i="7"/>
  <c r="J90" i="7"/>
  <c r="I90" i="7"/>
  <c r="H90" i="7"/>
  <c r="G90" i="7"/>
  <c r="F90" i="7"/>
  <c r="E90" i="7"/>
  <c r="L89" i="7"/>
  <c r="K89" i="7"/>
  <c r="J89" i="7"/>
  <c r="I89" i="7"/>
  <c r="H89" i="7"/>
  <c r="G89" i="7"/>
  <c r="F89" i="7"/>
  <c r="E89" i="7"/>
  <c r="M55" i="7"/>
  <c r="L40" i="7"/>
  <c r="K40" i="7"/>
  <c r="J40" i="7"/>
  <c r="I40" i="7"/>
  <c r="H40" i="7"/>
  <c r="G40" i="7"/>
  <c r="F40" i="7"/>
  <c r="E40" i="7"/>
  <c r="L35" i="7"/>
  <c r="K35" i="7"/>
  <c r="J35" i="7"/>
  <c r="I35" i="7"/>
  <c r="H35" i="7"/>
  <c r="G35" i="7"/>
  <c r="F35" i="7"/>
  <c r="E35" i="7"/>
  <c r="I79" i="6"/>
  <c r="H79" i="6"/>
  <c r="K78" i="6"/>
  <c r="J79" i="6" s="1"/>
  <c r="E68" i="6"/>
  <c r="D68" i="6"/>
  <c r="E67" i="6"/>
  <c r="L67" i="6" s="1"/>
  <c r="D67" i="6"/>
  <c r="E64" i="6"/>
  <c r="G64" i="6" s="1"/>
  <c r="D64" i="6"/>
  <c r="D63" i="6" s="1"/>
  <c r="C61" i="6"/>
  <c r="F59" i="6"/>
  <c r="E57" i="6"/>
  <c r="E51" i="6" s="1"/>
  <c r="D57" i="6"/>
  <c r="D51" i="6" s="1"/>
  <c r="E56" i="6"/>
  <c r="M56" i="6" s="1"/>
  <c r="D56" i="6"/>
  <c r="C56" i="6"/>
  <c r="E50" i="6"/>
  <c r="D50" i="6"/>
  <c r="M49" i="6"/>
  <c r="L49" i="6"/>
  <c r="K49" i="6"/>
  <c r="J49" i="6"/>
  <c r="I49" i="6"/>
  <c r="H49" i="6"/>
  <c r="G49" i="6"/>
  <c r="F49" i="6"/>
  <c r="C49" i="6"/>
  <c r="M46" i="6"/>
  <c r="L46" i="6"/>
  <c r="K46" i="6"/>
  <c r="J46" i="6"/>
  <c r="I46" i="6"/>
  <c r="H46" i="6"/>
  <c r="G46" i="6"/>
  <c r="F46" i="6"/>
  <c r="C46" i="6"/>
  <c r="D31" i="6"/>
  <c r="E30" i="6"/>
  <c r="D30" i="6"/>
  <c r="E27" i="6"/>
  <c r="E26" i="6" s="1"/>
  <c r="D27" i="6"/>
  <c r="D26" i="6" s="1"/>
  <c r="E20" i="6"/>
  <c r="E14" i="6" s="1"/>
  <c r="D20" i="6"/>
  <c r="D14" i="6" s="1"/>
  <c r="E19" i="6"/>
  <c r="D19" i="6"/>
  <c r="E13" i="6"/>
  <c r="N6" i="9" s="1"/>
  <c r="D13" i="6"/>
  <c r="F43" i="3"/>
  <c r="F6" i="3" s="1"/>
  <c r="D7" i="5"/>
  <c r="D6" i="5"/>
  <c r="I13" i="4"/>
  <c r="J13" i="4"/>
  <c r="K13" i="4"/>
  <c r="L13" i="4"/>
  <c r="E144" i="4"/>
  <c r="D18" i="5"/>
  <c r="G17" i="5"/>
  <c r="J17" i="5"/>
  <c r="K17" i="5"/>
  <c r="D8" i="5"/>
  <c r="E19" i="3"/>
  <c r="C6" i="5"/>
  <c r="C5" i="5" s="1"/>
  <c r="C8" i="5"/>
  <c r="F7" i="5"/>
  <c r="G7" i="5" s="1"/>
  <c r="F118" i="4"/>
  <c r="G118" i="4"/>
  <c r="H118" i="4"/>
  <c r="I118" i="4"/>
  <c r="J118" i="4"/>
  <c r="K118" i="4"/>
  <c r="L118" i="4"/>
  <c r="E118" i="4"/>
  <c r="E112" i="4"/>
  <c r="F112" i="4"/>
  <c r="G112" i="4"/>
  <c r="H112" i="4"/>
  <c r="I112" i="4"/>
  <c r="J112" i="4"/>
  <c r="K112" i="4"/>
  <c r="L112" i="4"/>
  <c r="M55" i="4"/>
  <c r="K144" i="4"/>
  <c r="L144" i="4"/>
  <c r="L142" i="4"/>
  <c r="L51" i="4" s="1"/>
  <c r="J152" i="4"/>
  <c r="J144" i="4" s="1"/>
  <c r="F117" i="4"/>
  <c r="G117" i="4"/>
  <c r="H117" i="4"/>
  <c r="I117" i="4"/>
  <c r="J117" i="4"/>
  <c r="K117" i="4"/>
  <c r="L117" i="4"/>
  <c r="E117" i="4"/>
  <c r="F104" i="4"/>
  <c r="G104" i="4"/>
  <c r="H104" i="4"/>
  <c r="I104" i="4"/>
  <c r="J104" i="4"/>
  <c r="K104" i="4"/>
  <c r="L104" i="4"/>
  <c r="F105" i="4"/>
  <c r="G105" i="4"/>
  <c r="H105" i="4"/>
  <c r="I105" i="4"/>
  <c r="J105" i="4"/>
  <c r="K105" i="4"/>
  <c r="L105" i="4"/>
  <c r="E105" i="4"/>
  <c r="E104" i="4"/>
  <c r="F40" i="4"/>
  <c r="G40" i="4"/>
  <c r="H40" i="4"/>
  <c r="I40" i="4"/>
  <c r="J40" i="4"/>
  <c r="K40" i="4"/>
  <c r="L40" i="4"/>
  <c r="E40" i="4"/>
  <c r="F35" i="4"/>
  <c r="G35" i="4"/>
  <c r="H35" i="4"/>
  <c r="I35" i="4"/>
  <c r="J35" i="4"/>
  <c r="K35" i="4"/>
  <c r="L35" i="4"/>
  <c r="E35" i="4"/>
  <c r="E17" i="4"/>
  <c r="F17" i="4" s="1"/>
  <c r="G17" i="4" s="1"/>
  <c r="H17" i="4" s="1"/>
  <c r="I17" i="4" s="1"/>
  <c r="J17" i="4" s="1"/>
  <c r="K17" i="4" s="1"/>
  <c r="L17" i="4" s="1"/>
  <c r="L17" i="5" s="1"/>
  <c r="E9" i="4"/>
  <c r="E6" i="4" s="1"/>
  <c r="I15" i="4"/>
  <c r="J15" i="4"/>
  <c r="K15" i="4"/>
  <c r="L15" i="4"/>
  <c r="I14" i="4"/>
  <c r="J14" i="4"/>
  <c r="K14" i="4"/>
  <c r="L14" i="4"/>
  <c r="D136" i="4"/>
  <c r="E137" i="4" s="1"/>
  <c r="E136" i="4" s="1"/>
  <c r="D134" i="4"/>
  <c r="E135" i="4" s="1"/>
  <c r="D132" i="4"/>
  <c r="K133" i="4" s="1"/>
  <c r="D130" i="4"/>
  <c r="F131" i="4" s="1"/>
  <c r="F90" i="4"/>
  <c r="G90" i="4"/>
  <c r="H90" i="4"/>
  <c r="I90" i="4"/>
  <c r="J90" i="4"/>
  <c r="K90" i="4"/>
  <c r="L90" i="4"/>
  <c r="E90" i="4"/>
  <c r="E89" i="4"/>
  <c r="F89" i="4"/>
  <c r="G89" i="4"/>
  <c r="H89" i="4"/>
  <c r="I89" i="4"/>
  <c r="J89" i="4"/>
  <c r="K89" i="4"/>
  <c r="L89" i="4"/>
  <c r="G58" i="3"/>
  <c r="H58" i="3"/>
  <c r="I58" i="3"/>
  <c r="J58" i="3"/>
  <c r="K58" i="3"/>
  <c r="L58" i="3"/>
  <c r="M58" i="3"/>
  <c r="F58" i="3"/>
  <c r="E31" i="3"/>
  <c r="D30" i="3"/>
  <c r="E30" i="3"/>
  <c r="E64" i="3"/>
  <c r="G64" i="3" s="1"/>
  <c r="D64" i="3"/>
  <c r="E27" i="3"/>
  <c r="J87" i="3"/>
  <c r="K87" i="3"/>
  <c r="L87" i="3"/>
  <c r="M87" i="3"/>
  <c r="D27" i="3"/>
  <c r="E20" i="3"/>
  <c r="E14" i="3" s="1"/>
  <c r="D19" i="3"/>
  <c r="E13" i="3"/>
  <c r="E25" i="3" s="1"/>
  <c r="B4" i="9" s="1"/>
  <c r="D13" i="3"/>
  <c r="G61" i="3"/>
  <c r="G59" i="3"/>
  <c r="I80" i="3"/>
  <c r="I47" i="3" s="1"/>
  <c r="I10" i="3" s="1"/>
  <c r="J80" i="3"/>
  <c r="J47" i="3" s="1"/>
  <c r="J10" i="3" s="1"/>
  <c r="H80" i="3"/>
  <c r="H47" i="3" s="1"/>
  <c r="H10" i="3" s="1"/>
  <c r="K77" i="3"/>
  <c r="K80" i="3" s="1"/>
  <c r="K47" i="3" s="1"/>
  <c r="K10" i="3" s="1"/>
  <c r="I78" i="3"/>
  <c r="H78" i="3"/>
  <c r="F9" i="4" l="1"/>
  <c r="G9" i="4" s="1"/>
  <c r="G6" i="4" s="1"/>
  <c r="B6" i="9"/>
  <c r="T26" i="9"/>
  <c r="U26" i="9" s="1"/>
  <c r="V26" i="9" s="1"/>
  <c r="C13" i="8"/>
  <c r="C28" i="8" s="1"/>
  <c r="C30" i="8" s="1"/>
  <c r="D29" i="8" s="1"/>
  <c r="D5" i="8"/>
  <c r="D13" i="8" s="1"/>
  <c r="D28" i="8" s="1"/>
  <c r="D5" i="5"/>
  <c r="D13" i="5" s="1"/>
  <c r="F21" i="3"/>
  <c r="H17" i="9"/>
  <c r="I17" i="9" s="1"/>
  <c r="J17" i="9" s="1"/>
  <c r="H19" i="9"/>
  <c r="T22" i="9"/>
  <c r="U22" i="9" s="1"/>
  <c r="V22" i="9" s="1"/>
  <c r="T24" i="9"/>
  <c r="U24" i="9" s="1"/>
  <c r="V24" i="9" s="1"/>
  <c r="T14" i="9"/>
  <c r="U14" i="9" s="1"/>
  <c r="V14" i="9" s="1"/>
  <c r="H9" i="4"/>
  <c r="I9" i="4" s="1"/>
  <c r="J9" i="4" s="1"/>
  <c r="K9" i="4" s="1"/>
  <c r="L9" i="4" s="1"/>
  <c r="L6" i="4" s="1"/>
  <c r="I87" i="7"/>
  <c r="I83" i="7"/>
  <c r="L87" i="4"/>
  <c r="K83" i="4"/>
  <c r="F83" i="4"/>
  <c r="I83" i="4"/>
  <c r="K87" i="4"/>
  <c r="H87" i="7"/>
  <c r="H83" i="7"/>
  <c r="E87" i="4"/>
  <c r="L83" i="4"/>
  <c r="E6" i="5"/>
  <c r="E5" i="5" s="1"/>
  <c r="G87" i="7"/>
  <c r="G83" i="7"/>
  <c r="F87" i="4"/>
  <c r="E83" i="4"/>
  <c r="G87" i="4"/>
  <c r="F87" i="7"/>
  <c r="F83" i="7"/>
  <c r="J83" i="4"/>
  <c r="E87" i="7"/>
  <c r="E26" i="7" s="1"/>
  <c r="E83" i="7"/>
  <c r="E22" i="7" s="1"/>
  <c r="H87" i="4"/>
  <c r="G83" i="4"/>
  <c r="L87" i="7"/>
  <c r="L83" i="7"/>
  <c r="I87" i="4"/>
  <c r="H83" i="4"/>
  <c r="K87" i="7"/>
  <c r="J87" i="4"/>
  <c r="K83" i="7"/>
  <c r="J87" i="7"/>
  <c r="J83" i="7"/>
  <c r="I17" i="5"/>
  <c r="H17" i="5"/>
  <c r="F17" i="5"/>
  <c r="E28" i="4"/>
  <c r="E29" i="4"/>
  <c r="E17" i="5"/>
  <c r="E134" i="4"/>
  <c r="E14" i="4" s="1"/>
  <c r="F17" i="7"/>
  <c r="E28" i="7"/>
  <c r="E29" i="7"/>
  <c r="J14" i="7"/>
  <c r="E9" i="7"/>
  <c r="E6" i="7" s="1"/>
  <c r="I14" i="7"/>
  <c r="E14" i="7"/>
  <c r="K81" i="6"/>
  <c r="K17" i="6" s="1"/>
  <c r="H14" i="7"/>
  <c r="H15" i="7"/>
  <c r="G14" i="7"/>
  <c r="G15" i="7"/>
  <c r="F14" i="7"/>
  <c r="F15" i="7"/>
  <c r="D62" i="6"/>
  <c r="L78" i="6"/>
  <c r="L81" i="6" s="1"/>
  <c r="L17" i="6" s="1"/>
  <c r="F9" i="7"/>
  <c r="F89" i="6"/>
  <c r="D29" i="6"/>
  <c r="E92" i="6"/>
  <c r="F91" i="6"/>
  <c r="L92" i="6"/>
  <c r="J92" i="6"/>
  <c r="H92" i="6"/>
  <c r="G94" i="6"/>
  <c r="E29" i="6"/>
  <c r="D66" i="6"/>
  <c r="I92" i="6"/>
  <c r="K94" i="6"/>
  <c r="F9" i="6"/>
  <c r="M90" i="6"/>
  <c r="I94" i="6"/>
  <c r="G90" i="6"/>
  <c r="H94" i="6"/>
  <c r="G96" i="6"/>
  <c r="J56" i="6"/>
  <c r="F64" i="6"/>
  <c r="F27" i="6" s="1"/>
  <c r="E90" i="6"/>
  <c r="F90" i="6"/>
  <c r="I64" i="6"/>
  <c r="L90" i="6"/>
  <c r="E94" i="6"/>
  <c r="G92" i="6"/>
  <c r="F94" i="6"/>
  <c r="E25" i="6"/>
  <c r="L64" i="6"/>
  <c r="K90" i="6"/>
  <c r="E96" i="6"/>
  <c r="F92" i="6"/>
  <c r="I96" i="6"/>
  <c r="H64" i="6"/>
  <c r="J90" i="6"/>
  <c r="M92" i="6"/>
  <c r="L94" i="6"/>
  <c r="H96" i="6"/>
  <c r="I90" i="6"/>
  <c r="E63" i="6"/>
  <c r="J94" i="6"/>
  <c r="F96" i="6"/>
  <c r="F12" i="6"/>
  <c r="E62" i="6"/>
  <c r="F22" i="6"/>
  <c r="E10" i="8" s="1"/>
  <c r="K64" i="6"/>
  <c r="F56" i="6"/>
  <c r="F19" i="6" s="1"/>
  <c r="F15" i="6" s="1"/>
  <c r="H56" i="6"/>
  <c r="I56" i="6"/>
  <c r="G6" i="6"/>
  <c r="I7" i="8"/>
  <c r="D25" i="6"/>
  <c r="M67" i="6"/>
  <c r="G56" i="6"/>
  <c r="J64" i="6"/>
  <c r="F67" i="6"/>
  <c r="F30" i="6" s="1"/>
  <c r="E25" i="8" s="1"/>
  <c r="G67" i="6"/>
  <c r="H67" i="6"/>
  <c r="M64" i="6"/>
  <c r="I67" i="6"/>
  <c r="K56" i="6"/>
  <c r="J67" i="6"/>
  <c r="L56" i="6"/>
  <c r="E66" i="6"/>
  <c r="K67" i="6"/>
  <c r="H7" i="5"/>
  <c r="G135" i="4"/>
  <c r="F135" i="4"/>
  <c r="F137" i="4"/>
  <c r="F136" i="4" s="1"/>
  <c r="H137" i="4"/>
  <c r="G137" i="4"/>
  <c r="E15" i="4"/>
  <c r="I133" i="4"/>
  <c r="H133" i="4"/>
  <c r="H131" i="4"/>
  <c r="G133" i="4"/>
  <c r="K6" i="4"/>
  <c r="G131" i="4"/>
  <c r="F133" i="4"/>
  <c r="J6" i="4"/>
  <c r="J133" i="4"/>
  <c r="F6" i="4"/>
  <c r="E133" i="4"/>
  <c r="E132" i="4" s="1"/>
  <c r="E12" i="4" s="1"/>
  <c r="E131" i="4"/>
  <c r="E130" i="4" s="1"/>
  <c r="I6" i="4"/>
  <c r="L133" i="4"/>
  <c r="H135" i="4"/>
  <c r="H6" i="4"/>
  <c r="M64" i="3"/>
  <c r="L64" i="3"/>
  <c r="K64" i="3"/>
  <c r="I64" i="3"/>
  <c r="H64" i="3"/>
  <c r="F64" i="3"/>
  <c r="J78" i="3"/>
  <c r="J64" i="3"/>
  <c r="L77" i="3"/>
  <c r="E27" i="4" l="1"/>
  <c r="I19" i="9"/>
  <c r="J19" i="9" s="1"/>
  <c r="F76" i="6"/>
  <c r="O25" i="9" s="1"/>
  <c r="N13" i="9"/>
  <c r="N4" i="9"/>
  <c r="J21" i="6"/>
  <c r="H21" i="6"/>
  <c r="F130" i="4"/>
  <c r="F13" i="4" s="1"/>
  <c r="E13" i="4"/>
  <c r="L21" i="6"/>
  <c r="G21" i="6"/>
  <c r="I21" i="6"/>
  <c r="K21" i="6"/>
  <c r="F21" i="6"/>
  <c r="M21" i="6"/>
  <c r="G17" i="7"/>
  <c r="F17" i="8"/>
  <c r="E27" i="7"/>
  <c r="M78" i="6"/>
  <c r="M81" i="6" s="1"/>
  <c r="M17" i="6" s="1"/>
  <c r="D30" i="8"/>
  <c r="E29" i="8" s="1"/>
  <c r="G89" i="6"/>
  <c r="E12" i="7"/>
  <c r="D32" i="6"/>
  <c r="D35" i="6" s="1"/>
  <c r="D37" i="6" s="1"/>
  <c r="E21" i="7"/>
  <c r="F26" i="6"/>
  <c r="E12" i="8" s="1"/>
  <c r="G91" i="6"/>
  <c r="E13" i="7"/>
  <c r="F28" i="7"/>
  <c r="F22" i="7"/>
  <c r="F29" i="7"/>
  <c r="F6" i="8"/>
  <c r="F5" i="8" s="1"/>
  <c r="F11" i="8" s="1"/>
  <c r="F26" i="7"/>
  <c r="G9" i="7"/>
  <c r="G27" i="6"/>
  <c r="D69" i="6"/>
  <c r="D72" i="6" s="1"/>
  <c r="D74" i="6" s="1"/>
  <c r="F7" i="6"/>
  <c r="E32" i="6"/>
  <c r="E35" i="6" s="1"/>
  <c r="E37" i="6" s="1"/>
  <c r="N8" i="9" s="1"/>
  <c r="G12" i="6"/>
  <c r="E69" i="6"/>
  <c r="E72" i="6" s="1"/>
  <c r="K73" i="6" s="1"/>
  <c r="G9" i="6"/>
  <c r="G19" i="6"/>
  <c r="G15" i="6" s="1"/>
  <c r="G30" i="6"/>
  <c r="F25" i="8" s="1"/>
  <c r="G22" i="6"/>
  <c r="H6" i="6"/>
  <c r="J7" i="8"/>
  <c r="F6" i="7"/>
  <c r="I7" i="5"/>
  <c r="F134" i="4"/>
  <c r="F14" i="4" s="1"/>
  <c r="F132" i="4"/>
  <c r="F12" i="4" s="1"/>
  <c r="G136" i="4"/>
  <c r="F15" i="4"/>
  <c r="M77" i="3"/>
  <c r="M80" i="3" s="1"/>
  <c r="M47" i="3" s="1"/>
  <c r="M10" i="3" s="1"/>
  <c r="L80" i="3"/>
  <c r="L47" i="3" s="1"/>
  <c r="L10" i="3" s="1"/>
  <c r="F10" i="8" l="1"/>
  <c r="G76" i="6"/>
  <c r="P25" i="9" s="1"/>
  <c r="O21" i="9"/>
  <c r="H17" i="7"/>
  <c r="G17" i="8"/>
  <c r="F21" i="7"/>
  <c r="F27" i="7"/>
  <c r="G26" i="6"/>
  <c r="F12" i="8" s="1"/>
  <c r="H91" i="6"/>
  <c r="F13" i="7"/>
  <c r="G29" i="7"/>
  <c r="G26" i="7"/>
  <c r="G22" i="7"/>
  <c r="G28" i="7"/>
  <c r="G6" i="8"/>
  <c r="G5" i="8" s="1"/>
  <c r="H9" i="7"/>
  <c r="H89" i="6"/>
  <c r="F12" i="7"/>
  <c r="F10" i="7" s="1"/>
  <c r="F13" i="6"/>
  <c r="O6" i="9" s="1"/>
  <c r="E57" i="7"/>
  <c r="E10" i="7"/>
  <c r="E16" i="8" s="1"/>
  <c r="M73" i="6"/>
  <c r="G73" i="6"/>
  <c r="F73" i="6"/>
  <c r="E74" i="6"/>
  <c r="L73" i="6"/>
  <c r="H12" i="6"/>
  <c r="I6" i="6"/>
  <c r="H73" i="6"/>
  <c r="I73" i="6"/>
  <c r="G7" i="6"/>
  <c r="J73" i="6"/>
  <c r="H9" i="6"/>
  <c r="H30" i="6"/>
  <c r="G25" i="8" s="1"/>
  <c r="H19" i="6"/>
  <c r="H15" i="6" s="1"/>
  <c r="H22" i="6"/>
  <c r="H27" i="6"/>
  <c r="K7" i="8"/>
  <c r="G6" i="7"/>
  <c r="J7" i="5"/>
  <c r="G134" i="4"/>
  <c r="G14" i="4" s="1"/>
  <c r="G132" i="4"/>
  <c r="G12" i="4" s="1"/>
  <c r="H136" i="4"/>
  <c r="H15" i="4" s="1"/>
  <c r="G15" i="4"/>
  <c r="E10" i="4"/>
  <c r="E15" i="5" s="1"/>
  <c r="G130" i="4"/>
  <c r="G13" i="4" s="1"/>
  <c r="G10" i="8" l="1"/>
  <c r="H76" i="6"/>
  <c r="Q25" i="9" s="1"/>
  <c r="P21" i="9"/>
  <c r="I17" i="7"/>
  <c r="H17" i="8"/>
  <c r="F5" i="7"/>
  <c r="F52" i="7" s="1"/>
  <c r="F55" i="7" s="1"/>
  <c r="F16" i="8"/>
  <c r="F18" i="8" s="1"/>
  <c r="I91" i="6"/>
  <c r="G13" i="7"/>
  <c r="E18" i="8"/>
  <c r="E5" i="7"/>
  <c r="G27" i="7"/>
  <c r="I30" i="6"/>
  <c r="H25" i="8" s="1"/>
  <c r="H6" i="8"/>
  <c r="H5" i="8" s="1"/>
  <c r="H29" i="7"/>
  <c r="H26" i="7"/>
  <c r="H22" i="7"/>
  <c r="H28" i="7"/>
  <c r="I22" i="6"/>
  <c r="I89" i="6"/>
  <c r="G12" i="7"/>
  <c r="G13" i="6"/>
  <c r="P6" i="9" s="1"/>
  <c r="F57" i="7"/>
  <c r="H26" i="6"/>
  <c r="G12" i="8" s="1"/>
  <c r="G21" i="7"/>
  <c r="H20" i="6"/>
  <c r="H14" i="6" s="1"/>
  <c r="H7" i="6"/>
  <c r="I9" i="6"/>
  <c r="J6" i="6"/>
  <c r="I19" i="6"/>
  <c r="I15" i="6" s="1"/>
  <c r="I27" i="6"/>
  <c r="I12" i="6"/>
  <c r="L7" i="8"/>
  <c r="H6" i="7"/>
  <c r="E5" i="4"/>
  <c r="E18" i="5"/>
  <c r="K7" i="5"/>
  <c r="H134" i="4"/>
  <c r="H14" i="4" s="1"/>
  <c r="F10" i="4"/>
  <c r="F5" i="4" s="1"/>
  <c r="F52" i="4" s="1"/>
  <c r="H132" i="4"/>
  <c r="H12" i="4" s="1"/>
  <c r="H130" i="4"/>
  <c r="H13" i="4" s="1"/>
  <c r="H10" i="8" l="1"/>
  <c r="I76" i="6"/>
  <c r="R25" i="9" s="1"/>
  <c r="Q21" i="9"/>
  <c r="J17" i="7"/>
  <c r="I17" i="8"/>
  <c r="H27" i="7"/>
  <c r="H21" i="7"/>
  <c r="R21" i="9" s="1"/>
  <c r="G10" i="7"/>
  <c r="G5" i="7" s="1"/>
  <c r="G52" i="7" s="1"/>
  <c r="G55" i="7" s="1"/>
  <c r="J89" i="6"/>
  <c r="H12" i="7"/>
  <c r="I6" i="8"/>
  <c r="I5" i="8" s="1"/>
  <c r="I29" i="7"/>
  <c r="I26" i="7"/>
  <c r="I22" i="7"/>
  <c r="I28" i="7"/>
  <c r="E52" i="7"/>
  <c r="H13" i="6"/>
  <c r="G57" i="7"/>
  <c r="G9" i="8" s="1"/>
  <c r="I26" i="6"/>
  <c r="H12" i="8" s="1"/>
  <c r="J91" i="6"/>
  <c r="H13" i="7"/>
  <c r="I7" i="6"/>
  <c r="J12" i="6"/>
  <c r="J22" i="6"/>
  <c r="J19" i="6"/>
  <c r="J15" i="6" s="1"/>
  <c r="J9" i="6"/>
  <c r="J30" i="6"/>
  <c r="I25" i="8" s="1"/>
  <c r="K6" i="6"/>
  <c r="J27" i="6"/>
  <c r="I20" i="6"/>
  <c r="I14" i="6" s="1"/>
  <c r="F50" i="7"/>
  <c r="I6" i="7"/>
  <c r="F15" i="5"/>
  <c r="F18" i="5" s="1"/>
  <c r="E52" i="4"/>
  <c r="L7" i="5"/>
  <c r="G10" i="4"/>
  <c r="I132" i="4"/>
  <c r="I12" i="4" s="1"/>
  <c r="H10" i="4"/>
  <c r="I10" i="8" l="1"/>
  <c r="J76" i="6"/>
  <c r="S25" i="9" s="1"/>
  <c r="H25" i="6"/>
  <c r="Q4" i="9" s="1"/>
  <c r="Q6" i="9"/>
  <c r="K17" i="7"/>
  <c r="J17" i="8"/>
  <c r="H10" i="7"/>
  <c r="H16" i="8" s="1"/>
  <c r="H18" i="8" s="1"/>
  <c r="G16" i="8"/>
  <c r="G18" i="8" s="1"/>
  <c r="I27" i="7"/>
  <c r="J26" i="6"/>
  <c r="I12" i="8" s="1"/>
  <c r="I13" i="6"/>
  <c r="H57" i="7"/>
  <c r="H9" i="8" s="1"/>
  <c r="K22" i="6"/>
  <c r="J6" i="8"/>
  <c r="J5" i="8" s="1"/>
  <c r="J29" i="7"/>
  <c r="J26" i="7"/>
  <c r="J22" i="7"/>
  <c r="J28" i="7"/>
  <c r="I21" i="7"/>
  <c r="E50" i="7"/>
  <c r="E23" i="8" s="1"/>
  <c r="E55" i="7"/>
  <c r="K91" i="6"/>
  <c r="I13" i="7"/>
  <c r="K89" i="6"/>
  <c r="I12" i="7"/>
  <c r="K9" i="6"/>
  <c r="J7" i="6"/>
  <c r="J20" i="6"/>
  <c r="J14" i="6" s="1"/>
  <c r="L6" i="6"/>
  <c r="K19" i="6"/>
  <c r="K15" i="6" s="1"/>
  <c r="K30" i="6"/>
  <c r="J25" i="8" s="1"/>
  <c r="K27" i="6"/>
  <c r="K12" i="6"/>
  <c r="J6" i="7"/>
  <c r="G50" i="7"/>
  <c r="G23" i="8" s="1"/>
  <c r="H5" i="4"/>
  <c r="H52" i="4" s="1"/>
  <c r="H15" i="5"/>
  <c r="H18" i="5" s="1"/>
  <c r="G5" i="4"/>
  <c r="G52" i="4" s="1"/>
  <c r="G15" i="5"/>
  <c r="G18" i="5" s="1"/>
  <c r="E55" i="4"/>
  <c r="J132" i="4"/>
  <c r="J12" i="4" s="1"/>
  <c r="I10" i="4"/>
  <c r="J10" i="8" l="1"/>
  <c r="K76" i="6"/>
  <c r="T25" i="9" s="1"/>
  <c r="S21" i="9"/>
  <c r="J21" i="7"/>
  <c r="I25" i="6"/>
  <c r="R4" i="9" s="1"/>
  <c r="R6" i="9"/>
  <c r="F23" i="8"/>
  <c r="L17" i="7"/>
  <c r="L17" i="8" s="1"/>
  <c r="K17" i="8"/>
  <c r="H5" i="7"/>
  <c r="H52" i="7" s="1"/>
  <c r="H55" i="7" s="1"/>
  <c r="K20" i="6"/>
  <c r="K14" i="6" s="1"/>
  <c r="K6" i="8"/>
  <c r="K5" i="8" s="1"/>
  <c r="K29" i="7"/>
  <c r="K26" i="7"/>
  <c r="K22" i="7"/>
  <c r="K28" i="7"/>
  <c r="L91" i="6"/>
  <c r="J13" i="7"/>
  <c r="J13" i="6"/>
  <c r="I57" i="7"/>
  <c r="I9" i="8" s="1"/>
  <c r="K26" i="6"/>
  <c r="J12" i="8" s="1"/>
  <c r="L9" i="6"/>
  <c r="I10" i="7"/>
  <c r="L27" i="6"/>
  <c r="L89" i="6"/>
  <c r="J12" i="7"/>
  <c r="J27" i="7"/>
  <c r="K7" i="6"/>
  <c r="L22" i="6"/>
  <c r="L76" i="6" s="1"/>
  <c r="U25" i="9" s="1"/>
  <c r="L12" i="6"/>
  <c r="M6" i="6"/>
  <c r="L30" i="6"/>
  <c r="K25" i="8" s="1"/>
  <c r="L19" i="6"/>
  <c r="L15" i="6" s="1"/>
  <c r="K6" i="7"/>
  <c r="L6" i="7"/>
  <c r="I5" i="4"/>
  <c r="I52" i="4" s="1"/>
  <c r="I15" i="5"/>
  <c r="I18" i="5" s="1"/>
  <c r="K132" i="4"/>
  <c r="K12" i="4" s="1"/>
  <c r="J10" i="4"/>
  <c r="G49" i="3"/>
  <c r="H49" i="3"/>
  <c r="I49" i="3"/>
  <c r="J49" i="3"/>
  <c r="K49" i="3"/>
  <c r="L49" i="3"/>
  <c r="M49" i="3"/>
  <c r="F49" i="3"/>
  <c r="G46" i="3"/>
  <c r="H46" i="3"/>
  <c r="I46" i="3"/>
  <c r="J46" i="3"/>
  <c r="K46" i="3"/>
  <c r="L46" i="3"/>
  <c r="M46" i="3"/>
  <c r="F46" i="3"/>
  <c r="C61" i="3"/>
  <c r="C56" i="3"/>
  <c r="C49" i="3"/>
  <c r="C46" i="3"/>
  <c r="E68" i="3"/>
  <c r="D68" i="3"/>
  <c r="E67" i="3"/>
  <c r="D67" i="3"/>
  <c r="E63" i="3"/>
  <c r="D63" i="3"/>
  <c r="E57" i="3"/>
  <c r="E51" i="3" s="1"/>
  <c r="D57" i="3"/>
  <c r="D51" i="3" s="1"/>
  <c r="E56" i="3"/>
  <c r="F56" i="3" s="1"/>
  <c r="D56" i="3"/>
  <c r="E50" i="3"/>
  <c r="D50" i="3"/>
  <c r="D26" i="5"/>
  <c r="D28" i="5" s="1"/>
  <c r="C26" i="5"/>
  <c r="C18" i="5"/>
  <c r="C13" i="5"/>
  <c r="D31" i="3"/>
  <c r="D29" i="3" s="1"/>
  <c r="E26" i="3"/>
  <c r="D26" i="3"/>
  <c r="D20" i="3"/>
  <c r="D14" i="3" s="1"/>
  <c r="H13" i="2"/>
  <c r="G13" i="2"/>
  <c r="D13" i="2"/>
  <c r="C12" i="2"/>
  <c r="C14" i="2" s="1"/>
  <c r="C15" i="2" s="1"/>
  <c r="D11" i="2"/>
  <c r="F9" i="2"/>
  <c r="F12" i="2" s="1"/>
  <c r="F14" i="2" s="1"/>
  <c r="F15" i="2" s="1"/>
  <c r="C9" i="2"/>
  <c r="G8" i="2"/>
  <c r="F24" i="6" s="1"/>
  <c r="F20" i="6" s="1"/>
  <c r="F14" i="6" s="1"/>
  <c r="D8" i="2"/>
  <c r="E8" i="2" s="1"/>
  <c r="H7" i="2"/>
  <c r="G7" i="2"/>
  <c r="E7" i="2"/>
  <c r="D7" i="2"/>
  <c r="D9" i="2" s="1"/>
  <c r="D12" i="2" s="1"/>
  <c r="D14" i="2" s="1"/>
  <c r="D15" i="2" s="1"/>
  <c r="E6" i="2"/>
  <c r="H5" i="2"/>
  <c r="G5" i="2"/>
  <c r="E5" i="2"/>
  <c r="Q90" i="3" s="1"/>
  <c r="D5" i="2"/>
  <c r="H8" i="2" l="1"/>
  <c r="G24" i="6" s="1"/>
  <c r="G20" i="6" s="1"/>
  <c r="G14" i="6" s="1"/>
  <c r="T21" i="9"/>
  <c r="J25" i="6"/>
  <c r="S4" i="9" s="1"/>
  <c r="S6" i="9"/>
  <c r="E9" i="2"/>
  <c r="G9" i="2"/>
  <c r="G12" i="2" s="1"/>
  <c r="G14" i="2" s="1"/>
  <c r="G15" i="2" s="1"/>
  <c r="F84" i="3"/>
  <c r="E150" i="4"/>
  <c r="H50" i="7"/>
  <c r="H23" i="8" s="1"/>
  <c r="F90" i="3"/>
  <c r="P90" i="3"/>
  <c r="E9" i="8"/>
  <c r="E8" i="8" s="1"/>
  <c r="F25" i="6"/>
  <c r="O4" i="9" s="1"/>
  <c r="E13" i="2"/>
  <c r="I86" i="3" s="1"/>
  <c r="I87" i="3" s="1"/>
  <c r="F86" i="3"/>
  <c r="E151" i="4"/>
  <c r="G25" i="6"/>
  <c r="P4" i="9" s="1"/>
  <c r="F9" i="8"/>
  <c r="F8" i="8" s="1"/>
  <c r="F13" i="8" s="1"/>
  <c r="G93" i="3"/>
  <c r="Q93" i="3"/>
  <c r="K21" i="7"/>
  <c r="U21" i="9" s="1"/>
  <c r="J10" i="7"/>
  <c r="J5" i="7" s="1"/>
  <c r="J52" i="7" s="1"/>
  <c r="J55" i="7" s="1"/>
  <c r="L20" i="6"/>
  <c r="L14" i="6" s="1"/>
  <c r="K10" i="8"/>
  <c r="I16" i="8"/>
  <c r="I18" i="8" s="1"/>
  <c r="I5" i="7"/>
  <c r="I52" i="7" s="1"/>
  <c r="K13" i="6"/>
  <c r="J57" i="7"/>
  <c r="J9" i="8" s="1"/>
  <c r="K27" i="7"/>
  <c r="M91" i="6"/>
  <c r="L13" i="7" s="1"/>
  <c r="K13" i="7"/>
  <c r="L6" i="8"/>
  <c r="L5" i="8" s="1"/>
  <c r="L29" i="7"/>
  <c r="L26" i="7"/>
  <c r="L22" i="7"/>
  <c r="L28" i="7"/>
  <c r="M89" i="6"/>
  <c r="L12" i="7" s="1"/>
  <c r="K12" i="7"/>
  <c r="L7" i="6"/>
  <c r="L26" i="6"/>
  <c r="K12" i="8" s="1"/>
  <c r="M30" i="6"/>
  <c r="L25" i="8" s="1"/>
  <c r="M12" i="6"/>
  <c r="M9" i="6"/>
  <c r="M22" i="6"/>
  <c r="M19" i="6"/>
  <c r="M15" i="6" s="1"/>
  <c r="M27" i="6"/>
  <c r="J5" i="4"/>
  <c r="J52" i="4" s="1"/>
  <c r="J15" i="5"/>
  <c r="J18" i="5" s="1"/>
  <c r="L132" i="4"/>
  <c r="K10" i="4"/>
  <c r="F19" i="3"/>
  <c r="F15" i="3" s="1"/>
  <c r="F9" i="3"/>
  <c r="F12" i="3"/>
  <c r="D66" i="3"/>
  <c r="G56" i="3"/>
  <c r="E66" i="3"/>
  <c r="G43" i="3"/>
  <c r="G6" i="3" s="1"/>
  <c r="M56" i="3"/>
  <c r="L56" i="3"/>
  <c r="L67" i="3"/>
  <c r="G67" i="3"/>
  <c r="M67" i="3"/>
  <c r="K56" i="3"/>
  <c r="K67" i="3"/>
  <c r="J56" i="3"/>
  <c r="I56" i="3"/>
  <c r="I67" i="3"/>
  <c r="J67" i="3"/>
  <c r="F22" i="3"/>
  <c r="F24" i="3"/>
  <c r="F27" i="3"/>
  <c r="F26" i="3" s="1"/>
  <c r="E12" i="5" s="1"/>
  <c r="H56" i="3"/>
  <c r="H67" i="3"/>
  <c r="F67" i="3"/>
  <c r="E29" i="3"/>
  <c r="D62" i="3"/>
  <c r="E62" i="3"/>
  <c r="D25" i="3"/>
  <c r="C28" i="5"/>
  <c r="C30" i="5" s="1"/>
  <c r="D29" i="5" s="1"/>
  <c r="D30" i="5" s="1"/>
  <c r="E29" i="5" s="1"/>
  <c r="L10" i="8" l="1"/>
  <c r="M76" i="6"/>
  <c r="V25" i="9" s="1"/>
  <c r="H86" i="3"/>
  <c r="H87" i="3" s="1"/>
  <c r="H9" i="2"/>
  <c r="H12" i="2" s="1"/>
  <c r="H14" i="2" s="1"/>
  <c r="H15" i="2" s="1"/>
  <c r="E10" i="5"/>
  <c r="F75" i="3"/>
  <c r="C25" i="9" s="1"/>
  <c r="K25" i="6"/>
  <c r="T4" i="9" s="1"/>
  <c r="T6" i="9"/>
  <c r="B13" i="9"/>
  <c r="G152" i="4"/>
  <c r="G144" i="4" s="1"/>
  <c r="G55" i="4" s="1"/>
  <c r="H152" i="4"/>
  <c r="H144" i="4" s="1"/>
  <c r="H55" i="4" s="1"/>
  <c r="F152" i="4"/>
  <c r="F144" i="4" s="1"/>
  <c r="F55" i="4" s="1"/>
  <c r="F151" i="4"/>
  <c r="E142" i="4"/>
  <c r="E51" i="4" s="1"/>
  <c r="F150" i="4"/>
  <c r="G86" i="3"/>
  <c r="G87" i="3" s="1"/>
  <c r="F87" i="3"/>
  <c r="G84" i="3"/>
  <c r="F85" i="3"/>
  <c r="G9" i="3"/>
  <c r="F6" i="5"/>
  <c r="F5" i="5" s="1"/>
  <c r="F29" i="4"/>
  <c r="F28" i="4"/>
  <c r="F27" i="4" s="1"/>
  <c r="E26" i="4"/>
  <c r="E22" i="4"/>
  <c r="L12" i="4"/>
  <c r="L10" i="4" s="1"/>
  <c r="I152" i="4"/>
  <c r="I144" i="4" s="1"/>
  <c r="I55" i="4" s="1"/>
  <c r="I94" i="3"/>
  <c r="M94" i="3"/>
  <c r="K94" i="3"/>
  <c r="H94" i="3"/>
  <c r="H93" i="3" s="1"/>
  <c r="J94" i="3"/>
  <c r="L94" i="3"/>
  <c r="E12" i="2"/>
  <c r="E14" i="2" s="1"/>
  <c r="E15" i="2" s="1"/>
  <c r="F30" i="3"/>
  <c r="E25" i="5" s="1"/>
  <c r="I91" i="3"/>
  <c r="G91" i="3"/>
  <c r="G90" i="3" s="1"/>
  <c r="H91" i="3"/>
  <c r="L91" i="3"/>
  <c r="J91" i="3"/>
  <c r="K91" i="3"/>
  <c r="M91" i="3"/>
  <c r="K10" i="7"/>
  <c r="K5" i="7" s="1"/>
  <c r="K52" i="7" s="1"/>
  <c r="L27" i="7"/>
  <c r="J16" i="8"/>
  <c r="J18" i="8" s="1"/>
  <c r="J50" i="7"/>
  <c r="M26" i="6"/>
  <c r="L12" i="8" s="1"/>
  <c r="L13" i="6"/>
  <c r="K57" i="7"/>
  <c r="K9" i="8" s="1"/>
  <c r="I55" i="7"/>
  <c r="I50" i="7"/>
  <c r="I23" i="8" s="1"/>
  <c r="L10" i="7"/>
  <c r="L21" i="7"/>
  <c r="M7" i="6"/>
  <c r="M20" i="6"/>
  <c r="M14" i="6" s="1"/>
  <c r="K5" i="4"/>
  <c r="K52" i="4" s="1"/>
  <c r="K15" i="5"/>
  <c r="K18" i="5" s="1"/>
  <c r="J55" i="4"/>
  <c r="G12" i="3"/>
  <c r="D69" i="3"/>
  <c r="D72" i="3" s="1"/>
  <c r="D74" i="3" s="1"/>
  <c r="G19" i="3"/>
  <c r="G15" i="3" s="1"/>
  <c r="G30" i="3"/>
  <c r="D32" i="3"/>
  <c r="D35" i="3" s="1"/>
  <c r="D37" i="3" s="1"/>
  <c r="E69" i="3"/>
  <c r="E72" i="3" s="1"/>
  <c r="F20" i="3"/>
  <c r="F14" i="3" s="1"/>
  <c r="E32" i="3"/>
  <c r="H6" i="3"/>
  <c r="G24" i="3"/>
  <c r="G22" i="3"/>
  <c r="G27" i="3"/>
  <c r="G26" i="3" s="1"/>
  <c r="F12" i="5" s="1"/>
  <c r="L5" i="4" l="1"/>
  <c r="L52" i="4" s="1"/>
  <c r="L15" i="5"/>
  <c r="L18" i="5" s="1"/>
  <c r="V21" i="9"/>
  <c r="G151" i="4"/>
  <c r="H151" i="4" s="1"/>
  <c r="I151" i="4" s="1"/>
  <c r="J151" i="4" s="1"/>
  <c r="E21" i="4"/>
  <c r="F31" i="3"/>
  <c r="E24" i="5" s="1"/>
  <c r="F10" i="5"/>
  <c r="G75" i="3"/>
  <c r="D25" i="9" s="1"/>
  <c r="L25" i="6"/>
  <c r="U4" i="9" s="1"/>
  <c r="U6" i="9"/>
  <c r="G7" i="3"/>
  <c r="H90" i="3"/>
  <c r="I90" i="3" s="1"/>
  <c r="J90" i="3" s="1"/>
  <c r="K90" i="3" s="1"/>
  <c r="L90" i="3" s="1"/>
  <c r="M90" i="3" s="1"/>
  <c r="F142" i="4"/>
  <c r="F51" i="4" s="1"/>
  <c r="G150" i="4"/>
  <c r="E22" i="5"/>
  <c r="E26" i="5" s="1"/>
  <c r="E50" i="4"/>
  <c r="F25" i="5"/>
  <c r="F29" i="3"/>
  <c r="G21" i="3"/>
  <c r="G20" i="3" s="1"/>
  <c r="G14" i="3" s="1"/>
  <c r="H21" i="3"/>
  <c r="G6" i="5"/>
  <c r="G5" i="5" s="1"/>
  <c r="G29" i="4"/>
  <c r="G28" i="4"/>
  <c r="F22" i="4"/>
  <c r="F26" i="4"/>
  <c r="H84" i="3"/>
  <c r="G85" i="3"/>
  <c r="G31" i="3" s="1"/>
  <c r="F24" i="5" s="1"/>
  <c r="J23" i="8"/>
  <c r="I93" i="3"/>
  <c r="J93" i="3" s="1"/>
  <c r="K93" i="3" s="1"/>
  <c r="L93" i="3" s="1"/>
  <c r="M93" i="3" s="1"/>
  <c r="K55" i="7"/>
  <c r="K50" i="7"/>
  <c r="K16" i="8"/>
  <c r="K18" i="8" s="1"/>
  <c r="L16" i="8"/>
  <c r="L18" i="8" s="1"/>
  <c r="L5" i="7"/>
  <c r="L52" i="7" s="1"/>
  <c r="M13" i="6"/>
  <c r="L57" i="7"/>
  <c r="L9" i="8" s="1"/>
  <c r="L55" i="4"/>
  <c r="L50" i="4"/>
  <c r="K55" i="4"/>
  <c r="K73" i="3"/>
  <c r="L73" i="3"/>
  <c r="M73" i="3"/>
  <c r="I73" i="3"/>
  <c r="F73" i="3"/>
  <c r="G73" i="3"/>
  <c r="E74" i="3"/>
  <c r="H73" i="3"/>
  <c r="J73" i="3"/>
  <c r="E35" i="3"/>
  <c r="E37" i="3" s="1"/>
  <c r="B8" i="9" s="1"/>
  <c r="I6" i="3"/>
  <c r="H22" i="3"/>
  <c r="H24" i="3"/>
  <c r="H27" i="3"/>
  <c r="H26" i="3" s="1"/>
  <c r="G12" i="5" s="1"/>
  <c r="H9" i="3"/>
  <c r="H12" i="3"/>
  <c r="H30" i="3"/>
  <c r="H19" i="3"/>
  <c r="H15" i="3" s="1"/>
  <c r="G10" i="5" l="1"/>
  <c r="H75" i="3"/>
  <c r="E25" i="9" s="1"/>
  <c r="M25" i="6"/>
  <c r="V4" i="9" s="1"/>
  <c r="V6" i="9"/>
  <c r="K23" i="8"/>
  <c r="G27" i="4"/>
  <c r="F57" i="4"/>
  <c r="I21" i="3"/>
  <c r="G13" i="3"/>
  <c r="D6" i="9" s="1"/>
  <c r="H6" i="5"/>
  <c r="H5" i="5" s="1"/>
  <c r="H28" i="4"/>
  <c r="H29" i="4"/>
  <c r="G22" i="4"/>
  <c r="G26" i="4"/>
  <c r="G25" i="5"/>
  <c r="F21" i="4"/>
  <c r="D21" i="9" s="1"/>
  <c r="G142" i="4"/>
  <c r="G51" i="4" s="1"/>
  <c r="H150" i="4"/>
  <c r="F50" i="4"/>
  <c r="F22" i="5"/>
  <c r="F26" i="5" s="1"/>
  <c r="G29" i="3"/>
  <c r="H85" i="3"/>
  <c r="H31" i="3" s="1"/>
  <c r="G24" i="5" s="1"/>
  <c r="I84" i="3"/>
  <c r="L55" i="7"/>
  <c r="L50" i="7"/>
  <c r="H7" i="3"/>
  <c r="J6" i="3"/>
  <c r="I22" i="3"/>
  <c r="I24" i="3"/>
  <c r="I27" i="3"/>
  <c r="I26" i="3" s="1"/>
  <c r="H12" i="5" s="1"/>
  <c r="I9" i="3"/>
  <c r="I12" i="3"/>
  <c r="I19" i="3"/>
  <c r="I15" i="3" s="1"/>
  <c r="I30" i="3"/>
  <c r="H20" i="3"/>
  <c r="H14" i="3" s="1"/>
  <c r="G25" i="3" l="1"/>
  <c r="G32" i="3" s="1"/>
  <c r="G35" i="3" s="1"/>
  <c r="H10" i="5"/>
  <c r="I75" i="3"/>
  <c r="F25" i="9" s="1"/>
  <c r="G21" i="4"/>
  <c r="E21" i="9" s="1"/>
  <c r="H29" i="3"/>
  <c r="H25" i="5"/>
  <c r="H142" i="4"/>
  <c r="H51" i="4" s="1"/>
  <c r="I150" i="4"/>
  <c r="H27" i="4"/>
  <c r="H13" i="3"/>
  <c r="G57" i="4"/>
  <c r="J84" i="3"/>
  <c r="I85" i="3"/>
  <c r="I31" i="3" s="1"/>
  <c r="H24" i="5" s="1"/>
  <c r="G50" i="4"/>
  <c r="G22" i="5"/>
  <c r="G26" i="5" s="1"/>
  <c r="I6" i="5"/>
  <c r="I5" i="5" s="1"/>
  <c r="I29" i="4"/>
  <c r="J21" i="3"/>
  <c r="I28" i="4"/>
  <c r="H22" i="4"/>
  <c r="H26" i="4"/>
  <c r="L23" i="8"/>
  <c r="I20" i="3"/>
  <c r="I14" i="3" s="1"/>
  <c r="I7" i="3"/>
  <c r="K6" i="3"/>
  <c r="J22" i="3"/>
  <c r="J24" i="3"/>
  <c r="J27" i="3"/>
  <c r="J26" i="3" s="1"/>
  <c r="I12" i="5" s="1"/>
  <c r="J9" i="3"/>
  <c r="J12" i="3"/>
  <c r="J30" i="3"/>
  <c r="J19" i="3"/>
  <c r="J15" i="3" s="1"/>
  <c r="G36" i="3" l="1"/>
  <c r="F11" i="5" s="1"/>
  <c r="G37" i="3"/>
  <c r="D4" i="9"/>
  <c r="D13" i="9"/>
  <c r="G9" i="5"/>
  <c r="I10" i="5"/>
  <c r="J75" i="3"/>
  <c r="G25" i="9" s="1"/>
  <c r="H25" i="3"/>
  <c r="E6" i="9"/>
  <c r="I142" i="4"/>
  <c r="I51" i="4" s="1"/>
  <c r="J150" i="4"/>
  <c r="H50" i="4"/>
  <c r="H23" i="5"/>
  <c r="H26" i="5" s="1"/>
  <c r="J6" i="5"/>
  <c r="J5" i="5" s="1"/>
  <c r="J28" i="4"/>
  <c r="J29" i="4"/>
  <c r="I22" i="4"/>
  <c r="I26" i="4"/>
  <c r="K21" i="3"/>
  <c r="I29" i="3"/>
  <c r="I13" i="3"/>
  <c r="H57" i="4"/>
  <c r="H21" i="4"/>
  <c r="H9" i="5" s="1"/>
  <c r="K84" i="3"/>
  <c r="J85" i="3"/>
  <c r="J31" i="3" s="1"/>
  <c r="I24" i="5" s="1"/>
  <c r="I25" i="5"/>
  <c r="I27" i="4"/>
  <c r="J7" i="3"/>
  <c r="L6" i="3"/>
  <c r="K22" i="3"/>
  <c r="K24" i="3"/>
  <c r="K27" i="3"/>
  <c r="K26" i="3" s="1"/>
  <c r="J12" i="5" s="1"/>
  <c r="K9" i="3"/>
  <c r="K12" i="3"/>
  <c r="K19" i="3"/>
  <c r="K15" i="3" s="1"/>
  <c r="K30" i="3"/>
  <c r="J20" i="3"/>
  <c r="J14" i="3" s="1"/>
  <c r="J10" i="5" l="1"/>
  <c r="K75" i="3"/>
  <c r="H25" i="9" s="1"/>
  <c r="H32" i="3"/>
  <c r="H35" i="3" s="1"/>
  <c r="E13" i="9"/>
  <c r="E4" i="9"/>
  <c r="I25" i="3"/>
  <c r="F6" i="9"/>
  <c r="F21" i="9"/>
  <c r="J27" i="4"/>
  <c r="I50" i="4"/>
  <c r="I23" i="5"/>
  <c r="I26" i="5" s="1"/>
  <c r="K6" i="5"/>
  <c r="K5" i="5" s="1"/>
  <c r="K29" i="4"/>
  <c r="K28" i="4"/>
  <c r="K27" i="4" s="1"/>
  <c r="J22" i="4"/>
  <c r="J26" i="4"/>
  <c r="L21" i="3"/>
  <c r="K85" i="3"/>
  <c r="K31" i="3" s="1"/>
  <c r="J24" i="5" s="1"/>
  <c r="L84" i="3"/>
  <c r="J25" i="5"/>
  <c r="J13" i="3"/>
  <c r="I57" i="4"/>
  <c r="I9" i="5" s="1"/>
  <c r="J29" i="3"/>
  <c r="I21" i="4"/>
  <c r="G21" i="9" s="1"/>
  <c r="J142" i="4"/>
  <c r="J51" i="4" s="1"/>
  <c r="K150" i="4"/>
  <c r="K142" i="4" s="1"/>
  <c r="K51" i="4" s="1"/>
  <c r="K7" i="3"/>
  <c r="K20" i="3"/>
  <c r="K14" i="3" s="1"/>
  <c r="M6" i="3"/>
  <c r="L24" i="3"/>
  <c r="L22" i="3"/>
  <c r="L75" i="3" s="1"/>
  <c r="I25" i="9" s="1"/>
  <c r="L27" i="3"/>
  <c r="L26" i="3" s="1"/>
  <c r="K12" i="5" s="1"/>
  <c r="L9" i="3"/>
  <c r="L12" i="3"/>
  <c r="L30" i="3"/>
  <c r="L19" i="3"/>
  <c r="L15" i="3" s="1"/>
  <c r="K29" i="3" l="1"/>
  <c r="J21" i="4"/>
  <c r="H21" i="9" s="1"/>
  <c r="J25" i="3"/>
  <c r="G6" i="9"/>
  <c r="I32" i="3"/>
  <c r="I35" i="3" s="1"/>
  <c r="I36" i="3" s="1"/>
  <c r="H11" i="5" s="1"/>
  <c r="F13" i="9"/>
  <c r="F4" i="9"/>
  <c r="H36" i="3"/>
  <c r="G11" i="5" s="1"/>
  <c r="K25" i="5"/>
  <c r="K50" i="4"/>
  <c r="K23" i="5"/>
  <c r="L23" i="5"/>
  <c r="K13" i="3"/>
  <c r="H6" i="9" s="1"/>
  <c r="J57" i="4"/>
  <c r="J50" i="4"/>
  <c r="J23" i="5"/>
  <c r="J26" i="5" s="1"/>
  <c r="L6" i="5"/>
  <c r="L5" i="5" s="1"/>
  <c r="L28" i="4"/>
  <c r="L29" i="4"/>
  <c r="L22" i="4"/>
  <c r="L26" i="4"/>
  <c r="K26" i="4"/>
  <c r="K22" i="4"/>
  <c r="M21" i="3"/>
  <c r="L20" i="3"/>
  <c r="L14" i="3" s="1"/>
  <c r="K10" i="5"/>
  <c r="L85" i="3"/>
  <c r="K24" i="5" s="1"/>
  <c r="M84" i="3"/>
  <c r="M85" i="3" s="1"/>
  <c r="L24" i="5" s="1"/>
  <c r="K25" i="3"/>
  <c r="J9" i="5"/>
  <c r="L7" i="3"/>
  <c r="M24" i="3"/>
  <c r="M22" i="3"/>
  <c r="M27" i="3"/>
  <c r="M26" i="3" s="1"/>
  <c r="L12" i="5" s="1"/>
  <c r="M12" i="3"/>
  <c r="M9" i="3"/>
  <c r="M19" i="3"/>
  <c r="M15" i="3" s="1"/>
  <c r="M30" i="3"/>
  <c r="L10" i="5" l="1"/>
  <c r="M75" i="3"/>
  <c r="J25" i="9" s="1"/>
  <c r="I37" i="3"/>
  <c r="K21" i="4"/>
  <c r="I21" i="9" s="1"/>
  <c r="K32" i="3"/>
  <c r="K35" i="3" s="1"/>
  <c r="K36" i="3" s="1"/>
  <c r="J11" i="5" s="1"/>
  <c r="H4" i="9"/>
  <c r="H13" i="9"/>
  <c r="J32" i="3"/>
  <c r="J35" i="3" s="1"/>
  <c r="J36" i="3" s="1"/>
  <c r="I11" i="5" s="1"/>
  <c r="G13" i="9"/>
  <c r="G4" i="9"/>
  <c r="H37" i="3"/>
  <c r="L21" i="4"/>
  <c r="K26" i="5"/>
  <c r="M29" i="3"/>
  <c r="L25" i="5"/>
  <c r="L26" i="5" s="1"/>
  <c r="L27" i="4"/>
  <c r="L13" i="3"/>
  <c r="I6" i="9" s="1"/>
  <c r="K57" i="4"/>
  <c r="L29" i="3"/>
  <c r="M20" i="3"/>
  <c r="M14" i="3" s="1"/>
  <c r="M7" i="3"/>
  <c r="L25" i="3" l="1"/>
  <c r="I4" i="9" s="1"/>
  <c r="K37" i="3"/>
  <c r="K9" i="5"/>
  <c r="J21" i="9"/>
  <c r="J37" i="3"/>
  <c r="L32" i="3"/>
  <c r="L35" i="3" s="1"/>
  <c r="L36" i="3" s="1"/>
  <c r="L37" i="3" s="1"/>
  <c r="M13" i="3"/>
  <c r="J6" i="9" s="1"/>
  <c r="L57" i="4"/>
  <c r="L9" i="5" s="1"/>
  <c r="M25" i="3" l="1"/>
  <c r="K11" i="5"/>
  <c r="M32" i="3" l="1"/>
  <c r="M35" i="3" s="1"/>
  <c r="M36" i="3" s="1"/>
  <c r="J4" i="9"/>
  <c r="M37" i="3"/>
  <c r="L11" i="5"/>
  <c r="I54" i="4" l="1"/>
  <c r="I49" i="4" s="1"/>
  <c r="J54" i="4"/>
  <c r="J49" i="4" s="1"/>
  <c r="F54" i="4"/>
  <c r="F49" i="4" s="1"/>
  <c r="I8" i="5"/>
  <c r="I13" i="5" s="1"/>
  <c r="I28" i="5" s="1"/>
  <c r="J8" i="5" l="1"/>
  <c r="J13" i="5" s="1"/>
  <c r="J28" i="5" s="1"/>
  <c r="G54" i="4"/>
  <c r="G49" i="4" s="1"/>
  <c r="G8" i="5"/>
  <c r="G13" i="5" s="1"/>
  <c r="G28" i="5" s="1"/>
  <c r="K8" i="5"/>
  <c r="K13" i="5" s="1"/>
  <c r="K28" i="5" s="1"/>
  <c r="K54" i="4"/>
  <c r="K49" i="4" s="1"/>
  <c r="L8" i="5"/>
  <c r="L13" i="5" s="1"/>
  <c r="L28" i="5" s="1"/>
  <c r="L54" i="4"/>
  <c r="L49" i="4" s="1"/>
  <c r="H54" i="4"/>
  <c r="H49" i="4" s="1"/>
  <c r="H8" i="5"/>
  <c r="H13" i="5" s="1"/>
  <c r="H28" i="5" s="1"/>
  <c r="E13" i="8" l="1"/>
  <c r="E54" i="7" l="1"/>
  <c r="F31" i="6"/>
  <c r="O13" i="9" s="1"/>
  <c r="E24" i="8" l="1"/>
  <c r="E26" i="8" s="1"/>
  <c r="E28" i="8" s="1"/>
  <c r="E30" i="8" s="1"/>
  <c r="E49" i="7"/>
  <c r="F29" i="6"/>
  <c r="F54" i="7"/>
  <c r="F49" i="7" s="1"/>
  <c r="E31" i="7" l="1"/>
  <c r="E20" i="7" s="1"/>
  <c r="F29" i="8"/>
  <c r="F32" i="6"/>
  <c r="F35" i="6" s="1"/>
  <c r="F37" i="6" s="1"/>
  <c r="G31" i="6"/>
  <c r="P13" i="9" s="1"/>
  <c r="G54" i="7"/>
  <c r="G49" i="7" s="1"/>
  <c r="O16" i="9" l="1"/>
  <c r="O18" i="9"/>
  <c r="E43" i="7"/>
  <c r="H31" i="6"/>
  <c r="F24" i="8"/>
  <c r="F26" i="8" s="1"/>
  <c r="F28" i="8" s="1"/>
  <c r="F30" i="8" s="1"/>
  <c r="F31" i="7" s="1"/>
  <c r="E32" i="7"/>
  <c r="O11" i="9" s="1"/>
  <c r="G29" i="6"/>
  <c r="G32" i="6" s="1"/>
  <c r="G35" i="6" s="1"/>
  <c r="G37" i="6" s="1"/>
  <c r="H54" i="7"/>
  <c r="H49" i="7" s="1"/>
  <c r="F43" i="7" l="1"/>
  <c r="F45" i="7" s="1"/>
  <c r="O23" i="9"/>
  <c r="O8" i="9"/>
  <c r="G24" i="8"/>
  <c r="G26" i="8" s="1"/>
  <c r="Q13" i="9"/>
  <c r="E44" i="7"/>
  <c r="E45" i="7"/>
  <c r="E34" i="7"/>
  <c r="E59" i="7" s="1"/>
  <c r="H29" i="6"/>
  <c r="H32" i="6" s="1"/>
  <c r="H35" i="6" s="1"/>
  <c r="H36" i="6" s="1"/>
  <c r="I31" i="6"/>
  <c r="G29" i="8"/>
  <c r="F20" i="7"/>
  <c r="F44" i="7"/>
  <c r="F34" i="7"/>
  <c r="F59" i="7" s="1"/>
  <c r="I54" i="7"/>
  <c r="I49" i="7" s="1"/>
  <c r="F32" i="7" l="1"/>
  <c r="P11" i="9" s="1"/>
  <c r="P18" i="9"/>
  <c r="P16" i="9"/>
  <c r="H24" i="8"/>
  <c r="H26" i="8" s="1"/>
  <c r="R13" i="9"/>
  <c r="J31" i="6"/>
  <c r="I29" i="6"/>
  <c r="I32" i="6" s="1"/>
  <c r="I35" i="6" s="1"/>
  <c r="I36" i="6" s="1"/>
  <c r="H37" i="6"/>
  <c r="G11" i="8"/>
  <c r="G8" i="8" s="1"/>
  <c r="G13" i="8" s="1"/>
  <c r="G28" i="8" s="1"/>
  <c r="G30" i="8" s="1"/>
  <c r="G31" i="7" s="1"/>
  <c r="J54" i="7"/>
  <c r="J49" i="7" s="1"/>
  <c r="I24" i="8" l="1"/>
  <c r="I26" i="8" s="1"/>
  <c r="S13" i="9"/>
  <c r="G43" i="7"/>
  <c r="G34" i="7" s="1"/>
  <c r="G59" i="7" s="1"/>
  <c r="P23" i="9"/>
  <c r="P8" i="9"/>
  <c r="J29" i="6"/>
  <c r="J32" i="6" s="1"/>
  <c r="J35" i="6" s="1"/>
  <c r="J36" i="6" s="1"/>
  <c r="K31" i="6"/>
  <c r="K29" i="6" s="1"/>
  <c r="K32" i="6" s="1"/>
  <c r="K35" i="6" s="1"/>
  <c r="H29" i="8"/>
  <c r="G20" i="7"/>
  <c r="I37" i="6"/>
  <c r="H11" i="8"/>
  <c r="H8" i="8" s="1"/>
  <c r="H13" i="8" s="1"/>
  <c r="H28" i="8" s="1"/>
  <c r="L54" i="7"/>
  <c r="L49" i="7" s="1"/>
  <c r="K54" i="7"/>
  <c r="K49" i="7" s="1"/>
  <c r="H43" i="7" l="1"/>
  <c r="H34" i="7" s="1"/>
  <c r="H59" i="7" s="1"/>
  <c r="G32" i="7"/>
  <c r="Q16" i="9"/>
  <c r="Q18" i="9"/>
  <c r="G45" i="7"/>
  <c r="J24" i="8"/>
  <c r="J26" i="8" s="1"/>
  <c r="T13" i="9"/>
  <c r="L31" i="6"/>
  <c r="M31" i="6" s="1"/>
  <c r="V13" i="9" s="1"/>
  <c r="G44" i="7"/>
  <c r="H45" i="7"/>
  <c r="H44" i="7"/>
  <c r="J37" i="6"/>
  <c r="I11" i="8"/>
  <c r="I8" i="8" s="1"/>
  <c r="I13" i="8" s="1"/>
  <c r="I28" i="8" s="1"/>
  <c r="H30" i="8"/>
  <c r="H31" i="7" s="1"/>
  <c r="K36" i="6"/>
  <c r="Q11" i="9" l="1"/>
  <c r="Q8" i="9"/>
  <c r="L29" i="6"/>
  <c r="L32" i="6" s="1"/>
  <c r="L35" i="6" s="1"/>
  <c r="I43" i="7"/>
  <c r="I45" i="7" s="1"/>
  <c r="Q23" i="9"/>
  <c r="K24" i="8"/>
  <c r="K26" i="8" s="1"/>
  <c r="U13" i="9"/>
  <c r="I44" i="7"/>
  <c r="K37" i="6"/>
  <c r="J11" i="8"/>
  <c r="J8" i="8" s="1"/>
  <c r="J13" i="8" s="1"/>
  <c r="J28" i="8" s="1"/>
  <c r="I29" i="8"/>
  <c r="I30" i="8" s="1"/>
  <c r="I31" i="7" s="1"/>
  <c r="H20" i="7"/>
  <c r="M29" i="6"/>
  <c r="M32" i="6" s="1"/>
  <c r="M35" i="6" s="1"/>
  <c r="M36" i="6" s="1"/>
  <c r="L24" i="8"/>
  <c r="L26" i="8" s="1"/>
  <c r="L36" i="6"/>
  <c r="I34" i="7" l="1"/>
  <c r="I59" i="7" s="1"/>
  <c r="H32" i="7"/>
  <c r="R11" i="9" s="1"/>
  <c r="R18" i="9"/>
  <c r="R16" i="9"/>
  <c r="J43" i="7"/>
  <c r="J34" i="7" s="1"/>
  <c r="J59" i="7" s="1"/>
  <c r="M37" i="6"/>
  <c r="L11" i="8"/>
  <c r="L8" i="8" s="1"/>
  <c r="L13" i="8" s="1"/>
  <c r="L28" i="8" s="1"/>
  <c r="J29" i="8"/>
  <c r="J30" i="8" s="1"/>
  <c r="J31" i="7" s="1"/>
  <c r="I20" i="7"/>
  <c r="L37" i="6"/>
  <c r="K11" i="8"/>
  <c r="K8" i="8" s="1"/>
  <c r="K13" i="8" s="1"/>
  <c r="K28" i="8" s="1"/>
  <c r="J44" i="7" l="1"/>
  <c r="J45" i="7"/>
  <c r="I32" i="7"/>
  <c r="S11" i="9" s="1"/>
  <c r="S18" i="9"/>
  <c r="S16" i="9"/>
  <c r="K43" i="7"/>
  <c r="K45" i="7" s="1"/>
  <c r="R23" i="9"/>
  <c r="R8" i="9"/>
  <c r="J20" i="7"/>
  <c r="K29" i="8"/>
  <c r="K30" i="8" s="1"/>
  <c r="K31" i="7" s="1"/>
  <c r="K34" i="7" l="1"/>
  <c r="K59" i="7" s="1"/>
  <c r="J32" i="7"/>
  <c r="T11" i="9" s="1"/>
  <c r="T16" i="9"/>
  <c r="T18" i="9"/>
  <c r="L43" i="7"/>
  <c r="L44" i="7" s="1"/>
  <c r="K44" i="7"/>
  <c r="S23" i="9"/>
  <c r="S8" i="9"/>
  <c r="K20" i="7"/>
  <c r="L29" i="8"/>
  <c r="L30" i="8" s="1"/>
  <c r="K32" i="7" l="1"/>
  <c r="U11" i="9" s="1"/>
  <c r="U18" i="9"/>
  <c r="U16" i="9"/>
  <c r="T23" i="9"/>
  <c r="T8" i="9"/>
  <c r="L34" i="7"/>
  <c r="L59" i="7" s="1"/>
  <c r="L45" i="7"/>
  <c r="L31" i="7"/>
  <c r="L20" i="7" s="1"/>
  <c r="L32" i="7" l="1"/>
  <c r="V11" i="9" s="1"/>
  <c r="V18" i="9"/>
  <c r="V16" i="9"/>
  <c r="U23" i="9"/>
  <c r="U8" i="9"/>
  <c r="V23" i="9" l="1"/>
  <c r="V8" i="9"/>
  <c r="E57" i="4" l="1"/>
  <c r="E54" i="4" s="1"/>
  <c r="E49" i="4" s="1"/>
  <c r="F7" i="3"/>
  <c r="C21" i="9" s="1"/>
  <c r="F9" i="5" l="1"/>
  <c r="F8" i="5" s="1"/>
  <c r="F13" i="5" s="1"/>
  <c r="F28" i="5" s="1"/>
  <c r="E9" i="5"/>
  <c r="F13" i="3"/>
  <c r="F25" i="3" l="1"/>
  <c r="C6" i="9"/>
  <c r="C13" i="9" l="1"/>
  <c r="F32" i="3"/>
  <c r="F35" i="3" s="1"/>
  <c r="C4" i="9"/>
  <c r="F36" i="3" l="1"/>
  <c r="E11" i="5" s="1"/>
  <c r="E8" i="5" s="1"/>
  <c r="E13" i="5" s="1"/>
  <c r="E28" i="5" s="1"/>
  <c r="E30" i="5" s="1"/>
  <c r="F37" i="3" l="1"/>
  <c r="E31" i="4"/>
  <c r="E20" i="4" s="1"/>
  <c r="F29" i="5"/>
  <c r="F30" i="5" s="1"/>
  <c r="G29" i="5" l="1"/>
  <c r="G30" i="5" s="1"/>
  <c r="F31" i="4"/>
  <c r="F20" i="4" s="1"/>
  <c r="C18" i="9"/>
  <c r="C16" i="9"/>
  <c r="E32" i="4"/>
  <c r="E43" i="4"/>
  <c r="E34" i="4" l="1"/>
  <c r="E59" i="4" s="1"/>
  <c r="E45" i="4"/>
  <c r="F43" i="4"/>
  <c r="E44" i="4"/>
  <c r="C23" i="9"/>
  <c r="C11" i="9"/>
  <c r="F32" i="4"/>
  <c r="D18" i="9"/>
  <c r="D16" i="9"/>
  <c r="C8" i="9"/>
  <c r="H29" i="5"/>
  <c r="H30" i="5" s="1"/>
  <c r="G31" i="4"/>
  <c r="G20" i="4" s="1"/>
  <c r="G32" i="4" l="1"/>
  <c r="E16" i="9"/>
  <c r="E18" i="9"/>
  <c r="G43" i="4"/>
  <c r="F34" i="4"/>
  <c r="F59" i="4" s="1"/>
  <c r="F44" i="4"/>
  <c r="F45" i="4"/>
  <c r="D23" i="9"/>
  <c r="D11" i="9"/>
  <c r="D8" i="9"/>
  <c r="H31" i="4"/>
  <c r="H20" i="4" s="1"/>
  <c r="I29" i="5"/>
  <c r="I30" i="5" s="1"/>
  <c r="G45" i="4" l="1"/>
  <c r="G34" i="4"/>
  <c r="G59" i="4" s="1"/>
  <c r="G44" i="4"/>
  <c r="H43" i="4"/>
  <c r="I31" i="4"/>
  <c r="I20" i="4" s="1"/>
  <c r="J29" i="5"/>
  <c r="J30" i="5" s="1"/>
  <c r="H32" i="4"/>
  <c r="F18" i="9"/>
  <c r="F16" i="9"/>
  <c r="E11" i="9"/>
  <c r="E23" i="9"/>
  <c r="E8" i="9"/>
  <c r="K29" i="5" l="1"/>
  <c r="K30" i="5" s="1"/>
  <c r="J31" i="4"/>
  <c r="J20" i="4" s="1"/>
  <c r="G16" i="9"/>
  <c r="I32" i="4"/>
  <c r="G18" i="9"/>
  <c r="I43" i="4"/>
  <c r="H44" i="4"/>
  <c r="H45" i="4"/>
  <c r="H34" i="4"/>
  <c r="H59" i="4" s="1"/>
  <c r="F23" i="9"/>
  <c r="F8" i="9"/>
  <c r="F11" i="9"/>
  <c r="I34" i="4" l="1"/>
  <c r="I59" i="4" s="1"/>
  <c r="I44" i="4"/>
  <c r="J43" i="4"/>
  <c r="I45" i="4"/>
  <c r="G23" i="9"/>
  <c r="G8" i="9"/>
  <c r="G11" i="9"/>
  <c r="J32" i="4"/>
  <c r="H18" i="9"/>
  <c r="H16" i="9"/>
  <c r="L29" i="5"/>
  <c r="L30" i="5" s="1"/>
  <c r="L31" i="4" s="1"/>
  <c r="L20" i="4" s="1"/>
  <c r="K31" i="4"/>
  <c r="K20" i="4" s="1"/>
  <c r="I18" i="9" l="1"/>
  <c r="K32" i="4"/>
  <c r="I16" i="9"/>
  <c r="H8" i="9"/>
  <c r="H11" i="9"/>
  <c r="H23" i="9"/>
  <c r="J18" i="9"/>
  <c r="L32" i="4"/>
  <c r="J16" i="9"/>
  <c r="J34" i="4"/>
  <c r="J59" i="4" s="1"/>
  <c r="J45" i="4"/>
  <c r="J44" i="4"/>
  <c r="K43" i="4"/>
  <c r="K34" i="4" l="1"/>
  <c r="K59" i="4" s="1"/>
  <c r="L43" i="4"/>
  <c r="K44" i="4"/>
  <c r="K45" i="4"/>
  <c r="J11" i="9"/>
  <c r="J8" i="9"/>
  <c r="J23" i="9"/>
  <c r="I11" i="9"/>
  <c r="I23" i="9"/>
  <c r="I8" i="9"/>
  <c r="L34" i="4" l="1"/>
  <c r="L59" i="4" s="1"/>
  <c r="L45" i="4"/>
  <c r="L4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Silvija Bendoraitytė</author>
  </authors>
  <commentList>
    <comment ref="F43" authorId="0" shapeId="0" xr:uid="{8590C356-C2CA-4717-AAD8-93BBDEC9887C}">
      <text>
        <r>
          <rPr>
            <b/>
            <sz val="9"/>
            <color indexed="81"/>
            <rFont val="Tahoma"/>
            <family val="2"/>
          </rPr>
          <t>Silvija Bendoraitytė:</t>
        </r>
        <r>
          <rPr>
            <sz val="9"/>
            <color indexed="81"/>
            <rFont val="Tahoma"/>
            <family val="2"/>
          </rPr>
          <t xml:space="preserve">
Historical growth</t>
        </r>
      </text>
    </comment>
    <comment ref="G43" authorId="0" shapeId="0" xr:uid="{8D4294C1-3023-4C34-BD35-DAE121E08198}">
      <text>
        <r>
          <rPr>
            <b/>
            <sz val="9"/>
            <color indexed="81"/>
            <rFont val="Tahoma"/>
            <family val="2"/>
          </rPr>
          <t>Silvija Bendoraitytė:</t>
        </r>
        <r>
          <rPr>
            <sz val="9"/>
            <color indexed="81"/>
            <rFont val="Tahoma"/>
            <family val="2"/>
          </rPr>
          <t xml:space="preserve">
Historical growth is shrinking due to limited manufacturing capacity</t>
        </r>
      </text>
    </comment>
    <comment ref="H43" authorId="0" shapeId="0" xr:uid="{C9189758-438B-410D-9607-DFA3E0F17C45}">
      <text>
        <r>
          <rPr>
            <b/>
            <sz val="9"/>
            <color indexed="81"/>
            <rFont val="Tahoma"/>
            <family val="2"/>
          </rPr>
          <t>Silvija Bendoraitytė:</t>
        </r>
        <r>
          <rPr>
            <sz val="9"/>
            <color indexed="81"/>
            <rFont val="Tahoma"/>
            <family val="2"/>
          </rPr>
          <t xml:space="preserve">
Growth is recovered by new factory</t>
        </r>
      </text>
    </comment>
    <comment ref="I43" authorId="0" shapeId="0" xr:uid="{7E3B488D-62C0-4A12-882E-6DB026E8BF65}">
      <text>
        <r>
          <rPr>
            <b/>
            <sz val="9"/>
            <color indexed="81"/>
            <rFont val="Tahoma"/>
            <family val="2"/>
          </rPr>
          <t>Silvija Bendoraitytė:</t>
        </r>
        <r>
          <rPr>
            <sz val="9"/>
            <color indexed="81"/>
            <rFont val="Tahoma"/>
            <family val="2"/>
          </rPr>
          <t xml:space="preserve">
Constant growth estimated after factory is built</t>
        </r>
      </text>
    </comment>
    <comment ref="F46" authorId="0" shapeId="0" xr:uid="{7EEE6C7A-C7EB-40C0-92F2-E400250686BE}">
      <text>
        <r>
          <rPr>
            <b/>
            <sz val="9"/>
            <color indexed="81"/>
            <rFont val="Tahoma"/>
            <family val="2"/>
          </rPr>
          <t xml:space="preserve">Silvija Bendoraitytė
</t>
        </r>
        <r>
          <rPr>
            <sz val="9"/>
            <color indexed="81"/>
            <rFont val="Tahoma"/>
            <family val="2"/>
          </rPr>
          <t>Based on historical data</t>
        </r>
      </text>
    </comment>
    <comment ref="H47" authorId="0" shapeId="0" xr:uid="{2D757D35-ED78-43CC-823A-6563941BB36F}">
      <text>
        <r>
          <rPr>
            <b/>
            <sz val="9"/>
            <color indexed="81"/>
            <rFont val="Tahoma"/>
            <family val="2"/>
          </rPr>
          <t>Silvija Bendoraitytė:</t>
        </r>
        <r>
          <rPr>
            <sz val="9"/>
            <color indexed="81"/>
            <rFont val="Tahoma"/>
            <family val="2"/>
          </rPr>
          <t xml:space="preserve">
Defined by the task. Based on avg salary in Lithuania and additional needed workers #</t>
        </r>
      </text>
    </comment>
    <comment ref="F49" authorId="0" shapeId="0" xr:uid="{9F9AF467-70D6-49E9-8405-5744E70D21D6}">
      <text>
        <r>
          <rPr>
            <b/>
            <sz val="9"/>
            <color indexed="81"/>
            <rFont val="Tahoma"/>
            <family val="2"/>
          </rPr>
          <t>Silvija Bendoraitytė:</t>
        </r>
        <r>
          <rPr>
            <sz val="9"/>
            <color indexed="81"/>
            <rFont val="Tahoma"/>
            <family val="2"/>
          </rPr>
          <t xml:space="preserve">
Based on historical data</t>
        </r>
      </text>
    </comment>
    <comment ref="F56" authorId="0" shapeId="0" xr:uid="{F6381A2C-1306-4682-A0EF-75075F9B7B75}">
      <text>
        <r>
          <rPr>
            <b/>
            <sz val="9"/>
            <color indexed="81"/>
            <rFont val="Tahoma"/>
            <family val="2"/>
          </rPr>
          <t>Silvija Bendoraitytė:</t>
        </r>
        <r>
          <rPr>
            <sz val="9"/>
            <color indexed="81"/>
            <rFont val="Tahoma"/>
            <family val="2"/>
          </rPr>
          <t xml:space="preserve">
Based on historical data
</t>
        </r>
      </text>
    </comment>
    <comment ref="F58" authorId="0" shapeId="0" xr:uid="{08B7D9C9-70FA-4FC9-9752-7A9D1C13AD7F}">
      <text>
        <r>
          <rPr>
            <b/>
            <sz val="9"/>
            <color indexed="81"/>
            <rFont val="Tahoma"/>
            <family val="2"/>
          </rPr>
          <t>Silvija Bendoraitytė:</t>
        </r>
        <r>
          <rPr>
            <sz val="9"/>
            <color indexed="81"/>
            <rFont val="Tahoma"/>
            <family val="2"/>
          </rPr>
          <t xml:space="preserve">
Based on historical data</t>
        </r>
      </text>
    </comment>
    <comment ref="F59" authorId="0" shapeId="0" xr:uid="{E24A8716-4283-4B4B-9843-4B9E9E927D5E}">
      <text>
        <r>
          <rPr>
            <b/>
            <sz val="9"/>
            <color indexed="81"/>
            <rFont val="Tahoma"/>
            <family val="2"/>
          </rPr>
          <t>Silvija Bendoraitytė:</t>
        </r>
        <r>
          <rPr>
            <sz val="9"/>
            <color indexed="81"/>
            <rFont val="Tahoma"/>
            <family val="2"/>
          </rPr>
          <t xml:space="preserve">
Based on historical data</t>
        </r>
      </text>
    </comment>
    <comment ref="H59" authorId="0" shapeId="0" xr:uid="{7C9B30FB-E716-4344-AAED-2F020391A178}">
      <text>
        <r>
          <rPr>
            <b/>
            <sz val="9"/>
            <color indexed="81"/>
            <rFont val="Tahoma"/>
            <family val="2"/>
          </rPr>
          <t>Silvija Bendoraitytė:</t>
        </r>
        <r>
          <rPr>
            <sz val="9"/>
            <color indexed="81"/>
            <rFont val="Tahoma"/>
            <family val="2"/>
          </rPr>
          <t xml:space="preserve">
Increased efficiency once factory is built
</t>
        </r>
      </text>
    </comment>
    <comment ref="F61" authorId="0" shapeId="0" xr:uid="{1A2831C1-2284-46D3-8665-F04270F0D4B9}">
      <text>
        <r>
          <rPr>
            <b/>
            <sz val="9"/>
            <color indexed="81"/>
            <rFont val="Tahoma"/>
            <family val="2"/>
          </rPr>
          <t>Silvija Bendoraitytė:</t>
        </r>
        <r>
          <rPr>
            <sz val="9"/>
            <color indexed="81"/>
            <rFont val="Tahoma"/>
            <family val="2"/>
          </rPr>
          <t xml:space="preserve">
Based on historical data</t>
        </r>
      </text>
    </comment>
    <comment ref="H61" authorId="0" shapeId="0" xr:uid="{0D668110-2647-47D7-86C3-BCB6FE5CFCDC}">
      <text>
        <r>
          <rPr>
            <b/>
            <sz val="9"/>
            <color indexed="81"/>
            <rFont val="Tahoma"/>
            <family val="2"/>
          </rPr>
          <t>Silvija Bendoraitytė:</t>
        </r>
        <r>
          <rPr>
            <sz val="9"/>
            <color indexed="81"/>
            <rFont val="Tahoma"/>
            <family val="2"/>
          </rPr>
          <t xml:space="preserve">
Expenses are growing at lower rates once factory is built</t>
        </r>
      </text>
    </comment>
    <comment ref="F64" authorId="0" shapeId="0" xr:uid="{2A9D9296-15D5-4AF5-8D34-4B5663C3ABA9}">
      <text>
        <r>
          <rPr>
            <b/>
            <sz val="9"/>
            <color indexed="81"/>
            <rFont val="Tahoma"/>
            <family val="2"/>
          </rPr>
          <t>Silvija Bendoraitytė:</t>
        </r>
        <r>
          <rPr>
            <sz val="9"/>
            <color indexed="81"/>
            <rFont val="Tahoma"/>
            <family val="2"/>
          </rPr>
          <t xml:space="preserve">
Based on historical data</t>
        </r>
      </text>
    </comment>
    <comment ref="F67" authorId="0" shapeId="0" xr:uid="{0BBF8D26-844C-4366-BBD1-C89C4C1F78A6}">
      <text>
        <r>
          <rPr>
            <b/>
            <sz val="9"/>
            <color indexed="81"/>
            <rFont val="Tahoma"/>
            <family val="2"/>
          </rPr>
          <t>Silvija Bendoraitytė:</t>
        </r>
        <r>
          <rPr>
            <sz val="9"/>
            <color indexed="81"/>
            <rFont val="Tahoma"/>
            <family val="2"/>
          </rPr>
          <t xml:space="preserve">
Based on historical data</t>
        </r>
      </text>
    </comment>
    <comment ref="F73" authorId="0" shapeId="0" xr:uid="{E7E0A975-BA74-49B3-9053-12C2DECAD6A9}">
      <text>
        <r>
          <rPr>
            <b/>
            <sz val="9"/>
            <color indexed="81"/>
            <rFont val="Tahoma"/>
            <family val="2"/>
          </rPr>
          <t>Silvija Bendoraitytė:</t>
        </r>
        <r>
          <rPr>
            <sz val="9"/>
            <color indexed="81"/>
            <rFont val="Tahoma"/>
            <family val="2"/>
          </rPr>
          <t xml:space="preserve">
Based on historical data tax rate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Silvija Bendoraitytė</author>
  </authors>
  <commentList>
    <comment ref="F46" authorId="0" shapeId="0" xr:uid="{AD81E362-0620-42EC-866C-B05A12239975}">
      <text>
        <r>
          <rPr>
            <b/>
            <sz val="9"/>
            <color indexed="81"/>
            <rFont val="Tahoma"/>
            <family val="2"/>
          </rPr>
          <t xml:space="preserve">Silvija Bendoraitytė
</t>
        </r>
        <r>
          <rPr>
            <sz val="9"/>
            <color indexed="81"/>
            <rFont val="Tahoma"/>
            <family val="2"/>
          </rPr>
          <t>Based on historical data</t>
        </r>
      </text>
    </comment>
    <comment ref="F49" authorId="0" shapeId="0" xr:uid="{AFC95AC0-22C2-43E5-84BF-2C53F8534302}">
      <text>
        <r>
          <rPr>
            <b/>
            <sz val="9"/>
            <color indexed="81"/>
            <rFont val="Tahoma"/>
            <family val="2"/>
          </rPr>
          <t>Silvija Bendoraitytė:</t>
        </r>
        <r>
          <rPr>
            <sz val="9"/>
            <color indexed="81"/>
            <rFont val="Tahoma"/>
            <family val="2"/>
          </rPr>
          <t xml:space="preserve">
Based on historical data</t>
        </r>
      </text>
    </comment>
    <comment ref="F56" authorId="0" shapeId="0" xr:uid="{8EC5E9C1-BF4A-4031-A93F-CF7C5A5436DF}">
      <text>
        <r>
          <rPr>
            <b/>
            <sz val="9"/>
            <color indexed="81"/>
            <rFont val="Tahoma"/>
            <family val="2"/>
          </rPr>
          <t>Silvija Bendoraitytė:</t>
        </r>
        <r>
          <rPr>
            <sz val="9"/>
            <color indexed="81"/>
            <rFont val="Tahoma"/>
            <family val="2"/>
          </rPr>
          <t xml:space="preserve">
Based on historical data
</t>
        </r>
      </text>
    </comment>
    <comment ref="F59" authorId="0" shapeId="0" xr:uid="{AF7D1689-1633-4D7C-9457-48F3BC6F5CBB}">
      <text>
        <r>
          <rPr>
            <b/>
            <sz val="9"/>
            <color indexed="81"/>
            <rFont val="Tahoma"/>
            <family val="2"/>
          </rPr>
          <t>Silvija Bendoraitytė:</t>
        </r>
        <r>
          <rPr>
            <sz val="9"/>
            <color indexed="81"/>
            <rFont val="Tahoma"/>
            <family val="2"/>
          </rPr>
          <t xml:space="preserve">
Based on historical data</t>
        </r>
      </text>
    </comment>
    <comment ref="F61" authorId="0" shapeId="0" xr:uid="{16DD8E50-95DB-4261-AD1B-CC73EF219A2E}">
      <text>
        <r>
          <rPr>
            <b/>
            <sz val="9"/>
            <color indexed="81"/>
            <rFont val="Tahoma"/>
            <family val="2"/>
          </rPr>
          <t>Silvija Bendoraitytė:</t>
        </r>
        <r>
          <rPr>
            <sz val="9"/>
            <color indexed="81"/>
            <rFont val="Tahoma"/>
            <family val="2"/>
          </rPr>
          <t xml:space="preserve">
Historical data + 10% of revenue for marketing campaign</t>
        </r>
      </text>
    </comment>
    <comment ref="F64" authorId="0" shapeId="0" xr:uid="{45825DBA-0CFA-48F4-B24A-43464751AE03}">
      <text>
        <r>
          <rPr>
            <b/>
            <sz val="9"/>
            <color indexed="81"/>
            <rFont val="Tahoma"/>
            <family val="2"/>
          </rPr>
          <t>Silvija Bendoraitytė:</t>
        </r>
        <r>
          <rPr>
            <sz val="9"/>
            <color indexed="81"/>
            <rFont val="Tahoma"/>
            <family val="2"/>
          </rPr>
          <t xml:space="preserve">
Based on historical data</t>
        </r>
      </text>
    </comment>
    <comment ref="F67" authorId="0" shapeId="0" xr:uid="{66A43F44-6186-471E-9388-3EDF3DB91245}">
      <text>
        <r>
          <rPr>
            <b/>
            <sz val="9"/>
            <color indexed="81"/>
            <rFont val="Tahoma"/>
            <family val="2"/>
          </rPr>
          <t>Silvija Bendoraitytė:</t>
        </r>
        <r>
          <rPr>
            <sz val="9"/>
            <color indexed="81"/>
            <rFont val="Tahoma"/>
            <family val="2"/>
          </rPr>
          <t xml:space="preserve">
Based on historical data</t>
        </r>
      </text>
    </comment>
    <comment ref="F73" authorId="0" shapeId="0" xr:uid="{2EF2A0C0-0AD1-4873-94EA-1919188258B2}">
      <text>
        <r>
          <rPr>
            <b/>
            <sz val="9"/>
            <color indexed="81"/>
            <rFont val="Tahoma"/>
            <family val="2"/>
          </rPr>
          <t>Silvija Bendoraitytė:</t>
        </r>
        <r>
          <rPr>
            <sz val="9"/>
            <color indexed="81"/>
            <rFont val="Tahoma"/>
            <family val="2"/>
          </rPr>
          <t xml:space="preserve">
Based on historical data tax rate</t>
        </r>
      </text>
    </comment>
  </commentList>
</comments>
</file>

<file path=xl/sharedStrings.xml><?xml version="1.0" encoding="utf-8"?>
<sst xmlns="http://schemas.openxmlformats.org/spreadsheetml/2006/main" count="600" uniqueCount="252">
  <si>
    <t>Graded task</t>
  </si>
  <si>
    <t>You are a financial analyst working in manufacturing company. Your company's COO has come with a 2 development scenarious and ask you to evalute which one the company should go for.</t>
  </si>
  <si>
    <t>Details</t>
  </si>
  <si>
    <t>Two development scenarios are planned: with investments in fixed assets (buildings, equipment) or costs alone (marketing campaigns).</t>
  </si>
  <si>
    <t>The investment and financing structure is presented in a separate sheet.</t>
  </si>
  <si>
    <t>Scenarios</t>
  </si>
  <si>
    <t>1.</t>
  </si>
  <si>
    <t>The company will build a factory - buildings and machine tools.</t>
  </si>
  <si>
    <t>It is planned that after the implementation of the project, the sales volumes will increase by 50% from the current ones and should continue to increase by 10% annually.</t>
  </si>
  <si>
    <t>An additional 10 people with an average salary will be needed to service the new production capacity.</t>
  </si>
  <si>
    <t>Marketing budgets would need to be further adjusted to maintain projected sales growth.</t>
  </si>
  <si>
    <t>2.</t>
  </si>
  <si>
    <t>The company will carry out active marketing activities and develop an electronic product.</t>
  </si>
  <si>
    <t>Sales are expected to grow by 30% during the campaign. every year.</t>
  </si>
  <si>
    <t>In subsequent periods, advertising budgets are expected to fall to € 1 million / year, with growth expected to fall to 15%. (YoY).</t>
  </si>
  <si>
    <t>The provision and development of services will require the hiring of 10 people with 2x the average salary starting in the first year.</t>
  </si>
  <si>
    <t>After the implementation of the campaign, it is planned to receive 5 people each year in the following periods.</t>
  </si>
  <si>
    <t>Task</t>
  </si>
  <si>
    <t xml:space="preserve">Evaluate possible development scenarios. </t>
  </si>
  <si>
    <t>If information is missing, use your assumptions.</t>
  </si>
  <si>
    <t>Evaluation criterias</t>
  </si>
  <si>
    <t>Forecasted cash flows for the both development scenarios</t>
  </si>
  <si>
    <t>Forecasted turnover and profit under the both development scenarios</t>
  </si>
  <si>
    <t>Explained, which information was missing(if any) and how assumptions were made to solve the task</t>
  </si>
  <si>
    <t>Clearly presented findings based on calculations and conclutions made</t>
  </si>
  <si>
    <t>Tables, charts are structuted and informative</t>
  </si>
  <si>
    <t>Possible questions during project review:</t>
  </si>
  <si>
    <t>Which financial indicators are used to evaluate a development project?</t>
  </si>
  <si>
    <t>Which statement shows investments in tangible assets?</t>
  </si>
  <si>
    <t>Which statement shows loans to finance investments?</t>
  </si>
  <si>
    <t>Which type of expenses is salary?</t>
  </si>
  <si>
    <t>Which statement shows EBITDA?</t>
  </si>
  <si>
    <t>1 scenario</t>
  </si>
  <si>
    <t>2 scenario</t>
  </si>
  <si>
    <t>Project value and funding sources, EUR</t>
  </si>
  <si>
    <t>EUR, without VAT</t>
  </si>
  <si>
    <t>Total</t>
  </si>
  <si>
    <t>Investments in fixed assets - equipment</t>
  </si>
  <si>
    <t>Investments in fixed assets - buildings</t>
  </si>
  <si>
    <t>Salary of the project implementation team</t>
  </si>
  <si>
    <t>Purchase of services</t>
  </si>
  <si>
    <t>Total value of the project</t>
  </si>
  <si>
    <t>Private investment (third party)</t>
  </si>
  <si>
    <t>Own funds</t>
  </si>
  <si>
    <t>Financing of credit institutions</t>
  </si>
  <si>
    <t>Project funding sources, total</t>
  </si>
  <si>
    <t>Loan terms</t>
  </si>
  <si>
    <t>Private investment</t>
  </si>
  <si>
    <t>Duration - 5 years, interest rate - 5 percent.</t>
  </si>
  <si>
    <t>Refund - at expiration.</t>
  </si>
  <si>
    <t>Bank loan</t>
  </si>
  <si>
    <t>Duration - 3 years, interest rate - 3 percent.</t>
  </si>
  <si>
    <t>Repayment - a monthly loan balance of EUR 500,000 is repaid.</t>
  </si>
  <si>
    <t>Income Statement, EUR</t>
  </si>
  <si>
    <t>Articles</t>
  </si>
  <si>
    <t>I.</t>
  </si>
  <si>
    <t>SALES REVENUE</t>
  </si>
  <si>
    <t>II.</t>
  </si>
  <si>
    <t>COST OF SALES</t>
  </si>
  <si>
    <t>Depreciation and amortization</t>
  </si>
  <si>
    <t>Materials (raw materials)</t>
  </si>
  <si>
    <t>Wage</t>
  </si>
  <si>
    <t>Rental of industrial premises</t>
  </si>
  <si>
    <t>Others</t>
  </si>
  <si>
    <t>III.</t>
  </si>
  <si>
    <t>GROSS PROFIT (LOSS)</t>
  </si>
  <si>
    <t>IV.</t>
  </si>
  <si>
    <t>OPERATING COSTS</t>
  </si>
  <si>
    <t xml:space="preserve">  IV.1</t>
  </si>
  <si>
    <t>For sale</t>
  </si>
  <si>
    <t>Rent of premises</t>
  </si>
  <si>
    <t xml:space="preserve">  IV.2</t>
  </si>
  <si>
    <t>General and administrative</t>
  </si>
  <si>
    <t>V.</t>
  </si>
  <si>
    <t>PROFIT (LOSS) FROM TYPICAL OPERATIONS</t>
  </si>
  <si>
    <t>VI.</t>
  </si>
  <si>
    <t>ANOTHER ACTIVITY</t>
  </si>
  <si>
    <t xml:space="preserve">  VI.1.</t>
  </si>
  <si>
    <t>Income</t>
  </si>
  <si>
    <t xml:space="preserve">  VI.2.</t>
  </si>
  <si>
    <t>Costs</t>
  </si>
  <si>
    <t>VII.</t>
  </si>
  <si>
    <t>FINANCING AND INVESTING ACTIVITIES</t>
  </si>
  <si>
    <t xml:space="preserve">  VII.1.</t>
  </si>
  <si>
    <t xml:space="preserve">  VII.2.</t>
  </si>
  <si>
    <t>VIII.</t>
  </si>
  <si>
    <t>ORDINARY PROFIT (LOSS)</t>
  </si>
  <si>
    <t>X.</t>
  </si>
  <si>
    <t>LOSSES</t>
  </si>
  <si>
    <t>XI.</t>
  </si>
  <si>
    <t>PROFIT (LOSS) BEFORE TAX</t>
  </si>
  <si>
    <t>XII.</t>
  </si>
  <si>
    <t>INCOME TAX</t>
  </si>
  <si>
    <t>XIII.</t>
  </si>
  <si>
    <t>NET PROFIT (LOSS)</t>
  </si>
  <si>
    <t>Actual</t>
  </si>
  <si>
    <t>FIXED ASSETS</t>
  </si>
  <si>
    <t>INTANGIBLE ASSETS</t>
  </si>
  <si>
    <t>Patents and licenses</t>
  </si>
  <si>
    <t>software</t>
  </si>
  <si>
    <t>Other current assets</t>
  </si>
  <si>
    <t>MATERIAL WEALTH</t>
  </si>
  <si>
    <t>Earth</t>
  </si>
  <si>
    <t>Buildings and structures</t>
  </si>
  <si>
    <t>Machinery and equipment</t>
  </si>
  <si>
    <t>Vehicles</t>
  </si>
  <si>
    <t>Other equipment, tools and installations</t>
  </si>
  <si>
    <t>Construction work in progress</t>
  </si>
  <si>
    <t>FINANCIAL PROPERTY</t>
  </si>
  <si>
    <t>OTHER FIXED ASSETS</t>
  </si>
  <si>
    <t>CURRENT ASSETS</t>
  </si>
  <si>
    <t>STOCKS</t>
  </si>
  <si>
    <t>Raw materials and components</t>
  </si>
  <si>
    <t>Unfinished production</t>
  </si>
  <si>
    <t>Finished products</t>
  </si>
  <si>
    <t>Goods for resale</t>
  </si>
  <si>
    <t>Other</t>
  </si>
  <si>
    <t>AMOUNTS RECEIVABLE DURING ONE YEAR</t>
  </si>
  <si>
    <t>Trade receivables</t>
  </si>
  <si>
    <t>Other receivables</t>
  </si>
  <si>
    <t>OTHER CURRENT ASSETS</t>
  </si>
  <si>
    <t>CASH AND CASH EQUIVALENTS</t>
  </si>
  <si>
    <t>TOTAL ASSETS:</t>
  </si>
  <si>
    <t>PERSONAL CAPITAL</t>
  </si>
  <si>
    <t>CAPITAL:</t>
  </si>
  <si>
    <t>Authorized capital</t>
  </si>
  <si>
    <t>Discount extras</t>
  </si>
  <si>
    <t>REVALUATION RESERVE</t>
  </si>
  <si>
    <t>RESERVES:</t>
  </si>
  <si>
    <t>Mandatory</t>
  </si>
  <si>
    <t>Profit (loss) for the reporting year</t>
  </si>
  <si>
    <t>Profit (loss) for the previous year</t>
  </si>
  <si>
    <t>GRANTS AND SUBSIDIES</t>
  </si>
  <si>
    <t>PAYMENT SUMS AND LIABILITIES</t>
  </si>
  <si>
    <t>AMOUNTS PAYABLE AFTER ONE YEAR AND NON-CURRENT LIABILITIES</t>
  </si>
  <si>
    <t>Financial debts</t>
  </si>
  <si>
    <t>Other debts</t>
  </si>
  <si>
    <t>AMOUNTS PAYABLE WITHIN ONE YEAR AND CURRENT LIABILITIES</t>
  </si>
  <si>
    <t>Current part of long - term debt</t>
  </si>
  <si>
    <t>Debts to suppliers</t>
  </si>
  <si>
    <t>TOTAL EQUITY AND LIABILITIES:</t>
  </si>
  <si>
    <t>Cash inflow (including VAT):</t>
  </si>
  <si>
    <t>From customers</t>
  </si>
  <si>
    <t>Cash benefits:</t>
  </si>
  <si>
    <t>Money paid to suppliers</t>
  </si>
  <si>
    <t>For wages</t>
  </si>
  <si>
    <t>Fees paid</t>
  </si>
  <si>
    <t>Other benefits</t>
  </si>
  <si>
    <t>Net cash flows from manufacturing activities</t>
  </si>
  <si>
    <t>Acquisition of fixed assets</t>
  </si>
  <si>
    <t>Transfer of fixed assets</t>
  </si>
  <si>
    <t>Other cash flows from investing activities (listed)</t>
  </si>
  <si>
    <t>Net cash flows from investing activities</t>
  </si>
  <si>
    <t>Shareholders' contributions</t>
  </si>
  <si>
    <t>Dividends are paid</t>
  </si>
  <si>
    <t>Obtaining loans</t>
  </si>
  <si>
    <t>Repayment of loans</t>
  </si>
  <si>
    <t>Interest paid</t>
  </si>
  <si>
    <t>Other cash flows from financing activities</t>
  </si>
  <si>
    <t>Net cash flows from financing activities</t>
  </si>
  <si>
    <t>Cash flow</t>
  </si>
  <si>
    <t>Amount of money at the beginning of the year</t>
  </si>
  <si>
    <t>Amount of money at the end of the year</t>
  </si>
  <si>
    <t>Forecasted</t>
  </si>
  <si>
    <t>SCENARIO I - FACTORY</t>
  </si>
  <si>
    <t>Cash Flow Statement, EUR</t>
  </si>
  <si>
    <t>Balance Sheet, EUR</t>
  </si>
  <si>
    <t>ASSUMTIONS</t>
  </si>
  <si>
    <t>Avg Salary in LT</t>
  </si>
  <si>
    <t>Factory employees</t>
  </si>
  <si>
    <t>Factory emp, expense</t>
  </si>
  <si>
    <t>*Source: https://www.tagidas.lt/savadai/9006/</t>
  </si>
  <si>
    <t>Avg Salary Growth rate</t>
  </si>
  <si>
    <t>Salaries</t>
  </si>
  <si>
    <t>Private investment interest</t>
  </si>
  <si>
    <t>Bank loan interest</t>
  </si>
  <si>
    <t>Debt</t>
  </si>
  <si>
    <t>Equipment</t>
  </si>
  <si>
    <t>Building</t>
  </si>
  <si>
    <t>Lifetime</t>
  </si>
  <si>
    <t>Equip. depr</t>
  </si>
  <si>
    <t>Build. Depr</t>
  </si>
  <si>
    <t>Annual depr Inv 2018</t>
  </si>
  <si>
    <t>Annual depr Inv 2019</t>
  </si>
  <si>
    <t>Depreciation</t>
  </si>
  <si>
    <t>Trade receivables as % of revenue</t>
  </si>
  <si>
    <t>Project equipment depreciation</t>
  </si>
  <si>
    <t>Project building</t>
  </si>
  <si>
    <t>Project building depreciation</t>
  </si>
  <si>
    <t>Already owned equipment</t>
  </si>
  <si>
    <t>Already owned equipment depreciation</t>
  </si>
  <si>
    <t>Already owned Buildings and structures</t>
  </si>
  <si>
    <t>Already owned Vehicles</t>
  </si>
  <si>
    <t>Already owned Other equipment, tools and installations</t>
  </si>
  <si>
    <t>Already owned Buildings and structures depreciation</t>
  </si>
  <si>
    <t>Already owned Vehicles depreciation</t>
  </si>
  <si>
    <t>Already owned Other equipment, tools and installations depreciation</t>
  </si>
  <si>
    <t>Asset lifetime (years)</t>
  </si>
  <si>
    <t>Other receivablesas % of revenue</t>
  </si>
  <si>
    <t>Raw materials and components as % of next year revenue</t>
  </si>
  <si>
    <t>Other as % of next year revenue</t>
  </si>
  <si>
    <t>RETAINED EARNINGS (LOSS)</t>
  </si>
  <si>
    <t>Profit (loss) for the reporting year as % of RE</t>
  </si>
  <si>
    <t>Profit (loss) for the previous year as % of RE</t>
  </si>
  <si>
    <t>Debts to suppliers as % of COGS</t>
  </si>
  <si>
    <t>DEPRECIATION &amp; FIXED ASSETS</t>
  </si>
  <si>
    <t>DEBT OBLIGATIONS</t>
  </si>
  <si>
    <t>FINANCIAL DEBT</t>
  </si>
  <si>
    <t>Private Investment Project</t>
  </si>
  <si>
    <t>Bank Loan Project</t>
  </si>
  <si>
    <t>Other debts as % of assets</t>
  </si>
  <si>
    <t>Other as % of assets</t>
  </si>
  <si>
    <t>Otheras % of current assets</t>
  </si>
  <si>
    <t>No information about other activities in the future</t>
  </si>
  <si>
    <t>To return next year</t>
  </si>
  <si>
    <t>Project equipment after depr</t>
  </si>
  <si>
    <t>Key assumptions</t>
  </si>
  <si>
    <t>*Adjusted for change in average salary in LT</t>
  </si>
  <si>
    <t>1. sales volumes will increase by 50% from the current ones and should continue to increase by 10% annually until 2025
2. An additional 10 people with an average salary in manufacturing
3. Decrease in administration and general wage expenses growth after factory is built due to increased efficiency
4. Decrease in marketing expenses growth speed after factory is built and brand recognision is expanding</t>
  </si>
  <si>
    <t>Based on historical data</t>
  </si>
  <si>
    <t>SCENARIO II - PRODUCT</t>
  </si>
  <si>
    <t>Sales employees</t>
  </si>
  <si>
    <t>Annual depreciation</t>
  </si>
  <si>
    <t>Building depr</t>
  </si>
  <si>
    <t>Machinery depr</t>
  </si>
  <si>
    <t>Viechles depr</t>
  </si>
  <si>
    <t>Other depr</t>
  </si>
  <si>
    <t>1. Marketing campaign will last for 3 years (2 years while investments are being made and one additional year while campaign can sustain itself without additional cash inflows due to premade investments).
2. Marketing campaign will increase expenses by 10% of revenue during campaign.
3. Campaign is not going to acquire any additional fixed assets</t>
  </si>
  <si>
    <t>Scenario I - FACTORY</t>
  </si>
  <si>
    <t>Scenario II - PRODUCT/MARKETING</t>
  </si>
  <si>
    <t>Profitability</t>
  </si>
  <si>
    <t>Leverage</t>
  </si>
  <si>
    <t>Liquidity</t>
  </si>
  <si>
    <t>Efficiency</t>
  </si>
  <si>
    <t>Inventory turnover</t>
  </si>
  <si>
    <t>Quick ratio</t>
  </si>
  <si>
    <t>Current ratio</t>
  </si>
  <si>
    <t>Asset turnover</t>
  </si>
  <si>
    <t>Gross margin</t>
  </si>
  <si>
    <t>Revenue Per Employee Ratio</t>
  </si>
  <si>
    <t>Interest coverage ratio</t>
  </si>
  <si>
    <t>Return on Assets</t>
  </si>
  <si>
    <t>Operating margin</t>
  </si>
  <si>
    <t>Manufacturing Industry data from: https://csimarket.com/Industry/industry_Financial_Strength_Ratios.php?ind=206&amp;hist=20</t>
  </si>
  <si>
    <t>Avg growth</t>
  </si>
  <si>
    <t># of employees</t>
  </si>
  <si>
    <t>Debt to Assets</t>
  </si>
  <si>
    <t>Industry Debt to Assets</t>
  </si>
  <si>
    <t>PROFITABILITY</t>
  </si>
  <si>
    <t>LEVERAGE</t>
  </si>
  <si>
    <t>LIQUIDITY</t>
  </si>
  <si>
    <t>EFFICIENCY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</si>
</sst>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_);_(* \(#,##0\);_(* &quot;-&quot;_);_(@_)"/>
    <numFmt numFmtId="165" formatCode="_-* #,##0_-;\-* #,##0_-;_-* &quot;-&quot;??_-;_-@_-"/>
    <numFmt numFmtId="166" formatCode="0.0%"/>
    <numFmt numFmtId="167" formatCode="0.0"/>
  </numFmts>
  <fonts count="42" x14ac:knownFonts="1">
    <font>
      <sz val="10"/>
      <color rgb="FF000000"/>
      <name val="Arial"/>
      <scheme val="minor"/>
    </font>
    <font>
      <sz val="10"/>
      <color theme="1"/>
      <name val="Arial"/>
      <family val="2"/>
      <scheme val="minor"/>
    </font>
    <font>
      <sz val="10"/>
      <color theme="1"/>
      <name val="Arial"/>
      <family val="2"/>
    </font>
    <font>
      <b/>
      <sz val="10"/>
      <color theme="1"/>
      <name val="Arial"/>
      <family val="2"/>
      <scheme val="minor"/>
    </font>
    <font>
      <b/>
      <i/>
      <sz val="10"/>
      <color theme="1"/>
      <name val="Arial"/>
      <family val="2"/>
    </font>
    <font>
      <b/>
      <sz val="10"/>
      <color theme="1"/>
      <name val="Arial"/>
      <family val="2"/>
    </font>
    <font>
      <sz val="10"/>
      <name val="Arial"/>
      <family val="2"/>
    </font>
    <font>
      <sz val="11"/>
      <color rgb="FF000000"/>
      <name val="Calibri"/>
      <family val="2"/>
    </font>
    <font>
      <b/>
      <sz val="11"/>
      <color rgb="FF000000"/>
      <name val="Calibri"/>
      <family val="2"/>
    </font>
    <font>
      <i/>
      <sz val="10"/>
      <color theme="1"/>
      <name val="Arial"/>
      <family val="2"/>
    </font>
    <font>
      <sz val="10"/>
      <color theme="1"/>
      <name val="Times New Roman"/>
      <family val="1"/>
    </font>
    <font>
      <b/>
      <sz val="10"/>
      <color theme="1"/>
      <name val="Times New Roman"/>
      <family val="1"/>
    </font>
    <font>
      <i/>
      <sz val="10"/>
      <color rgb="FF000000"/>
      <name val="Times New Roman"/>
      <family val="1"/>
    </font>
    <font>
      <b/>
      <sz val="12"/>
      <color theme="1"/>
      <name val="Times New Roman"/>
      <family val="1"/>
    </font>
    <font>
      <u/>
      <sz val="10"/>
      <color rgb="FF000000"/>
      <name val="Times New Roman"/>
      <family val="1"/>
    </font>
    <font>
      <sz val="10"/>
      <color rgb="FF000000"/>
      <name val="Times New Roman"/>
      <family val="1"/>
    </font>
    <font>
      <b/>
      <sz val="10"/>
      <color rgb="FF000000"/>
      <name val="Times New Roman"/>
      <family val="1"/>
    </font>
    <font>
      <i/>
      <sz val="10"/>
      <color theme="1"/>
      <name val="Times New Roman"/>
      <family val="1"/>
    </font>
    <font>
      <sz val="10"/>
      <color rgb="FF000000"/>
      <name val="Arial"/>
      <family val="2"/>
      <scheme val="minor"/>
    </font>
    <font>
      <sz val="9"/>
      <color indexed="81"/>
      <name val="Tahoma"/>
      <family val="2"/>
    </font>
    <font>
      <b/>
      <sz val="9"/>
      <color indexed="81"/>
      <name val="Tahoma"/>
      <family val="2"/>
    </font>
    <font>
      <b/>
      <sz val="10"/>
      <color theme="2" tint="-4.9989318521683403E-2"/>
      <name val="Times New Roman"/>
      <family val="1"/>
    </font>
    <font>
      <sz val="10"/>
      <color theme="2" tint="-4.9989318521683403E-2"/>
      <name val="Times New Roman"/>
      <family val="1"/>
    </font>
    <font>
      <i/>
      <sz val="9"/>
      <color rgb="FF000000"/>
      <name val="Times New Roman"/>
      <family val="1"/>
    </font>
    <font>
      <sz val="10"/>
      <color theme="4"/>
      <name val="Times New Roman"/>
      <family val="1"/>
    </font>
    <font>
      <sz val="10"/>
      <name val="Times New Roman"/>
      <family val="1"/>
    </font>
    <font>
      <sz val="10"/>
      <color rgb="FF0070C0"/>
      <name val="Times New Roman"/>
      <family val="1"/>
    </font>
    <font>
      <b/>
      <sz val="10"/>
      <color rgb="FF0070C0"/>
      <name val="Times New Roman"/>
      <family val="1"/>
    </font>
    <font>
      <b/>
      <sz val="10"/>
      <name val="Times New Roman"/>
      <family val="1"/>
    </font>
    <font>
      <sz val="8"/>
      <name val="Arial"/>
      <family val="2"/>
      <scheme val="minor"/>
    </font>
    <font>
      <b/>
      <sz val="22"/>
      <color theme="1"/>
      <name val="Times New Roman"/>
      <family val="1"/>
    </font>
    <font>
      <i/>
      <sz val="10"/>
      <name val="Times New Roman"/>
      <family val="1"/>
    </font>
    <font>
      <i/>
      <sz val="10"/>
      <color rgb="FF00B050"/>
      <name val="Times New Roman"/>
      <family val="1"/>
    </font>
    <font>
      <b/>
      <sz val="10"/>
      <color rgb="FF00B050"/>
      <name val="Times New Roman"/>
      <family val="1"/>
    </font>
    <font>
      <sz val="10"/>
      <color rgb="FF00B050"/>
      <name val="Times New Roman"/>
      <family val="1"/>
    </font>
    <font>
      <sz val="10"/>
      <color theme="1"/>
      <name val="Calibri"/>
      <family val="2"/>
    </font>
    <font>
      <i/>
      <sz val="9"/>
      <color theme="1"/>
      <name val="Times New Roman"/>
      <family val="1"/>
    </font>
    <font>
      <sz val="10"/>
      <color rgb="FFFF0000"/>
      <name val="Times New Roman"/>
      <family val="1"/>
    </font>
    <font>
      <b/>
      <sz val="10"/>
      <color rgb="FFFF0000"/>
      <name val="Times New Roman"/>
      <family val="1"/>
    </font>
    <font>
      <sz val="10"/>
      <color rgb="FFC00000"/>
      <name val="Times New Roman"/>
      <family val="1"/>
    </font>
    <font>
      <i/>
      <sz val="10"/>
      <color rgb="FFC00000"/>
      <name val="Times New Roman"/>
      <family val="1"/>
    </font>
    <font>
      <i/>
      <sz val="10"/>
      <color rgb="FF0070C0"/>
      <name val="Times New Roman"/>
      <family val="1"/>
    </font>
  </fonts>
  <fills count="6">
    <fill>
      <patternFill patternType="none"/>
    </fill>
    <fill>
      <patternFill patternType="gray125"/>
    </fill>
    <fill>
      <patternFill patternType="solid">
        <fgColor rgb="FFDDDDFF"/>
        <bgColor indexed="64"/>
      </patternFill>
    </fill>
    <fill>
      <patternFill patternType="solid">
        <fgColor theme="2" tint="-4.9989318521683403E-2"/>
        <bgColor indexed="64"/>
      </patternFill>
    </fill>
    <fill>
      <patternFill patternType="solid">
        <fgColor theme="4" tint="0.79998168889431442"/>
        <bgColor indexed="64"/>
      </patternFill>
    </fill>
    <fill>
      <patternFill patternType="solid">
        <fgColor theme="0" tint="-4.9989318521683403E-2"/>
        <bgColor indexed="64"/>
      </patternFill>
    </fill>
  </fills>
  <borders count="24">
    <border>
      <left/>
      <right/>
      <top/>
      <bottom/>
      <diagonal/>
    </border>
    <border>
      <left style="double">
        <color rgb="FF000000"/>
      </left>
      <right style="thin">
        <color rgb="FF000000"/>
      </right>
      <top style="double">
        <color rgb="FF000000"/>
      </top>
      <bottom/>
      <diagonal/>
    </border>
    <border>
      <left style="thin">
        <color rgb="FF000000"/>
      </left>
      <right/>
      <top style="double">
        <color rgb="FF000000"/>
      </top>
      <bottom style="thin">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double">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thin">
        <color rgb="FF000000"/>
      </bottom>
      <diagonal/>
    </border>
    <border>
      <left style="double">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double">
        <color rgb="FF000000"/>
      </left>
      <right style="thin">
        <color rgb="FF000000"/>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style="double">
        <color rgb="FF000000"/>
      </right>
      <top style="thin">
        <color rgb="FF000000"/>
      </top>
      <bottom style="double">
        <color rgb="FF000000"/>
      </bottom>
      <diagonal/>
    </border>
    <border>
      <left/>
      <right/>
      <top style="thin">
        <color rgb="FF000000"/>
      </top>
      <bottom/>
      <diagonal/>
    </border>
    <border>
      <left/>
      <right/>
      <top/>
      <bottom style="thin">
        <color rgb="FF000000"/>
      </bottom>
      <diagonal/>
    </border>
    <border>
      <left/>
      <right/>
      <top style="thin">
        <color indexed="64"/>
      </top>
      <bottom/>
      <diagonal/>
    </border>
    <border>
      <left style="thin">
        <color theme="0" tint="-0.34998626667073579"/>
      </left>
      <right/>
      <top/>
      <bottom/>
      <diagonal/>
    </border>
    <border>
      <left style="thin">
        <color theme="0" tint="-0.34998626667073579"/>
      </left>
      <right/>
      <top style="thin">
        <color indexed="64"/>
      </top>
      <bottom/>
      <diagonal/>
    </border>
    <border>
      <left/>
      <right/>
      <top/>
      <bottom style="thin">
        <color indexed="64"/>
      </bottom>
      <diagonal/>
    </border>
    <border>
      <left/>
      <right style="thin">
        <color theme="0" tint="-0.34998626667073579"/>
      </right>
      <top/>
      <bottom/>
      <diagonal/>
    </border>
    <border>
      <left/>
      <right/>
      <top/>
      <bottom style="thin">
        <color theme="0" tint="-0.34998626667073579"/>
      </bottom>
      <diagonal/>
    </border>
  </borders>
  <cellStyleXfs count="3">
    <xf numFmtId="0" fontId="0" fillId="0" borderId="0"/>
    <xf numFmtId="43" fontId="18" fillId="0" borderId="0" applyFont="0" applyFill="0" applyBorder="0" applyAlignment="0" applyProtection="0"/>
    <xf numFmtId="9" fontId="18" fillId="0" borderId="0" applyFont="0" applyFill="0" applyBorder="0" applyAlignment="0" applyProtection="0"/>
  </cellStyleXfs>
  <cellXfs count="185">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quotePrefix="1" applyFont="1" applyAlignment="1">
      <alignment horizontal="right"/>
    </xf>
    <xf numFmtId="0" fontId="5" fillId="0" borderId="0" xfId="0" applyFont="1"/>
    <xf numFmtId="0" fontId="5" fillId="0" borderId="1" xfId="0" applyFont="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7" fillId="0" borderId="7" xfId="0" applyFont="1" applyBorder="1" applyAlignment="1">
      <alignment horizontal="left" vertical="center"/>
    </xf>
    <xf numFmtId="4" fontId="2" fillId="0" borderId="6" xfId="0" applyNumberFormat="1" applyFont="1" applyBorder="1"/>
    <xf numFmtId="4" fontId="2" fillId="0" borderId="8" xfId="0" applyNumberFormat="1" applyFont="1" applyBorder="1"/>
    <xf numFmtId="0" fontId="8" fillId="0" borderId="7" xfId="0" applyFont="1" applyBorder="1" applyAlignment="1">
      <alignment vertical="center"/>
    </xf>
    <xf numFmtId="4" fontId="5" fillId="0" borderId="6" xfId="0" applyNumberFormat="1" applyFont="1" applyBorder="1"/>
    <xf numFmtId="4" fontId="5" fillId="0" borderId="8" xfId="0" applyNumberFormat="1" applyFont="1" applyBorder="1"/>
    <xf numFmtId="0" fontId="8" fillId="0" borderId="9" xfId="0" applyFont="1" applyBorder="1" applyAlignment="1">
      <alignment vertical="center"/>
    </xf>
    <xf numFmtId="4" fontId="5" fillId="0" borderId="10" xfId="0" applyNumberFormat="1" applyFont="1" applyBorder="1"/>
    <xf numFmtId="4" fontId="5" fillId="0" borderId="11" xfId="0" applyNumberFormat="1" applyFont="1" applyBorder="1"/>
    <xf numFmtId="4" fontId="2" fillId="0" borderId="11" xfId="0" applyNumberFormat="1" applyFont="1" applyBorder="1"/>
    <xf numFmtId="0" fontId="8" fillId="0" borderId="12" xfId="0" applyFont="1" applyBorder="1" applyAlignment="1">
      <alignment vertical="center"/>
    </xf>
    <xf numFmtId="4" fontId="5" fillId="0" borderId="13" xfId="0" applyNumberFormat="1" applyFont="1" applyBorder="1"/>
    <xf numFmtId="4" fontId="5" fillId="0" borderId="14" xfId="0" applyNumberFormat="1" applyFont="1" applyBorder="1"/>
    <xf numFmtId="4" fontId="5" fillId="0" borderId="15" xfId="0" applyNumberFormat="1" applyFont="1" applyBorder="1"/>
    <xf numFmtId="4" fontId="2" fillId="0" borderId="0" xfId="0" applyNumberFormat="1" applyFont="1"/>
    <xf numFmtId="0" fontId="9" fillId="0" borderId="0" xfId="0" applyFont="1"/>
    <xf numFmtId="0" fontId="10" fillId="0" borderId="0" xfId="0" applyFont="1"/>
    <xf numFmtId="164" fontId="10" fillId="0" borderId="0" xfId="0" applyNumberFormat="1" applyFont="1"/>
    <xf numFmtId="1" fontId="10" fillId="0" borderId="16" xfId="0" applyNumberFormat="1" applyFont="1" applyBorder="1" applyAlignment="1">
      <alignment horizontal="center" vertical="center" wrapText="1"/>
    </xf>
    <xf numFmtId="0" fontId="11" fillId="0" borderId="0" xfId="0" applyFont="1"/>
    <xf numFmtId="0" fontId="11" fillId="0" borderId="0" xfId="0" applyFont="1" applyAlignment="1">
      <alignment horizontal="left"/>
    </xf>
    <xf numFmtId="3" fontId="11" fillId="0" borderId="0" xfId="0" applyNumberFormat="1" applyFont="1" applyAlignment="1">
      <alignment horizontal="right"/>
    </xf>
    <xf numFmtId="3" fontId="10" fillId="0" borderId="0" xfId="0" applyNumberFormat="1" applyFont="1" applyAlignment="1">
      <alignment vertical="center" wrapText="1"/>
    </xf>
    <xf numFmtId="3" fontId="11" fillId="0" borderId="0" xfId="0" applyNumberFormat="1" applyFont="1"/>
    <xf numFmtId="0" fontId="10" fillId="0" borderId="0" xfId="0" applyFont="1" applyAlignment="1">
      <alignment horizontal="left"/>
    </xf>
    <xf numFmtId="3" fontId="10" fillId="0" borderId="0" xfId="0" applyNumberFormat="1" applyFont="1"/>
    <xf numFmtId="1" fontId="10" fillId="0" borderId="0" xfId="0" applyNumberFormat="1" applyFont="1"/>
    <xf numFmtId="0" fontId="11" fillId="0" borderId="0" xfId="0" applyFont="1" applyAlignment="1">
      <alignment horizontal="center"/>
    </xf>
    <xf numFmtId="0" fontId="13" fillId="2" borderId="0" xfId="0" applyFont="1" applyFill="1"/>
    <xf numFmtId="0" fontId="14" fillId="0" borderId="0" xfId="0" applyFont="1"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0" fontId="10" fillId="0" borderId="18" xfId="0" applyFont="1" applyBorder="1" applyAlignment="1">
      <alignment horizontal="center" vertical="center" wrapText="1"/>
    </xf>
    <xf numFmtId="1" fontId="10" fillId="0" borderId="18" xfId="0" applyNumberFormat="1" applyFont="1" applyBorder="1" applyAlignment="1">
      <alignment horizontal="center" vertical="center" wrapText="1"/>
    </xf>
    <xf numFmtId="1" fontId="10" fillId="0" borderId="20" xfId="0" applyNumberFormat="1" applyFont="1" applyBorder="1" applyAlignment="1">
      <alignment horizontal="center" vertical="center" wrapText="1"/>
    </xf>
    <xf numFmtId="0" fontId="17" fillId="0" borderId="0" xfId="0" applyFont="1" applyAlignment="1">
      <alignment horizontal="left" indent="1"/>
    </xf>
    <xf numFmtId="0" fontId="12" fillId="0" borderId="0" xfId="0" applyFont="1" applyAlignment="1">
      <alignment horizontal="left" vertical="center" wrapText="1" indent="1"/>
    </xf>
    <xf numFmtId="0" fontId="11" fillId="3" borderId="0" xfId="0" applyFont="1" applyFill="1" applyAlignment="1">
      <alignment horizontal="left"/>
    </xf>
    <xf numFmtId="3" fontId="11" fillId="3" borderId="0" xfId="0" applyNumberFormat="1" applyFont="1" applyFill="1" applyAlignment="1">
      <alignment horizontal="right"/>
    </xf>
    <xf numFmtId="0" fontId="12" fillId="3" borderId="0" xfId="0" applyFont="1" applyFill="1" applyAlignment="1">
      <alignment horizontal="left" vertical="center" wrapText="1" indent="1"/>
    </xf>
    <xf numFmtId="3" fontId="10" fillId="3" borderId="0" xfId="0" applyNumberFormat="1" applyFont="1" applyFill="1" applyAlignment="1">
      <alignment vertical="center" wrapText="1"/>
    </xf>
    <xf numFmtId="0" fontId="10" fillId="3" borderId="0" xfId="0" applyFont="1" applyFill="1" applyAlignment="1">
      <alignment horizontal="left"/>
    </xf>
    <xf numFmtId="3" fontId="10" fillId="3" borderId="0" xfId="0" applyNumberFormat="1" applyFont="1" applyFill="1"/>
    <xf numFmtId="3" fontId="21" fillId="3" borderId="0" xfId="0" applyNumberFormat="1" applyFont="1" applyFill="1" applyAlignment="1">
      <alignment horizontal="right"/>
    </xf>
    <xf numFmtId="0" fontId="21" fillId="3" borderId="0" xfId="0" applyFont="1" applyFill="1" applyAlignment="1">
      <alignment horizontal="left"/>
    </xf>
    <xf numFmtId="3" fontId="21" fillId="3" borderId="0" xfId="0" applyNumberFormat="1" applyFont="1" applyFill="1"/>
    <xf numFmtId="3" fontId="22" fillId="3" borderId="0" xfId="0" applyNumberFormat="1" applyFont="1" applyFill="1"/>
    <xf numFmtId="0" fontId="10" fillId="0" borderId="22" xfId="0" applyFont="1" applyBorder="1"/>
    <xf numFmtId="0" fontId="18" fillId="0" borderId="0" xfId="0" applyFont="1"/>
    <xf numFmtId="0" fontId="15" fillId="0" borderId="0" xfId="0" applyFont="1"/>
    <xf numFmtId="1" fontId="15" fillId="0" borderId="0" xfId="0" applyNumberFormat="1" applyFont="1"/>
    <xf numFmtId="9" fontId="15" fillId="0" borderId="0" xfId="2" applyFont="1"/>
    <xf numFmtId="0" fontId="23" fillId="0" borderId="0" xfId="0" applyFont="1"/>
    <xf numFmtId="0" fontId="24" fillId="0" borderId="0" xfId="0" applyFont="1"/>
    <xf numFmtId="1" fontId="24" fillId="0" borderId="0" xfId="0" applyNumberFormat="1" applyFont="1"/>
    <xf numFmtId="9" fontId="24" fillId="0" borderId="0" xfId="2" applyFont="1"/>
    <xf numFmtId="0" fontId="10" fillId="0" borderId="0" xfId="0" applyFont="1" applyAlignment="1">
      <alignment horizontal="center" vertical="center"/>
    </xf>
    <xf numFmtId="0" fontId="15" fillId="0" borderId="0" xfId="0" applyFont="1" applyAlignment="1">
      <alignment horizontal="center" vertical="center"/>
    </xf>
    <xf numFmtId="0" fontId="24" fillId="0" borderId="0" xfId="0" applyFont="1" applyAlignment="1">
      <alignment horizontal="center" vertical="center"/>
    </xf>
    <xf numFmtId="9" fontId="27" fillId="3" borderId="0" xfId="2" applyFont="1" applyFill="1" applyBorder="1"/>
    <xf numFmtId="165" fontId="27" fillId="3" borderId="0" xfId="1" applyNumberFormat="1" applyFont="1" applyFill="1" applyBorder="1"/>
    <xf numFmtId="165" fontId="26" fillId="3" borderId="0" xfId="1" applyNumberFormat="1" applyFont="1" applyFill="1" applyBorder="1"/>
    <xf numFmtId="9" fontId="26" fillId="3" borderId="0" xfId="2" applyFont="1" applyFill="1" applyBorder="1"/>
    <xf numFmtId="165" fontId="11" fillId="0" borderId="0" xfId="1" applyNumberFormat="1" applyFont="1"/>
    <xf numFmtId="165" fontId="10" fillId="0" borderId="0" xfId="1" applyNumberFormat="1" applyFont="1"/>
    <xf numFmtId="166" fontId="26" fillId="3" borderId="0" xfId="2" applyNumberFormat="1" applyFont="1" applyFill="1" applyBorder="1"/>
    <xf numFmtId="9" fontId="10" fillId="0" borderId="0" xfId="0" applyNumberFormat="1" applyFont="1"/>
    <xf numFmtId="9" fontId="10" fillId="0" borderId="0" xfId="2" applyFont="1"/>
    <xf numFmtId="3" fontId="28" fillId="3" borderId="0" xfId="0" applyNumberFormat="1" applyFont="1" applyFill="1"/>
    <xf numFmtId="0" fontId="25" fillId="0" borderId="0" xfId="0" applyFont="1" applyAlignment="1">
      <alignment horizontal="center" vertical="center"/>
    </xf>
    <xf numFmtId="165" fontId="10" fillId="0" borderId="0" xfId="1" applyNumberFormat="1" applyFont="1" applyFill="1"/>
    <xf numFmtId="0" fontId="17" fillId="3" borderId="0" xfId="0" applyFont="1" applyFill="1" applyAlignment="1">
      <alignment horizontal="left" indent="1"/>
    </xf>
    <xf numFmtId="0" fontId="10" fillId="0" borderId="0" xfId="0" applyFont="1" applyAlignment="1">
      <alignment horizontal="right"/>
    </xf>
    <xf numFmtId="0" fontId="10" fillId="3" borderId="0" xfId="0" applyFont="1" applyFill="1"/>
    <xf numFmtId="9" fontId="10" fillId="3" borderId="0" xfId="2" applyFont="1" applyFill="1"/>
    <xf numFmtId="166" fontId="10" fillId="3" borderId="0" xfId="2" applyNumberFormat="1" applyFont="1" applyFill="1"/>
    <xf numFmtId="0" fontId="11" fillId="3" borderId="0" xfId="0" applyFont="1" applyFill="1"/>
    <xf numFmtId="3" fontId="11" fillId="3" borderId="0" xfId="0" applyNumberFormat="1" applyFont="1" applyFill="1"/>
    <xf numFmtId="165" fontId="15" fillId="0" borderId="0" xfId="1" applyNumberFormat="1" applyFont="1"/>
    <xf numFmtId="0" fontId="10" fillId="0" borderId="0" xfId="0" applyFont="1" applyAlignment="1">
      <alignment horizontal="center"/>
    </xf>
    <xf numFmtId="3" fontId="17" fillId="0" borderId="0" xfId="0" applyNumberFormat="1" applyFont="1"/>
    <xf numFmtId="165" fontId="10" fillId="0" borderId="0" xfId="0" applyNumberFormat="1" applyFont="1"/>
    <xf numFmtId="3" fontId="17" fillId="0" borderId="19" xfId="0" applyNumberFormat="1" applyFont="1" applyBorder="1" applyAlignment="1">
      <alignment vertical="center" wrapText="1"/>
    </xf>
    <xf numFmtId="3" fontId="17" fillId="0" borderId="0" xfId="0" applyNumberFormat="1" applyFont="1" applyAlignment="1">
      <alignment vertical="center" wrapText="1"/>
    </xf>
    <xf numFmtId="3" fontId="10" fillId="0" borderId="19" xfId="0" applyNumberFormat="1" applyFont="1" applyBorder="1" applyAlignment="1">
      <alignment vertical="center" wrapText="1"/>
    </xf>
    <xf numFmtId="3" fontId="11" fillId="0" borderId="19" xfId="0" applyNumberFormat="1" applyFont="1" applyBorder="1" applyAlignment="1">
      <alignment vertical="center" wrapText="1"/>
    </xf>
    <xf numFmtId="3" fontId="11" fillId="0" borderId="0" xfId="0" applyNumberFormat="1" applyFont="1" applyAlignment="1">
      <alignment vertical="center" wrapText="1"/>
    </xf>
    <xf numFmtId="0" fontId="10" fillId="0" borderId="0" xfId="0" applyFont="1" applyAlignment="1">
      <alignment vertical="center" wrapText="1"/>
    </xf>
    <xf numFmtId="0" fontId="10" fillId="0" borderId="19" xfId="0" applyFont="1" applyBorder="1"/>
    <xf numFmtId="3" fontId="10" fillId="0" borderId="19" xfId="0" applyNumberFormat="1" applyFont="1" applyBorder="1"/>
    <xf numFmtId="0" fontId="15" fillId="0" borderId="19" xfId="0" applyFont="1" applyBorder="1"/>
    <xf numFmtId="0" fontId="30" fillId="0" borderId="0" xfId="0" applyFont="1"/>
    <xf numFmtId="3" fontId="31" fillId="0" borderId="0" xfId="0" applyNumberFormat="1" applyFont="1"/>
    <xf numFmtId="165" fontId="11" fillId="0" borderId="0" xfId="0" applyNumberFormat="1" applyFont="1"/>
    <xf numFmtId="165" fontId="15" fillId="0" borderId="0" xfId="0" applyNumberFormat="1" applyFont="1"/>
    <xf numFmtId="3" fontId="32" fillId="0" borderId="0" xfId="0" applyNumberFormat="1" applyFont="1"/>
    <xf numFmtId="0" fontId="33" fillId="0" borderId="0" xfId="0" applyFont="1"/>
    <xf numFmtId="0" fontId="34" fillId="0" borderId="0" xfId="0" applyFont="1"/>
    <xf numFmtId="0" fontId="35" fillId="0" borderId="0" xfId="0" applyFont="1"/>
    <xf numFmtId="0" fontId="10" fillId="0" borderId="0" xfId="0" applyFont="1" applyAlignment="1">
      <alignment wrapText="1"/>
    </xf>
    <xf numFmtId="0" fontId="36" fillId="0" borderId="0" xfId="0" applyFont="1"/>
    <xf numFmtId="0" fontId="10" fillId="0" borderId="0" xfId="0" applyFont="1" applyAlignment="1">
      <alignment vertical="top" wrapText="1"/>
    </xf>
    <xf numFmtId="165" fontId="37" fillId="3" borderId="0" xfId="1" applyNumberFormat="1" applyFont="1" applyFill="1" applyBorder="1"/>
    <xf numFmtId="9" fontId="37" fillId="3" borderId="0" xfId="2" applyFont="1" applyFill="1" applyBorder="1"/>
    <xf numFmtId="165" fontId="38" fillId="3" borderId="0" xfId="1" applyNumberFormat="1" applyFont="1" applyFill="1" applyBorder="1"/>
    <xf numFmtId="3" fontId="37" fillId="0" borderId="0" xfId="0" applyNumberFormat="1" applyFont="1" applyAlignment="1">
      <alignment vertical="center" wrapText="1"/>
    </xf>
    <xf numFmtId="165" fontId="37" fillId="0" borderId="0" xfId="1" applyNumberFormat="1" applyFont="1"/>
    <xf numFmtId="165" fontId="25" fillId="0" borderId="0" xfId="1" applyNumberFormat="1" applyFont="1"/>
    <xf numFmtId="9" fontId="24" fillId="3" borderId="0" xfId="2" applyFont="1" applyFill="1" applyBorder="1"/>
    <xf numFmtId="165" fontId="28" fillId="0" borderId="0" xfId="1" applyNumberFormat="1" applyFont="1"/>
    <xf numFmtId="3" fontId="28" fillId="0" borderId="0" xfId="0" applyNumberFormat="1" applyFont="1"/>
    <xf numFmtId="3" fontId="28" fillId="0" borderId="0" xfId="0" applyNumberFormat="1" applyFont="1" applyAlignment="1">
      <alignment horizontal="right"/>
    </xf>
    <xf numFmtId="3" fontId="25" fillId="0" borderId="0" xfId="0" applyNumberFormat="1" applyFont="1"/>
    <xf numFmtId="166" fontId="25" fillId="3" borderId="0" xfId="2" applyNumberFormat="1" applyFont="1" applyFill="1" applyBorder="1"/>
    <xf numFmtId="165" fontId="25" fillId="0" borderId="0" xfId="1" applyNumberFormat="1" applyFont="1" applyFill="1"/>
    <xf numFmtId="9" fontId="25" fillId="3" borderId="0" xfId="2" applyFont="1" applyFill="1" applyBorder="1"/>
    <xf numFmtId="3" fontId="39" fillId="0" borderId="0" xfId="0" applyNumberFormat="1" applyFont="1"/>
    <xf numFmtId="0" fontId="39" fillId="0" borderId="0" xfId="0" applyFont="1"/>
    <xf numFmtId="3" fontId="40" fillId="0" borderId="0" xfId="0" applyNumberFormat="1" applyFont="1"/>
    <xf numFmtId="9" fontId="25" fillId="0" borderId="0" xfId="2" applyFont="1"/>
    <xf numFmtId="165" fontId="39" fillId="0" borderId="0" xfId="1" applyNumberFormat="1" applyFont="1"/>
    <xf numFmtId="3" fontId="25" fillId="0" borderId="0" xfId="0" applyNumberFormat="1" applyFont="1" applyAlignment="1">
      <alignment vertical="center" wrapText="1"/>
    </xf>
    <xf numFmtId="3" fontId="31" fillId="0" borderId="0" xfId="0" applyNumberFormat="1" applyFont="1" applyAlignment="1">
      <alignment vertical="center" wrapText="1"/>
    </xf>
    <xf numFmtId="3" fontId="28" fillId="0" borderId="0" xfId="0" applyNumberFormat="1" applyFont="1" applyAlignment="1">
      <alignment vertical="center" wrapText="1"/>
    </xf>
    <xf numFmtId="3" fontId="41" fillId="0" borderId="0" xfId="0" applyNumberFormat="1" applyFont="1"/>
    <xf numFmtId="0" fontId="15" fillId="0" borderId="0" xfId="0" applyFont="1" applyAlignment="1">
      <alignment horizontal="center"/>
    </xf>
    <xf numFmtId="0" fontId="15" fillId="0" borderId="0" xfId="0" applyFont="1" applyAlignment="1">
      <alignment vertical="center"/>
    </xf>
    <xf numFmtId="0" fontId="15" fillId="0" borderId="0" xfId="0" applyFont="1" applyAlignment="1">
      <alignment horizontal="left"/>
    </xf>
    <xf numFmtId="0" fontId="12" fillId="0" borderId="0" xfId="0" applyFont="1" applyAlignment="1">
      <alignment horizontal="left"/>
    </xf>
    <xf numFmtId="0" fontId="12" fillId="0" borderId="0" xfId="0" applyFont="1" applyAlignment="1">
      <alignment horizontal="center"/>
    </xf>
    <xf numFmtId="0" fontId="12" fillId="0" borderId="0" xfId="0" applyFont="1"/>
    <xf numFmtId="0" fontId="12" fillId="0" borderId="0" xfId="0" applyFont="1" applyAlignment="1">
      <alignment vertical="center" wrapText="1"/>
    </xf>
    <xf numFmtId="0" fontId="12" fillId="0" borderId="0" xfId="0" applyFont="1" applyAlignment="1">
      <alignment vertical="center"/>
    </xf>
    <xf numFmtId="0" fontId="25" fillId="0" borderId="0" xfId="0" applyFont="1"/>
    <xf numFmtId="9" fontId="12" fillId="0" borderId="0" xfId="0" applyNumberFormat="1" applyFont="1" applyAlignment="1">
      <alignment horizontal="center"/>
    </xf>
    <xf numFmtId="10" fontId="12" fillId="0" borderId="0" xfId="0" applyNumberFormat="1" applyFont="1"/>
    <xf numFmtId="2" fontId="12" fillId="0" borderId="0" xfId="0" applyNumberFormat="1" applyFont="1" applyAlignment="1">
      <alignment horizontal="center"/>
    </xf>
    <xf numFmtId="165" fontId="12" fillId="0" borderId="0" xfId="1" applyNumberFormat="1" applyFont="1" applyAlignment="1">
      <alignment horizontal="center"/>
    </xf>
    <xf numFmtId="9" fontId="15" fillId="0" borderId="0" xfId="2" applyFont="1" applyAlignment="1">
      <alignment horizontal="center"/>
    </xf>
    <xf numFmtId="10" fontId="15" fillId="0" borderId="0" xfId="2" applyNumberFormat="1" applyFont="1" applyAlignment="1">
      <alignment horizontal="center"/>
    </xf>
    <xf numFmtId="9" fontId="15" fillId="0" borderId="0" xfId="0" applyNumberFormat="1" applyFont="1" applyAlignment="1">
      <alignment horizontal="center"/>
    </xf>
    <xf numFmtId="9" fontId="12" fillId="0" borderId="0" xfId="2" applyFont="1" applyAlignment="1">
      <alignment horizontal="center"/>
    </xf>
    <xf numFmtId="2" fontId="15" fillId="0" borderId="0" xfId="0" applyNumberFormat="1" applyFont="1" applyAlignment="1">
      <alignment horizontal="center"/>
    </xf>
    <xf numFmtId="2" fontId="25" fillId="0" borderId="0" xfId="0" applyNumberFormat="1" applyFont="1" applyAlignment="1">
      <alignment horizontal="center"/>
    </xf>
    <xf numFmtId="167" fontId="25" fillId="0" borderId="0" xfId="0" applyNumberFormat="1" applyFont="1" applyAlignment="1">
      <alignment horizontal="center"/>
    </xf>
    <xf numFmtId="165" fontId="25" fillId="0" borderId="0" xfId="1" applyNumberFormat="1" applyFont="1" applyAlignment="1">
      <alignment horizontal="center"/>
    </xf>
    <xf numFmtId="165" fontId="25" fillId="0" borderId="0" xfId="1" applyNumberFormat="1" applyFont="1" applyAlignment="1">
      <alignment vertical="center"/>
    </xf>
    <xf numFmtId="9" fontId="11" fillId="0" borderId="0" xfId="2" applyFont="1"/>
    <xf numFmtId="0" fontId="15" fillId="5" borderId="0" xfId="0" applyFont="1" applyFill="1" applyAlignment="1">
      <alignment horizontal="center"/>
    </xf>
    <xf numFmtId="0" fontId="15" fillId="2" borderId="0" xfId="0" applyFont="1" applyFill="1" applyAlignment="1">
      <alignment horizontal="center"/>
    </xf>
    <xf numFmtId="0" fontId="5" fillId="0" borderId="2" xfId="0" applyFont="1" applyBorder="1" applyAlignment="1">
      <alignment horizontal="center"/>
    </xf>
    <xf numFmtId="0" fontId="6" fillId="0" borderId="3" xfId="0" applyFont="1" applyBorder="1"/>
    <xf numFmtId="0" fontId="6" fillId="0" borderId="4" xfId="0" applyFont="1" applyBorder="1"/>
    <xf numFmtId="0" fontId="11" fillId="2" borderId="0" xfId="0" applyFont="1" applyFill="1" applyAlignment="1">
      <alignment horizontal="left"/>
    </xf>
    <xf numFmtId="0" fontId="10" fillId="0" borderId="0" xfId="0" applyFont="1" applyAlignment="1">
      <alignment horizontal="left" vertical="center" wrapText="1"/>
    </xf>
    <xf numFmtId="0" fontId="10" fillId="4" borderId="0" xfId="0" applyFont="1" applyFill="1" applyAlignment="1">
      <alignment horizontal="center" vertical="center" textRotation="90"/>
    </xf>
    <xf numFmtId="1" fontId="26" fillId="3" borderId="0" xfId="0" applyNumberFormat="1" applyFont="1" applyFill="1" applyAlignment="1">
      <alignment horizontal="center" vertical="center" wrapText="1"/>
    </xf>
    <xf numFmtId="0" fontId="26" fillId="3" borderId="23" xfId="0" applyFont="1" applyFill="1" applyBorder="1"/>
    <xf numFmtId="0" fontId="15" fillId="4" borderId="0" xfId="0" applyFont="1" applyFill="1" applyAlignment="1">
      <alignment horizontal="center" vertical="center" textRotation="90"/>
    </xf>
    <xf numFmtId="0" fontId="10" fillId="4" borderId="0" xfId="0" applyFont="1" applyFill="1" applyAlignment="1">
      <alignment horizontal="right" vertical="center" textRotation="90"/>
    </xf>
    <xf numFmtId="0" fontId="10" fillId="0" borderId="0" xfId="0" applyFont="1" applyAlignment="1">
      <alignment horizontal="center" vertical="center" wrapText="1"/>
    </xf>
    <xf numFmtId="0" fontId="15" fillId="0" borderId="0" xfId="0" applyFont="1"/>
    <xf numFmtId="0" fontId="10" fillId="0" borderId="16" xfId="0" applyFont="1" applyBorder="1" applyAlignment="1">
      <alignment horizontal="center" vertical="center" wrapText="1"/>
    </xf>
    <xf numFmtId="1" fontId="10" fillId="0" borderId="16" xfId="0" applyNumberFormat="1" applyFont="1" applyBorder="1" applyAlignment="1">
      <alignment horizontal="center" vertical="center" wrapText="1"/>
    </xf>
    <xf numFmtId="0" fontId="25" fillId="0" borderId="17" xfId="0" applyFont="1" applyBorder="1"/>
    <xf numFmtId="0" fontId="10" fillId="3" borderId="0" xfId="0" applyFont="1" applyFill="1" applyAlignment="1">
      <alignment horizontal="center" vertical="center" wrapText="1"/>
    </xf>
    <xf numFmtId="0" fontId="15" fillId="3" borderId="23" xfId="0" applyFont="1" applyFill="1" applyBorder="1"/>
    <xf numFmtId="1" fontId="10" fillId="3" borderId="0" xfId="0" applyNumberFormat="1" applyFont="1" applyFill="1" applyAlignment="1">
      <alignment horizontal="center" vertical="center" wrapText="1"/>
    </xf>
    <xf numFmtId="0" fontId="25" fillId="3" borderId="23" xfId="0" applyFont="1" applyFill="1" applyBorder="1"/>
    <xf numFmtId="0" fontId="13" fillId="2" borderId="0" xfId="0" applyFont="1" applyFill="1" applyAlignment="1">
      <alignment horizontal="left"/>
    </xf>
    <xf numFmtId="0" fontId="11" fillId="0" borderId="0" xfId="0" applyFont="1" applyAlignment="1">
      <alignment horizontal="center"/>
    </xf>
    <xf numFmtId="0" fontId="10" fillId="0" borderId="17" xfId="0" applyFont="1" applyBorder="1" applyAlignment="1">
      <alignment horizontal="center"/>
    </xf>
    <xf numFmtId="0" fontId="17" fillId="0" borderId="0" xfId="0" applyFont="1" applyAlignment="1">
      <alignment horizontal="center" vertical="center" textRotation="180"/>
    </xf>
    <xf numFmtId="0" fontId="10" fillId="0" borderId="21" xfId="0" applyFont="1" applyBorder="1" applyAlignment="1">
      <alignment horizontal="center"/>
    </xf>
    <xf numFmtId="0" fontId="10" fillId="0" borderId="0" xfId="0" applyFont="1" applyAlignment="1">
      <alignment horizontal="center"/>
    </xf>
  </cellXfs>
  <cellStyles count="3">
    <cellStyle name="Comma" xfId="1" builtinId="3"/>
    <cellStyle name="Normal" xfId="0" builtinId="0"/>
    <cellStyle name="Percent" xfId="2" builtinId="5"/>
  </cellStyles>
  <dxfs count="3">
    <dxf>
      <fill>
        <patternFill patternType="solid">
          <fgColor rgb="FFFF0000"/>
          <bgColor rgb="FFFF0000"/>
        </patternFill>
      </fill>
    </dxf>
    <dxf>
      <fill>
        <patternFill patternType="solid">
          <fgColor rgb="FFFF0000"/>
          <bgColor rgb="FFFF0000"/>
        </patternFill>
      </fill>
    </dxf>
    <dxf>
      <font>
        <color rgb="FF00B050"/>
      </font>
    </dxf>
  </dxfs>
  <tableStyles count="0" defaultTableStyle="TableStyleMedium2" defaultPivotStyle="PivotStyleLight16"/>
  <colors>
    <mruColors>
      <color rgb="FFD477FD"/>
      <color rgb="FFDDD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Operating Margin</a:t>
            </a:r>
          </a:p>
        </c:rich>
      </c:tx>
      <c:layout>
        <c:manualLayout>
          <c:xMode val="edge"/>
          <c:yMode val="edge"/>
          <c:x val="0.38827073375851467"/>
          <c:y val="4.5836390381679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FACTORY Operating margin</c:v>
          </c:tx>
          <c:spPr>
            <a:ln w="28575" cap="rnd">
              <a:solidFill>
                <a:srgbClr val="00B0F0"/>
              </a:solidFill>
              <a:prstDash val="solid"/>
              <a:round/>
            </a:ln>
            <a:effectLst/>
          </c:spPr>
          <c:marker>
            <c:symbol val="none"/>
          </c:marker>
          <c:cat>
            <c:numRef>
              <c:f>Ratios!$B$2:$J$2</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Ratios!$B$4:$J$4</c:f>
              <c:numCache>
                <c:formatCode>0%</c:formatCode>
                <c:ptCount val="9"/>
                <c:pt idx="0">
                  <c:v>8.1492157336699997E-2</c:v>
                </c:pt>
                <c:pt idx="1">
                  <c:v>8.149166078088603E-2</c:v>
                </c:pt>
                <c:pt idx="2">
                  <c:v>7.4932511130445717E-2</c:v>
                </c:pt>
                <c:pt idx="3">
                  <c:v>0.27824964629737103</c:v>
                </c:pt>
                <c:pt idx="4">
                  <c:v>0.27988912314720871</c:v>
                </c:pt>
                <c:pt idx="5">
                  <c:v>0.28138079809701305</c:v>
                </c:pt>
                <c:pt idx="6">
                  <c:v>0.28273955335430745</c:v>
                </c:pt>
                <c:pt idx="7">
                  <c:v>0.28397478540639309</c:v>
                </c:pt>
                <c:pt idx="8">
                  <c:v>0.28509772363556185</c:v>
                </c:pt>
              </c:numCache>
            </c:numRef>
          </c:val>
          <c:smooth val="0"/>
          <c:extLst>
            <c:ext xmlns:c16="http://schemas.microsoft.com/office/drawing/2014/chart" uri="{C3380CC4-5D6E-409C-BE32-E72D297353CC}">
              <c16:uniqueId val="{00000000-C329-4E12-9A6F-7BFD720F2B18}"/>
            </c:ext>
          </c:extLst>
        </c:ser>
        <c:ser>
          <c:idx val="1"/>
          <c:order val="1"/>
          <c:tx>
            <c:strRef>
              <c:f>Ratios!$A$5</c:f>
              <c:strCache>
                <c:ptCount val="1"/>
                <c:pt idx="0">
                  <c:v>Industry Operating margin</c:v>
                </c:pt>
              </c:strCache>
            </c:strRef>
          </c:tx>
          <c:spPr>
            <a:ln w="28575" cap="rnd">
              <a:solidFill>
                <a:schemeClr val="bg2">
                  <a:lumMod val="65000"/>
                </a:schemeClr>
              </a:solidFill>
              <a:prstDash val="sysDot"/>
              <a:round/>
            </a:ln>
            <a:effectLst/>
          </c:spPr>
          <c:marker>
            <c:symbol val="none"/>
          </c:marker>
          <c:cat>
            <c:numRef>
              <c:f>Ratios!$B$2:$J$2</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Ratios!$B$5:$J$5</c:f>
              <c:numCache>
                <c:formatCode>0%</c:formatCode>
                <c:ptCount val="9"/>
                <c:pt idx="0">
                  <c:v>8.3799999999999999E-2</c:v>
                </c:pt>
                <c:pt idx="1">
                  <c:v>0.10249999999999999</c:v>
                </c:pt>
                <c:pt idx="2">
                  <c:v>9.2799999999999994E-2</c:v>
                </c:pt>
                <c:pt idx="3">
                  <c:v>0.1008</c:v>
                </c:pt>
                <c:pt idx="4">
                  <c:v>0.1353</c:v>
                </c:pt>
                <c:pt idx="5">
                  <c:v>0.1245</c:v>
                </c:pt>
                <c:pt idx="6">
                  <c:v>0.13440111972860777</c:v>
                </c:pt>
                <c:pt idx="7">
                  <c:v>0.14508964646026956</c:v>
                </c:pt>
                <c:pt idx="8">
                  <c:v>0.15662820036375952</c:v>
                </c:pt>
              </c:numCache>
            </c:numRef>
          </c:val>
          <c:smooth val="0"/>
          <c:extLst>
            <c:ext xmlns:c16="http://schemas.microsoft.com/office/drawing/2014/chart" uri="{C3380CC4-5D6E-409C-BE32-E72D297353CC}">
              <c16:uniqueId val="{00000001-C329-4E12-9A6F-7BFD720F2B18}"/>
            </c:ext>
          </c:extLst>
        </c:ser>
        <c:ser>
          <c:idx val="2"/>
          <c:order val="2"/>
          <c:tx>
            <c:v>MARKETING Operating margin</c:v>
          </c:tx>
          <c:spPr>
            <a:ln w="28575" cap="rnd">
              <a:solidFill>
                <a:srgbClr val="D477FD"/>
              </a:solidFill>
              <a:prstDash val="solid"/>
              <a:round/>
            </a:ln>
            <a:effectLst/>
          </c:spPr>
          <c:marker>
            <c:symbol val="none"/>
          </c:marker>
          <c:cat>
            <c:numRef>
              <c:f>Ratios!$B$2:$J$2</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Ratios!$N$4:$V$4</c:f>
              <c:numCache>
                <c:formatCode>0%</c:formatCode>
                <c:ptCount val="9"/>
                <c:pt idx="0">
                  <c:v>8.1492157336699997E-2</c:v>
                </c:pt>
                <c:pt idx="1">
                  <c:v>-0.68693038702567588</c:v>
                </c:pt>
                <c:pt idx="2">
                  <c:v>-0.52306565272738914</c:v>
                </c:pt>
                <c:pt idx="3">
                  <c:v>0.31890810682052345</c:v>
                </c:pt>
                <c:pt idx="4">
                  <c:v>0.33570416829958233</c:v>
                </c:pt>
                <c:pt idx="5">
                  <c:v>0.34833440540794142</c:v>
                </c:pt>
                <c:pt idx="6">
                  <c:v>0.35865159766261867</c:v>
                </c:pt>
                <c:pt idx="7">
                  <c:v>0.36759980255925623</c:v>
                </c:pt>
                <c:pt idx="8">
                  <c:v>0.37695814240339343</c:v>
                </c:pt>
              </c:numCache>
            </c:numRef>
          </c:val>
          <c:smooth val="0"/>
          <c:extLst>
            <c:ext xmlns:c16="http://schemas.microsoft.com/office/drawing/2014/chart" uri="{C3380CC4-5D6E-409C-BE32-E72D297353CC}">
              <c16:uniqueId val="{00000002-C329-4E12-9A6F-7BFD720F2B18}"/>
            </c:ext>
          </c:extLst>
        </c:ser>
        <c:dLbls>
          <c:showLegendKey val="0"/>
          <c:showVal val="0"/>
          <c:showCatName val="0"/>
          <c:showSerName val="0"/>
          <c:showPercent val="0"/>
          <c:showBubbleSize val="0"/>
        </c:dLbls>
        <c:smooth val="0"/>
        <c:axId val="139749568"/>
        <c:axId val="139742080"/>
      </c:lineChart>
      <c:catAx>
        <c:axId val="1397495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42080"/>
        <c:crosses val="autoZero"/>
        <c:auto val="1"/>
        <c:lblAlgn val="ctr"/>
        <c:lblOffset val="100"/>
        <c:noMultiLvlLbl val="0"/>
      </c:catAx>
      <c:valAx>
        <c:axId val="139742080"/>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49568"/>
        <c:crosses val="autoZero"/>
        <c:crossBetween val="between"/>
      </c:valAx>
      <c:spPr>
        <a:noFill/>
        <a:ln>
          <a:solidFill>
            <a:schemeClr val="bg1">
              <a:alpha val="84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Asset Turnover</a:t>
            </a:r>
            <a:endParaRPr lang="en-US"/>
          </a:p>
        </c:rich>
      </c:tx>
      <c:layout>
        <c:manualLayout>
          <c:xMode val="edge"/>
          <c:yMode val="edge"/>
          <c:x val="0.38827073375851467"/>
          <c:y val="4.5836390381679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FACTORY Asset turnover</c:v>
          </c:tx>
          <c:spPr>
            <a:ln w="28575" cap="rnd">
              <a:solidFill>
                <a:srgbClr val="00B0F0"/>
              </a:solidFill>
              <a:prstDash val="solid"/>
              <a:round/>
            </a:ln>
            <a:effectLst/>
          </c:spPr>
          <c:marker>
            <c:symbol val="none"/>
          </c:marker>
          <c:cat>
            <c:numRef>
              <c:f>Ratios!$B$2:$J$2</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Ratios!$B$23:$J$23</c:f>
              <c:numCache>
                <c:formatCode>0.00</c:formatCode>
                <c:ptCount val="9"/>
                <c:pt idx="0">
                  <c:v>2.4943341063404665</c:v>
                </c:pt>
                <c:pt idx="1">
                  <c:v>1.9843904920149198</c:v>
                </c:pt>
                <c:pt idx="2">
                  <c:v>1.332574909278694</c:v>
                </c:pt>
                <c:pt idx="3">
                  <c:v>1.2462687450605867</c:v>
                </c:pt>
                <c:pt idx="4">
                  <c:v>1.0421178816396457</c:v>
                </c:pt>
                <c:pt idx="5">
                  <c:v>0.88606675902486987</c:v>
                </c:pt>
                <c:pt idx="6">
                  <c:v>0.80586740105570021</c:v>
                </c:pt>
                <c:pt idx="7">
                  <c:v>0.75120891433909431</c:v>
                </c:pt>
                <c:pt idx="8">
                  <c:v>0.67531869115543131</c:v>
                </c:pt>
              </c:numCache>
            </c:numRef>
          </c:val>
          <c:smooth val="0"/>
          <c:extLst>
            <c:ext xmlns:c16="http://schemas.microsoft.com/office/drawing/2014/chart" uri="{C3380CC4-5D6E-409C-BE32-E72D297353CC}">
              <c16:uniqueId val="{00000000-0888-4F17-9EC3-7652747774F7}"/>
            </c:ext>
          </c:extLst>
        </c:ser>
        <c:ser>
          <c:idx val="1"/>
          <c:order val="1"/>
          <c:tx>
            <c:strRef>
              <c:f>Ratios!$A$24</c:f>
              <c:strCache>
                <c:ptCount val="1"/>
                <c:pt idx="0">
                  <c:v>Industry Asset turnover</c:v>
                </c:pt>
              </c:strCache>
            </c:strRef>
          </c:tx>
          <c:spPr>
            <a:ln w="28575" cap="rnd">
              <a:solidFill>
                <a:schemeClr val="bg2">
                  <a:lumMod val="65000"/>
                </a:schemeClr>
              </a:solidFill>
              <a:prstDash val="sysDot"/>
              <a:round/>
            </a:ln>
            <a:effectLst/>
          </c:spPr>
          <c:marker>
            <c:symbol val="none"/>
          </c:marker>
          <c:cat>
            <c:numRef>
              <c:f>Ratios!$B$2:$J$2</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Ratios!$B$24:$J$24</c:f>
              <c:numCache>
                <c:formatCode>General</c:formatCode>
                <c:ptCount val="9"/>
                <c:pt idx="0">
                  <c:v>0.71</c:v>
                </c:pt>
                <c:pt idx="1">
                  <c:v>0.82</c:v>
                </c:pt>
                <c:pt idx="2">
                  <c:v>0.76</c:v>
                </c:pt>
                <c:pt idx="3">
                  <c:v>0.64</c:v>
                </c:pt>
                <c:pt idx="4">
                  <c:v>0.72</c:v>
                </c:pt>
                <c:pt idx="5">
                  <c:v>0.85</c:v>
                </c:pt>
                <c:pt idx="6" formatCode="0.00">
                  <c:v>0.88250111913338058</c:v>
                </c:pt>
                <c:pt idx="7" formatCode="0.00">
                  <c:v>0.91624497090784618</c:v>
                </c:pt>
                <c:pt idx="8" formatCode="0.00">
                  <c:v>0.95127907320765415</c:v>
                </c:pt>
              </c:numCache>
            </c:numRef>
          </c:val>
          <c:smooth val="0"/>
          <c:extLst>
            <c:ext xmlns:c16="http://schemas.microsoft.com/office/drawing/2014/chart" uri="{C3380CC4-5D6E-409C-BE32-E72D297353CC}">
              <c16:uniqueId val="{00000001-0888-4F17-9EC3-7652747774F7}"/>
            </c:ext>
          </c:extLst>
        </c:ser>
        <c:ser>
          <c:idx val="2"/>
          <c:order val="2"/>
          <c:tx>
            <c:v>MARKETING Asset turnover</c:v>
          </c:tx>
          <c:spPr>
            <a:ln w="28575" cap="rnd">
              <a:solidFill>
                <a:srgbClr val="D477FD"/>
              </a:solidFill>
              <a:prstDash val="solid"/>
              <a:round/>
            </a:ln>
            <a:effectLst/>
          </c:spPr>
          <c:marker>
            <c:symbol val="none"/>
          </c:marker>
          <c:cat>
            <c:numRef>
              <c:f>Ratios!$B$2:$J$2</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Ratios!$N$23:$V$23</c:f>
              <c:numCache>
                <c:formatCode>0.00</c:formatCode>
                <c:ptCount val="9"/>
                <c:pt idx="0">
                  <c:v>2.4943341063404665</c:v>
                </c:pt>
                <c:pt idx="1">
                  <c:v>-3.0033487671417993</c:v>
                </c:pt>
                <c:pt idx="2">
                  <c:v>-1.3637623656527895</c:v>
                </c:pt>
                <c:pt idx="3">
                  <c:v>-4.0191213941499067</c:v>
                </c:pt>
                <c:pt idx="4">
                  <c:v>9.5819344944122431</c:v>
                </c:pt>
                <c:pt idx="5">
                  <c:v>2.368490276700101</c:v>
                </c:pt>
                <c:pt idx="6">
                  <c:v>1.4137615500360563</c:v>
                </c:pt>
                <c:pt idx="7">
                  <c:v>1.038550819008957</c:v>
                </c:pt>
                <c:pt idx="8">
                  <c:v>0.83823435559090909</c:v>
                </c:pt>
              </c:numCache>
            </c:numRef>
          </c:val>
          <c:smooth val="0"/>
          <c:extLst>
            <c:ext xmlns:c16="http://schemas.microsoft.com/office/drawing/2014/chart" uri="{C3380CC4-5D6E-409C-BE32-E72D297353CC}">
              <c16:uniqueId val="{00000002-0888-4F17-9EC3-7652747774F7}"/>
            </c:ext>
          </c:extLst>
        </c:ser>
        <c:dLbls>
          <c:showLegendKey val="0"/>
          <c:showVal val="0"/>
          <c:showCatName val="0"/>
          <c:showSerName val="0"/>
          <c:showPercent val="0"/>
          <c:showBubbleSize val="0"/>
        </c:dLbls>
        <c:smooth val="0"/>
        <c:axId val="139749568"/>
        <c:axId val="139742080"/>
      </c:lineChart>
      <c:catAx>
        <c:axId val="1397495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42080"/>
        <c:crosses val="autoZero"/>
        <c:auto val="1"/>
        <c:lblAlgn val="ctr"/>
        <c:lblOffset val="100"/>
        <c:noMultiLvlLbl val="0"/>
      </c:catAx>
      <c:valAx>
        <c:axId val="139742080"/>
        <c:scaling>
          <c:orientation val="minMax"/>
        </c:scaling>
        <c:delete val="0"/>
        <c:axPos val="l"/>
        <c:majorGridlines>
          <c:spPr>
            <a:ln w="9525" cap="flat" cmpd="sng" algn="ctr">
              <a:no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49568"/>
        <c:crosses val="autoZero"/>
        <c:crossBetween val="between"/>
      </c:valAx>
      <c:spPr>
        <a:noFill/>
        <a:ln>
          <a:solidFill>
            <a:schemeClr val="bg1">
              <a:alpha val="84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Revenue per Employee Ratio</a:t>
            </a:r>
            <a:endParaRPr lang="en-US"/>
          </a:p>
        </c:rich>
      </c:tx>
      <c:layout>
        <c:manualLayout>
          <c:xMode val="edge"/>
          <c:yMode val="edge"/>
          <c:x val="0.38827073375851467"/>
          <c:y val="4.5836390381679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FACTORY Rev per employee ratio</c:v>
          </c:tx>
          <c:spPr>
            <a:ln w="28575" cap="rnd">
              <a:solidFill>
                <a:srgbClr val="00B0F0"/>
              </a:solidFill>
              <a:prstDash val="solid"/>
              <a:round/>
            </a:ln>
            <a:effectLst/>
          </c:spPr>
          <c:marker>
            <c:symbol val="none"/>
          </c:marker>
          <c:cat>
            <c:numRef>
              <c:f>Ratios!$B$2:$J$2</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Ratios!$B$25:$J$25</c:f>
              <c:numCache>
                <c:formatCode>_-* #\ ##0_-;\-* #\ ##0_-;_-* "-"??_-;_-@_-</c:formatCode>
                <c:ptCount val="9"/>
                <c:pt idx="0">
                  <c:v>2735.3068299979464</c:v>
                </c:pt>
                <c:pt idx="1">
                  <c:v>3006.2574576508282</c:v>
                </c:pt>
                <c:pt idx="2">
                  <c:v>4212.6311584677924</c:v>
                </c:pt>
                <c:pt idx="3">
                  <c:v>7158.159335826278</c:v>
                </c:pt>
                <c:pt idx="4">
                  <c:v>7909.1118508149621</c:v>
                </c:pt>
                <c:pt idx="5">
                  <c:v>8724.7661752265321</c:v>
                </c:pt>
                <c:pt idx="6">
                  <c:v>9597.2427927491863</c:v>
                </c:pt>
                <c:pt idx="7">
                  <c:v>10556.967072024105</c:v>
                </c:pt>
                <c:pt idx="8">
                  <c:v>11612.663779226516</c:v>
                </c:pt>
              </c:numCache>
            </c:numRef>
          </c:val>
          <c:smooth val="0"/>
          <c:extLst>
            <c:ext xmlns:c16="http://schemas.microsoft.com/office/drawing/2014/chart" uri="{C3380CC4-5D6E-409C-BE32-E72D297353CC}">
              <c16:uniqueId val="{00000000-C0F5-48C2-9485-283A92E088A0}"/>
            </c:ext>
          </c:extLst>
        </c:ser>
        <c:ser>
          <c:idx val="2"/>
          <c:order val="1"/>
          <c:tx>
            <c:v>MARKETING Rev per employee ratio</c:v>
          </c:tx>
          <c:spPr>
            <a:ln w="28575" cap="rnd">
              <a:solidFill>
                <a:srgbClr val="D477FD"/>
              </a:solidFill>
              <a:prstDash val="solid"/>
              <a:round/>
            </a:ln>
            <a:effectLst/>
          </c:spPr>
          <c:marker>
            <c:symbol val="none"/>
          </c:marker>
          <c:cat>
            <c:numRef>
              <c:f>Ratios!$B$2:$J$2</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Ratios!$N$25:$V$25</c:f>
              <c:numCache>
                <c:formatCode>_-* #\ ##0_-;\-* #\ ##0_-;_-* "-"??_-;_-@_-</c:formatCode>
                <c:ptCount val="9"/>
                <c:pt idx="0">
                  <c:v>2735.3068299979464</c:v>
                </c:pt>
                <c:pt idx="1">
                  <c:v>2975.0861416003345</c:v>
                </c:pt>
                <c:pt idx="2">
                  <c:v>4168.7398563608076</c:v>
                </c:pt>
                <c:pt idx="3">
                  <c:v>4597.6261098544519</c:v>
                </c:pt>
                <c:pt idx="4">
                  <c:v>5116.935748467874</c:v>
                </c:pt>
                <c:pt idx="5">
                  <c:v>5632.8514784620593</c:v>
                </c:pt>
                <c:pt idx="6">
                  <c:v>6184.3277111912166</c:v>
                </c:pt>
                <c:pt idx="7">
                  <c:v>6790.999565766946</c:v>
                </c:pt>
                <c:pt idx="8">
                  <c:v>7458.4148571388914</c:v>
                </c:pt>
              </c:numCache>
            </c:numRef>
          </c:val>
          <c:smooth val="0"/>
          <c:extLst>
            <c:ext xmlns:c16="http://schemas.microsoft.com/office/drawing/2014/chart" uri="{C3380CC4-5D6E-409C-BE32-E72D297353CC}">
              <c16:uniqueId val="{00000002-C0F5-48C2-9485-283A92E088A0}"/>
            </c:ext>
          </c:extLst>
        </c:ser>
        <c:dLbls>
          <c:showLegendKey val="0"/>
          <c:showVal val="0"/>
          <c:showCatName val="0"/>
          <c:showSerName val="0"/>
          <c:showPercent val="0"/>
          <c:showBubbleSize val="0"/>
        </c:dLbls>
        <c:smooth val="0"/>
        <c:axId val="139749568"/>
        <c:axId val="139742080"/>
      </c:lineChart>
      <c:catAx>
        <c:axId val="1397495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42080"/>
        <c:crosses val="autoZero"/>
        <c:auto val="1"/>
        <c:lblAlgn val="ctr"/>
        <c:lblOffset val="100"/>
        <c:noMultiLvlLbl val="0"/>
      </c:catAx>
      <c:valAx>
        <c:axId val="139742080"/>
        <c:scaling>
          <c:orientation val="minMax"/>
        </c:scaling>
        <c:delete val="0"/>
        <c:axPos val="l"/>
        <c:majorGridlines>
          <c:spPr>
            <a:ln w="9525" cap="flat" cmpd="sng" algn="ctr">
              <a:no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49568"/>
        <c:crosses val="autoZero"/>
        <c:crossBetween val="between"/>
      </c:valAx>
      <c:spPr>
        <a:noFill/>
        <a:ln>
          <a:solidFill>
            <a:schemeClr val="bg1">
              <a:alpha val="84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 Margin</a:t>
            </a:r>
          </a:p>
        </c:rich>
      </c:tx>
      <c:layout>
        <c:manualLayout>
          <c:xMode val="edge"/>
          <c:yMode val="edge"/>
          <c:x val="0.38827073375851467"/>
          <c:y val="4.5836390381679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FACTORY Gross margin</c:v>
          </c:tx>
          <c:spPr>
            <a:ln w="28575" cap="rnd">
              <a:solidFill>
                <a:srgbClr val="00B0F0"/>
              </a:solidFill>
              <a:prstDash val="solid"/>
              <a:round/>
            </a:ln>
            <a:effectLst/>
          </c:spPr>
          <c:marker>
            <c:symbol val="none"/>
          </c:marker>
          <c:cat>
            <c:numRef>
              <c:f>Ratios!$B$2:$J$2</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Ratios!$B$6:$J$6</c:f>
              <c:numCache>
                <c:formatCode>0%</c:formatCode>
                <c:ptCount val="9"/>
                <c:pt idx="0">
                  <c:v>0.74583649827048881</c:v>
                </c:pt>
                <c:pt idx="1">
                  <c:v>0.74583642658039362</c:v>
                </c:pt>
                <c:pt idx="2">
                  <c:v>0.74583642658039362</c:v>
                </c:pt>
                <c:pt idx="3">
                  <c:v>0.74480709313179794</c:v>
                </c:pt>
                <c:pt idx="4">
                  <c:v>0.74480247612030948</c:v>
                </c:pt>
                <c:pt idx="5">
                  <c:v>0.74479952028709007</c:v>
                </c:pt>
                <c:pt idx="6">
                  <c:v>0.74479952028709018</c:v>
                </c:pt>
                <c:pt idx="7">
                  <c:v>0.74479952028709018</c:v>
                </c:pt>
                <c:pt idx="8">
                  <c:v>0.74479952028709007</c:v>
                </c:pt>
              </c:numCache>
            </c:numRef>
          </c:val>
          <c:smooth val="0"/>
          <c:extLst>
            <c:ext xmlns:c16="http://schemas.microsoft.com/office/drawing/2014/chart" uri="{C3380CC4-5D6E-409C-BE32-E72D297353CC}">
              <c16:uniqueId val="{00000000-87EF-4AF6-92BA-913BEAC2BAD8}"/>
            </c:ext>
          </c:extLst>
        </c:ser>
        <c:ser>
          <c:idx val="1"/>
          <c:order val="1"/>
          <c:tx>
            <c:strRef>
              <c:f>Ratios!$A$7</c:f>
              <c:strCache>
                <c:ptCount val="1"/>
                <c:pt idx="0">
                  <c:v>Industry Gross margin</c:v>
                </c:pt>
              </c:strCache>
            </c:strRef>
          </c:tx>
          <c:spPr>
            <a:ln w="28575" cap="rnd">
              <a:solidFill>
                <a:schemeClr val="bg2">
                  <a:lumMod val="65000"/>
                </a:schemeClr>
              </a:solidFill>
              <a:prstDash val="sysDot"/>
              <a:round/>
            </a:ln>
            <a:effectLst/>
          </c:spPr>
          <c:marker>
            <c:symbol val="none"/>
          </c:marker>
          <c:cat>
            <c:numRef>
              <c:f>Ratios!$B$2:$J$2</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Ratios!$B$7:$J$7</c:f>
              <c:numCache>
                <c:formatCode>0%</c:formatCode>
                <c:ptCount val="9"/>
                <c:pt idx="0">
                  <c:v>0.28899999999999998</c:v>
                </c:pt>
                <c:pt idx="1">
                  <c:v>0.3211</c:v>
                </c:pt>
                <c:pt idx="2">
                  <c:v>0.34239999999999998</c:v>
                </c:pt>
                <c:pt idx="3">
                  <c:v>0.3523</c:v>
                </c:pt>
                <c:pt idx="4">
                  <c:v>0.34499999999999997</c:v>
                </c:pt>
                <c:pt idx="5">
                  <c:v>0.29210000000000003</c:v>
                </c:pt>
                <c:pt idx="6">
                  <c:v>0.29367083499284263</c:v>
                </c:pt>
                <c:pt idx="7">
                  <c:v>0.29525011751247315</c:v>
                </c:pt>
                <c:pt idx="8">
                  <c:v>0.29683789298741148</c:v>
                </c:pt>
              </c:numCache>
            </c:numRef>
          </c:val>
          <c:smooth val="0"/>
          <c:extLst>
            <c:ext xmlns:c16="http://schemas.microsoft.com/office/drawing/2014/chart" uri="{C3380CC4-5D6E-409C-BE32-E72D297353CC}">
              <c16:uniqueId val="{00000001-87EF-4AF6-92BA-913BEAC2BAD8}"/>
            </c:ext>
          </c:extLst>
        </c:ser>
        <c:ser>
          <c:idx val="2"/>
          <c:order val="2"/>
          <c:tx>
            <c:v>MARKETING Gross margin</c:v>
          </c:tx>
          <c:spPr>
            <a:ln w="28575" cap="rnd">
              <a:solidFill>
                <a:srgbClr val="D477FD"/>
              </a:solidFill>
              <a:prstDash val="solid"/>
              <a:round/>
            </a:ln>
            <a:effectLst/>
          </c:spPr>
          <c:marker>
            <c:symbol val="none"/>
          </c:marker>
          <c:cat>
            <c:numRef>
              <c:f>Ratios!$B$2:$J$2</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Ratios!$N$6:$V$6</c:f>
              <c:numCache>
                <c:formatCode>0%</c:formatCode>
                <c:ptCount val="9"/>
                <c:pt idx="0">
                  <c:v>0.74583649827048881</c:v>
                </c:pt>
                <c:pt idx="1">
                  <c:v>0.74583642658039351</c:v>
                </c:pt>
                <c:pt idx="2">
                  <c:v>0.74583642658039362</c:v>
                </c:pt>
                <c:pt idx="3">
                  <c:v>0.74583642658039362</c:v>
                </c:pt>
                <c:pt idx="4">
                  <c:v>0.74583642658039362</c:v>
                </c:pt>
                <c:pt idx="5">
                  <c:v>0.74583642658039362</c:v>
                </c:pt>
                <c:pt idx="6">
                  <c:v>0.74583642658039373</c:v>
                </c:pt>
                <c:pt idx="7">
                  <c:v>0.74583642658039373</c:v>
                </c:pt>
                <c:pt idx="8">
                  <c:v>0.74583642658039362</c:v>
                </c:pt>
              </c:numCache>
            </c:numRef>
          </c:val>
          <c:smooth val="0"/>
          <c:extLst>
            <c:ext xmlns:c16="http://schemas.microsoft.com/office/drawing/2014/chart" uri="{C3380CC4-5D6E-409C-BE32-E72D297353CC}">
              <c16:uniqueId val="{00000002-87EF-4AF6-92BA-913BEAC2BAD8}"/>
            </c:ext>
          </c:extLst>
        </c:ser>
        <c:dLbls>
          <c:showLegendKey val="0"/>
          <c:showVal val="0"/>
          <c:showCatName val="0"/>
          <c:showSerName val="0"/>
          <c:showPercent val="0"/>
          <c:showBubbleSize val="0"/>
        </c:dLbls>
        <c:smooth val="0"/>
        <c:axId val="139749568"/>
        <c:axId val="139742080"/>
      </c:lineChart>
      <c:catAx>
        <c:axId val="1397495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42080"/>
        <c:crosses val="autoZero"/>
        <c:auto val="1"/>
        <c:lblAlgn val="ctr"/>
        <c:lblOffset val="100"/>
        <c:noMultiLvlLbl val="0"/>
      </c:catAx>
      <c:valAx>
        <c:axId val="139742080"/>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49568"/>
        <c:crosses val="autoZero"/>
        <c:crossBetween val="between"/>
      </c:valAx>
      <c:spPr>
        <a:noFill/>
        <a:ln>
          <a:solidFill>
            <a:schemeClr val="bg1">
              <a:alpha val="84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Return on Assets</a:t>
            </a:r>
          </a:p>
        </c:rich>
      </c:tx>
      <c:layout>
        <c:manualLayout>
          <c:xMode val="edge"/>
          <c:yMode val="edge"/>
          <c:x val="0.38827073375851467"/>
          <c:y val="4.5836390381679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FACTORY Return on assets</c:v>
          </c:tx>
          <c:spPr>
            <a:ln w="28575" cap="rnd">
              <a:solidFill>
                <a:srgbClr val="00B0F0"/>
              </a:solidFill>
              <a:prstDash val="solid"/>
              <a:round/>
            </a:ln>
            <a:effectLst/>
          </c:spPr>
          <c:marker>
            <c:symbol val="none"/>
          </c:marker>
          <c:cat>
            <c:numRef>
              <c:f>Ratios!$B$2:$J$2</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Ratios!$B$8:$J$8</c:f>
              <c:numCache>
                <c:formatCode>0%</c:formatCode>
                <c:ptCount val="9"/>
                <c:pt idx="0">
                  <c:v>0.20646696932378869</c:v>
                </c:pt>
                <c:pt idx="1">
                  <c:v>0.16452184358956132</c:v>
                </c:pt>
                <c:pt idx="2">
                  <c:v>9.6879420779895489E-2</c:v>
                </c:pt>
                <c:pt idx="3">
                  <c:v>0.31216064061201565</c:v>
                </c:pt>
                <c:pt idx="4">
                  <c:v>0.26385019346865574</c:v>
                </c:pt>
                <c:pt idx="5">
                  <c:v>0.22625566697658972</c:v>
                </c:pt>
                <c:pt idx="6">
                  <c:v>0.20786040813409457</c:v>
                </c:pt>
                <c:pt idx="7">
                  <c:v>0.19576305435303981</c:v>
                </c:pt>
                <c:pt idx="8">
                  <c:v>0.17663445695935642</c:v>
                </c:pt>
              </c:numCache>
            </c:numRef>
          </c:val>
          <c:smooth val="0"/>
          <c:extLst>
            <c:ext xmlns:c16="http://schemas.microsoft.com/office/drawing/2014/chart" uri="{C3380CC4-5D6E-409C-BE32-E72D297353CC}">
              <c16:uniqueId val="{00000000-62B6-4D49-9C89-A234727359AA}"/>
            </c:ext>
          </c:extLst>
        </c:ser>
        <c:ser>
          <c:idx val="1"/>
          <c:order val="1"/>
          <c:tx>
            <c:strRef>
              <c:f>Ratios!$A$9</c:f>
              <c:strCache>
                <c:ptCount val="1"/>
                <c:pt idx="0">
                  <c:v>Industry Return on Assets</c:v>
                </c:pt>
              </c:strCache>
            </c:strRef>
          </c:tx>
          <c:spPr>
            <a:ln w="28575" cap="rnd">
              <a:solidFill>
                <a:schemeClr val="bg2">
                  <a:lumMod val="65000"/>
                </a:schemeClr>
              </a:solidFill>
              <a:prstDash val="sysDot"/>
              <a:round/>
            </a:ln>
            <a:effectLst/>
          </c:spPr>
          <c:marker>
            <c:symbol val="none"/>
          </c:marker>
          <c:cat>
            <c:numRef>
              <c:f>Ratios!$B$2:$J$2</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Ratios!$B$9:$J$9</c:f>
              <c:numCache>
                <c:formatCode>0%</c:formatCode>
                <c:ptCount val="9"/>
                <c:pt idx="0">
                  <c:v>5.45E-2</c:v>
                </c:pt>
                <c:pt idx="1">
                  <c:v>5.1200000000000002E-2</c:v>
                </c:pt>
                <c:pt idx="2">
                  <c:v>3.9399999999999998E-2</c:v>
                </c:pt>
                <c:pt idx="3">
                  <c:v>4.1300000000000003E-2</c:v>
                </c:pt>
                <c:pt idx="4">
                  <c:v>6.6900000000000001E-2</c:v>
                </c:pt>
                <c:pt idx="5">
                  <c:v>7.1900000000000006E-2</c:v>
                </c:pt>
                <c:pt idx="6">
                  <c:v>7.7314037388957368E-2</c:v>
                </c:pt>
                <c:pt idx="7">
                  <c:v>8.313574933770651E-2</c:v>
                </c:pt>
                <c:pt idx="8">
                  <c:v>8.9395833555694415E-2</c:v>
                </c:pt>
              </c:numCache>
            </c:numRef>
          </c:val>
          <c:smooth val="0"/>
          <c:extLst>
            <c:ext xmlns:c16="http://schemas.microsoft.com/office/drawing/2014/chart" uri="{C3380CC4-5D6E-409C-BE32-E72D297353CC}">
              <c16:uniqueId val="{00000001-62B6-4D49-9C89-A234727359AA}"/>
            </c:ext>
          </c:extLst>
        </c:ser>
        <c:ser>
          <c:idx val="2"/>
          <c:order val="2"/>
          <c:tx>
            <c:v>MARKETING Return on Assets</c:v>
          </c:tx>
          <c:spPr>
            <a:ln w="28575" cap="rnd">
              <a:solidFill>
                <a:srgbClr val="D477FD"/>
              </a:solidFill>
              <a:prstDash val="solid"/>
              <a:round/>
            </a:ln>
            <a:effectLst/>
          </c:spPr>
          <c:marker>
            <c:symbol val="none"/>
          </c:marker>
          <c:cat>
            <c:numRef>
              <c:f>Ratios!$B$2:$J$2</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Ratios!$N$8:$V$8</c:f>
              <c:numCache>
                <c:formatCode>0%</c:formatCode>
                <c:ptCount val="9"/>
                <c:pt idx="0">
                  <c:v>0.20646696932378869</c:v>
                </c:pt>
                <c:pt idx="1">
                  <c:v>-2.0057284607927506</c:v>
                </c:pt>
                <c:pt idx="2">
                  <c:v>-0.68557626201892707</c:v>
                </c:pt>
                <c:pt idx="3">
                  <c:v>-1.1668454996614717</c:v>
                </c:pt>
                <c:pt idx="4">
                  <c:v>2.9203213174617746</c:v>
                </c:pt>
                <c:pt idx="5">
                  <c:v>0.7474896630712704</c:v>
                </c:pt>
                <c:pt idx="6">
                  <c:v>0.45865867896695528</c:v>
                </c:pt>
                <c:pt idx="7">
                  <c:v>0.34487693487977233</c:v>
                </c:pt>
                <c:pt idx="8">
                  <c:v>0.28506243301611917</c:v>
                </c:pt>
              </c:numCache>
            </c:numRef>
          </c:val>
          <c:smooth val="0"/>
          <c:extLst>
            <c:ext xmlns:c16="http://schemas.microsoft.com/office/drawing/2014/chart" uri="{C3380CC4-5D6E-409C-BE32-E72D297353CC}">
              <c16:uniqueId val="{00000002-62B6-4D49-9C89-A234727359AA}"/>
            </c:ext>
          </c:extLst>
        </c:ser>
        <c:dLbls>
          <c:showLegendKey val="0"/>
          <c:showVal val="0"/>
          <c:showCatName val="0"/>
          <c:showSerName val="0"/>
          <c:showPercent val="0"/>
          <c:showBubbleSize val="0"/>
        </c:dLbls>
        <c:smooth val="0"/>
        <c:axId val="139749568"/>
        <c:axId val="139742080"/>
      </c:lineChart>
      <c:catAx>
        <c:axId val="1397495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42080"/>
        <c:crosses val="autoZero"/>
        <c:auto val="1"/>
        <c:lblAlgn val="ctr"/>
        <c:lblOffset val="100"/>
        <c:noMultiLvlLbl val="0"/>
      </c:catAx>
      <c:valAx>
        <c:axId val="139742080"/>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49568"/>
        <c:crosses val="autoZero"/>
        <c:crossBetween val="between"/>
      </c:valAx>
      <c:spPr>
        <a:noFill/>
        <a:ln>
          <a:solidFill>
            <a:schemeClr val="bg1">
              <a:alpha val="84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Debt</a:t>
            </a:r>
            <a:r>
              <a:rPr lang="en-US" baseline="0"/>
              <a:t> to </a:t>
            </a:r>
            <a:r>
              <a:rPr lang="en-US"/>
              <a:t>Assets</a:t>
            </a:r>
          </a:p>
        </c:rich>
      </c:tx>
      <c:layout>
        <c:manualLayout>
          <c:xMode val="edge"/>
          <c:yMode val="edge"/>
          <c:x val="0.38827073375851467"/>
          <c:y val="4.5836390381679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FACTORY Debt to assets</c:v>
          </c:tx>
          <c:spPr>
            <a:ln w="28575" cap="rnd">
              <a:solidFill>
                <a:srgbClr val="00B0F0"/>
              </a:solidFill>
              <a:prstDash val="solid"/>
              <a:round/>
            </a:ln>
            <a:effectLst/>
          </c:spPr>
          <c:marker>
            <c:symbol val="none"/>
          </c:marker>
          <c:cat>
            <c:numRef>
              <c:f>Ratios!$B$2:$J$2</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Ratios!$B$11:$J$11</c:f>
              <c:numCache>
                <c:formatCode>0.00</c:formatCode>
                <c:ptCount val="9"/>
                <c:pt idx="0">
                  <c:v>0.53566286491813353</c:v>
                </c:pt>
                <c:pt idx="1">
                  <c:v>0.60672412605371839</c:v>
                </c:pt>
                <c:pt idx="2">
                  <c:v>0.70112482364769846</c:v>
                </c:pt>
                <c:pt idx="3">
                  <c:v>0.5014939672859311</c:v>
                </c:pt>
                <c:pt idx="4">
                  <c:v>0.35719896346074709</c:v>
                </c:pt>
                <c:pt idx="5">
                  <c:v>0.27688496861234979</c:v>
                </c:pt>
                <c:pt idx="6">
                  <c:v>0.19426259006569896</c:v>
                </c:pt>
                <c:pt idx="7">
                  <c:v>0.12142990932783763</c:v>
                </c:pt>
                <c:pt idx="8">
                  <c:v>0.10535343749156771</c:v>
                </c:pt>
              </c:numCache>
            </c:numRef>
          </c:val>
          <c:smooth val="0"/>
          <c:extLst>
            <c:ext xmlns:c16="http://schemas.microsoft.com/office/drawing/2014/chart" uri="{C3380CC4-5D6E-409C-BE32-E72D297353CC}">
              <c16:uniqueId val="{00000000-5305-416C-ABA7-1FAD893C9FE8}"/>
            </c:ext>
          </c:extLst>
        </c:ser>
        <c:ser>
          <c:idx val="1"/>
          <c:order val="1"/>
          <c:tx>
            <c:strRef>
              <c:f>Ratios!$A$12</c:f>
              <c:strCache>
                <c:ptCount val="1"/>
                <c:pt idx="0">
                  <c:v>Industry Debt to Assets</c:v>
                </c:pt>
              </c:strCache>
            </c:strRef>
          </c:tx>
          <c:spPr>
            <a:ln w="28575" cap="rnd">
              <a:solidFill>
                <a:schemeClr val="bg2">
                  <a:lumMod val="65000"/>
                </a:schemeClr>
              </a:solidFill>
              <a:prstDash val="sysDot"/>
              <a:round/>
            </a:ln>
            <a:effectLst/>
          </c:spPr>
          <c:marker>
            <c:symbol val="none"/>
          </c:marker>
          <c:cat>
            <c:numRef>
              <c:f>Ratios!$B$2:$J$2</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Ratios!$B$12:$J$12</c:f>
              <c:numCache>
                <c:formatCode>General</c:formatCode>
                <c:ptCount val="9"/>
                <c:pt idx="0">
                  <c:v>1.1399999999999999</c:v>
                </c:pt>
                <c:pt idx="1">
                  <c:v>1.06</c:v>
                </c:pt>
                <c:pt idx="2">
                  <c:v>1.1100000000000001</c:v>
                </c:pt>
                <c:pt idx="3">
                  <c:v>1.28</c:v>
                </c:pt>
                <c:pt idx="4">
                  <c:v>1.26</c:v>
                </c:pt>
                <c:pt idx="5">
                  <c:v>1.54</c:v>
                </c:pt>
                <c:pt idx="6" formatCode="0.00">
                  <c:v>1.6264311520122405</c:v>
                </c:pt>
                <c:pt idx="7" formatCode="0.00">
                  <c:v>1.717713176776535</c:v>
                </c:pt>
                <c:pt idx="8" formatCode="0.00">
                  <c:v>1.8141183252800424</c:v>
                </c:pt>
              </c:numCache>
            </c:numRef>
          </c:val>
          <c:smooth val="0"/>
          <c:extLst>
            <c:ext xmlns:c16="http://schemas.microsoft.com/office/drawing/2014/chart" uri="{C3380CC4-5D6E-409C-BE32-E72D297353CC}">
              <c16:uniqueId val="{00000001-5305-416C-ABA7-1FAD893C9FE8}"/>
            </c:ext>
          </c:extLst>
        </c:ser>
        <c:ser>
          <c:idx val="2"/>
          <c:order val="2"/>
          <c:tx>
            <c:v>MARKETING Debt to Assets</c:v>
          </c:tx>
          <c:spPr>
            <a:ln w="28575" cap="rnd">
              <a:solidFill>
                <a:srgbClr val="D477FD"/>
              </a:solidFill>
              <a:prstDash val="solid"/>
              <a:round/>
            </a:ln>
            <a:effectLst/>
          </c:spPr>
          <c:marker>
            <c:symbol val="none"/>
          </c:marker>
          <c:cat>
            <c:numRef>
              <c:f>Ratios!$B$2:$J$2</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Ratios!$N$11:$V$11</c:f>
              <c:numCache>
                <c:formatCode>0.00</c:formatCode>
                <c:ptCount val="9"/>
                <c:pt idx="0">
                  <c:v>0.53566286491813353</c:v>
                </c:pt>
                <c:pt idx="1">
                  <c:v>-0.57565691880294345</c:v>
                </c:pt>
                <c:pt idx="2">
                  <c:v>-0.2359418125703944</c:v>
                </c:pt>
                <c:pt idx="3">
                  <c:v>-0.63501878286320868</c:v>
                </c:pt>
                <c:pt idx="4">
                  <c:v>1.4692671972845244</c:v>
                </c:pt>
                <c:pt idx="5">
                  <c:v>0.35337540024960795</c:v>
                </c:pt>
                <c:pt idx="6">
                  <c:v>0.20571273593899156</c:v>
                </c:pt>
                <c:pt idx="7">
                  <c:v>0.14774540050387386</c:v>
                </c:pt>
                <c:pt idx="8">
                  <c:v>0.11678879213647556</c:v>
                </c:pt>
              </c:numCache>
            </c:numRef>
          </c:val>
          <c:smooth val="0"/>
          <c:extLst>
            <c:ext xmlns:c16="http://schemas.microsoft.com/office/drawing/2014/chart" uri="{C3380CC4-5D6E-409C-BE32-E72D297353CC}">
              <c16:uniqueId val="{00000002-5305-416C-ABA7-1FAD893C9FE8}"/>
            </c:ext>
          </c:extLst>
        </c:ser>
        <c:dLbls>
          <c:showLegendKey val="0"/>
          <c:showVal val="0"/>
          <c:showCatName val="0"/>
          <c:showSerName val="0"/>
          <c:showPercent val="0"/>
          <c:showBubbleSize val="0"/>
        </c:dLbls>
        <c:smooth val="0"/>
        <c:axId val="139749568"/>
        <c:axId val="139742080"/>
      </c:lineChart>
      <c:catAx>
        <c:axId val="1397495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42080"/>
        <c:crosses val="autoZero"/>
        <c:auto val="1"/>
        <c:lblAlgn val="ctr"/>
        <c:lblOffset val="100"/>
        <c:noMultiLvlLbl val="0"/>
      </c:catAx>
      <c:valAx>
        <c:axId val="139742080"/>
        <c:scaling>
          <c:orientation val="minMax"/>
        </c:scaling>
        <c:delete val="0"/>
        <c:axPos val="l"/>
        <c:majorGridlines>
          <c:spPr>
            <a:ln w="9525" cap="flat" cmpd="sng" algn="ctr">
              <a:no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49568"/>
        <c:crosses val="autoZero"/>
        <c:crossBetween val="between"/>
      </c:valAx>
      <c:spPr>
        <a:noFill/>
        <a:ln>
          <a:solidFill>
            <a:schemeClr val="bg1">
              <a:alpha val="84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Interest Coverage</a:t>
            </a:r>
            <a:r>
              <a:rPr lang="en-US" baseline="0"/>
              <a:t> Ratio</a:t>
            </a:r>
            <a:endParaRPr lang="en-US"/>
          </a:p>
        </c:rich>
      </c:tx>
      <c:layout>
        <c:manualLayout>
          <c:xMode val="edge"/>
          <c:yMode val="edge"/>
          <c:x val="0.38827073375851467"/>
          <c:y val="4.5836390381679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FACTORY Interest coverage ratio</c:v>
          </c:tx>
          <c:spPr>
            <a:ln w="28575" cap="rnd">
              <a:solidFill>
                <a:srgbClr val="00B0F0"/>
              </a:solidFill>
              <a:prstDash val="solid"/>
              <a:round/>
            </a:ln>
            <a:effectLst/>
          </c:spPr>
          <c:marker>
            <c:symbol val="none"/>
          </c:marker>
          <c:cat>
            <c:numRef>
              <c:f>Ratios!$B$2:$J$2</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Ratios!$B$13:$J$13</c:f>
              <c:numCache>
                <c:formatCode>0.00</c:formatCode>
                <c:ptCount val="9"/>
                <c:pt idx="0">
                  <c:v>14.662212975729529</c:v>
                </c:pt>
                <c:pt idx="1">
                  <c:v>15.088509246157095</c:v>
                </c:pt>
                <c:pt idx="2">
                  <c:v>6.9489258012003292</c:v>
                </c:pt>
                <c:pt idx="3">
                  <c:v>45.495999930219966</c:v>
                </c:pt>
                <c:pt idx="4">
                  <c:v>61.051213126926385</c:v>
                </c:pt>
                <c:pt idx="5">
                  <c:v>79.329238500071</c:v>
                </c:pt>
                <c:pt idx="6">
                  <c:v>150.31464208616597</c:v>
                </c:pt>
                <c:pt idx="7">
                  <c:v>0</c:v>
                </c:pt>
                <c:pt idx="8">
                  <c:v>0</c:v>
                </c:pt>
              </c:numCache>
            </c:numRef>
          </c:val>
          <c:smooth val="0"/>
          <c:extLst>
            <c:ext xmlns:c16="http://schemas.microsoft.com/office/drawing/2014/chart" uri="{C3380CC4-5D6E-409C-BE32-E72D297353CC}">
              <c16:uniqueId val="{00000000-6F62-4D6D-A851-A88B21E950D4}"/>
            </c:ext>
          </c:extLst>
        </c:ser>
        <c:ser>
          <c:idx val="1"/>
          <c:order val="1"/>
          <c:tx>
            <c:strRef>
              <c:f>Ratios!$A$14</c:f>
              <c:strCache>
                <c:ptCount val="1"/>
                <c:pt idx="0">
                  <c:v>Industry Interest coverage ratio</c:v>
                </c:pt>
              </c:strCache>
            </c:strRef>
          </c:tx>
          <c:spPr>
            <a:ln w="28575" cap="rnd">
              <a:solidFill>
                <a:schemeClr val="bg2">
                  <a:lumMod val="65000"/>
                </a:schemeClr>
              </a:solidFill>
              <a:prstDash val="sysDot"/>
              <a:round/>
            </a:ln>
            <a:effectLst/>
          </c:spPr>
          <c:marker>
            <c:symbol val="none"/>
          </c:marker>
          <c:cat>
            <c:numRef>
              <c:f>Ratios!$B$2:$J$2</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Ratios!$B$14:$J$14</c:f>
              <c:numCache>
                <c:formatCode>General</c:formatCode>
                <c:ptCount val="9"/>
                <c:pt idx="0">
                  <c:v>16.82</c:v>
                </c:pt>
                <c:pt idx="1">
                  <c:v>20.149999999999999</c:v>
                </c:pt>
                <c:pt idx="2">
                  <c:v>18.37</c:v>
                </c:pt>
                <c:pt idx="3">
                  <c:v>15.02</c:v>
                </c:pt>
                <c:pt idx="4">
                  <c:v>15.92</c:v>
                </c:pt>
                <c:pt idx="5">
                  <c:v>12.32</c:v>
                </c:pt>
                <c:pt idx="6" formatCode="0.00">
                  <c:v>11.829393028893657</c:v>
                </c:pt>
                <c:pt idx="7" formatCode="0.00">
                  <c:v>11.358323005847227</c:v>
                </c:pt>
                <c:pt idx="8" formatCode="0.00">
                  <c:v>10.90601193062432</c:v>
                </c:pt>
              </c:numCache>
            </c:numRef>
          </c:val>
          <c:smooth val="0"/>
          <c:extLst>
            <c:ext xmlns:c16="http://schemas.microsoft.com/office/drawing/2014/chart" uri="{C3380CC4-5D6E-409C-BE32-E72D297353CC}">
              <c16:uniqueId val="{00000001-6F62-4D6D-A851-A88B21E950D4}"/>
            </c:ext>
          </c:extLst>
        </c:ser>
        <c:ser>
          <c:idx val="2"/>
          <c:order val="2"/>
          <c:tx>
            <c:v>MARKETING Interest coverage ratio</c:v>
          </c:tx>
          <c:spPr>
            <a:ln w="28575" cap="rnd">
              <a:solidFill>
                <a:srgbClr val="D477FD"/>
              </a:solidFill>
              <a:prstDash val="solid"/>
              <a:round/>
            </a:ln>
            <a:effectLst/>
          </c:spPr>
          <c:marker>
            <c:symbol val="none"/>
          </c:marker>
          <c:cat>
            <c:numRef>
              <c:f>Ratios!$B$2:$J$2</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Ratios!$N$13:$V$13</c:f>
              <c:numCache>
                <c:formatCode>0.00</c:formatCode>
                <c:ptCount val="9"/>
                <c:pt idx="0">
                  <c:v>14.662212975729529</c:v>
                </c:pt>
                <c:pt idx="1">
                  <c:v>-380.34641456661615</c:v>
                </c:pt>
                <c:pt idx="2">
                  <c:v>-951.73793027838155</c:v>
                </c:pt>
                <c:pt idx="3">
                  <c:v>2047.0365874865156</c:v>
                </c:pt>
                <c:pt idx="4">
                  <c:v>7265.5372971980923</c:v>
                </c:pt>
                <c:pt idx="5">
                  <c:v>26202.345782207787</c:v>
                </c:pt>
                <c:pt idx="6">
                  <c:v>96577.539398656867</c:v>
                </c:pt>
                <c:pt idx="7">
                  <c:v>364266.24017902161</c:v>
                </c:pt>
                <c:pt idx="8">
                  <c:v>1412868.088994103</c:v>
                </c:pt>
              </c:numCache>
            </c:numRef>
          </c:val>
          <c:smooth val="0"/>
          <c:extLst>
            <c:ext xmlns:c16="http://schemas.microsoft.com/office/drawing/2014/chart" uri="{C3380CC4-5D6E-409C-BE32-E72D297353CC}">
              <c16:uniqueId val="{00000002-6F62-4D6D-A851-A88B21E950D4}"/>
            </c:ext>
          </c:extLst>
        </c:ser>
        <c:dLbls>
          <c:showLegendKey val="0"/>
          <c:showVal val="0"/>
          <c:showCatName val="0"/>
          <c:showSerName val="0"/>
          <c:showPercent val="0"/>
          <c:showBubbleSize val="0"/>
        </c:dLbls>
        <c:smooth val="0"/>
        <c:axId val="139749568"/>
        <c:axId val="139742080"/>
      </c:lineChart>
      <c:catAx>
        <c:axId val="1397495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42080"/>
        <c:crosses val="autoZero"/>
        <c:auto val="1"/>
        <c:lblAlgn val="ctr"/>
        <c:lblOffset val="100"/>
        <c:noMultiLvlLbl val="0"/>
      </c:catAx>
      <c:valAx>
        <c:axId val="139742080"/>
        <c:scaling>
          <c:orientation val="minMax"/>
        </c:scaling>
        <c:delete val="0"/>
        <c:axPos val="l"/>
        <c:majorGridlines>
          <c:spPr>
            <a:ln w="9525" cap="flat" cmpd="sng" algn="ctr">
              <a:no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49568"/>
        <c:crosses val="autoZero"/>
        <c:crossBetween val="between"/>
      </c:valAx>
      <c:spPr>
        <a:noFill/>
        <a:ln>
          <a:solidFill>
            <a:schemeClr val="bg1">
              <a:alpha val="84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Interest Coverage</a:t>
            </a:r>
            <a:r>
              <a:rPr lang="en-US" baseline="0"/>
              <a:t> Ratio</a:t>
            </a:r>
            <a:endParaRPr lang="en-US"/>
          </a:p>
        </c:rich>
      </c:tx>
      <c:layout>
        <c:manualLayout>
          <c:xMode val="edge"/>
          <c:yMode val="edge"/>
          <c:x val="0.38827073375851467"/>
          <c:y val="4.5836390381679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FACTORY Interest coverage ratio</c:v>
          </c:tx>
          <c:spPr>
            <a:ln w="28575" cap="rnd">
              <a:solidFill>
                <a:srgbClr val="00B0F0"/>
              </a:solidFill>
              <a:prstDash val="solid"/>
              <a:round/>
            </a:ln>
            <a:effectLst/>
          </c:spPr>
          <c:marker>
            <c:symbol val="none"/>
          </c:marker>
          <c:cat>
            <c:numRef>
              <c:f>Ratios!$B$2:$J$2</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Ratios!$B$13:$J$13</c:f>
              <c:numCache>
                <c:formatCode>0.00</c:formatCode>
                <c:ptCount val="9"/>
                <c:pt idx="0">
                  <c:v>14.662212975729529</c:v>
                </c:pt>
                <c:pt idx="1">
                  <c:v>15.088509246157095</c:v>
                </c:pt>
                <c:pt idx="2">
                  <c:v>6.9489258012003292</c:v>
                </c:pt>
                <c:pt idx="3">
                  <c:v>45.495999930219966</c:v>
                </c:pt>
                <c:pt idx="4">
                  <c:v>61.051213126926385</c:v>
                </c:pt>
                <c:pt idx="5">
                  <c:v>79.329238500071</c:v>
                </c:pt>
                <c:pt idx="6">
                  <c:v>150.31464208616597</c:v>
                </c:pt>
                <c:pt idx="7">
                  <c:v>0</c:v>
                </c:pt>
                <c:pt idx="8">
                  <c:v>0</c:v>
                </c:pt>
              </c:numCache>
            </c:numRef>
          </c:val>
          <c:smooth val="0"/>
          <c:extLst>
            <c:ext xmlns:c16="http://schemas.microsoft.com/office/drawing/2014/chart" uri="{C3380CC4-5D6E-409C-BE32-E72D297353CC}">
              <c16:uniqueId val="{00000000-70DC-404F-A819-3CB5FBEA9DCC}"/>
            </c:ext>
          </c:extLst>
        </c:ser>
        <c:ser>
          <c:idx val="1"/>
          <c:order val="1"/>
          <c:tx>
            <c:strRef>
              <c:f>Ratios!$A$14</c:f>
              <c:strCache>
                <c:ptCount val="1"/>
                <c:pt idx="0">
                  <c:v>Industry Interest coverage ratio</c:v>
                </c:pt>
              </c:strCache>
            </c:strRef>
          </c:tx>
          <c:spPr>
            <a:ln w="28575" cap="rnd">
              <a:solidFill>
                <a:schemeClr val="bg2">
                  <a:lumMod val="65000"/>
                </a:schemeClr>
              </a:solidFill>
              <a:prstDash val="sysDot"/>
              <a:round/>
            </a:ln>
            <a:effectLst/>
          </c:spPr>
          <c:marker>
            <c:symbol val="none"/>
          </c:marker>
          <c:cat>
            <c:numRef>
              <c:f>Ratios!$B$2:$J$2</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Ratios!$B$14:$J$14</c:f>
              <c:numCache>
                <c:formatCode>General</c:formatCode>
                <c:ptCount val="9"/>
                <c:pt idx="0">
                  <c:v>16.82</c:v>
                </c:pt>
                <c:pt idx="1">
                  <c:v>20.149999999999999</c:v>
                </c:pt>
                <c:pt idx="2">
                  <c:v>18.37</c:v>
                </c:pt>
                <c:pt idx="3">
                  <c:v>15.02</c:v>
                </c:pt>
                <c:pt idx="4">
                  <c:v>15.92</c:v>
                </c:pt>
                <c:pt idx="5">
                  <c:v>12.32</c:v>
                </c:pt>
                <c:pt idx="6" formatCode="0.00">
                  <c:v>11.829393028893657</c:v>
                </c:pt>
                <c:pt idx="7" formatCode="0.00">
                  <c:v>11.358323005847227</c:v>
                </c:pt>
                <c:pt idx="8" formatCode="0.00">
                  <c:v>10.90601193062432</c:v>
                </c:pt>
              </c:numCache>
            </c:numRef>
          </c:val>
          <c:smooth val="0"/>
          <c:extLst>
            <c:ext xmlns:c16="http://schemas.microsoft.com/office/drawing/2014/chart" uri="{C3380CC4-5D6E-409C-BE32-E72D297353CC}">
              <c16:uniqueId val="{00000001-70DC-404F-A819-3CB5FBEA9DCC}"/>
            </c:ext>
          </c:extLst>
        </c:ser>
        <c:dLbls>
          <c:showLegendKey val="0"/>
          <c:showVal val="0"/>
          <c:showCatName val="0"/>
          <c:showSerName val="0"/>
          <c:showPercent val="0"/>
          <c:showBubbleSize val="0"/>
        </c:dLbls>
        <c:smooth val="0"/>
        <c:axId val="139749568"/>
        <c:axId val="139742080"/>
      </c:lineChart>
      <c:catAx>
        <c:axId val="1397495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42080"/>
        <c:crosses val="autoZero"/>
        <c:auto val="1"/>
        <c:lblAlgn val="ctr"/>
        <c:lblOffset val="100"/>
        <c:noMultiLvlLbl val="0"/>
      </c:catAx>
      <c:valAx>
        <c:axId val="139742080"/>
        <c:scaling>
          <c:orientation val="minMax"/>
        </c:scaling>
        <c:delete val="0"/>
        <c:axPos val="l"/>
        <c:majorGridlines>
          <c:spPr>
            <a:ln w="9525" cap="flat" cmpd="sng" algn="ctr">
              <a:no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49568"/>
        <c:crosses val="autoZero"/>
        <c:crossBetween val="between"/>
      </c:valAx>
      <c:spPr>
        <a:noFill/>
        <a:ln>
          <a:solidFill>
            <a:schemeClr val="bg1">
              <a:alpha val="84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Quick Ratio</a:t>
            </a:r>
            <a:endParaRPr lang="en-US"/>
          </a:p>
        </c:rich>
      </c:tx>
      <c:layout>
        <c:manualLayout>
          <c:xMode val="edge"/>
          <c:yMode val="edge"/>
          <c:x val="0.38827073375851467"/>
          <c:y val="4.5836390381679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FACTORY Quick ratio</c:v>
          </c:tx>
          <c:spPr>
            <a:ln w="28575" cap="rnd">
              <a:solidFill>
                <a:srgbClr val="00B0F0"/>
              </a:solidFill>
              <a:prstDash val="solid"/>
              <a:round/>
            </a:ln>
            <a:effectLst/>
          </c:spPr>
          <c:marker>
            <c:symbol val="none"/>
          </c:marker>
          <c:cat>
            <c:numRef>
              <c:f>Ratios!$B$2:$J$2</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Ratios!$B$16:$J$16</c:f>
              <c:numCache>
                <c:formatCode>0.00</c:formatCode>
                <c:ptCount val="9"/>
                <c:pt idx="0">
                  <c:v>0.39466605599727572</c:v>
                </c:pt>
                <c:pt idx="1">
                  <c:v>1.4800909495003238</c:v>
                </c:pt>
                <c:pt idx="2">
                  <c:v>0.65465803864045868</c:v>
                </c:pt>
                <c:pt idx="3">
                  <c:v>2.1526558706522976</c:v>
                </c:pt>
                <c:pt idx="4">
                  <c:v>3.3875346356691507</c:v>
                </c:pt>
                <c:pt idx="5">
                  <c:v>4.2205172399250275</c:v>
                </c:pt>
                <c:pt idx="6">
                  <c:v>5.357044295206765</c:v>
                </c:pt>
                <c:pt idx="7">
                  <c:v>7.6368112555174985</c:v>
                </c:pt>
                <c:pt idx="8">
                  <c:v>9.0793264321122038</c:v>
                </c:pt>
              </c:numCache>
            </c:numRef>
          </c:val>
          <c:smooth val="0"/>
          <c:extLst>
            <c:ext xmlns:c16="http://schemas.microsoft.com/office/drawing/2014/chart" uri="{C3380CC4-5D6E-409C-BE32-E72D297353CC}">
              <c16:uniqueId val="{00000000-9223-4C52-A762-E5B018A823A7}"/>
            </c:ext>
          </c:extLst>
        </c:ser>
        <c:ser>
          <c:idx val="1"/>
          <c:order val="1"/>
          <c:tx>
            <c:strRef>
              <c:f>Ratios!$A$17</c:f>
              <c:strCache>
                <c:ptCount val="1"/>
                <c:pt idx="0">
                  <c:v>Industry Quick ratio</c:v>
                </c:pt>
              </c:strCache>
            </c:strRef>
          </c:tx>
          <c:spPr>
            <a:ln w="28575" cap="rnd">
              <a:solidFill>
                <a:schemeClr val="bg2">
                  <a:lumMod val="65000"/>
                </a:schemeClr>
              </a:solidFill>
              <a:prstDash val="sysDot"/>
              <a:round/>
            </a:ln>
            <a:effectLst/>
          </c:spPr>
          <c:marker>
            <c:symbol val="none"/>
          </c:marker>
          <c:cat>
            <c:numRef>
              <c:f>Ratios!$B$2:$J$2</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Ratios!$B$17:$J$17</c:f>
              <c:numCache>
                <c:formatCode>0.00</c:formatCode>
                <c:ptCount val="9"/>
                <c:pt idx="0" formatCode="General">
                  <c:v>0.25</c:v>
                </c:pt>
                <c:pt idx="1">
                  <c:v>0.2525</c:v>
                </c:pt>
                <c:pt idx="2">
                  <c:v>0.38500000000000001</c:v>
                </c:pt>
                <c:pt idx="3" formatCode="General">
                  <c:v>0.56000000000000005</c:v>
                </c:pt>
                <c:pt idx="4" formatCode="General">
                  <c:v>0.39</c:v>
                </c:pt>
                <c:pt idx="5" formatCode="General">
                  <c:v>0.33</c:v>
                </c:pt>
                <c:pt idx="6">
                  <c:v>0.35925341910564684</c:v>
                </c:pt>
                <c:pt idx="7">
                  <c:v>0.39110005799726527</c:v>
                </c:pt>
                <c:pt idx="8">
                  <c:v>0.4257697971149525</c:v>
                </c:pt>
              </c:numCache>
            </c:numRef>
          </c:val>
          <c:smooth val="0"/>
          <c:extLst>
            <c:ext xmlns:c16="http://schemas.microsoft.com/office/drawing/2014/chart" uri="{C3380CC4-5D6E-409C-BE32-E72D297353CC}">
              <c16:uniqueId val="{00000001-9223-4C52-A762-E5B018A823A7}"/>
            </c:ext>
          </c:extLst>
        </c:ser>
        <c:ser>
          <c:idx val="2"/>
          <c:order val="2"/>
          <c:tx>
            <c:v>MARKETING Quick ratio</c:v>
          </c:tx>
          <c:spPr>
            <a:ln w="28575" cap="rnd">
              <a:solidFill>
                <a:srgbClr val="D477FD"/>
              </a:solidFill>
              <a:prstDash val="solid"/>
              <a:round/>
            </a:ln>
            <a:effectLst/>
          </c:spPr>
          <c:marker>
            <c:symbol val="none"/>
          </c:marker>
          <c:cat>
            <c:numRef>
              <c:f>Ratios!$B$2:$J$2</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Ratios!$N$16:$V$16</c:f>
              <c:numCache>
                <c:formatCode>0.00</c:formatCode>
                <c:ptCount val="9"/>
                <c:pt idx="0">
                  <c:v>0.39466605599727572</c:v>
                </c:pt>
                <c:pt idx="1">
                  <c:v>-3.2554379033475542</c:v>
                </c:pt>
                <c:pt idx="2">
                  <c:v>-5.6829289744302089</c:v>
                </c:pt>
                <c:pt idx="3">
                  <c:v>-2.5888066538613015</c:v>
                </c:pt>
                <c:pt idx="4">
                  <c:v>-8.3449023756100735E-2</c:v>
                </c:pt>
                <c:pt idx="5">
                  <c:v>2.2519493424394859</c:v>
                </c:pt>
                <c:pt idx="6">
                  <c:v>4.4191681861140175</c:v>
                </c:pt>
                <c:pt idx="7">
                  <c:v>6.4220747203391904</c:v>
                </c:pt>
                <c:pt idx="8">
                  <c:v>8.2839059700115829</c:v>
                </c:pt>
              </c:numCache>
            </c:numRef>
          </c:val>
          <c:smooth val="0"/>
          <c:extLst>
            <c:ext xmlns:c16="http://schemas.microsoft.com/office/drawing/2014/chart" uri="{C3380CC4-5D6E-409C-BE32-E72D297353CC}">
              <c16:uniqueId val="{00000002-9223-4C52-A762-E5B018A823A7}"/>
            </c:ext>
          </c:extLst>
        </c:ser>
        <c:dLbls>
          <c:showLegendKey val="0"/>
          <c:showVal val="0"/>
          <c:showCatName val="0"/>
          <c:showSerName val="0"/>
          <c:showPercent val="0"/>
          <c:showBubbleSize val="0"/>
        </c:dLbls>
        <c:smooth val="0"/>
        <c:axId val="139749568"/>
        <c:axId val="139742080"/>
      </c:lineChart>
      <c:catAx>
        <c:axId val="1397495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42080"/>
        <c:crosses val="autoZero"/>
        <c:auto val="1"/>
        <c:lblAlgn val="ctr"/>
        <c:lblOffset val="100"/>
        <c:noMultiLvlLbl val="0"/>
      </c:catAx>
      <c:valAx>
        <c:axId val="139742080"/>
        <c:scaling>
          <c:orientation val="minMax"/>
        </c:scaling>
        <c:delete val="0"/>
        <c:axPos val="l"/>
        <c:majorGridlines>
          <c:spPr>
            <a:ln w="9525" cap="flat" cmpd="sng" algn="ctr">
              <a:no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49568"/>
        <c:crosses val="autoZero"/>
        <c:crossBetween val="between"/>
      </c:valAx>
      <c:spPr>
        <a:noFill/>
        <a:ln>
          <a:solidFill>
            <a:schemeClr val="bg1">
              <a:alpha val="84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Current Ratio</a:t>
            </a:r>
            <a:endParaRPr lang="en-US"/>
          </a:p>
        </c:rich>
      </c:tx>
      <c:layout>
        <c:manualLayout>
          <c:xMode val="edge"/>
          <c:yMode val="edge"/>
          <c:x val="0.38827073375851467"/>
          <c:y val="4.5836390381679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FACTORY Current ratio</c:v>
          </c:tx>
          <c:spPr>
            <a:ln w="28575" cap="rnd">
              <a:solidFill>
                <a:srgbClr val="00B0F0"/>
              </a:solidFill>
              <a:prstDash val="solid"/>
              <a:round/>
            </a:ln>
            <a:effectLst/>
          </c:spPr>
          <c:marker>
            <c:symbol val="none"/>
          </c:marker>
          <c:cat>
            <c:numRef>
              <c:f>Ratios!$B$2:$J$2</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Ratios!$B$18:$J$18</c:f>
              <c:numCache>
                <c:formatCode>0.00</c:formatCode>
                <c:ptCount val="9"/>
                <c:pt idx="0">
                  <c:v>0.61710317267270298</c:v>
                </c:pt>
                <c:pt idx="1">
                  <c:v>1.7064799882400117</c:v>
                </c:pt>
                <c:pt idx="2">
                  <c:v>0.8657237483632988</c:v>
                </c:pt>
                <c:pt idx="3">
                  <c:v>2.3055833376208223</c:v>
                </c:pt>
                <c:pt idx="4">
                  <c:v>3.5452514401599502</c:v>
                </c:pt>
                <c:pt idx="5">
                  <c:v>4.3658949132224931</c:v>
                </c:pt>
                <c:pt idx="6">
                  <c:v>5.5136510685729343</c:v>
                </c:pt>
                <c:pt idx="7">
                  <c:v>7.8353979506181819</c:v>
                </c:pt>
                <c:pt idx="8">
                  <c:v>9.2639795223722228</c:v>
                </c:pt>
              </c:numCache>
            </c:numRef>
          </c:val>
          <c:smooth val="0"/>
          <c:extLst>
            <c:ext xmlns:c16="http://schemas.microsoft.com/office/drawing/2014/chart" uri="{C3380CC4-5D6E-409C-BE32-E72D297353CC}">
              <c16:uniqueId val="{00000000-E2C5-4087-8F38-FB907A76BCD7}"/>
            </c:ext>
          </c:extLst>
        </c:ser>
        <c:ser>
          <c:idx val="1"/>
          <c:order val="1"/>
          <c:tx>
            <c:strRef>
              <c:f>Ratios!$A$19</c:f>
              <c:strCache>
                <c:ptCount val="1"/>
                <c:pt idx="0">
                  <c:v>Industry Current ratio</c:v>
                </c:pt>
              </c:strCache>
            </c:strRef>
          </c:tx>
          <c:spPr>
            <a:ln w="28575" cap="rnd">
              <a:solidFill>
                <a:schemeClr val="bg2">
                  <a:lumMod val="65000"/>
                </a:schemeClr>
              </a:solidFill>
              <a:prstDash val="sysDot"/>
              <a:round/>
            </a:ln>
            <a:effectLst/>
          </c:spPr>
          <c:marker>
            <c:symbol val="none"/>
          </c:marker>
          <c:cat>
            <c:numRef>
              <c:f>Ratios!$B$2:$J$2</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Ratios!$B$19:$J$19</c:f>
              <c:numCache>
                <c:formatCode>General</c:formatCode>
                <c:ptCount val="9"/>
                <c:pt idx="0">
                  <c:v>1.51</c:v>
                </c:pt>
                <c:pt idx="1">
                  <c:v>1.56</c:v>
                </c:pt>
                <c:pt idx="2">
                  <c:v>1.67</c:v>
                </c:pt>
                <c:pt idx="3">
                  <c:v>1.8</c:v>
                </c:pt>
                <c:pt idx="4">
                  <c:v>1.69</c:v>
                </c:pt>
                <c:pt idx="5">
                  <c:v>1.6</c:v>
                </c:pt>
                <c:pt idx="6" formatCode="0.00">
                  <c:v>1.6178944441841574</c:v>
                </c:pt>
                <c:pt idx="7" formatCode="0.00">
                  <c:v>1.6359890203262271</c:v>
                </c:pt>
                <c:pt idx="8" formatCode="0.00">
                  <c:v>1.6542859667075531</c:v>
                </c:pt>
              </c:numCache>
            </c:numRef>
          </c:val>
          <c:smooth val="0"/>
          <c:extLst>
            <c:ext xmlns:c16="http://schemas.microsoft.com/office/drawing/2014/chart" uri="{C3380CC4-5D6E-409C-BE32-E72D297353CC}">
              <c16:uniqueId val="{00000001-E2C5-4087-8F38-FB907A76BCD7}"/>
            </c:ext>
          </c:extLst>
        </c:ser>
        <c:ser>
          <c:idx val="2"/>
          <c:order val="2"/>
          <c:tx>
            <c:v>MARKETING Current ratio</c:v>
          </c:tx>
          <c:spPr>
            <a:ln w="28575" cap="rnd">
              <a:solidFill>
                <a:srgbClr val="D477FD"/>
              </a:solidFill>
              <a:prstDash val="solid"/>
              <a:round/>
            </a:ln>
            <a:effectLst/>
          </c:spPr>
          <c:marker>
            <c:symbol val="none"/>
          </c:marker>
          <c:cat>
            <c:numRef>
              <c:f>Ratios!$B$2:$J$2</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Ratios!$N$18:$V$18</c:f>
              <c:numCache>
                <c:formatCode>0.00</c:formatCode>
                <c:ptCount val="9"/>
                <c:pt idx="0">
                  <c:v>0.61710317267270298</c:v>
                </c:pt>
                <c:pt idx="1">
                  <c:v>-3.1044553152725261</c:v>
                </c:pt>
                <c:pt idx="2">
                  <c:v>-5.5188454046289355</c:v>
                </c:pt>
                <c:pt idx="3">
                  <c:v>-2.4120023247680678</c:v>
                </c:pt>
                <c:pt idx="4">
                  <c:v>9.6996118925109662E-2</c:v>
                </c:pt>
                <c:pt idx="5">
                  <c:v>2.4358874595780104</c:v>
                </c:pt>
                <c:pt idx="6">
                  <c:v>4.606462823722012</c:v>
                </c:pt>
                <c:pt idx="7">
                  <c:v>6.6125708029281167</c:v>
                </c:pt>
                <c:pt idx="8">
                  <c:v>8.4774934872927119</c:v>
                </c:pt>
              </c:numCache>
            </c:numRef>
          </c:val>
          <c:smooth val="0"/>
          <c:extLst>
            <c:ext xmlns:c16="http://schemas.microsoft.com/office/drawing/2014/chart" uri="{C3380CC4-5D6E-409C-BE32-E72D297353CC}">
              <c16:uniqueId val="{00000002-E2C5-4087-8F38-FB907A76BCD7}"/>
            </c:ext>
          </c:extLst>
        </c:ser>
        <c:dLbls>
          <c:showLegendKey val="0"/>
          <c:showVal val="0"/>
          <c:showCatName val="0"/>
          <c:showSerName val="0"/>
          <c:showPercent val="0"/>
          <c:showBubbleSize val="0"/>
        </c:dLbls>
        <c:smooth val="0"/>
        <c:axId val="139749568"/>
        <c:axId val="139742080"/>
      </c:lineChart>
      <c:catAx>
        <c:axId val="1397495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42080"/>
        <c:crosses val="autoZero"/>
        <c:auto val="1"/>
        <c:lblAlgn val="ctr"/>
        <c:lblOffset val="100"/>
        <c:noMultiLvlLbl val="0"/>
      </c:catAx>
      <c:valAx>
        <c:axId val="139742080"/>
        <c:scaling>
          <c:orientation val="minMax"/>
        </c:scaling>
        <c:delete val="0"/>
        <c:axPos val="l"/>
        <c:majorGridlines>
          <c:spPr>
            <a:ln w="9525" cap="flat" cmpd="sng" algn="ctr">
              <a:no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49568"/>
        <c:crosses val="autoZero"/>
        <c:crossBetween val="between"/>
      </c:valAx>
      <c:spPr>
        <a:noFill/>
        <a:ln>
          <a:solidFill>
            <a:schemeClr val="bg1">
              <a:alpha val="84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Inventory Turnover</a:t>
            </a:r>
            <a:endParaRPr lang="en-US"/>
          </a:p>
        </c:rich>
      </c:tx>
      <c:layout>
        <c:manualLayout>
          <c:xMode val="edge"/>
          <c:yMode val="edge"/>
          <c:x val="0.38827073375851467"/>
          <c:y val="4.5836390381679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FACTORY Inventory turnover</c:v>
          </c:tx>
          <c:spPr>
            <a:ln w="28575" cap="rnd">
              <a:solidFill>
                <a:srgbClr val="00B0F0"/>
              </a:solidFill>
              <a:prstDash val="solid"/>
              <a:round/>
            </a:ln>
            <a:effectLst/>
          </c:spPr>
          <c:marker>
            <c:symbol val="none"/>
          </c:marker>
          <c:cat>
            <c:numRef>
              <c:f>Ratios!$B$2:$J$2</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Ratios!$B$21:$J$21</c:f>
              <c:numCache>
                <c:formatCode>0.00</c:formatCode>
                <c:ptCount val="9"/>
                <c:pt idx="0">
                  <c:v>5.9847120575244839</c:v>
                </c:pt>
                <c:pt idx="1">
                  <c:v>7.391975191296515</c:v>
                </c:pt>
                <c:pt idx="2">
                  <c:v>6.4430098718948514</c:v>
                </c:pt>
                <c:pt idx="3">
                  <c:v>8.8215045356291757</c:v>
                </c:pt>
                <c:pt idx="4">
                  <c:v>8.8216641364123092</c:v>
                </c:pt>
                <c:pt idx="5">
                  <c:v>8.8217663136102189</c:v>
                </c:pt>
                <c:pt idx="6">
                  <c:v>8.8217663136102189</c:v>
                </c:pt>
                <c:pt idx="7">
                  <c:v>8.8217663136102207</c:v>
                </c:pt>
                <c:pt idx="8">
                  <c:v>9.703942944971244</c:v>
                </c:pt>
              </c:numCache>
            </c:numRef>
          </c:val>
          <c:smooth val="0"/>
          <c:extLst>
            <c:ext xmlns:c16="http://schemas.microsoft.com/office/drawing/2014/chart" uri="{C3380CC4-5D6E-409C-BE32-E72D297353CC}">
              <c16:uniqueId val="{00000000-939D-4600-AB70-189664325579}"/>
            </c:ext>
          </c:extLst>
        </c:ser>
        <c:ser>
          <c:idx val="1"/>
          <c:order val="1"/>
          <c:tx>
            <c:strRef>
              <c:f>Ratios!$A$22</c:f>
              <c:strCache>
                <c:ptCount val="1"/>
                <c:pt idx="0">
                  <c:v>Industry Inventory turnover</c:v>
                </c:pt>
              </c:strCache>
            </c:strRef>
          </c:tx>
          <c:spPr>
            <a:ln w="28575" cap="rnd">
              <a:solidFill>
                <a:schemeClr val="bg2">
                  <a:lumMod val="65000"/>
                </a:schemeClr>
              </a:solidFill>
              <a:prstDash val="sysDot"/>
              <a:round/>
            </a:ln>
            <a:effectLst/>
          </c:spPr>
          <c:marker>
            <c:symbol val="none"/>
          </c:marker>
          <c:cat>
            <c:numRef>
              <c:f>Ratios!$B$2:$J$2</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Ratios!$B$22:$J$22</c:f>
              <c:numCache>
                <c:formatCode>General</c:formatCode>
                <c:ptCount val="9"/>
                <c:pt idx="0">
                  <c:v>6.94</c:v>
                </c:pt>
                <c:pt idx="1">
                  <c:v>8.35</c:v>
                </c:pt>
                <c:pt idx="2">
                  <c:v>8.3000000000000007</c:v>
                </c:pt>
                <c:pt idx="3">
                  <c:v>7.71</c:v>
                </c:pt>
                <c:pt idx="4">
                  <c:v>6.8</c:v>
                </c:pt>
                <c:pt idx="5">
                  <c:v>6.66</c:v>
                </c:pt>
                <c:pt idx="6" formatCode="0.00">
                  <c:v>6.646103796615594</c:v>
                </c:pt>
                <c:pt idx="7" formatCode="0.00">
                  <c:v>6.632236587896128</c:v>
                </c:pt>
                <c:pt idx="8" formatCode="0.00">
                  <c:v>6.6183983133437394</c:v>
                </c:pt>
              </c:numCache>
            </c:numRef>
          </c:val>
          <c:smooth val="0"/>
          <c:extLst>
            <c:ext xmlns:c16="http://schemas.microsoft.com/office/drawing/2014/chart" uri="{C3380CC4-5D6E-409C-BE32-E72D297353CC}">
              <c16:uniqueId val="{00000001-939D-4600-AB70-189664325579}"/>
            </c:ext>
          </c:extLst>
        </c:ser>
        <c:ser>
          <c:idx val="2"/>
          <c:order val="2"/>
          <c:tx>
            <c:v>MARKETING Inventory Turnover</c:v>
          </c:tx>
          <c:spPr>
            <a:ln w="28575" cap="rnd">
              <a:solidFill>
                <a:srgbClr val="D477FD"/>
              </a:solidFill>
              <a:prstDash val="solid"/>
              <a:round/>
            </a:ln>
            <a:effectLst/>
          </c:spPr>
          <c:marker>
            <c:symbol val="none"/>
          </c:marker>
          <c:cat>
            <c:numRef>
              <c:f>Ratios!$B$2:$J$2</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Ratios!$N$21:$V$21</c:f>
              <c:numCache>
                <c:formatCode>0.0</c:formatCode>
                <c:ptCount val="9"/>
                <c:pt idx="0">
                  <c:v>5.9847120575244839</c:v>
                </c:pt>
                <c:pt idx="1">
                  <c:v>9.6645148078422789</c:v>
                </c:pt>
                <c:pt idx="2">
                  <c:v>9.6645148078422753</c:v>
                </c:pt>
                <c:pt idx="3">
                  <c:v>9.6645148078422771</c:v>
                </c:pt>
                <c:pt idx="4">
                  <c:v>9.6645148078422771</c:v>
                </c:pt>
                <c:pt idx="5">
                  <c:v>9.6645148078422753</c:v>
                </c:pt>
                <c:pt idx="6">
                  <c:v>9.6645148078422753</c:v>
                </c:pt>
                <c:pt idx="7">
                  <c:v>9.6645148078422753</c:v>
                </c:pt>
                <c:pt idx="8">
                  <c:v>9.6645148078422753</c:v>
                </c:pt>
              </c:numCache>
            </c:numRef>
          </c:val>
          <c:smooth val="0"/>
          <c:extLst>
            <c:ext xmlns:c16="http://schemas.microsoft.com/office/drawing/2014/chart" uri="{C3380CC4-5D6E-409C-BE32-E72D297353CC}">
              <c16:uniqueId val="{00000002-939D-4600-AB70-189664325579}"/>
            </c:ext>
          </c:extLst>
        </c:ser>
        <c:dLbls>
          <c:showLegendKey val="0"/>
          <c:showVal val="0"/>
          <c:showCatName val="0"/>
          <c:showSerName val="0"/>
          <c:showPercent val="0"/>
          <c:showBubbleSize val="0"/>
        </c:dLbls>
        <c:smooth val="0"/>
        <c:axId val="139749568"/>
        <c:axId val="139742080"/>
      </c:lineChart>
      <c:catAx>
        <c:axId val="1397495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42080"/>
        <c:crosses val="autoZero"/>
        <c:auto val="1"/>
        <c:lblAlgn val="ctr"/>
        <c:lblOffset val="100"/>
        <c:noMultiLvlLbl val="0"/>
      </c:catAx>
      <c:valAx>
        <c:axId val="139742080"/>
        <c:scaling>
          <c:orientation val="minMax"/>
        </c:scaling>
        <c:delete val="0"/>
        <c:axPos val="l"/>
        <c:majorGridlines>
          <c:spPr>
            <a:ln w="9525" cap="flat" cmpd="sng" algn="ctr">
              <a:no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49568"/>
        <c:crosses val="autoZero"/>
        <c:crossBetween val="between"/>
      </c:valAx>
      <c:spPr>
        <a:noFill/>
        <a:ln>
          <a:solidFill>
            <a:schemeClr val="bg1">
              <a:alpha val="84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20053</xdr:colOff>
      <xdr:row>29</xdr:row>
      <xdr:rowOff>2842</xdr:rowOff>
    </xdr:from>
    <xdr:to>
      <xdr:col>5</xdr:col>
      <xdr:colOff>491848</xdr:colOff>
      <xdr:row>51</xdr:row>
      <xdr:rowOff>132014</xdr:rowOff>
    </xdr:to>
    <xdr:graphicFrame macro="">
      <xdr:nvGraphicFramePr>
        <xdr:cNvPr id="2" name="Chart 1">
          <a:extLst>
            <a:ext uri="{FF2B5EF4-FFF2-40B4-BE49-F238E27FC236}">
              <a16:creationId xmlns:a16="http://schemas.microsoft.com/office/drawing/2014/main" id="{597A43B1-41B0-9431-7973-E441A51DB1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491291</xdr:colOff>
      <xdr:row>29</xdr:row>
      <xdr:rowOff>0</xdr:rowOff>
    </xdr:from>
    <xdr:to>
      <xdr:col>12</xdr:col>
      <xdr:colOff>2266506</xdr:colOff>
      <xdr:row>51</xdr:row>
      <xdr:rowOff>129172</xdr:rowOff>
    </xdr:to>
    <xdr:graphicFrame macro="">
      <xdr:nvGraphicFramePr>
        <xdr:cNvPr id="3" name="Chart 2">
          <a:extLst>
            <a:ext uri="{FF2B5EF4-FFF2-40B4-BE49-F238E27FC236}">
              <a16:creationId xmlns:a16="http://schemas.microsoft.com/office/drawing/2014/main" id="{F1352E4F-6F77-496D-8819-0CBB5E52D2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2265948</xdr:colOff>
      <xdr:row>29</xdr:row>
      <xdr:rowOff>0</xdr:rowOff>
    </xdr:from>
    <xdr:to>
      <xdr:col>20</xdr:col>
      <xdr:colOff>301348</xdr:colOff>
      <xdr:row>51</xdr:row>
      <xdr:rowOff>129172</xdr:rowOff>
    </xdr:to>
    <xdr:graphicFrame macro="">
      <xdr:nvGraphicFramePr>
        <xdr:cNvPr id="5" name="Chart 4">
          <a:extLst>
            <a:ext uri="{FF2B5EF4-FFF2-40B4-BE49-F238E27FC236}">
              <a16:creationId xmlns:a16="http://schemas.microsoft.com/office/drawing/2014/main" id="{636621B3-5039-4799-8F85-761A540DB4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53</xdr:row>
      <xdr:rowOff>10026</xdr:rowOff>
    </xdr:from>
    <xdr:to>
      <xdr:col>5</xdr:col>
      <xdr:colOff>471795</xdr:colOff>
      <xdr:row>75</xdr:row>
      <xdr:rowOff>139198</xdr:rowOff>
    </xdr:to>
    <xdr:graphicFrame macro="">
      <xdr:nvGraphicFramePr>
        <xdr:cNvPr id="6" name="Chart 5">
          <a:extLst>
            <a:ext uri="{FF2B5EF4-FFF2-40B4-BE49-F238E27FC236}">
              <a16:creationId xmlns:a16="http://schemas.microsoft.com/office/drawing/2014/main" id="{A6DC94EA-48C5-418E-A14A-A0E4BAAC99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461211</xdr:colOff>
      <xdr:row>53</xdr:row>
      <xdr:rowOff>10027</xdr:rowOff>
    </xdr:from>
    <xdr:to>
      <xdr:col>12</xdr:col>
      <xdr:colOff>2236426</xdr:colOff>
      <xdr:row>75</xdr:row>
      <xdr:rowOff>139199</xdr:rowOff>
    </xdr:to>
    <xdr:graphicFrame macro="">
      <xdr:nvGraphicFramePr>
        <xdr:cNvPr id="7" name="Chart 6">
          <a:extLst>
            <a:ext uri="{FF2B5EF4-FFF2-40B4-BE49-F238E27FC236}">
              <a16:creationId xmlns:a16="http://schemas.microsoft.com/office/drawing/2014/main" id="{8FDA15B3-87AC-493E-830D-ED1981D5FE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2225842</xdr:colOff>
      <xdr:row>53</xdr:row>
      <xdr:rowOff>10027</xdr:rowOff>
    </xdr:from>
    <xdr:to>
      <xdr:col>20</xdr:col>
      <xdr:colOff>261242</xdr:colOff>
      <xdr:row>75</xdr:row>
      <xdr:rowOff>139199</xdr:rowOff>
    </xdr:to>
    <xdr:graphicFrame macro="">
      <xdr:nvGraphicFramePr>
        <xdr:cNvPr id="8" name="Chart 7">
          <a:extLst>
            <a:ext uri="{FF2B5EF4-FFF2-40B4-BE49-F238E27FC236}">
              <a16:creationId xmlns:a16="http://schemas.microsoft.com/office/drawing/2014/main" id="{435A482B-B4B7-437B-80A5-E636AB189B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77</xdr:row>
      <xdr:rowOff>10022</xdr:rowOff>
    </xdr:from>
    <xdr:to>
      <xdr:col>5</xdr:col>
      <xdr:colOff>471795</xdr:colOff>
      <xdr:row>99</xdr:row>
      <xdr:rowOff>139194</xdr:rowOff>
    </xdr:to>
    <xdr:graphicFrame macro="">
      <xdr:nvGraphicFramePr>
        <xdr:cNvPr id="9" name="Chart 8">
          <a:extLst>
            <a:ext uri="{FF2B5EF4-FFF2-40B4-BE49-F238E27FC236}">
              <a16:creationId xmlns:a16="http://schemas.microsoft.com/office/drawing/2014/main" id="{BEE0FDDB-3366-4BC2-9E78-53A2643711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471238</xdr:colOff>
      <xdr:row>77</xdr:row>
      <xdr:rowOff>10026</xdr:rowOff>
    </xdr:from>
    <xdr:to>
      <xdr:col>12</xdr:col>
      <xdr:colOff>2246453</xdr:colOff>
      <xdr:row>99</xdr:row>
      <xdr:rowOff>139198</xdr:rowOff>
    </xdr:to>
    <xdr:graphicFrame macro="">
      <xdr:nvGraphicFramePr>
        <xdr:cNvPr id="10" name="Chart 9">
          <a:extLst>
            <a:ext uri="{FF2B5EF4-FFF2-40B4-BE49-F238E27FC236}">
              <a16:creationId xmlns:a16="http://schemas.microsoft.com/office/drawing/2014/main" id="{F9F6DBEC-3CE1-4169-A202-F5FA9B2550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101</xdr:row>
      <xdr:rowOff>0</xdr:rowOff>
    </xdr:from>
    <xdr:to>
      <xdr:col>5</xdr:col>
      <xdr:colOff>471795</xdr:colOff>
      <xdr:row>123</xdr:row>
      <xdr:rowOff>129172</xdr:rowOff>
    </xdr:to>
    <xdr:graphicFrame macro="">
      <xdr:nvGraphicFramePr>
        <xdr:cNvPr id="11" name="Chart 10">
          <a:extLst>
            <a:ext uri="{FF2B5EF4-FFF2-40B4-BE49-F238E27FC236}">
              <a16:creationId xmlns:a16="http://schemas.microsoft.com/office/drawing/2014/main" id="{08BC597E-4B33-44DA-B388-5C2D26321B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471238</xdr:colOff>
      <xdr:row>101</xdr:row>
      <xdr:rowOff>0</xdr:rowOff>
    </xdr:from>
    <xdr:to>
      <xdr:col>12</xdr:col>
      <xdr:colOff>2246453</xdr:colOff>
      <xdr:row>123</xdr:row>
      <xdr:rowOff>129172</xdr:rowOff>
    </xdr:to>
    <xdr:graphicFrame macro="">
      <xdr:nvGraphicFramePr>
        <xdr:cNvPr id="12" name="Chart 11">
          <a:extLst>
            <a:ext uri="{FF2B5EF4-FFF2-40B4-BE49-F238E27FC236}">
              <a16:creationId xmlns:a16="http://schemas.microsoft.com/office/drawing/2014/main" id="{73D52367-6604-4D91-8088-1C2BCD7F62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2235869</xdr:colOff>
      <xdr:row>101</xdr:row>
      <xdr:rowOff>10027</xdr:rowOff>
    </xdr:from>
    <xdr:to>
      <xdr:col>20</xdr:col>
      <xdr:colOff>271269</xdr:colOff>
      <xdr:row>123</xdr:row>
      <xdr:rowOff>139199</xdr:rowOff>
    </xdr:to>
    <xdr:graphicFrame macro="">
      <xdr:nvGraphicFramePr>
        <xdr:cNvPr id="13" name="Chart 12">
          <a:extLst>
            <a:ext uri="{FF2B5EF4-FFF2-40B4-BE49-F238E27FC236}">
              <a16:creationId xmlns:a16="http://schemas.microsoft.com/office/drawing/2014/main" id="{3BECEBD6-9E77-4A88-89AE-159FB90504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2"/>
  <sheetViews>
    <sheetView zoomScale="84" zoomScaleNormal="299" workbookViewId="0">
      <selection activeCell="A14" sqref="A14:XFD14"/>
    </sheetView>
  </sheetViews>
  <sheetFormatPr defaultColWidth="12.6640625" defaultRowHeight="15" customHeight="1" x14ac:dyDescent="0.25"/>
  <cols>
    <col min="1" max="1" width="4.88671875" customWidth="1"/>
    <col min="2" max="26" width="8.6640625" customWidth="1"/>
  </cols>
  <sheetData>
    <row r="1" spans="1:2" ht="12.75" customHeight="1" x14ac:dyDescent="0.25">
      <c r="B1" s="1" t="s">
        <v>0</v>
      </c>
    </row>
    <row r="2" spans="1:2" ht="12.75" customHeight="1" x14ac:dyDescent="0.25">
      <c r="B2" s="2"/>
    </row>
    <row r="3" spans="1:2" ht="12.75" customHeight="1" x14ac:dyDescent="0.25">
      <c r="B3" s="2" t="s">
        <v>1</v>
      </c>
    </row>
    <row r="4" spans="1:2" ht="12.75" customHeight="1" x14ac:dyDescent="0.25"/>
    <row r="5" spans="1:2" ht="12.75" customHeight="1" x14ac:dyDescent="0.25">
      <c r="B5" s="3" t="s">
        <v>2</v>
      </c>
    </row>
    <row r="6" spans="1:2" ht="12.75" customHeight="1" x14ac:dyDescent="0.25"/>
    <row r="7" spans="1:2" ht="12.75" customHeight="1" x14ac:dyDescent="0.25">
      <c r="B7" s="2" t="s">
        <v>3</v>
      </c>
    </row>
    <row r="8" spans="1:2" ht="12.75" customHeight="1" x14ac:dyDescent="0.25">
      <c r="B8" s="2" t="s">
        <v>4</v>
      </c>
    </row>
    <row r="9" spans="1:2" ht="12.75" customHeight="1" x14ac:dyDescent="0.25"/>
    <row r="10" spans="1:2" ht="12.75" customHeight="1" x14ac:dyDescent="0.25">
      <c r="B10" s="4" t="s">
        <v>5</v>
      </c>
    </row>
    <row r="11" spans="1:2" ht="12.75" customHeight="1" x14ac:dyDescent="0.25"/>
    <row r="12" spans="1:2" ht="12.75" customHeight="1" x14ac:dyDescent="0.25">
      <c r="A12" s="5" t="s">
        <v>6</v>
      </c>
      <c r="B12" s="2" t="s">
        <v>7</v>
      </c>
    </row>
    <row r="13" spans="1:2" ht="12.75" customHeight="1" x14ac:dyDescent="0.25">
      <c r="B13" s="2" t="s">
        <v>8</v>
      </c>
    </row>
    <row r="14" spans="1:2" ht="12.75" customHeight="1" x14ac:dyDescent="0.25">
      <c r="B14" s="2" t="s">
        <v>9</v>
      </c>
    </row>
    <row r="15" spans="1:2" ht="12.75" customHeight="1" x14ac:dyDescent="0.25">
      <c r="B15" s="2" t="s">
        <v>10</v>
      </c>
    </row>
    <row r="16" spans="1:2" ht="12.75" customHeight="1" x14ac:dyDescent="0.25"/>
    <row r="17" spans="1:2" ht="12.75" customHeight="1" x14ac:dyDescent="0.25">
      <c r="A17" s="5" t="s">
        <v>11</v>
      </c>
      <c r="B17" s="2" t="s">
        <v>12</v>
      </c>
    </row>
    <row r="18" spans="1:2" ht="12.75" customHeight="1" x14ac:dyDescent="0.25">
      <c r="B18" s="2" t="s">
        <v>13</v>
      </c>
    </row>
    <row r="19" spans="1:2" ht="12.75" customHeight="1" x14ac:dyDescent="0.25">
      <c r="B19" s="2" t="s">
        <v>14</v>
      </c>
    </row>
    <row r="20" spans="1:2" ht="12.75" customHeight="1" x14ac:dyDescent="0.25">
      <c r="B20" s="2" t="s">
        <v>15</v>
      </c>
    </row>
    <row r="21" spans="1:2" ht="12.75" customHeight="1" x14ac:dyDescent="0.25">
      <c r="B21" s="2" t="s">
        <v>16</v>
      </c>
    </row>
    <row r="22" spans="1:2" ht="12.75" customHeight="1" x14ac:dyDescent="0.25"/>
    <row r="23" spans="1:2" ht="12.75" customHeight="1" x14ac:dyDescent="0.25"/>
    <row r="24" spans="1:2" ht="12.75" customHeight="1" x14ac:dyDescent="0.25">
      <c r="B24" s="4" t="s">
        <v>17</v>
      </c>
    </row>
    <row r="25" spans="1:2" ht="12.75" customHeight="1" x14ac:dyDescent="0.25">
      <c r="B25" s="4"/>
    </row>
    <row r="26" spans="1:2" ht="12.75" customHeight="1" x14ac:dyDescent="0.25">
      <c r="B26" s="2" t="s">
        <v>18</v>
      </c>
    </row>
    <row r="27" spans="1:2" ht="12.75" customHeight="1" x14ac:dyDescent="0.25">
      <c r="B27" s="2" t="s">
        <v>19</v>
      </c>
    </row>
    <row r="28" spans="1:2" ht="12.75" customHeight="1" x14ac:dyDescent="0.25"/>
    <row r="29" spans="1:2" ht="12.75" customHeight="1" x14ac:dyDescent="0.25">
      <c r="B29" s="3" t="s">
        <v>20</v>
      </c>
    </row>
    <row r="30" spans="1:2" ht="12.75" customHeight="1" x14ac:dyDescent="0.25"/>
    <row r="31" spans="1:2" ht="12.75" customHeight="1" x14ac:dyDescent="0.25">
      <c r="A31" s="3">
        <v>1</v>
      </c>
      <c r="B31" s="1" t="s">
        <v>21</v>
      </c>
    </row>
    <row r="32" spans="1:2" ht="12.75" customHeight="1" x14ac:dyDescent="0.25">
      <c r="A32" s="3">
        <v>2</v>
      </c>
      <c r="B32" s="1" t="s">
        <v>22</v>
      </c>
    </row>
    <row r="33" spans="1:2" ht="12.75" customHeight="1" x14ac:dyDescent="0.25">
      <c r="A33" s="3">
        <v>3</v>
      </c>
      <c r="B33" s="1" t="s">
        <v>23</v>
      </c>
    </row>
    <row r="34" spans="1:2" ht="12.75" customHeight="1" x14ac:dyDescent="0.25">
      <c r="A34" s="3">
        <v>4</v>
      </c>
      <c r="B34" s="1" t="s">
        <v>24</v>
      </c>
    </row>
    <row r="35" spans="1:2" ht="12.75" customHeight="1" x14ac:dyDescent="0.25">
      <c r="A35" s="3">
        <v>5</v>
      </c>
      <c r="B35" s="1" t="s">
        <v>25</v>
      </c>
    </row>
    <row r="36" spans="1:2" ht="12.75" customHeight="1" x14ac:dyDescent="0.25"/>
    <row r="37" spans="1:2" ht="12.75" customHeight="1" x14ac:dyDescent="0.25">
      <c r="B37" s="3" t="s">
        <v>26</v>
      </c>
    </row>
    <row r="38" spans="1:2" ht="12.75" customHeight="1" x14ac:dyDescent="0.25"/>
    <row r="39" spans="1:2" ht="12.75" customHeight="1" x14ac:dyDescent="0.25">
      <c r="A39" s="1">
        <v>1</v>
      </c>
      <c r="B39" s="1" t="s">
        <v>27</v>
      </c>
    </row>
    <row r="40" spans="1:2" ht="12.75" customHeight="1" x14ac:dyDescent="0.25">
      <c r="A40" s="1">
        <v>2</v>
      </c>
      <c r="B40" s="1" t="s">
        <v>28</v>
      </c>
    </row>
    <row r="41" spans="1:2" ht="12.75" customHeight="1" x14ac:dyDescent="0.25">
      <c r="A41" s="1">
        <v>3</v>
      </c>
      <c r="B41" s="1" t="s">
        <v>29</v>
      </c>
    </row>
    <row r="42" spans="1:2" ht="12.75" customHeight="1" x14ac:dyDescent="0.25">
      <c r="A42" s="1">
        <v>4</v>
      </c>
      <c r="B42" s="1" t="s">
        <v>30</v>
      </c>
    </row>
    <row r="43" spans="1:2" ht="12.75" customHeight="1" x14ac:dyDescent="0.25">
      <c r="A43" s="1">
        <v>5</v>
      </c>
      <c r="B43" s="1" t="s">
        <v>31</v>
      </c>
    </row>
    <row r="44" spans="1:2" ht="12.75" customHeight="1" x14ac:dyDescent="0.25"/>
    <row r="45" spans="1:2" ht="12.75" customHeight="1" x14ac:dyDescent="0.25"/>
    <row r="46" spans="1:2" ht="12.75" customHeight="1" x14ac:dyDescent="0.25"/>
    <row r="47" spans="1:2" ht="12.75" customHeight="1" x14ac:dyDescent="0.25"/>
    <row r="48" spans="1:2"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row r="1001" ht="12.75" customHeight="1" x14ac:dyDescent="0.25"/>
    <row r="1002" ht="12.7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639D7-F70B-4783-A9F5-B3E5C3529916}">
  <dimension ref="A1:Y101"/>
  <sheetViews>
    <sheetView zoomScale="64" workbookViewId="0">
      <selection activeCell="L9" sqref="L9"/>
    </sheetView>
  </sheetViews>
  <sheetFormatPr defaultRowHeight="13.2" x14ac:dyDescent="0.25"/>
  <cols>
    <col min="1" max="1" width="40.33203125" style="59" bestFit="1" customWidth="1"/>
    <col min="2" max="9" width="11.88671875" style="59" customWidth="1"/>
    <col min="10" max="10" width="9.44140625" style="59" bestFit="1" customWidth="1"/>
    <col min="11" max="11" width="9.5546875" style="59" hidden="1" customWidth="1"/>
    <col min="12" max="12" width="11.88671875" style="59" customWidth="1"/>
    <col min="13" max="13" width="40.33203125" style="59" bestFit="1" customWidth="1"/>
    <col min="14" max="22" width="11.88671875" style="59" customWidth="1"/>
    <col min="23" max="23" width="21.5546875" style="59" customWidth="1"/>
    <col min="24" max="24" width="31.21875" style="59" bestFit="1" customWidth="1"/>
    <col min="25" max="16384" width="8.88671875" style="59"/>
  </cols>
  <sheetData>
    <row r="1" spans="1:25" x14ac:dyDescent="0.25">
      <c r="A1" s="159" t="s">
        <v>228</v>
      </c>
      <c r="B1" s="159"/>
      <c r="C1" s="159"/>
      <c r="D1" s="159"/>
      <c r="E1" s="159"/>
      <c r="F1" s="159"/>
      <c r="G1" s="159"/>
      <c r="H1" s="159"/>
      <c r="I1" s="159"/>
      <c r="J1" s="159"/>
      <c r="M1" s="159" t="s">
        <v>229</v>
      </c>
      <c r="N1" s="159"/>
      <c r="O1" s="159"/>
      <c r="P1" s="159"/>
      <c r="Q1" s="159"/>
      <c r="R1" s="159"/>
      <c r="S1" s="159"/>
      <c r="T1" s="159"/>
      <c r="U1" s="159"/>
      <c r="V1" s="159"/>
    </row>
    <row r="2" spans="1:25" x14ac:dyDescent="0.25">
      <c r="B2" s="135">
        <v>2017</v>
      </c>
      <c r="C2" s="135">
        <v>2018</v>
      </c>
      <c r="D2" s="135">
        <v>2019</v>
      </c>
      <c r="E2" s="135">
        <v>2020</v>
      </c>
      <c r="F2" s="135">
        <v>2021</v>
      </c>
      <c r="G2" s="135">
        <v>2022</v>
      </c>
      <c r="H2" s="135">
        <v>2023</v>
      </c>
      <c r="I2" s="135">
        <v>2024</v>
      </c>
      <c r="J2" s="135">
        <v>2025</v>
      </c>
      <c r="K2" s="135" t="s">
        <v>244</v>
      </c>
      <c r="L2" s="135"/>
      <c r="M2" s="135"/>
      <c r="N2" s="135">
        <v>2017</v>
      </c>
      <c r="O2" s="135">
        <v>2018</v>
      </c>
      <c r="P2" s="135">
        <v>2019</v>
      </c>
      <c r="Q2" s="135">
        <v>2020</v>
      </c>
      <c r="R2" s="135">
        <v>2021</v>
      </c>
      <c r="S2" s="135">
        <v>2022</v>
      </c>
      <c r="T2" s="135">
        <v>2023</v>
      </c>
      <c r="U2" s="135">
        <v>2024</v>
      </c>
      <c r="V2" s="135">
        <v>2025</v>
      </c>
    </row>
    <row r="3" spans="1:25" ht="12" customHeight="1" x14ac:dyDescent="0.25">
      <c r="A3" s="158" t="s">
        <v>230</v>
      </c>
      <c r="B3" s="158"/>
      <c r="C3" s="158"/>
      <c r="D3" s="158"/>
      <c r="E3" s="158"/>
      <c r="F3" s="158"/>
      <c r="G3" s="158"/>
      <c r="H3" s="158"/>
      <c r="I3" s="158"/>
      <c r="J3" s="158"/>
      <c r="M3" s="158" t="s">
        <v>230</v>
      </c>
      <c r="N3" s="158"/>
      <c r="O3" s="158"/>
      <c r="P3" s="158"/>
      <c r="Q3" s="158"/>
      <c r="R3" s="158"/>
      <c r="S3" s="158"/>
      <c r="T3" s="158"/>
      <c r="U3" s="158"/>
      <c r="V3" s="158"/>
    </row>
    <row r="4" spans="1:25" ht="12" customHeight="1" x14ac:dyDescent="0.25">
      <c r="A4" s="137" t="s">
        <v>242</v>
      </c>
      <c r="B4" s="148">
        <f>'Income Statement - FACTORY'!E25/'Income Statement - FACTORY'!E6</f>
        <v>8.1492157336699997E-2</v>
      </c>
      <c r="C4" s="148">
        <f>'Income Statement - FACTORY'!F25/'Income Statement - FACTORY'!F6</f>
        <v>8.149166078088603E-2</v>
      </c>
      <c r="D4" s="148">
        <f>'Income Statement - FACTORY'!G25/'Income Statement - FACTORY'!G6</f>
        <v>7.4932511130445717E-2</v>
      </c>
      <c r="E4" s="148">
        <f>'Income Statement - FACTORY'!H25/'Income Statement - FACTORY'!H6</f>
        <v>0.27824964629737103</v>
      </c>
      <c r="F4" s="148">
        <f>'Income Statement - FACTORY'!I25/'Income Statement - FACTORY'!I6</f>
        <v>0.27988912314720871</v>
      </c>
      <c r="G4" s="148">
        <f>'Income Statement - FACTORY'!J25/'Income Statement - FACTORY'!J6</f>
        <v>0.28138079809701305</v>
      </c>
      <c r="H4" s="148">
        <f>'Income Statement - FACTORY'!K25/'Income Statement - FACTORY'!K6</f>
        <v>0.28273955335430745</v>
      </c>
      <c r="I4" s="148">
        <f>'Income Statement - FACTORY'!L25/'Income Statement - FACTORY'!L6</f>
        <v>0.28397478540639309</v>
      </c>
      <c r="J4" s="148">
        <f>'Income Statement - FACTORY'!M25/'Income Statement - FACTORY'!M6</f>
        <v>0.28509772363556185</v>
      </c>
      <c r="K4" s="149"/>
      <c r="M4" s="137" t="s">
        <v>242</v>
      </c>
      <c r="N4" s="148">
        <f>'Income Statement - PRODUCT'!E25/'Income Statement - PRODUCT'!E6</f>
        <v>8.1492157336699997E-2</v>
      </c>
      <c r="O4" s="148">
        <f>'Income Statement - PRODUCT'!F25/'Income Statement - PRODUCT'!F6</f>
        <v>-0.68693038702567588</v>
      </c>
      <c r="P4" s="148">
        <f>'Income Statement - PRODUCT'!G25/'Income Statement - PRODUCT'!G6</f>
        <v>-0.52306565272738914</v>
      </c>
      <c r="Q4" s="148">
        <f>'Income Statement - PRODUCT'!H25/'Income Statement - PRODUCT'!H6</f>
        <v>0.31890810682052345</v>
      </c>
      <c r="R4" s="148">
        <f>'Income Statement - PRODUCT'!I25/'Income Statement - PRODUCT'!I6</f>
        <v>0.33570416829958233</v>
      </c>
      <c r="S4" s="148">
        <f>'Income Statement - PRODUCT'!J25/'Income Statement - PRODUCT'!J6</f>
        <v>0.34833440540794142</v>
      </c>
      <c r="T4" s="148">
        <f>'Income Statement - PRODUCT'!K25/'Income Statement - PRODUCT'!K6</f>
        <v>0.35865159766261867</v>
      </c>
      <c r="U4" s="148">
        <f>'Income Statement - PRODUCT'!L25/'Income Statement - PRODUCT'!L6</f>
        <v>0.36759980255925623</v>
      </c>
      <c r="V4" s="148">
        <f>'Income Statement - PRODUCT'!M25/'Income Statement - PRODUCT'!M6</f>
        <v>0.37695814240339343</v>
      </c>
    </row>
    <row r="5" spans="1:25" s="140" customFormat="1" ht="12" customHeight="1" x14ac:dyDescent="0.25">
      <c r="A5" s="138" t="str">
        <f>"Industry " &amp;A4</f>
        <v>Industry Operating margin</v>
      </c>
      <c r="B5" s="144">
        <v>8.3799999999999999E-2</v>
      </c>
      <c r="C5" s="144">
        <v>0.10249999999999999</v>
      </c>
      <c r="D5" s="144">
        <v>9.2799999999999994E-2</v>
      </c>
      <c r="E5" s="144">
        <v>0.1008</v>
      </c>
      <c r="F5" s="144">
        <v>0.1353</v>
      </c>
      <c r="G5" s="144">
        <v>0.1245</v>
      </c>
      <c r="H5" s="144">
        <f>G5*(1+$K$5)</f>
        <v>0.13440111972860777</v>
      </c>
      <c r="I5" s="144">
        <f t="shared" ref="I5:J5" si="0">H5*(1+$K$5)</f>
        <v>0.14508964646026956</v>
      </c>
      <c r="J5" s="144">
        <f t="shared" si="0"/>
        <v>0.15662820036375952</v>
      </c>
      <c r="K5" s="145">
        <f>((C5-B5)/B5+(D5-C5)/C5+(E5-D5)/D5+(F5-E5)/E5+(G5-F5)/F5)/6</f>
        <v>7.9527066093234997E-2</v>
      </c>
      <c r="M5" s="138" t="str">
        <f>"Industry " &amp;M4</f>
        <v>Industry Operating margin</v>
      </c>
      <c r="N5" s="144">
        <v>8.3799999999999999E-2</v>
      </c>
      <c r="O5" s="144">
        <v>0.10249999999999999</v>
      </c>
      <c r="P5" s="144">
        <v>9.2799999999999994E-2</v>
      </c>
      <c r="Q5" s="144">
        <v>0.1008</v>
      </c>
      <c r="R5" s="144">
        <v>0.1353</v>
      </c>
      <c r="S5" s="144">
        <v>0.1245</v>
      </c>
      <c r="T5" s="151">
        <v>0.13440111972860777</v>
      </c>
      <c r="U5" s="151">
        <v>0.14508964646026956</v>
      </c>
      <c r="V5" s="151">
        <v>0.15662820036375952</v>
      </c>
    </row>
    <row r="6" spans="1:25" ht="12" customHeight="1" x14ac:dyDescent="0.25">
      <c r="A6" s="137" t="s">
        <v>238</v>
      </c>
      <c r="B6" s="148">
        <f>'Income Statement - FACTORY'!E13/'Income Statement - FACTORY'!E6</f>
        <v>0.74583649827048881</v>
      </c>
      <c r="C6" s="148">
        <f>'Income Statement - FACTORY'!F13/'Income Statement - FACTORY'!F6</f>
        <v>0.74583642658039362</v>
      </c>
      <c r="D6" s="148">
        <f>'Income Statement - FACTORY'!G13/'Income Statement - FACTORY'!G6</f>
        <v>0.74583642658039362</v>
      </c>
      <c r="E6" s="148">
        <f>'Income Statement - FACTORY'!H13/'Income Statement - FACTORY'!H6</f>
        <v>0.74480709313179794</v>
      </c>
      <c r="F6" s="148">
        <f>'Income Statement - FACTORY'!I13/'Income Statement - FACTORY'!I6</f>
        <v>0.74480247612030948</v>
      </c>
      <c r="G6" s="148">
        <f>'Income Statement - FACTORY'!J13/'Income Statement - FACTORY'!J6</f>
        <v>0.74479952028709007</v>
      </c>
      <c r="H6" s="148">
        <f>'Income Statement - FACTORY'!K13/'Income Statement - FACTORY'!K6</f>
        <v>0.74479952028709018</v>
      </c>
      <c r="I6" s="148">
        <f>'Income Statement - FACTORY'!L13/'Income Statement - FACTORY'!L6</f>
        <v>0.74479952028709018</v>
      </c>
      <c r="J6" s="148">
        <f>'Income Statement - FACTORY'!M13/'Income Statement - FACTORY'!M6</f>
        <v>0.74479952028709007</v>
      </c>
      <c r="K6" s="145"/>
      <c r="M6" s="137" t="s">
        <v>238</v>
      </c>
      <c r="N6" s="150">
        <f>'Income Statement - PRODUCT'!E13/'Income Statement - PRODUCT'!E6</f>
        <v>0.74583649827048881</v>
      </c>
      <c r="O6" s="150">
        <f>'Income Statement - PRODUCT'!F13/'Income Statement - PRODUCT'!F6</f>
        <v>0.74583642658039351</v>
      </c>
      <c r="P6" s="150">
        <f>'Income Statement - PRODUCT'!G13/'Income Statement - PRODUCT'!G6</f>
        <v>0.74583642658039362</v>
      </c>
      <c r="Q6" s="150">
        <f>'Income Statement - PRODUCT'!H13/'Income Statement - PRODUCT'!H6</f>
        <v>0.74583642658039362</v>
      </c>
      <c r="R6" s="150">
        <f>'Income Statement - PRODUCT'!I13/'Income Statement - PRODUCT'!I6</f>
        <v>0.74583642658039362</v>
      </c>
      <c r="S6" s="150">
        <f>'Income Statement - PRODUCT'!J13/'Income Statement - PRODUCT'!J6</f>
        <v>0.74583642658039362</v>
      </c>
      <c r="T6" s="150">
        <f>'Income Statement - PRODUCT'!K13/'Income Statement - PRODUCT'!K6</f>
        <v>0.74583642658039373</v>
      </c>
      <c r="U6" s="150">
        <f>'Income Statement - PRODUCT'!L13/'Income Statement - PRODUCT'!L6</f>
        <v>0.74583642658039373</v>
      </c>
      <c r="V6" s="150">
        <f>'Income Statement - PRODUCT'!M13/'Income Statement - PRODUCT'!M6</f>
        <v>0.74583642658039362</v>
      </c>
    </row>
    <row r="7" spans="1:25" s="140" customFormat="1" ht="12" customHeight="1" x14ac:dyDescent="0.25">
      <c r="A7" s="138" t="str">
        <f>"Industry " &amp;A6</f>
        <v>Industry Gross margin</v>
      </c>
      <c r="B7" s="144">
        <v>0.28899999999999998</v>
      </c>
      <c r="C7" s="144">
        <v>0.3211</v>
      </c>
      <c r="D7" s="144">
        <v>0.34239999999999998</v>
      </c>
      <c r="E7" s="144">
        <v>0.3523</v>
      </c>
      <c r="F7" s="144">
        <v>0.34499999999999997</v>
      </c>
      <c r="G7" s="144">
        <v>0.29210000000000003</v>
      </c>
      <c r="H7" s="144">
        <f>G7*(1+$K$7)</f>
        <v>0.29367083499284263</v>
      </c>
      <c r="I7" s="144">
        <f t="shared" ref="I7:J7" si="1">H7*(1+$K$7)</f>
        <v>0.29525011751247315</v>
      </c>
      <c r="J7" s="144">
        <f t="shared" si="1"/>
        <v>0.29683789298741148</v>
      </c>
      <c r="K7" s="145">
        <f t="shared" ref="K7:K26" si="2">((C7-B7)/B7+(D7-C7)/C7+(E7-D7)/D7+(F7-E7)/E7+(G7-F7)/F7)/6</f>
        <v>5.3777302048702942E-3</v>
      </c>
      <c r="M7" s="138" t="str">
        <f>"Industry " &amp;M6</f>
        <v>Industry Gross margin</v>
      </c>
      <c r="N7" s="144">
        <v>0.28899999999999998</v>
      </c>
      <c r="O7" s="144">
        <v>0.3211</v>
      </c>
      <c r="P7" s="144">
        <v>0.34239999999999998</v>
      </c>
      <c r="Q7" s="144">
        <v>0.3523</v>
      </c>
      <c r="R7" s="144">
        <v>0.34499999999999997</v>
      </c>
      <c r="S7" s="144">
        <v>0.29210000000000003</v>
      </c>
      <c r="T7" s="151">
        <v>0.29367083499284263</v>
      </c>
      <c r="U7" s="151">
        <v>0.29525011751247315</v>
      </c>
      <c r="V7" s="151">
        <v>0.29683789298741148</v>
      </c>
    </row>
    <row r="8" spans="1:25" ht="12" customHeight="1" x14ac:dyDescent="0.25">
      <c r="A8" s="137" t="s">
        <v>241</v>
      </c>
      <c r="B8" s="150">
        <f>'Income Statement - FACTORY'!E37/'Balance sheet - FACTORY'!D32</f>
        <v>0.20646696932378869</v>
      </c>
      <c r="C8" s="150">
        <f>'Income Statement - FACTORY'!F37/'Balance sheet - FACTORY'!E32</f>
        <v>0.16452184358956132</v>
      </c>
      <c r="D8" s="150">
        <f>'Income Statement - FACTORY'!G37/'Balance sheet - FACTORY'!F32</f>
        <v>9.6879420779895489E-2</v>
      </c>
      <c r="E8" s="150">
        <f>'Income Statement - FACTORY'!H37/'Balance sheet - FACTORY'!G32</f>
        <v>0.31216064061201565</v>
      </c>
      <c r="F8" s="150">
        <f>'Income Statement - FACTORY'!I37/'Balance sheet - FACTORY'!H32</f>
        <v>0.26385019346865574</v>
      </c>
      <c r="G8" s="150">
        <f>'Income Statement - FACTORY'!J37/'Balance sheet - FACTORY'!I32</f>
        <v>0.22625566697658972</v>
      </c>
      <c r="H8" s="150">
        <f>'Income Statement - FACTORY'!K37/'Balance sheet - FACTORY'!J32</f>
        <v>0.20786040813409457</v>
      </c>
      <c r="I8" s="150">
        <f>'Income Statement - FACTORY'!L37/'Balance sheet - FACTORY'!K32</f>
        <v>0.19576305435303981</v>
      </c>
      <c r="J8" s="150">
        <f>'Income Statement - FACTORY'!M37/'Balance sheet - FACTORY'!L32</f>
        <v>0.17663445695935642</v>
      </c>
      <c r="K8" s="145"/>
      <c r="M8" s="137" t="s">
        <v>241</v>
      </c>
      <c r="N8" s="150">
        <f>'Income Statement - PRODUCT'!E37/'Balance sheet - PRODUCT'!D32</f>
        <v>0.20646696932378869</v>
      </c>
      <c r="O8" s="150">
        <f>'Income Statement - PRODUCT'!F37/-'Balance sheet - PRODUCT'!E32</f>
        <v>-2.0057284607927506</v>
      </c>
      <c r="P8" s="150">
        <f>'Income Statement - PRODUCT'!G37/-'Balance sheet - PRODUCT'!F32</f>
        <v>-0.68557626201892707</v>
      </c>
      <c r="Q8" s="150">
        <f>'Income Statement - PRODUCT'!H37/'Balance sheet - PRODUCT'!G32</f>
        <v>-1.1668454996614717</v>
      </c>
      <c r="R8" s="150">
        <f>'Income Statement - PRODUCT'!I37/'Balance sheet - PRODUCT'!H32</f>
        <v>2.9203213174617746</v>
      </c>
      <c r="S8" s="150">
        <f>'Income Statement - PRODUCT'!J37/'Balance sheet - PRODUCT'!I32</f>
        <v>0.7474896630712704</v>
      </c>
      <c r="T8" s="150">
        <f>'Income Statement - PRODUCT'!K37/'Balance sheet - PRODUCT'!J32</f>
        <v>0.45865867896695528</v>
      </c>
      <c r="U8" s="150">
        <f>'Income Statement - PRODUCT'!L37/'Balance sheet - PRODUCT'!K32</f>
        <v>0.34487693487977233</v>
      </c>
      <c r="V8" s="150">
        <f>'Income Statement - PRODUCT'!M37/'Balance sheet - PRODUCT'!L32</f>
        <v>0.28506243301611917</v>
      </c>
    </row>
    <row r="9" spans="1:25" s="140" customFormat="1" ht="12" customHeight="1" x14ac:dyDescent="0.25">
      <c r="A9" s="138" t="str">
        <f>"Industry " &amp;A8</f>
        <v>Industry Return on Assets</v>
      </c>
      <c r="B9" s="144">
        <v>5.45E-2</v>
      </c>
      <c r="C9" s="144">
        <v>5.1200000000000002E-2</v>
      </c>
      <c r="D9" s="144">
        <v>3.9399999999999998E-2</v>
      </c>
      <c r="E9" s="144">
        <v>4.1300000000000003E-2</v>
      </c>
      <c r="F9" s="144">
        <v>6.6900000000000001E-2</v>
      </c>
      <c r="G9" s="144">
        <v>7.1900000000000006E-2</v>
      </c>
      <c r="H9" s="144">
        <f>G9*(1+$K$9)</f>
        <v>7.7314037388957368E-2</v>
      </c>
      <c r="I9" s="144">
        <f t="shared" ref="I9:J9" si="3">H9*(1+$K$9)</f>
        <v>8.313574933770651E-2</v>
      </c>
      <c r="J9" s="144">
        <f t="shared" si="3"/>
        <v>8.9395833555694415E-2</v>
      </c>
      <c r="K9" s="145">
        <f t="shared" si="2"/>
        <v>7.5299546438906351E-2</v>
      </c>
      <c r="M9" s="138" t="str">
        <f>"Industry " &amp;M8</f>
        <v>Industry Return on Assets</v>
      </c>
      <c r="N9" s="144">
        <v>5.45E-2</v>
      </c>
      <c r="O9" s="144">
        <v>5.1200000000000002E-2</v>
      </c>
      <c r="P9" s="144">
        <v>3.9399999999999998E-2</v>
      </c>
      <c r="Q9" s="144">
        <v>4.1300000000000003E-2</v>
      </c>
      <c r="R9" s="144">
        <v>6.6900000000000001E-2</v>
      </c>
      <c r="S9" s="144">
        <v>7.1900000000000006E-2</v>
      </c>
      <c r="T9" s="151">
        <v>7.7314037388957368E-2</v>
      </c>
      <c r="U9" s="151">
        <v>8.313574933770651E-2</v>
      </c>
      <c r="V9" s="151">
        <v>8.9395833555694415E-2</v>
      </c>
    </row>
    <row r="10" spans="1:25" x14ac:dyDescent="0.25">
      <c r="A10" s="158" t="s">
        <v>231</v>
      </c>
      <c r="B10" s="158"/>
      <c r="C10" s="158"/>
      <c r="D10" s="158"/>
      <c r="E10" s="158"/>
      <c r="F10" s="158"/>
      <c r="G10" s="158"/>
      <c r="H10" s="158"/>
      <c r="I10" s="158"/>
      <c r="J10" s="158"/>
      <c r="K10" s="145"/>
      <c r="M10" s="158" t="s">
        <v>231</v>
      </c>
      <c r="N10" s="158"/>
      <c r="O10" s="158"/>
      <c r="P10" s="158"/>
      <c r="Q10" s="158"/>
      <c r="R10" s="158"/>
      <c r="S10" s="158"/>
      <c r="T10" s="158"/>
      <c r="U10" s="158"/>
      <c r="V10" s="158"/>
    </row>
    <row r="11" spans="1:25" x14ac:dyDescent="0.25">
      <c r="A11" s="59" t="s">
        <v>246</v>
      </c>
      <c r="B11" s="152">
        <f>'Balance sheet - FACTORY'!D49/'Balance sheet - FACTORY'!D32</f>
        <v>0.53566286491813353</v>
      </c>
      <c r="C11" s="152">
        <f>'Balance sheet - FACTORY'!E49/'Balance sheet - FACTORY'!E32</f>
        <v>0.60672412605371839</v>
      </c>
      <c r="D11" s="152">
        <f>'Balance sheet - FACTORY'!F49/'Balance sheet - FACTORY'!F32</f>
        <v>0.70112482364769846</v>
      </c>
      <c r="E11" s="152">
        <f>'Balance sheet - FACTORY'!G49/'Balance sheet - FACTORY'!G32</f>
        <v>0.5014939672859311</v>
      </c>
      <c r="F11" s="152">
        <f>'Balance sheet - FACTORY'!H49/'Balance sheet - FACTORY'!H32</f>
        <v>0.35719896346074709</v>
      </c>
      <c r="G11" s="152">
        <f>'Balance sheet - FACTORY'!I49/'Balance sheet - FACTORY'!I32</f>
        <v>0.27688496861234979</v>
      </c>
      <c r="H11" s="152">
        <f>'Balance sheet - FACTORY'!J49/'Balance sheet - FACTORY'!J32</f>
        <v>0.19426259006569896</v>
      </c>
      <c r="I11" s="152">
        <f>'Balance sheet - FACTORY'!K49/'Balance sheet - FACTORY'!K32</f>
        <v>0.12142990932783763</v>
      </c>
      <c r="J11" s="152">
        <f>'Balance sheet - FACTORY'!L49/'Balance sheet - FACTORY'!L32</f>
        <v>0.10535343749156771</v>
      </c>
      <c r="K11" s="145"/>
      <c r="M11" s="59" t="s">
        <v>246</v>
      </c>
      <c r="N11" s="152">
        <f>'Balance sheet - PRODUCT'!D49/'Balance sheet - PRODUCT'!D32</f>
        <v>0.53566286491813353</v>
      </c>
      <c r="O11" s="152">
        <f>'Balance sheet - PRODUCT'!E49/'Balance sheet - PRODUCT'!E32</f>
        <v>-0.57565691880294345</v>
      </c>
      <c r="P11" s="152">
        <f>'Balance sheet - PRODUCT'!F49/'Balance sheet - PRODUCT'!F32</f>
        <v>-0.2359418125703944</v>
      </c>
      <c r="Q11" s="152">
        <f>'Balance sheet - PRODUCT'!G49/'Balance sheet - PRODUCT'!G32</f>
        <v>-0.63501878286320868</v>
      </c>
      <c r="R11" s="152">
        <f>'Balance sheet - PRODUCT'!H49/'Balance sheet - PRODUCT'!H32</f>
        <v>1.4692671972845244</v>
      </c>
      <c r="S11" s="152">
        <f>'Balance sheet - PRODUCT'!I49/'Balance sheet - PRODUCT'!I32</f>
        <v>0.35337540024960795</v>
      </c>
      <c r="T11" s="152">
        <f>'Balance sheet - PRODUCT'!J49/'Balance sheet - PRODUCT'!J32</f>
        <v>0.20571273593899156</v>
      </c>
      <c r="U11" s="152">
        <f>'Balance sheet - PRODUCT'!K49/'Balance sheet - PRODUCT'!K32</f>
        <v>0.14774540050387386</v>
      </c>
      <c r="V11" s="152">
        <f>'Balance sheet - PRODUCT'!L49/'Balance sheet - PRODUCT'!L32</f>
        <v>0.11678879213647556</v>
      </c>
    </row>
    <row r="12" spans="1:25" s="140" customFormat="1" x14ac:dyDescent="0.25">
      <c r="A12" s="138" t="s">
        <v>247</v>
      </c>
      <c r="B12" s="139">
        <v>1.1399999999999999</v>
      </c>
      <c r="C12" s="139">
        <v>1.06</v>
      </c>
      <c r="D12" s="139">
        <v>1.1100000000000001</v>
      </c>
      <c r="E12" s="139">
        <v>1.28</v>
      </c>
      <c r="F12" s="139">
        <v>1.26</v>
      </c>
      <c r="G12" s="139">
        <v>1.54</v>
      </c>
      <c r="H12" s="146">
        <f>G12*(1+$K$12)</f>
        <v>1.6264311520122405</v>
      </c>
      <c r="I12" s="146">
        <f t="shared" ref="I12:J12" si="4">H12*(1+$K$12)</f>
        <v>1.717713176776535</v>
      </c>
      <c r="J12" s="146">
        <f t="shared" si="4"/>
        <v>1.8141183252800424</v>
      </c>
      <c r="K12" s="145">
        <f>((C12-B12)/B12+(D12-C12)/C12+(E12-D12)/D12+(F12-E12)/E12+(G12-F12)/F12)/6</f>
        <v>5.6124124683273158E-2</v>
      </c>
      <c r="M12" s="138" t="s">
        <v>247</v>
      </c>
      <c r="N12" s="139">
        <v>1.1399999999999999</v>
      </c>
      <c r="O12" s="139">
        <v>1.06</v>
      </c>
      <c r="P12" s="139">
        <v>1.1100000000000001</v>
      </c>
      <c r="Q12" s="139">
        <v>1.28</v>
      </c>
      <c r="R12" s="139">
        <v>1.26</v>
      </c>
      <c r="S12" s="139">
        <v>1.54</v>
      </c>
      <c r="T12" s="146">
        <v>1.6264311520122405</v>
      </c>
      <c r="U12" s="146">
        <v>1.717713176776535</v>
      </c>
      <c r="V12" s="146">
        <v>1.8141183252800424</v>
      </c>
    </row>
    <row r="13" spans="1:25" x14ac:dyDescent="0.25">
      <c r="A13" s="59" t="s">
        <v>240</v>
      </c>
      <c r="B13" s="152">
        <f>'Income Statement - FACTORY'!E25/'Income Statement - FACTORY'!E31</f>
        <v>14.662212975729529</v>
      </c>
      <c r="C13" s="152">
        <f>'Income Statement - FACTORY'!F25/'Income Statement - FACTORY'!F31</f>
        <v>15.088509246157095</v>
      </c>
      <c r="D13" s="152">
        <f>'Income Statement - FACTORY'!G25/'Income Statement - FACTORY'!G31</f>
        <v>6.9489258012003292</v>
      </c>
      <c r="E13" s="152">
        <f>'Income Statement - FACTORY'!H25/'Income Statement - FACTORY'!H31</f>
        <v>45.495999930219966</v>
      </c>
      <c r="F13" s="152">
        <f>'Income Statement - FACTORY'!I25/'Income Statement - FACTORY'!I31</f>
        <v>61.051213126926385</v>
      </c>
      <c r="G13" s="152">
        <f>'Income Statement - FACTORY'!J25/'Income Statement - FACTORY'!J31</f>
        <v>79.329238500071</v>
      </c>
      <c r="H13" s="152">
        <f>'Income Statement - FACTORY'!K25/'Income Statement - FACTORY'!K31</f>
        <v>150.31464208616597</v>
      </c>
      <c r="I13" s="152">
        <v>0</v>
      </c>
      <c r="J13" s="152">
        <v>0</v>
      </c>
      <c r="K13" s="145"/>
      <c r="M13" s="59" t="s">
        <v>240</v>
      </c>
      <c r="N13" s="152">
        <f>'Income Statement - PRODUCT'!E25/'Income Statement - PRODUCT'!E31</f>
        <v>14.662212975729529</v>
      </c>
      <c r="O13" s="152">
        <f>'Income Statement - PRODUCT'!F25/'Income Statement - PRODUCT'!F31</f>
        <v>-380.34641456661615</v>
      </c>
      <c r="P13" s="152">
        <f>'Income Statement - PRODUCT'!G25/'Income Statement - PRODUCT'!G31</f>
        <v>-951.73793027838155</v>
      </c>
      <c r="Q13" s="152">
        <f>'Income Statement - PRODUCT'!H25/'Income Statement - PRODUCT'!H31</f>
        <v>2047.0365874865156</v>
      </c>
      <c r="R13" s="152">
        <f>'Income Statement - PRODUCT'!I25/'Income Statement - PRODUCT'!I31</f>
        <v>7265.5372971980923</v>
      </c>
      <c r="S13" s="152">
        <f>'Income Statement - PRODUCT'!J25/'Income Statement - PRODUCT'!J31</f>
        <v>26202.345782207787</v>
      </c>
      <c r="T13" s="152">
        <f>'Income Statement - PRODUCT'!K25/'Income Statement - PRODUCT'!K31</f>
        <v>96577.539398656867</v>
      </c>
      <c r="U13" s="152">
        <f>'Income Statement - PRODUCT'!L25/'Income Statement - PRODUCT'!L31</f>
        <v>364266.24017902161</v>
      </c>
      <c r="V13" s="152">
        <f>'Income Statement - PRODUCT'!M25/'Income Statement - PRODUCT'!M31</f>
        <v>1412868.088994103</v>
      </c>
    </row>
    <row r="14" spans="1:25" s="140" customFormat="1" x14ac:dyDescent="0.25">
      <c r="A14" s="138" t="str">
        <f>"Industry " &amp;A13</f>
        <v>Industry Interest coverage ratio</v>
      </c>
      <c r="B14" s="139">
        <v>16.82</v>
      </c>
      <c r="C14" s="139">
        <v>20.149999999999999</v>
      </c>
      <c r="D14" s="139">
        <v>18.37</v>
      </c>
      <c r="E14" s="139">
        <v>15.02</v>
      </c>
      <c r="F14" s="139">
        <v>15.92</v>
      </c>
      <c r="G14" s="139">
        <v>12.32</v>
      </c>
      <c r="H14" s="146">
        <f>G14*(1+$K$14)</f>
        <v>11.829393028893657</v>
      </c>
      <c r="I14" s="146">
        <f t="shared" ref="I14:J14" si="5">H14*(1+$K$14)</f>
        <v>11.358323005847227</v>
      </c>
      <c r="J14" s="146">
        <f t="shared" si="5"/>
        <v>10.90601193062432</v>
      </c>
      <c r="K14" s="145">
        <f t="shared" si="2"/>
        <v>-3.9821994407982418E-2</v>
      </c>
      <c r="M14" s="138" t="str">
        <f>"Industry " &amp;M13</f>
        <v>Industry Interest coverage ratio</v>
      </c>
      <c r="N14" s="139">
        <v>16.82</v>
      </c>
      <c r="O14" s="139">
        <v>20.149999999999999</v>
      </c>
      <c r="P14" s="139">
        <v>18.37</v>
      </c>
      <c r="Q14" s="139">
        <v>15.02</v>
      </c>
      <c r="R14" s="139">
        <v>15.92</v>
      </c>
      <c r="S14" s="139">
        <v>12.32</v>
      </c>
      <c r="T14" s="146">
        <f>S14*(1+$K$14)</f>
        <v>11.829393028893657</v>
      </c>
      <c r="U14" s="146">
        <f t="shared" ref="U14:V14" si="6">T14*(1+$K$14)</f>
        <v>11.358323005847227</v>
      </c>
      <c r="V14" s="146">
        <f t="shared" si="6"/>
        <v>10.90601193062432</v>
      </c>
    </row>
    <row r="15" spans="1:25" x14ac:dyDescent="0.25">
      <c r="A15" s="158" t="s">
        <v>232</v>
      </c>
      <c r="B15" s="158"/>
      <c r="C15" s="158"/>
      <c r="D15" s="158"/>
      <c r="E15" s="158"/>
      <c r="F15" s="158"/>
      <c r="G15" s="158"/>
      <c r="H15" s="158"/>
      <c r="I15" s="158"/>
      <c r="J15" s="158"/>
      <c r="K15" s="145"/>
      <c r="M15" s="158" t="s">
        <v>232</v>
      </c>
      <c r="N15" s="158"/>
      <c r="O15" s="158"/>
      <c r="P15" s="158"/>
      <c r="Q15" s="158"/>
      <c r="R15" s="158"/>
      <c r="S15" s="158"/>
      <c r="T15" s="158"/>
      <c r="U15" s="158"/>
      <c r="V15" s="158"/>
      <c r="W15" s="40"/>
      <c r="X15" s="136"/>
      <c r="Y15" s="40"/>
    </row>
    <row r="16" spans="1:25" x14ac:dyDescent="0.25">
      <c r="A16" s="59" t="s">
        <v>235</v>
      </c>
      <c r="B16" s="152">
        <f>('Balance sheet - FACTORY'!D20-'Balance sheet - FACTORY'!D21)/'Balance sheet - FACTORY'!D54</f>
        <v>0.39466605599727572</v>
      </c>
      <c r="C16" s="152">
        <f>('Balance sheet - FACTORY'!E20-'Balance sheet - FACTORY'!E21)/'Balance sheet - FACTORY'!E54</f>
        <v>1.4800909495003238</v>
      </c>
      <c r="D16" s="152">
        <f>('Balance sheet - FACTORY'!F20-'Balance sheet - FACTORY'!F21)/'Balance sheet - FACTORY'!F54</f>
        <v>0.65465803864045868</v>
      </c>
      <c r="E16" s="152">
        <f>('Balance sheet - FACTORY'!G20-'Balance sheet - FACTORY'!G21)/'Balance sheet - FACTORY'!G54</f>
        <v>2.1526558706522976</v>
      </c>
      <c r="F16" s="152">
        <f>('Balance sheet - FACTORY'!H20-'Balance sheet - FACTORY'!H21)/'Balance sheet - FACTORY'!H54</f>
        <v>3.3875346356691507</v>
      </c>
      <c r="G16" s="152">
        <f>('Balance sheet - FACTORY'!I20-'Balance sheet - FACTORY'!I21)/'Balance sheet - FACTORY'!I54</f>
        <v>4.2205172399250275</v>
      </c>
      <c r="H16" s="152">
        <f>('Balance sheet - FACTORY'!J20-'Balance sheet - FACTORY'!J21)/'Balance sheet - FACTORY'!J54</f>
        <v>5.357044295206765</v>
      </c>
      <c r="I16" s="152">
        <f>('Balance sheet - FACTORY'!K20-'Balance sheet - FACTORY'!K21)/'Balance sheet - FACTORY'!K54</f>
        <v>7.6368112555174985</v>
      </c>
      <c r="J16" s="152">
        <f>('Balance sheet - FACTORY'!L20-'Balance sheet - FACTORY'!L21)/'Balance sheet - FACTORY'!L54</f>
        <v>9.0793264321122038</v>
      </c>
      <c r="K16" s="145"/>
      <c r="M16" s="59" t="s">
        <v>235</v>
      </c>
      <c r="N16" s="146">
        <f>('Balance sheet - PRODUCT'!D20-'Balance sheet - PRODUCT'!D21)/'Balance sheet - PRODUCT'!D54</f>
        <v>0.39466605599727572</v>
      </c>
      <c r="O16" s="146">
        <f>('Balance sheet - PRODUCT'!E20-'Balance sheet - PRODUCT'!E21)/'Balance sheet - PRODUCT'!E54</f>
        <v>-3.2554379033475542</v>
      </c>
      <c r="P16" s="146">
        <f>('Balance sheet - PRODUCT'!F20-'Balance sheet - PRODUCT'!F21)/'Balance sheet - PRODUCT'!F54</f>
        <v>-5.6829289744302089</v>
      </c>
      <c r="Q16" s="146">
        <f>('Balance sheet - PRODUCT'!G20-'Balance sheet - PRODUCT'!G21)/'Balance sheet - PRODUCT'!G54</f>
        <v>-2.5888066538613015</v>
      </c>
      <c r="R16" s="146">
        <f>('Balance sheet - PRODUCT'!H20-'Balance sheet - PRODUCT'!H21)/'Balance sheet - PRODUCT'!H54</f>
        <v>-8.3449023756100735E-2</v>
      </c>
      <c r="S16" s="146">
        <f>('Balance sheet - PRODUCT'!I20-'Balance sheet - PRODUCT'!I21)/'Balance sheet - PRODUCT'!I54</f>
        <v>2.2519493424394859</v>
      </c>
      <c r="T16" s="146">
        <f>('Balance sheet - PRODUCT'!J20-'Balance sheet - PRODUCT'!J21)/'Balance sheet - PRODUCT'!J54</f>
        <v>4.4191681861140175</v>
      </c>
      <c r="U16" s="146">
        <f>('Balance sheet - PRODUCT'!K20-'Balance sheet - PRODUCT'!K21)/'Balance sheet - PRODUCT'!K54</f>
        <v>6.4220747203391904</v>
      </c>
      <c r="V16" s="146">
        <f>('Balance sheet - PRODUCT'!L20-'Balance sheet - PRODUCT'!L21)/'Balance sheet - PRODUCT'!L54</f>
        <v>8.2839059700115829</v>
      </c>
      <c r="W16" s="40"/>
      <c r="X16" s="136"/>
      <c r="Y16" s="40"/>
    </row>
    <row r="17" spans="1:25" s="140" customFormat="1" x14ac:dyDescent="0.25">
      <c r="A17" s="138" t="str">
        <f>"Industry " &amp;A16</f>
        <v>Industry Quick ratio</v>
      </c>
      <c r="B17" s="139">
        <v>0.25</v>
      </c>
      <c r="C17" s="146">
        <v>0.2525</v>
      </c>
      <c r="D17" s="146">
        <v>0.38500000000000001</v>
      </c>
      <c r="E17" s="139">
        <v>0.56000000000000005</v>
      </c>
      <c r="F17" s="139">
        <v>0.39</v>
      </c>
      <c r="G17" s="139">
        <v>0.33</v>
      </c>
      <c r="H17" s="146">
        <f>G17*(1+$K$17)</f>
        <v>0.35925341910564684</v>
      </c>
      <c r="I17" s="146">
        <f t="shared" ref="I17:J17" si="7">H17*(1+$K$17)</f>
        <v>0.39110005799726527</v>
      </c>
      <c r="J17" s="146">
        <f t="shared" si="7"/>
        <v>0.4257697971149525</v>
      </c>
      <c r="K17" s="145">
        <f t="shared" si="2"/>
        <v>8.8646724562566157E-2</v>
      </c>
      <c r="M17" s="138" t="str">
        <f>"Industry " &amp;M16</f>
        <v>Industry Quick ratio</v>
      </c>
      <c r="N17" s="139">
        <v>0.25</v>
      </c>
      <c r="O17" s="139">
        <v>0.2525</v>
      </c>
      <c r="P17" s="139">
        <v>0.38500000000000001</v>
      </c>
      <c r="Q17" s="139">
        <v>0.56000000000000005</v>
      </c>
      <c r="R17" s="139">
        <v>0.39</v>
      </c>
      <c r="S17" s="139">
        <v>0.33</v>
      </c>
      <c r="T17" s="146">
        <f>S17*(1+$K$17)</f>
        <v>0.35925341910564684</v>
      </c>
      <c r="U17" s="146">
        <f t="shared" ref="U17:V17" si="8">T17*(1+$K$17)</f>
        <v>0.39110005799726527</v>
      </c>
      <c r="V17" s="146">
        <f t="shared" si="8"/>
        <v>0.4257697971149525</v>
      </c>
      <c r="W17" s="141"/>
      <c r="X17" s="142"/>
      <c r="Y17" s="141"/>
    </row>
    <row r="18" spans="1:25" x14ac:dyDescent="0.25">
      <c r="A18" s="59" t="s">
        <v>236</v>
      </c>
      <c r="B18" s="152">
        <f>'Balance sheet - FACTORY'!D20/'Balance sheet - FACTORY'!D54</f>
        <v>0.61710317267270298</v>
      </c>
      <c r="C18" s="152">
        <f>'Balance sheet - FACTORY'!E20/'Balance sheet - FACTORY'!E54</f>
        <v>1.7064799882400117</v>
      </c>
      <c r="D18" s="152">
        <f>'Balance sheet - FACTORY'!F20/'Balance sheet - FACTORY'!F54</f>
        <v>0.8657237483632988</v>
      </c>
      <c r="E18" s="152">
        <f>'Balance sheet - FACTORY'!G20/'Balance sheet - FACTORY'!G54</f>
        <v>2.3055833376208223</v>
      </c>
      <c r="F18" s="152">
        <f>'Balance sheet - FACTORY'!H20/'Balance sheet - FACTORY'!H54</f>
        <v>3.5452514401599502</v>
      </c>
      <c r="G18" s="152">
        <f>'Balance sheet - FACTORY'!I20/'Balance sheet - FACTORY'!I54</f>
        <v>4.3658949132224931</v>
      </c>
      <c r="H18" s="152">
        <f>'Balance sheet - FACTORY'!J20/'Balance sheet - FACTORY'!J54</f>
        <v>5.5136510685729343</v>
      </c>
      <c r="I18" s="152">
        <f>'Balance sheet - FACTORY'!K20/'Balance sheet - FACTORY'!K54</f>
        <v>7.8353979506181819</v>
      </c>
      <c r="J18" s="152">
        <f>'Balance sheet - FACTORY'!L20/'Balance sheet - FACTORY'!L54</f>
        <v>9.2639795223722228</v>
      </c>
      <c r="K18" s="145"/>
      <c r="M18" s="59" t="s">
        <v>236</v>
      </c>
      <c r="N18" s="152">
        <f>'Balance sheet - PRODUCT'!D20/'Balance sheet - PRODUCT'!D54</f>
        <v>0.61710317267270298</v>
      </c>
      <c r="O18" s="152">
        <f>'Balance sheet - PRODUCT'!E20/'Balance sheet - PRODUCT'!E54</f>
        <v>-3.1044553152725261</v>
      </c>
      <c r="P18" s="152">
        <f>'Balance sheet - PRODUCT'!F20/'Balance sheet - PRODUCT'!F54</f>
        <v>-5.5188454046289355</v>
      </c>
      <c r="Q18" s="152">
        <f>'Balance sheet - PRODUCT'!G20/'Balance sheet - PRODUCT'!G54</f>
        <v>-2.4120023247680678</v>
      </c>
      <c r="R18" s="152">
        <f>'Balance sheet - PRODUCT'!H20/'Balance sheet - PRODUCT'!H54</f>
        <v>9.6996118925109662E-2</v>
      </c>
      <c r="S18" s="152">
        <f>'Balance sheet - PRODUCT'!I20/'Balance sheet - PRODUCT'!I54</f>
        <v>2.4358874595780104</v>
      </c>
      <c r="T18" s="152">
        <f>'Balance sheet - PRODUCT'!J20/'Balance sheet - PRODUCT'!J54</f>
        <v>4.606462823722012</v>
      </c>
      <c r="U18" s="152">
        <f>'Balance sheet - PRODUCT'!K20/'Balance sheet - PRODUCT'!K54</f>
        <v>6.6125708029281167</v>
      </c>
      <c r="V18" s="152">
        <f>'Balance sheet - PRODUCT'!L20/'Balance sheet - PRODUCT'!L54</f>
        <v>8.4774934872927119</v>
      </c>
      <c r="W18" s="40"/>
      <c r="X18" s="136"/>
      <c r="Y18" s="40"/>
    </row>
    <row r="19" spans="1:25" s="140" customFormat="1" x14ac:dyDescent="0.25">
      <c r="A19" s="138" t="str">
        <f>"Industry " &amp;A18</f>
        <v>Industry Current ratio</v>
      </c>
      <c r="B19" s="139">
        <v>1.51</v>
      </c>
      <c r="C19" s="139">
        <v>1.56</v>
      </c>
      <c r="D19" s="139">
        <v>1.67</v>
      </c>
      <c r="E19" s="139">
        <v>1.8</v>
      </c>
      <c r="F19" s="139">
        <v>1.69</v>
      </c>
      <c r="G19" s="139">
        <v>1.6</v>
      </c>
      <c r="H19" s="146">
        <f>G19*(1+$K$19)</f>
        <v>1.6178944441841574</v>
      </c>
      <c r="I19" s="146">
        <f>H19*(1+$K$19)</f>
        <v>1.6359890203262271</v>
      </c>
      <c r="J19" s="146">
        <f t="shared" ref="J19" si="9">I19*(1+$K$19)</f>
        <v>1.6542859667075531</v>
      </c>
      <c r="K19" s="145">
        <f t="shared" si="2"/>
        <v>1.1184027615098241E-2</v>
      </c>
      <c r="M19" s="138" t="str">
        <f>"Industry " &amp;M18</f>
        <v>Industry Current ratio</v>
      </c>
      <c r="N19" s="139">
        <v>1.51</v>
      </c>
      <c r="O19" s="139">
        <v>1.56</v>
      </c>
      <c r="P19" s="139">
        <v>1.67</v>
      </c>
      <c r="Q19" s="139">
        <v>1.8</v>
      </c>
      <c r="R19" s="139">
        <v>1.69</v>
      </c>
      <c r="S19" s="139">
        <v>1.6</v>
      </c>
      <c r="T19" s="146">
        <f>S19*(1+$K$19)</f>
        <v>1.6178944441841574</v>
      </c>
      <c r="U19" s="146">
        <f t="shared" ref="U19:V19" si="10">T19*(1+$K$19)</f>
        <v>1.6359890203262271</v>
      </c>
      <c r="V19" s="146">
        <f t="shared" si="10"/>
        <v>1.6542859667075531</v>
      </c>
      <c r="W19" s="141"/>
      <c r="X19" s="142"/>
      <c r="Y19" s="141"/>
    </row>
    <row r="20" spans="1:25" x14ac:dyDescent="0.25">
      <c r="A20" s="158" t="s">
        <v>233</v>
      </c>
      <c r="B20" s="158"/>
      <c r="C20" s="158"/>
      <c r="D20" s="158"/>
      <c r="E20" s="158"/>
      <c r="F20" s="158"/>
      <c r="G20" s="158"/>
      <c r="H20" s="158"/>
      <c r="I20" s="158"/>
      <c r="J20" s="158"/>
      <c r="K20" s="145"/>
      <c r="M20" s="158" t="s">
        <v>233</v>
      </c>
      <c r="N20" s="158"/>
      <c r="O20" s="158"/>
      <c r="P20" s="158"/>
      <c r="Q20" s="158"/>
      <c r="R20" s="158"/>
      <c r="S20" s="158"/>
      <c r="T20" s="158"/>
      <c r="U20" s="158"/>
      <c r="V20" s="158"/>
    </row>
    <row r="21" spans="1:25" s="143" customFormat="1" x14ac:dyDescent="0.25">
      <c r="A21" s="143" t="s">
        <v>234</v>
      </c>
      <c r="B21" s="153">
        <f>'Income Statement - FACTORY'!E7/'Balance sheet - FACTORY'!D21</f>
        <v>5.9847120575244839</v>
      </c>
      <c r="C21" s="153">
        <f>'Income Statement - FACTORY'!F7/'Balance sheet - FACTORY'!E21</f>
        <v>7.391975191296515</v>
      </c>
      <c r="D21" s="153">
        <f>'Income Statement - FACTORY'!G7/'Balance sheet - FACTORY'!F21</f>
        <v>6.4430098718948514</v>
      </c>
      <c r="E21" s="153">
        <f>'Income Statement - FACTORY'!H7/'Balance sheet - FACTORY'!G21</f>
        <v>8.8215045356291757</v>
      </c>
      <c r="F21" s="153">
        <f>'Income Statement - FACTORY'!I7/'Balance sheet - FACTORY'!H21</f>
        <v>8.8216641364123092</v>
      </c>
      <c r="G21" s="153">
        <f>'Income Statement - FACTORY'!J7/'Balance sheet - FACTORY'!I21</f>
        <v>8.8217663136102189</v>
      </c>
      <c r="H21" s="153">
        <f>'Income Statement - FACTORY'!K7/'Balance sheet - FACTORY'!J21</f>
        <v>8.8217663136102189</v>
      </c>
      <c r="I21" s="153">
        <f>'Income Statement - FACTORY'!L7/'Balance sheet - FACTORY'!K21</f>
        <v>8.8217663136102207</v>
      </c>
      <c r="J21" s="153">
        <f>'Income Statement - FACTORY'!M7/'Balance sheet - FACTORY'!L21</f>
        <v>9.703942944971244</v>
      </c>
      <c r="K21" s="145"/>
      <c r="M21" s="143" t="s">
        <v>234</v>
      </c>
      <c r="N21" s="154">
        <f>'Income Statement - PRODUCT'!E7/'Balance sheet - PRODUCT'!D21</f>
        <v>5.9847120575244839</v>
      </c>
      <c r="O21" s="154">
        <f>'Income Statement - PRODUCT'!F7/'Balance sheet - PRODUCT'!E21</f>
        <v>9.6645148078422789</v>
      </c>
      <c r="P21" s="154">
        <f>'Income Statement - PRODUCT'!G7/'Balance sheet - PRODUCT'!F21</f>
        <v>9.6645148078422753</v>
      </c>
      <c r="Q21" s="154">
        <f>'Income Statement - PRODUCT'!H7/'Balance sheet - PRODUCT'!G21</f>
        <v>9.6645148078422771</v>
      </c>
      <c r="R21" s="154">
        <f>'Income Statement - PRODUCT'!I7/'Balance sheet - PRODUCT'!H21</f>
        <v>9.6645148078422771</v>
      </c>
      <c r="S21" s="154">
        <f>'Income Statement - PRODUCT'!J7/'Balance sheet - PRODUCT'!I21</f>
        <v>9.6645148078422753</v>
      </c>
      <c r="T21" s="154">
        <f>'Income Statement - PRODUCT'!K7/'Balance sheet - PRODUCT'!J21</f>
        <v>9.6645148078422753</v>
      </c>
      <c r="U21" s="154">
        <f>'Income Statement - PRODUCT'!L7/'Balance sheet - PRODUCT'!K21</f>
        <v>9.6645148078422753</v>
      </c>
      <c r="V21" s="154">
        <f>'Income Statement - PRODUCT'!M7/'Balance sheet - PRODUCT'!L21</f>
        <v>9.6645148078422753</v>
      </c>
    </row>
    <row r="22" spans="1:25" s="140" customFormat="1" x14ac:dyDescent="0.25">
      <c r="A22" s="138" t="str">
        <f>"Industry " &amp;A21</f>
        <v>Industry Inventory turnover</v>
      </c>
      <c r="B22" s="139">
        <v>6.94</v>
      </c>
      <c r="C22" s="139">
        <v>8.35</v>
      </c>
      <c r="D22" s="139">
        <v>8.3000000000000007</v>
      </c>
      <c r="E22" s="139">
        <v>7.71</v>
      </c>
      <c r="F22" s="139">
        <v>6.8</v>
      </c>
      <c r="G22" s="139">
        <v>6.66</v>
      </c>
      <c r="H22" s="146">
        <f>G22*(1+$K$22)</f>
        <v>6.646103796615594</v>
      </c>
      <c r="I22" s="146">
        <f t="shared" ref="I22:J22" si="11">H22*(1+$K$22)</f>
        <v>6.632236587896128</v>
      </c>
      <c r="J22" s="146">
        <f t="shared" si="11"/>
        <v>6.6183983133437394</v>
      </c>
      <c r="K22" s="145">
        <f t="shared" si="2"/>
        <v>-2.0865170246856892E-3</v>
      </c>
      <c r="M22" s="138" t="str">
        <f>"Industry " &amp;M21</f>
        <v>Industry Inventory turnover</v>
      </c>
      <c r="N22" s="139">
        <v>6.94</v>
      </c>
      <c r="O22" s="139">
        <v>8.35</v>
      </c>
      <c r="P22" s="139">
        <v>8.3000000000000007</v>
      </c>
      <c r="Q22" s="139">
        <v>7.71</v>
      </c>
      <c r="R22" s="139">
        <v>6.8</v>
      </c>
      <c r="S22" s="139">
        <v>6.66</v>
      </c>
      <c r="T22" s="146">
        <f>S22*(1+$K$22)</f>
        <v>6.646103796615594</v>
      </c>
      <c r="U22" s="146">
        <f t="shared" ref="U22:V22" si="12">T22*(1+$K$22)</f>
        <v>6.632236587896128</v>
      </c>
      <c r="V22" s="146">
        <f t="shared" si="12"/>
        <v>6.6183983133437394</v>
      </c>
    </row>
    <row r="23" spans="1:25" x14ac:dyDescent="0.25">
      <c r="A23" s="59" t="s">
        <v>237</v>
      </c>
      <c r="B23" s="152">
        <f>'Income Statement - FACTORY'!E6/'Balance sheet - FACTORY'!D32</f>
        <v>2.4943341063404665</v>
      </c>
      <c r="C23" s="152">
        <f>'Income Statement - FACTORY'!F6/'Balance sheet - FACTORY'!E32</f>
        <v>1.9843904920149198</v>
      </c>
      <c r="D23" s="152">
        <f>'Income Statement - FACTORY'!G6/'Balance sheet - FACTORY'!F32</f>
        <v>1.332574909278694</v>
      </c>
      <c r="E23" s="152">
        <f>'Income Statement - FACTORY'!H6/'Balance sheet - FACTORY'!G32</f>
        <v>1.2462687450605867</v>
      </c>
      <c r="F23" s="152">
        <f>'Income Statement - FACTORY'!I6/'Balance sheet - FACTORY'!H32</f>
        <v>1.0421178816396457</v>
      </c>
      <c r="G23" s="152">
        <f>'Income Statement - FACTORY'!J6/'Balance sheet - FACTORY'!I32</f>
        <v>0.88606675902486987</v>
      </c>
      <c r="H23" s="152">
        <f>'Income Statement - FACTORY'!K6/'Balance sheet - FACTORY'!J32</f>
        <v>0.80586740105570021</v>
      </c>
      <c r="I23" s="152">
        <f>'Income Statement - FACTORY'!L6/'Balance sheet - FACTORY'!K32</f>
        <v>0.75120891433909431</v>
      </c>
      <c r="J23" s="152">
        <f>'Income Statement - FACTORY'!M6/'Balance sheet - FACTORY'!L32</f>
        <v>0.67531869115543131</v>
      </c>
      <c r="K23" s="145"/>
      <c r="M23" s="59" t="s">
        <v>237</v>
      </c>
      <c r="N23" s="152">
        <f>'Income Statement - PRODUCT'!E6/'Balance sheet - PRODUCT'!D32</f>
        <v>2.4943341063404665</v>
      </c>
      <c r="O23" s="152">
        <f>'Income Statement - PRODUCT'!F6/'Balance sheet - PRODUCT'!E32</f>
        <v>-3.0033487671417993</v>
      </c>
      <c r="P23" s="152">
        <f>'Income Statement - PRODUCT'!G6/'Balance sheet - PRODUCT'!F32</f>
        <v>-1.3637623656527895</v>
      </c>
      <c r="Q23" s="152">
        <f>'Income Statement - PRODUCT'!H6/'Balance sheet - PRODUCT'!G32</f>
        <v>-4.0191213941499067</v>
      </c>
      <c r="R23" s="152">
        <f>'Income Statement - PRODUCT'!I6/'Balance sheet - PRODUCT'!H32</f>
        <v>9.5819344944122431</v>
      </c>
      <c r="S23" s="152">
        <f>'Income Statement - PRODUCT'!J6/'Balance sheet - PRODUCT'!I32</f>
        <v>2.368490276700101</v>
      </c>
      <c r="T23" s="152">
        <f>'Income Statement - PRODUCT'!K6/'Balance sheet - PRODUCT'!J32</f>
        <v>1.4137615500360563</v>
      </c>
      <c r="U23" s="152">
        <f>'Income Statement - PRODUCT'!L6/'Balance sheet - PRODUCT'!K32</f>
        <v>1.038550819008957</v>
      </c>
      <c r="V23" s="152">
        <f>'Income Statement - PRODUCT'!M6/'Balance sheet - PRODUCT'!L32</f>
        <v>0.83823435559090909</v>
      </c>
    </row>
    <row r="24" spans="1:25" s="140" customFormat="1" x14ac:dyDescent="0.25">
      <c r="A24" s="138" t="str">
        <f>"Industry " &amp;A23</f>
        <v>Industry Asset turnover</v>
      </c>
      <c r="B24" s="139">
        <v>0.71</v>
      </c>
      <c r="C24" s="139">
        <v>0.82</v>
      </c>
      <c r="D24" s="139">
        <v>0.76</v>
      </c>
      <c r="E24" s="139">
        <v>0.64</v>
      </c>
      <c r="F24" s="139">
        <v>0.72</v>
      </c>
      <c r="G24" s="139">
        <v>0.85</v>
      </c>
      <c r="H24" s="146">
        <f>G24*(1+$K$24)</f>
        <v>0.88250111913338058</v>
      </c>
      <c r="I24" s="146">
        <f t="shared" ref="I24:J24" si="13">H24*(1+$K$24)</f>
        <v>0.91624497090784618</v>
      </c>
      <c r="J24" s="146">
        <f t="shared" si="13"/>
        <v>0.95127907320765415</v>
      </c>
      <c r="K24" s="145">
        <f t="shared" si="2"/>
        <v>3.8236610745153658E-2</v>
      </c>
      <c r="M24" s="138" t="str">
        <f>"Industry " &amp;M23</f>
        <v>Industry Asset turnover</v>
      </c>
      <c r="N24" s="139">
        <v>0.71</v>
      </c>
      <c r="O24" s="139">
        <v>0.82</v>
      </c>
      <c r="P24" s="139">
        <v>0.76</v>
      </c>
      <c r="Q24" s="139">
        <v>0.64</v>
      </c>
      <c r="R24" s="139">
        <v>0.72</v>
      </c>
      <c r="S24" s="139">
        <v>0.85</v>
      </c>
      <c r="T24" s="146">
        <f>S24*(1+$K$24)</f>
        <v>0.88250111913338058</v>
      </c>
      <c r="U24" s="146">
        <f t="shared" ref="U24:V24" si="14">T24*(1+$K$24)</f>
        <v>0.91624497090784618</v>
      </c>
      <c r="V24" s="146">
        <f t="shared" si="14"/>
        <v>0.95127907320765415</v>
      </c>
    </row>
    <row r="25" spans="1:25" s="143" customFormat="1" x14ac:dyDescent="0.25">
      <c r="A25" s="143" t="s">
        <v>239</v>
      </c>
      <c r="B25" s="156">
        <f>'Income Statement - FACTORY'!E6/'Income Statement - FACTORY'!E75</f>
        <v>2735.3068299979464</v>
      </c>
      <c r="C25" s="156">
        <f>'Income Statement - FACTORY'!F6/'Income Statement - FACTORY'!F75</f>
        <v>3006.2574576508282</v>
      </c>
      <c r="D25" s="156">
        <f>'Income Statement - FACTORY'!G6/'Income Statement - FACTORY'!G75</f>
        <v>4212.6311584677924</v>
      </c>
      <c r="E25" s="156">
        <f>'Income Statement - FACTORY'!H6/'Income Statement - FACTORY'!H75</f>
        <v>7158.159335826278</v>
      </c>
      <c r="F25" s="156">
        <f>'Income Statement - FACTORY'!I6/'Income Statement - FACTORY'!I75</f>
        <v>7909.1118508149621</v>
      </c>
      <c r="G25" s="156">
        <f>'Income Statement - FACTORY'!J6/'Income Statement - FACTORY'!J75</f>
        <v>8724.7661752265321</v>
      </c>
      <c r="H25" s="156">
        <f>'Income Statement - FACTORY'!K6/'Income Statement - FACTORY'!K75</f>
        <v>9597.2427927491863</v>
      </c>
      <c r="I25" s="156">
        <f>'Income Statement - FACTORY'!L6/'Income Statement - FACTORY'!L75</f>
        <v>10556.967072024105</v>
      </c>
      <c r="J25" s="156">
        <f>'Income Statement - FACTORY'!M6/'Income Statement - FACTORY'!M75</f>
        <v>11612.663779226516</v>
      </c>
      <c r="K25" s="145"/>
      <c r="M25" s="143" t="s">
        <v>239</v>
      </c>
      <c r="N25" s="155">
        <f>'Income Statement - PRODUCT'!E6/'Income Statement - PRODUCT'!E76</f>
        <v>2735.3068299979464</v>
      </c>
      <c r="O25" s="155">
        <f>'Income Statement - PRODUCT'!F6/'Income Statement - PRODUCT'!F76</f>
        <v>2975.0861416003345</v>
      </c>
      <c r="P25" s="155">
        <f>'Income Statement - PRODUCT'!G6/'Income Statement - PRODUCT'!G76</f>
        <v>4168.7398563608076</v>
      </c>
      <c r="Q25" s="155">
        <f>'Income Statement - PRODUCT'!H6/'Income Statement - PRODUCT'!H76</f>
        <v>4597.6261098544519</v>
      </c>
      <c r="R25" s="155">
        <f>'Income Statement - PRODUCT'!I6/'Income Statement - PRODUCT'!I76</f>
        <v>5116.935748467874</v>
      </c>
      <c r="S25" s="155">
        <f>'Income Statement - PRODUCT'!J6/'Income Statement - PRODUCT'!J76</f>
        <v>5632.8514784620593</v>
      </c>
      <c r="T25" s="155">
        <f>'Income Statement - PRODUCT'!K6/'Income Statement - PRODUCT'!K76</f>
        <v>6184.3277111912166</v>
      </c>
      <c r="U25" s="155">
        <f>'Income Statement - PRODUCT'!L6/'Income Statement - PRODUCT'!L76</f>
        <v>6790.999565766946</v>
      </c>
      <c r="V25" s="155">
        <f>'Income Statement - PRODUCT'!M6/'Income Statement - PRODUCT'!M76</f>
        <v>7458.4148571388914</v>
      </c>
    </row>
    <row r="26" spans="1:25" s="140" customFormat="1" x14ac:dyDescent="0.25">
      <c r="A26" s="138" t="str">
        <f>"Industry " &amp;A25</f>
        <v>Industry Revenue Per Employee Ratio</v>
      </c>
      <c r="B26" s="147">
        <v>185414</v>
      </c>
      <c r="C26" s="147">
        <v>230876</v>
      </c>
      <c r="D26" s="147">
        <v>227718</v>
      </c>
      <c r="E26" s="147">
        <v>220713</v>
      </c>
      <c r="F26" s="147">
        <v>304208</v>
      </c>
      <c r="G26" s="147">
        <v>416995</v>
      </c>
      <c r="H26" s="147">
        <f>G26*(1+$K$26)</f>
        <v>483005.63280905876</v>
      </c>
      <c r="I26" s="147">
        <f t="shared" ref="I26:J26" si="15">H26*(1+$K$26)</f>
        <v>559465.80013016774</v>
      </c>
      <c r="J26" s="147">
        <f t="shared" si="15"/>
        <v>648029.67140348942</v>
      </c>
      <c r="K26" s="145">
        <f t="shared" si="2"/>
        <v>0.15830077772889067</v>
      </c>
      <c r="M26" s="138" t="str">
        <f>"Industry " &amp;M25</f>
        <v>Industry Revenue Per Employee Ratio</v>
      </c>
      <c r="N26" s="147">
        <v>185414</v>
      </c>
      <c r="O26" s="147">
        <v>230876</v>
      </c>
      <c r="P26" s="147">
        <v>227718</v>
      </c>
      <c r="Q26" s="147">
        <v>220713</v>
      </c>
      <c r="R26" s="147">
        <v>304208</v>
      </c>
      <c r="S26" s="147">
        <v>416995</v>
      </c>
      <c r="T26" s="147">
        <f>S26*(1+$K$26)</f>
        <v>483005.63280905876</v>
      </c>
      <c r="U26" s="147">
        <f t="shared" ref="U26:V26" si="16">T26*(1+$K$26)</f>
        <v>559465.80013016774</v>
      </c>
      <c r="V26" s="147">
        <f t="shared" si="16"/>
        <v>648029.67140348942</v>
      </c>
    </row>
    <row r="27" spans="1:25" x14ac:dyDescent="0.25">
      <c r="A27" s="62" t="s">
        <v>243</v>
      </c>
    </row>
    <row r="28" spans="1:25" x14ac:dyDescent="0.25">
      <c r="A28" s="62"/>
    </row>
    <row r="29" spans="1:25" x14ac:dyDescent="0.25">
      <c r="A29" s="159" t="s">
        <v>248</v>
      </c>
      <c r="B29" s="159"/>
      <c r="C29" s="159"/>
      <c r="D29" s="159"/>
      <c r="E29" s="159"/>
      <c r="F29" s="159"/>
      <c r="G29" s="159"/>
      <c r="H29" s="159"/>
      <c r="I29" s="159"/>
      <c r="J29" s="159"/>
      <c r="K29" s="159"/>
      <c r="L29" s="159"/>
      <c r="M29" s="159"/>
      <c r="N29" s="159"/>
      <c r="O29" s="159"/>
      <c r="P29" s="159"/>
      <c r="Q29" s="159"/>
      <c r="R29" s="159"/>
      <c r="S29" s="159"/>
      <c r="T29" s="159"/>
      <c r="U29" s="159"/>
    </row>
    <row r="53" spans="1:21" x14ac:dyDescent="0.25">
      <c r="A53" s="159" t="s">
        <v>249</v>
      </c>
      <c r="B53" s="159"/>
      <c r="C53" s="159"/>
      <c r="D53" s="159"/>
      <c r="E53" s="159"/>
      <c r="F53" s="159"/>
      <c r="G53" s="159"/>
      <c r="H53" s="159"/>
      <c r="I53" s="159"/>
      <c r="J53" s="159"/>
      <c r="K53" s="159"/>
      <c r="L53" s="159"/>
      <c r="M53" s="159"/>
      <c r="N53" s="159"/>
      <c r="O53" s="159"/>
      <c r="P53" s="159"/>
      <c r="Q53" s="159"/>
      <c r="R53" s="159"/>
      <c r="S53" s="159"/>
      <c r="T53" s="159"/>
      <c r="U53" s="159"/>
    </row>
    <row r="77" spans="1:21" x14ac:dyDescent="0.25">
      <c r="A77" s="159" t="s">
        <v>250</v>
      </c>
      <c r="B77" s="159"/>
      <c r="C77" s="159"/>
      <c r="D77" s="159"/>
      <c r="E77" s="159"/>
      <c r="F77" s="159"/>
      <c r="G77" s="159"/>
      <c r="H77" s="159"/>
      <c r="I77" s="159"/>
      <c r="J77" s="159"/>
      <c r="K77" s="159"/>
      <c r="L77" s="159"/>
      <c r="M77" s="159"/>
      <c r="N77" s="159"/>
      <c r="O77" s="159"/>
      <c r="P77" s="159"/>
      <c r="Q77" s="159"/>
      <c r="R77" s="159"/>
      <c r="S77" s="159"/>
      <c r="T77" s="159"/>
      <c r="U77" s="159"/>
    </row>
    <row r="101" spans="1:21" x14ac:dyDescent="0.25">
      <c r="A101" s="159" t="s">
        <v>251</v>
      </c>
      <c r="B101" s="159"/>
      <c r="C101" s="159"/>
      <c r="D101" s="159"/>
      <c r="E101" s="159"/>
      <c r="F101" s="159"/>
      <c r="G101" s="159"/>
      <c r="H101" s="159"/>
      <c r="I101" s="159"/>
      <c r="J101" s="159"/>
      <c r="K101" s="159"/>
      <c r="L101" s="159"/>
      <c r="M101" s="159"/>
      <c r="N101" s="159"/>
      <c r="O101" s="159"/>
      <c r="P101" s="159"/>
      <c r="Q101" s="159"/>
      <c r="R101" s="159"/>
      <c r="S101" s="159"/>
      <c r="T101" s="159"/>
      <c r="U101" s="159"/>
    </row>
  </sheetData>
  <mergeCells count="14">
    <mergeCell ref="A101:U101"/>
    <mergeCell ref="A29:U29"/>
    <mergeCell ref="A53:U53"/>
    <mergeCell ref="A77:U77"/>
    <mergeCell ref="M15:V15"/>
    <mergeCell ref="M20:V20"/>
    <mergeCell ref="A3:J3"/>
    <mergeCell ref="A20:J20"/>
    <mergeCell ref="A15:J15"/>
    <mergeCell ref="A1:J1"/>
    <mergeCell ref="M1:V1"/>
    <mergeCell ref="A10:J10"/>
    <mergeCell ref="M3:V3"/>
    <mergeCell ref="M10:V10"/>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1000"/>
  <sheetViews>
    <sheetView workbookViewId="0">
      <selection activeCell="G17" sqref="G17"/>
    </sheetView>
  </sheetViews>
  <sheetFormatPr defaultColWidth="12.6640625" defaultRowHeight="15" customHeight="1" x14ac:dyDescent="0.25"/>
  <cols>
    <col min="1" max="1" width="8.6640625" customWidth="1"/>
    <col min="2" max="2" width="48.6640625" customWidth="1"/>
    <col min="3" max="8" width="13.33203125" customWidth="1"/>
    <col min="9" max="26" width="8.6640625" customWidth="1"/>
  </cols>
  <sheetData>
    <row r="1" spans="2:9" ht="12.75" customHeight="1" x14ac:dyDescent="0.25"/>
    <row r="2" spans="2:9" ht="12.75" customHeight="1" x14ac:dyDescent="0.25">
      <c r="D2" s="6" t="s">
        <v>32</v>
      </c>
      <c r="E2" s="6"/>
      <c r="G2" s="6" t="s">
        <v>33</v>
      </c>
    </row>
    <row r="3" spans="2:9" ht="12.75" customHeight="1" x14ac:dyDescent="0.25">
      <c r="B3" s="7" t="s">
        <v>34</v>
      </c>
      <c r="C3" s="160" t="s">
        <v>35</v>
      </c>
      <c r="D3" s="161"/>
      <c r="E3" s="162"/>
      <c r="F3" s="160" t="s">
        <v>35</v>
      </c>
      <c r="G3" s="161"/>
      <c r="H3" s="162"/>
    </row>
    <row r="4" spans="2:9" ht="12.75" customHeight="1" x14ac:dyDescent="0.25">
      <c r="B4" s="8"/>
      <c r="C4" s="9" t="s">
        <v>36</v>
      </c>
      <c r="D4" s="9">
        <v>2018</v>
      </c>
      <c r="E4" s="9">
        <v>2019</v>
      </c>
      <c r="F4" s="9" t="s">
        <v>36</v>
      </c>
      <c r="G4" s="9">
        <v>2018</v>
      </c>
      <c r="H4" s="9">
        <v>2019</v>
      </c>
    </row>
    <row r="5" spans="2:9" ht="12.75" customHeight="1" x14ac:dyDescent="0.25">
      <c r="B5" s="10" t="s">
        <v>37</v>
      </c>
      <c r="C5" s="11">
        <v>1528273.2011121409</v>
      </c>
      <c r="D5" s="11">
        <f>C5*0.4</f>
        <v>611309.28044485638</v>
      </c>
      <c r="E5" s="11">
        <f>C5*0.6</f>
        <v>916963.92066728452</v>
      </c>
      <c r="F5" s="11">
        <v>0</v>
      </c>
      <c r="G5" s="11">
        <f>F5*0.4</f>
        <v>0</v>
      </c>
      <c r="H5" s="12">
        <f>F5*0.6</f>
        <v>0</v>
      </c>
      <c r="I5" s="58"/>
    </row>
    <row r="6" spans="2:9" ht="12.75" customHeight="1" x14ac:dyDescent="0.25">
      <c r="B6" s="10" t="s">
        <v>38</v>
      </c>
      <c r="C6" s="11">
        <v>3000000</v>
      </c>
      <c r="D6" s="11"/>
      <c r="E6" s="11">
        <f>C6</f>
        <v>3000000</v>
      </c>
      <c r="F6" s="11"/>
      <c r="G6" s="11"/>
      <c r="H6" s="12"/>
      <c r="I6" s="58"/>
    </row>
    <row r="7" spans="2:9" ht="12.75" customHeight="1" x14ac:dyDescent="0.25">
      <c r="B7" s="10" t="s">
        <v>39</v>
      </c>
      <c r="C7" s="11">
        <v>140000</v>
      </c>
      <c r="D7" s="11">
        <f>C7*0.4</f>
        <v>56000</v>
      </c>
      <c r="E7" s="11">
        <f>C7*0.6</f>
        <v>84000</v>
      </c>
      <c r="F7" s="11">
        <v>0</v>
      </c>
      <c r="G7" s="11">
        <f>F7*0.4</f>
        <v>0</v>
      </c>
      <c r="H7" s="12">
        <f>F7*0.6</f>
        <v>0</v>
      </c>
      <c r="I7" s="58"/>
    </row>
    <row r="8" spans="2:9" ht="12.75" customHeight="1" x14ac:dyDescent="0.25">
      <c r="B8" s="10" t="s">
        <v>40</v>
      </c>
      <c r="C8" s="11">
        <v>750000</v>
      </c>
      <c r="D8" s="11">
        <f>C8*0.5</f>
        <v>375000</v>
      </c>
      <c r="E8" s="11">
        <f>D8</f>
        <v>375000</v>
      </c>
      <c r="F8" s="11">
        <v>8000000</v>
      </c>
      <c r="G8" s="11">
        <f>F8*0.5</f>
        <v>4000000</v>
      </c>
      <c r="H8" s="12">
        <f>G8</f>
        <v>4000000</v>
      </c>
      <c r="I8" s="58"/>
    </row>
    <row r="9" spans="2:9" ht="12.75" customHeight="1" x14ac:dyDescent="0.25">
      <c r="B9" s="13" t="s">
        <v>41</v>
      </c>
      <c r="C9" s="14">
        <f t="shared" ref="C9:H9" si="0">SUM(C5:C8)</f>
        <v>5418273.2011121409</v>
      </c>
      <c r="D9" s="14">
        <f t="shared" si="0"/>
        <v>1042309.2804448564</v>
      </c>
      <c r="E9" s="14">
        <f t="shared" si="0"/>
        <v>4375963.9206672851</v>
      </c>
      <c r="F9" s="14">
        <f t="shared" si="0"/>
        <v>8000000</v>
      </c>
      <c r="G9" s="14">
        <f t="shared" si="0"/>
        <v>4000000</v>
      </c>
      <c r="H9" s="15">
        <f t="shared" si="0"/>
        <v>4000000</v>
      </c>
    </row>
    <row r="10" spans="2:9" ht="8.25" customHeight="1" x14ac:dyDescent="0.25">
      <c r="B10" s="16"/>
      <c r="C10" s="17"/>
      <c r="D10" s="17"/>
      <c r="E10" s="18"/>
      <c r="F10" s="14"/>
      <c r="G10" s="14"/>
      <c r="H10" s="15"/>
    </row>
    <row r="11" spans="2:9" ht="12.75" customHeight="1" x14ac:dyDescent="0.25">
      <c r="B11" s="10" t="s">
        <v>42</v>
      </c>
      <c r="C11" s="19">
        <v>1200000</v>
      </c>
      <c r="D11" s="11">
        <f>C11-E11</f>
        <v>500000</v>
      </c>
      <c r="E11" s="11">
        <v>700000</v>
      </c>
      <c r="F11" s="11">
        <v>0</v>
      </c>
      <c r="G11" s="11">
        <v>0</v>
      </c>
      <c r="H11" s="12">
        <v>0</v>
      </c>
      <c r="I11" s="58"/>
    </row>
    <row r="12" spans="2:9" ht="12.75" customHeight="1" x14ac:dyDescent="0.25">
      <c r="B12" s="10" t="s">
        <v>43</v>
      </c>
      <c r="C12" s="19">
        <f t="shared" ref="C12:H12" si="1">C9-C11-C13</f>
        <v>2718273.2011121409</v>
      </c>
      <c r="D12" s="11">
        <f t="shared" si="1"/>
        <v>92309.280444856384</v>
      </c>
      <c r="E12" s="11">
        <f t="shared" si="1"/>
        <v>2625963.9206672851</v>
      </c>
      <c r="F12" s="11">
        <f t="shared" si="1"/>
        <v>8000000</v>
      </c>
      <c r="G12" s="11">
        <f t="shared" si="1"/>
        <v>4000000</v>
      </c>
      <c r="H12" s="12">
        <f t="shared" si="1"/>
        <v>4000000</v>
      </c>
      <c r="I12" s="58"/>
    </row>
    <row r="13" spans="2:9" ht="12.75" customHeight="1" x14ac:dyDescent="0.25">
      <c r="B13" s="10" t="s">
        <v>44</v>
      </c>
      <c r="C13" s="19">
        <v>1500000</v>
      </c>
      <c r="D13" s="11">
        <f>C13*0.3</f>
        <v>450000</v>
      </c>
      <c r="E13" s="11">
        <f>C13-D13</f>
        <v>1050000</v>
      </c>
      <c r="F13" s="11">
        <v>0</v>
      </c>
      <c r="G13" s="11">
        <f>F13*0.4</f>
        <v>0</v>
      </c>
      <c r="H13" s="12">
        <f>F13*0.6</f>
        <v>0</v>
      </c>
      <c r="I13" s="58"/>
    </row>
    <row r="14" spans="2:9" ht="12.75" customHeight="1" x14ac:dyDescent="0.25">
      <c r="B14" s="20" t="s">
        <v>45</v>
      </c>
      <c r="C14" s="21">
        <f t="shared" ref="C14:H14" si="2">SUM(C11:C13)</f>
        <v>5418273.2011121409</v>
      </c>
      <c r="D14" s="21">
        <f t="shared" si="2"/>
        <v>1042309.2804448564</v>
      </c>
      <c r="E14" s="21">
        <f t="shared" si="2"/>
        <v>4375963.9206672851</v>
      </c>
      <c r="F14" s="22">
        <f t="shared" si="2"/>
        <v>8000000</v>
      </c>
      <c r="G14" s="22">
        <f t="shared" si="2"/>
        <v>4000000</v>
      </c>
      <c r="H14" s="23">
        <f t="shared" si="2"/>
        <v>4000000</v>
      </c>
    </row>
    <row r="15" spans="2:9" ht="12.75" customHeight="1" x14ac:dyDescent="0.25">
      <c r="C15" s="24">
        <f t="shared" ref="C15:H15" si="3">C14-C9</f>
        <v>0</v>
      </c>
      <c r="D15" s="24">
        <f t="shared" si="3"/>
        <v>0</v>
      </c>
      <c r="E15" s="24">
        <f t="shared" si="3"/>
        <v>0</v>
      </c>
      <c r="F15" s="24">
        <f t="shared" si="3"/>
        <v>0</v>
      </c>
      <c r="G15" s="24">
        <f t="shared" si="3"/>
        <v>0</v>
      </c>
      <c r="H15" s="24">
        <f t="shared" si="3"/>
        <v>0</v>
      </c>
    </row>
    <row r="16" spans="2:9" ht="12.75" customHeight="1" x14ac:dyDescent="0.25"/>
    <row r="17" spans="2:2" ht="12.75" customHeight="1" x14ac:dyDescent="0.25">
      <c r="B17" s="6" t="s">
        <v>46</v>
      </c>
    </row>
    <row r="18" spans="2:2" ht="12.75" customHeight="1" x14ac:dyDescent="0.25">
      <c r="B18" s="25" t="s">
        <v>47</v>
      </c>
    </row>
    <row r="19" spans="2:2" ht="12.75" customHeight="1" x14ac:dyDescent="0.25">
      <c r="B19" s="2" t="s">
        <v>48</v>
      </c>
    </row>
    <row r="20" spans="2:2" ht="12.75" customHeight="1" x14ac:dyDescent="0.25">
      <c r="B20" s="2" t="s">
        <v>49</v>
      </c>
    </row>
    <row r="21" spans="2:2" ht="12.75" customHeight="1" x14ac:dyDescent="0.25"/>
    <row r="22" spans="2:2" ht="12.75" customHeight="1" x14ac:dyDescent="0.25">
      <c r="B22" s="25" t="s">
        <v>50</v>
      </c>
    </row>
    <row r="23" spans="2:2" ht="12.75" customHeight="1" x14ac:dyDescent="0.25">
      <c r="B23" s="2" t="s">
        <v>51</v>
      </c>
    </row>
    <row r="24" spans="2:2" ht="12.75" customHeight="1" x14ac:dyDescent="0.25">
      <c r="B24" s="2" t="s">
        <v>52</v>
      </c>
    </row>
    <row r="25" spans="2:2" ht="12.75" customHeight="1" x14ac:dyDescent="0.25"/>
    <row r="26" spans="2:2" ht="12.75" customHeight="1" x14ac:dyDescent="0.25"/>
    <row r="27" spans="2:2" ht="12.75" customHeight="1" x14ac:dyDescent="0.25"/>
    <row r="28" spans="2:2" ht="12.75" customHeight="1" x14ac:dyDescent="0.25"/>
    <row r="29" spans="2:2" ht="12.75" customHeight="1" x14ac:dyDescent="0.25"/>
    <row r="30" spans="2:2" ht="12.75" customHeight="1" x14ac:dyDescent="0.25"/>
    <row r="31" spans="2:2" ht="12.75" customHeight="1" x14ac:dyDescent="0.25"/>
    <row r="32" spans="2: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2">
    <mergeCell ref="C3:E3"/>
    <mergeCell ref="F3:H3"/>
  </mergeCell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8"/>
  <sheetViews>
    <sheetView tabSelected="1" workbookViewId="0">
      <pane xSplit="3" ySplit="5" topLeftCell="D6" activePane="bottomRight" state="frozen"/>
      <selection pane="topRight" activeCell="D1" sqref="D1"/>
      <selection pane="bottomLeft" activeCell="A5" sqref="A5"/>
      <selection pane="bottomRight" activeCell="N6" sqref="N6"/>
    </sheetView>
  </sheetViews>
  <sheetFormatPr defaultColWidth="12.6640625" defaultRowHeight="15" customHeight="1" x14ac:dyDescent="0.25"/>
  <cols>
    <col min="1" max="1" width="2.77734375" style="59" customWidth="1"/>
    <col min="2" max="2" width="5.88671875" style="59" customWidth="1"/>
    <col min="3" max="3" width="43.109375" style="59" customWidth="1"/>
    <col min="4" max="5" width="11.109375" style="59" customWidth="1"/>
    <col min="6" max="6" width="12.44140625" style="59" customWidth="1"/>
    <col min="7" max="7" width="13" style="59" customWidth="1"/>
    <col min="8" max="8" width="12.44140625" style="59" customWidth="1"/>
    <col min="9" max="15" width="11" style="59" customWidth="1"/>
    <col min="16" max="16" width="19.44140625" style="59" bestFit="1" customWidth="1"/>
    <col min="17" max="27" width="11" style="59" customWidth="1"/>
    <col min="28" max="16384" width="12.6640625" style="59"/>
  </cols>
  <sheetData>
    <row r="1" spans="1:27" ht="13.5" customHeight="1" x14ac:dyDescent="0.3">
      <c r="A1" s="26"/>
      <c r="B1" s="26"/>
      <c r="C1" s="179" t="s">
        <v>164</v>
      </c>
      <c r="D1" s="179"/>
      <c r="E1" s="179"/>
      <c r="F1" s="179"/>
      <c r="G1" s="179"/>
      <c r="H1" s="179"/>
      <c r="I1" s="179"/>
      <c r="J1" s="179"/>
      <c r="K1" s="179"/>
      <c r="L1" s="179"/>
      <c r="M1" s="179"/>
      <c r="N1" s="26"/>
      <c r="O1" s="26"/>
      <c r="P1" s="26"/>
      <c r="Q1" s="26"/>
      <c r="R1" s="26"/>
      <c r="S1" s="26"/>
      <c r="T1" s="26"/>
      <c r="U1" s="26"/>
      <c r="V1" s="26"/>
      <c r="W1" s="26"/>
      <c r="X1" s="26"/>
      <c r="Y1" s="26"/>
      <c r="Z1" s="26"/>
      <c r="AA1" s="26"/>
    </row>
    <row r="2" spans="1:27" ht="12.75" customHeight="1" x14ac:dyDescent="0.25">
      <c r="A2" s="26"/>
      <c r="B2" s="26"/>
      <c r="C2" s="180" t="s">
        <v>53</v>
      </c>
      <c r="D2" s="180"/>
      <c r="E2" s="180"/>
      <c r="F2" s="180"/>
      <c r="G2" s="180"/>
      <c r="H2" s="180"/>
      <c r="I2" s="180"/>
      <c r="J2" s="180"/>
      <c r="K2" s="180"/>
      <c r="L2" s="180"/>
      <c r="M2" s="180"/>
      <c r="N2" s="26"/>
      <c r="O2" s="26"/>
      <c r="P2" s="26"/>
      <c r="Q2" s="26"/>
      <c r="R2" s="26"/>
      <c r="S2" s="26"/>
      <c r="T2" s="26"/>
      <c r="U2" s="26"/>
      <c r="V2" s="26"/>
      <c r="W2" s="26"/>
      <c r="X2" s="26"/>
      <c r="Y2" s="26"/>
      <c r="Z2" s="26"/>
      <c r="AA2" s="26"/>
    </row>
    <row r="3" spans="1:27" ht="12.75" customHeight="1" x14ac:dyDescent="0.25">
      <c r="A3" s="26"/>
      <c r="B3" s="26"/>
      <c r="C3" s="37"/>
      <c r="D3" s="181" t="s">
        <v>95</v>
      </c>
      <c r="E3" s="181"/>
      <c r="F3" s="181" t="s">
        <v>163</v>
      </c>
      <c r="G3" s="181"/>
      <c r="H3" s="181"/>
      <c r="I3" s="181"/>
      <c r="J3" s="181"/>
      <c r="K3" s="181"/>
      <c r="L3" s="181"/>
      <c r="M3" s="181"/>
      <c r="N3" s="26"/>
      <c r="O3" s="26"/>
      <c r="P3" s="26"/>
      <c r="Q3" s="26"/>
      <c r="R3" s="26"/>
      <c r="S3" s="26"/>
      <c r="T3" s="26"/>
      <c r="U3" s="26"/>
      <c r="V3" s="26"/>
      <c r="W3" s="26"/>
      <c r="X3" s="26"/>
      <c r="Y3" s="26"/>
      <c r="Z3" s="26"/>
      <c r="AA3" s="26"/>
    </row>
    <row r="4" spans="1:27" ht="12.75" customHeight="1" x14ac:dyDescent="0.25">
      <c r="A4" s="26"/>
      <c r="B4" s="170"/>
      <c r="C4" s="172" t="s">
        <v>54</v>
      </c>
      <c r="D4" s="173">
        <v>2016</v>
      </c>
      <c r="E4" s="173">
        <v>2017</v>
      </c>
      <c r="F4" s="173">
        <v>2018</v>
      </c>
      <c r="G4" s="173">
        <v>2019</v>
      </c>
      <c r="H4" s="173">
        <v>2020</v>
      </c>
      <c r="I4" s="173">
        <v>2021</v>
      </c>
      <c r="J4" s="173">
        <v>2022</v>
      </c>
      <c r="K4" s="173">
        <v>2023</v>
      </c>
      <c r="L4" s="173">
        <v>2024</v>
      </c>
      <c r="M4" s="173">
        <v>2025</v>
      </c>
      <c r="N4" s="26"/>
      <c r="O4" s="26"/>
      <c r="Q4" s="26"/>
      <c r="R4" s="26"/>
      <c r="S4" s="26"/>
      <c r="T4" s="26"/>
      <c r="U4" s="26"/>
      <c r="V4" s="26"/>
      <c r="W4" s="26"/>
      <c r="X4" s="26"/>
      <c r="Y4" s="26"/>
      <c r="Z4" s="26"/>
      <c r="AA4" s="26"/>
    </row>
    <row r="5" spans="1:27" ht="29.25" customHeight="1" x14ac:dyDescent="0.25">
      <c r="A5" s="26"/>
      <c r="B5" s="171"/>
      <c r="C5" s="171"/>
      <c r="D5" s="174"/>
      <c r="E5" s="174"/>
      <c r="F5" s="174"/>
      <c r="G5" s="174"/>
      <c r="H5" s="174"/>
      <c r="I5" s="174"/>
      <c r="J5" s="174"/>
      <c r="K5" s="174"/>
      <c r="L5" s="174"/>
      <c r="M5" s="174"/>
      <c r="N5" s="26"/>
      <c r="O5" s="26"/>
      <c r="Q5" s="111"/>
      <c r="R5" s="111"/>
      <c r="S5" s="111"/>
      <c r="T5" s="26"/>
      <c r="U5" s="26"/>
      <c r="V5" s="26"/>
      <c r="W5" s="26"/>
      <c r="X5" s="26"/>
      <c r="Y5" s="26"/>
      <c r="Z5" s="26"/>
      <c r="AA5" s="26"/>
    </row>
    <row r="6" spans="1:27" ht="17.25" customHeight="1" x14ac:dyDescent="0.25">
      <c r="A6" s="29"/>
      <c r="B6" s="30" t="s">
        <v>55</v>
      </c>
      <c r="C6" s="30" t="s">
        <v>56</v>
      </c>
      <c r="D6" s="31">
        <v>2714177</v>
      </c>
      <c r="E6" s="31">
        <v>4414253</v>
      </c>
      <c r="F6" s="73">
        <f>E6*(1+F43)</f>
        <v>7128430.0799683882</v>
      </c>
      <c r="G6" s="73">
        <f>F6*(1+G43)</f>
        <v>9319947.1429015081</v>
      </c>
      <c r="H6" s="73">
        <f t="shared" ref="H6:M6" si="0">G6*(1+H43)</f>
        <v>13979920.714352261</v>
      </c>
      <c r="I6" s="73">
        <f t="shared" si="0"/>
        <v>15377912.785787489</v>
      </c>
      <c r="J6" s="73">
        <f t="shared" si="0"/>
        <v>16915704.06436624</v>
      </c>
      <c r="K6" s="73">
        <f t="shared" si="0"/>
        <v>18607274.470802866</v>
      </c>
      <c r="L6" s="73">
        <f t="shared" si="0"/>
        <v>20468001.917883154</v>
      </c>
      <c r="M6" s="73">
        <f t="shared" si="0"/>
        <v>22514802.10967147</v>
      </c>
      <c r="N6" s="29"/>
      <c r="O6" s="29"/>
      <c r="P6" s="163" t="s">
        <v>216</v>
      </c>
      <c r="Q6" s="163"/>
      <c r="R6" s="163"/>
      <c r="S6" s="163"/>
      <c r="T6" s="163"/>
      <c r="U6" s="29"/>
      <c r="V6" s="29"/>
      <c r="W6" s="29"/>
      <c r="X6" s="29"/>
      <c r="Y6" s="29"/>
      <c r="Z6" s="29"/>
      <c r="AA6" s="29"/>
    </row>
    <row r="7" spans="1:27" ht="17.25" customHeight="1" x14ac:dyDescent="0.25">
      <c r="A7" s="29"/>
      <c r="B7" s="30" t="s">
        <v>57</v>
      </c>
      <c r="C7" s="30" t="s">
        <v>58</v>
      </c>
      <c r="D7" s="31">
        <v>998289</v>
      </c>
      <c r="E7" s="31">
        <v>1121942</v>
      </c>
      <c r="F7" s="73">
        <f>SUM(F8:F12)</f>
        <v>1811787.2619965759</v>
      </c>
      <c r="G7" s="73">
        <f t="shared" ref="G7:M7" si="1">SUM(G8:G12)</f>
        <v>2368791.0699216984</v>
      </c>
      <c r="H7" s="73">
        <f t="shared" si="1"/>
        <v>3567576.6048825467</v>
      </c>
      <c r="I7" s="73">
        <f t="shared" si="1"/>
        <v>3924405.265370802</v>
      </c>
      <c r="J7" s="73">
        <f t="shared" si="1"/>
        <v>4316895.7919078832</v>
      </c>
      <c r="K7" s="73">
        <f t="shared" si="1"/>
        <v>4748585.3710986711</v>
      </c>
      <c r="L7" s="73">
        <f t="shared" si="1"/>
        <v>5223443.9082085397</v>
      </c>
      <c r="M7" s="73">
        <f t="shared" si="1"/>
        <v>5745788.2990293941</v>
      </c>
      <c r="N7" s="103"/>
      <c r="O7" s="103"/>
      <c r="P7" s="164" t="s">
        <v>218</v>
      </c>
      <c r="Q7" s="164"/>
      <c r="R7" s="164"/>
      <c r="S7" s="164"/>
      <c r="T7" s="164"/>
      <c r="U7" s="29"/>
      <c r="V7" s="29"/>
      <c r="W7" s="29"/>
      <c r="X7" s="29"/>
      <c r="Y7" s="29"/>
      <c r="Z7" s="29"/>
      <c r="AA7" s="29"/>
    </row>
    <row r="8" spans="1:27" ht="17.25" customHeight="1" x14ac:dyDescent="0.25">
      <c r="A8" s="26"/>
      <c r="B8" s="26"/>
      <c r="C8" s="46" t="s">
        <v>59</v>
      </c>
      <c r="D8" s="32"/>
      <c r="E8" s="32"/>
      <c r="F8" s="32"/>
      <c r="G8" s="32"/>
      <c r="H8" s="32"/>
      <c r="I8" s="32"/>
      <c r="J8" s="32"/>
      <c r="K8" s="32"/>
      <c r="L8" s="32"/>
      <c r="M8" s="32"/>
      <c r="N8" s="26"/>
      <c r="O8" s="26"/>
      <c r="P8" s="164"/>
      <c r="Q8" s="164"/>
      <c r="R8" s="164"/>
      <c r="S8" s="164"/>
      <c r="T8" s="164"/>
      <c r="U8" s="26"/>
      <c r="V8" s="26"/>
      <c r="W8" s="26"/>
      <c r="X8" s="26"/>
      <c r="Y8" s="26"/>
      <c r="Z8" s="26"/>
      <c r="AA8" s="26"/>
    </row>
    <row r="9" spans="1:27" ht="17.25" customHeight="1" x14ac:dyDescent="0.25">
      <c r="A9" s="26"/>
      <c r="B9" s="26"/>
      <c r="C9" s="46" t="s">
        <v>60</v>
      </c>
      <c r="D9" s="32">
        <v>992551</v>
      </c>
      <c r="E9" s="32">
        <v>1076892</v>
      </c>
      <c r="F9" s="74">
        <f>F46*F6</f>
        <v>1739037.8281581257</v>
      </c>
      <c r="G9" s="74">
        <f t="shared" ref="G9:M9" si="2">G46*G6</f>
        <v>2273676.0347113968</v>
      </c>
      <c r="H9" s="74">
        <f t="shared" si="2"/>
        <v>3410514.0520670945</v>
      </c>
      <c r="I9" s="74">
        <f t="shared" si="2"/>
        <v>3751565.4572738046</v>
      </c>
      <c r="J9" s="74">
        <f t="shared" si="2"/>
        <v>4126722.0030011856</v>
      </c>
      <c r="K9" s="74">
        <f t="shared" si="2"/>
        <v>4539394.203301304</v>
      </c>
      <c r="L9" s="74">
        <f>L46*L6</f>
        <v>4993333.6236314354</v>
      </c>
      <c r="M9" s="74">
        <f t="shared" si="2"/>
        <v>5492666.9859945793</v>
      </c>
      <c r="N9" s="26"/>
      <c r="O9" s="26"/>
      <c r="P9" s="164"/>
      <c r="Q9" s="164"/>
      <c r="R9" s="164"/>
      <c r="S9" s="164"/>
      <c r="T9" s="164"/>
      <c r="U9" s="26"/>
      <c r="V9" s="26"/>
      <c r="W9" s="26"/>
      <c r="X9" s="26"/>
      <c r="Y9" s="26"/>
      <c r="Z9" s="26"/>
      <c r="AA9" s="26"/>
    </row>
    <row r="10" spans="1:27" ht="17.25" customHeight="1" x14ac:dyDescent="0.25">
      <c r="A10" s="26"/>
      <c r="B10" s="26"/>
      <c r="C10" s="46" t="s">
        <v>61</v>
      </c>
      <c r="D10" s="32"/>
      <c r="E10" s="32"/>
      <c r="F10" s="74"/>
      <c r="G10" s="74"/>
      <c r="H10" s="74">
        <f>H47</f>
        <v>14390</v>
      </c>
      <c r="I10" s="74">
        <f t="shared" ref="I10:M10" si="3">I47</f>
        <v>15900</v>
      </c>
      <c r="J10" s="74">
        <f t="shared" si="3"/>
        <v>17540</v>
      </c>
      <c r="K10" s="74">
        <f t="shared" si="3"/>
        <v>19294</v>
      </c>
      <c r="L10" s="74">
        <f t="shared" si="3"/>
        <v>21223.4</v>
      </c>
      <c r="M10" s="74">
        <f t="shared" si="3"/>
        <v>23345.740000000005</v>
      </c>
      <c r="N10" s="26"/>
      <c r="O10" s="26"/>
      <c r="P10" s="164"/>
      <c r="Q10" s="164"/>
      <c r="R10" s="164"/>
      <c r="S10" s="164"/>
      <c r="T10" s="164"/>
      <c r="U10" s="26"/>
      <c r="V10" s="26"/>
      <c r="W10" s="26"/>
      <c r="X10" s="26"/>
      <c r="Y10" s="26"/>
      <c r="Z10" s="26"/>
      <c r="AA10" s="26"/>
    </row>
    <row r="11" spans="1:27" ht="17.25" customHeight="1" x14ac:dyDescent="0.25">
      <c r="A11" s="26"/>
      <c r="B11" s="26"/>
      <c r="C11" s="46" t="s">
        <v>62</v>
      </c>
      <c r="D11" s="32"/>
      <c r="E11" s="32"/>
      <c r="F11" s="74"/>
      <c r="G11" s="74"/>
      <c r="H11" s="74"/>
      <c r="I11" s="74"/>
      <c r="J11" s="74"/>
      <c r="K11" s="74"/>
      <c r="L11" s="74"/>
      <c r="M11" s="74"/>
      <c r="N11" s="26"/>
      <c r="O11" s="26"/>
      <c r="P11" s="164"/>
      <c r="Q11" s="164"/>
      <c r="R11" s="164"/>
      <c r="S11" s="164"/>
      <c r="T11" s="164"/>
      <c r="U11" s="26"/>
      <c r="V11" s="26"/>
      <c r="W11" s="26"/>
      <c r="X11" s="26"/>
      <c r="Y11" s="26"/>
      <c r="Z11" s="26"/>
      <c r="AA11" s="26"/>
    </row>
    <row r="12" spans="1:27" ht="17.25" customHeight="1" x14ac:dyDescent="0.25">
      <c r="A12" s="26"/>
      <c r="B12" s="26"/>
      <c r="C12" s="46" t="s">
        <v>63</v>
      </c>
      <c r="D12" s="32">
        <v>5737</v>
      </c>
      <c r="E12" s="32">
        <v>45049</v>
      </c>
      <c r="F12" s="74">
        <f>F49*F6</f>
        <v>72749.433838450204</v>
      </c>
      <c r="G12" s="74">
        <f t="shared" ref="G12:M12" si="4">G49*G6</f>
        <v>95115.03521030159</v>
      </c>
      <c r="H12" s="74">
        <f t="shared" si="4"/>
        <v>142672.55281545239</v>
      </c>
      <c r="I12" s="74">
        <f t="shared" si="4"/>
        <v>156939.80809699764</v>
      </c>
      <c r="J12" s="74">
        <f t="shared" si="4"/>
        <v>172633.78890669742</v>
      </c>
      <c r="K12" s="74">
        <f t="shared" si="4"/>
        <v>189897.16779736718</v>
      </c>
      <c r="L12" s="74">
        <f t="shared" si="4"/>
        <v>208886.88457710392</v>
      </c>
      <c r="M12" s="74">
        <f t="shared" si="4"/>
        <v>229775.5730348143</v>
      </c>
      <c r="N12" s="26"/>
      <c r="O12" s="26"/>
      <c r="P12" s="164"/>
      <c r="Q12" s="164"/>
      <c r="R12" s="164"/>
      <c r="S12" s="164"/>
      <c r="T12" s="164"/>
      <c r="U12" s="26"/>
      <c r="V12" s="26"/>
      <c r="W12" s="26"/>
      <c r="X12" s="26"/>
      <c r="Y12" s="26"/>
      <c r="Z12" s="26"/>
      <c r="AA12" s="26"/>
    </row>
    <row r="13" spans="1:27" ht="17.25" customHeight="1" x14ac:dyDescent="0.25">
      <c r="A13" s="29"/>
      <c r="B13" s="30" t="s">
        <v>64</v>
      </c>
      <c r="C13" s="30" t="s">
        <v>65</v>
      </c>
      <c r="D13" s="33">
        <f>SUM(D6-D7)</f>
        <v>1715888</v>
      </c>
      <c r="E13" s="33">
        <f>SUM(E6-E7)</f>
        <v>3292311</v>
      </c>
      <c r="F13" s="33">
        <f t="shared" ref="F13:M13" si="5">SUM(F6-F7)</f>
        <v>5316642.8179718126</v>
      </c>
      <c r="G13" s="33">
        <f t="shared" si="5"/>
        <v>6951156.0729798097</v>
      </c>
      <c r="H13" s="33">
        <f t="shared" si="5"/>
        <v>10412344.109469716</v>
      </c>
      <c r="I13" s="33">
        <f t="shared" si="5"/>
        <v>11453507.520416688</v>
      </c>
      <c r="J13" s="33">
        <f t="shared" si="5"/>
        <v>12598808.272458356</v>
      </c>
      <c r="K13" s="33">
        <f t="shared" si="5"/>
        <v>13858689.099704195</v>
      </c>
      <c r="L13" s="33">
        <f t="shared" si="5"/>
        <v>15244558.009674614</v>
      </c>
      <c r="M13" s="33">
        <f t="shared" si="5"/>
        <v>16769013.810642075</v>
      </c>
      <c r="N13" s="157"/>
      <c r="O13" s="157"/>
      <c r="P13" s="164"/>
      <c r="Q13" s="164"/>
      <c r="R13" s="164"/>
      <c r="S13" s="164"/>
      <c r="T13" s="164"/>
      <c r="U13" s="29"/>
      <c r="V13" s="29"/>
      <c r="W13" s="29"/>
      <c r="X13" s="29"/>
      <c r="Y13" s="29"/>
      <c r="Z13" s="29"/>
      <c r="AA13" s="29"/>
    </row>
    <row r="14" spans="1:27" ht="17.25" customHeight="1" x14ac:dyDescent="0.25">
      <c r="A14" s="29"/>
      <c r="B14" s="30" t="s">
        <v>66</v>
      </c>
      <c r="C14" s="30" t="s">
        <v>67</v>
      </c>
      <c r="D14" s="31">
        <f t="shared" ref="D14" si="6">SUM(D15,D20)</f>
        <v>1367819</v>
      </c>
      <c r="E14" s="31">
        <f>SUM(E15,E20)</f>
        <v>2932584</v>
      </c>
      <c r="F14" s="31">
        <f>SUM(F15,F20)</f>
        <v>4735735.2119947644</v>
      </c>
      <c r="G14" s="31">
        <f t="shared" ref="G14:M14" si="7">SUM(G15,G20)</f>
        <v>6252789.0299591767</v>
      </c>
      <c r="H14" s="31">
        <f t="shared" si="7"/>
        <v>6522436.1154359085</v>
      </c>
      <c r="I14" s="31">
        <f t="shared" si="7"/>
        <v>7149396.994968378</v>
      </c>
      <c r="J14" s="31">
        <f t="shared" si="7"/>
        <v>7839053.9624540955</v>
      </c>
      <c r="K14" s="31">
        <f t="shared" si="7"/>
        <v>8597676.6266883854</v>
      </c>
      <c r="L14" s="31">
        <f t="shared" si="7"/>
        <v>9432161.5573461037</v>
      </c>
      <c r="M14" s="31">
        <f t="shared" si="7"/>
        <v>10350094.981069593</v>
      </c>
      <c r="N14" s="29"/>
      <c r="O14" s="29"/>
      <c r="P14" s="97"/>
      <c r="Q14" s="97"/>
      <c r="R14" s="97"/>
      <c r="S14" s="97"/>
      <c r="T14" s="97"/>
      <c r="U14" s="29"/>
      <c r="V14" s="29"/>
      <c r="W14" s="29"/>
      <c r="X14" s="29"/>
      <c r="Y14" s="29"/>
      <c r="Z14" s="29"/>
      <c r="AA14" s="29"/>
    </row>
    <row r="15" spans="1:27" ht="17.25" customHeight="1" x14ac:dyDescent="0.25">
      <c r="A15" s="26"/>
      <c r="B15" s="34" t="s">
        <v>68</v>
      </c>
      <c r="C15" s="34" t="s">
        <v>69</v>
      </c>
      <c r="D15" s="35">
        <v>726794</v>
      </c>
      <c r="E15" s="35">
        <v>10847</v>
      </c>
      <c r="F15" s="74">
        <f>SUM(F16:F19)</f>
        <v>17517.61542687242</v>
      </c>
      <c r="G15" s="74">
        <f t="shared" ref="G15:M15" si="8">SUM(G16:G19)</f>
        <v>22903.114432855742</v>
      </c>
      <c r="H15" s="74">
        <f t="shared" si="8"/>
        <v>34354.671649283613</v>
      </c>
      <c r="I15" s="74">
        <f t="shared" si="8"/>
        <v>37790.138814211976</v>
      </c>
      <c r="J15" s="74">
        <f t="shared" si="8"/>
        <v>41569.15269563318</v>
      </c>
      <c r="K15" s="74">
        <f t="shared" si="8"/>
        <v>45726.067965196504</v>
      </c>
      <c r="L15" s="74">
        <f t="shared" si="8"/>
        <v>50298.67476171616</v>
      </c>
      <c r="M15" s="74">
        <f t="shared" si="8"/>
        <v>55328.542237887777</v>
      </c>
      <c r="N15" s="26"/>
      <c r="O15" s="26"/>
      <c r="P15" s="97"/>
      <c r="Q15" s="97"/>
      <c r="R15" s="97"/>
      <c r="S15" s="97"/>
      <c r="T15" s="97"/>
      <c r="U15" s="26"/>
      <c r="V15" s="26"/>
      <c r="W15" s="26"/>
      <c r="X15" s="26"/>
      <c r="Y15" s="26"/>
      <c r="Z15" s="26"/>
      <c r="AA15" s="26"/>
    </row>
    <row r="16" spans="1:27" ht="17.25" customHeight="1" x14ac:dyDescent="0.25">
      <c r="A16" s="26"/>
      <c r="B16" s="26"/>
      <c r="C16" s="46" t="s">
        <v>59</v>
      </c>
      <c r="D16" s="32"/>
      <c r="E16" s="32"/>
      <c r="F16" s="74"/>
      <c r="G16" s="74"/>
      <c r="H16" s="74"/>
      <c r="I16" s="74"/>
      <c r="J16" s="74"/>
      <c r="K16" s="74"/>
      <c r="L16" s="74"/>
      <c r="M16" s="74"/>
      <c r="N16" s="26"/>
      <c r="O16" s="26"/>
      <c r="P16" s="97"/>
      <c r="Q16" s="97"/>
      <c r="R16" s="97"/>
      <c r="S16" s="97"/>
      <c r="T16" s="97"/>
      <c r="U16" s="26"/>
      <c r="V16" s="26"/>
      <c r="W16" s="26"/>
      <c r="X16" s="26"/>
      <c r="Y16" s="26"/>
      <c r="Z16" s="26"/>
      <c r="AA16" s="26"/>
    </row>
    <row r="17" spans="1:27" ht="17.25" customHeight="1" x14ac:dyDescent="0.25">
      <c r="A17" s="26"/>
      <c r="B17" s="26"/>
      <c r="C17" s="46" t="s">
        <v>61</v>
      </c>
      <c r="D17" s="32"/>
      <c r="E17" s="32"/>
      <c r="F17" s="74"/>
      <c r="G17" s="74"/>
      <c r="H17" s="74"/>
      <c r="I17" s="74"/>
      <c r="J17" s="74"/>
      <c r="K17" s="74"/>
      <c r="L17" s="74"/>
      <c r="M17" s="74"/>
      <c r="N17" s="26"/>
      <c r="O17" s="26"/>
      <c r="P17" s="97"/>
      <c r="Q17" s="97"/>
      <c r="R17" s="97"/>
      <c r="S17" s="97"/>
      <c r="T17" s="97"/>
      <c r="U17" s="26"/>
      <c r="V17" s="26"/>
      <c r="W17" s="26"/>
      <c r="X17" s="26"/>
      <c r="Y17" s="26"/>
      <c r="Z17" s="26"/>
      <c r="AA17" s="26"/>
    </row>
    <row r="18" spans="1:27" ht="17.25" customHeight="1" x14ac:dyDescent="0.25">
      <c r="A18" s="26"/>
      <c r="B18" s="26"/>
      <c r="C18" s="46" t="s">
        <v>70</v>
      </c>
      <c r="D18" s="32"/>
      <c r="E18" s="32"/>
      <c r="F18" s="74"/>
      <c r="G18" s="74"/>
      <c r="H18" s="74"/>
      <c r="I18" s="74"/>
      <c r="J18" s="74"/>
      <c r="K18" s="74"/>
      <c r="L18" s="74"/>
      <c r="M18" s="74"/>
      <c r="N18" s="26"/>
      <c r="O18" s="26"/>
      <c r="P18" s="26"/>
      <c r="Q18" s="26"/>
      <c r="R18" s="26"/>
      <c r="S18" s="26"/>
      <c r="T18" s="26"/>
      <c r="U18" s="26"/>
      <c r="V18" s="26"/>
      <c r="W18" s="26"/>
      <c r="X18" s="26"/>
      <c r="Y18" s="26"/>
      <c r="Z18" s="26"/>
      <c r="AA18" s="26"/>
    </row>
    <row r="19" spans="1:27" ht="17.25" customHeight="1" x14ac:dyDescent="0.25">
      <c r="A19" s="26"/>
      <c r="B19" s="26"/>
      <c r="C19" s="46" t="s">
        <v>63</v>
      </c>
      <c r="D19" s="32">
        <f>D15</f>
        <v>726794</v>
      </c>
      <c r="E19" s="32">
        <f>E15</f>
        <v>10847</v>
      </c>
      <c r="F19" s="74">
        <f>F56*F6</f>
        <v>17517.61542687242</v>
      </c>
      <c r="G19" s="74">
        <f t="shared" ref="G19:M19" si="9">G56*G6</f>
        <v>22903.114432855742</v>
      </c>
      <c r="H19" s="74">
        <f t="shared" si="9"/>
        <v>34354.671649283613</v>
      </c>
      <c r="I19" s="74">
        <f t="shared" si="9"/>
        <v>37790.138814211976</v>
      </c>
      <c r="J19" s="74">
        <f t="shared" si="9"/>
        <v>41569.15269563318</v>
      </c>
      <c r="K19" s="74">
        <f t="shared" si="9"/>
        <v>45726.067965196504</v>
      </c>
      <c r="L19" s="74">
        <f t="shared" si="9"/>
        <v>50298.67476171616</v>
      </c>
      <c r="M19" s="74">
        <f t="shared" si="9"/>
        <v>55328.542237887777</v>
      </c>
      <c r="N19" s="26"/>
      <c r="O19" s="26"/>
      <c r="P19" s="26"/>
      <c r="Q19" s="26"/>
      <c r="R19" s="26"/>
      <c r="S19" s="26"/>
      <c r="T19" s="26"/>
      <c r="U19" s="26"/>
      <c r="V19" s="26"/>
      <c r="W19" s="26"/>
      <c r="X19" s="26"/>
      <c r="Y19" s="26"/>
      <c r="Z19" s="26"/>
      <c r="AA19" s="26"/>
    </row>
    <row r="20" spans="1:27" ht="17.25" customHeight="1" x14ac:dyDescent="0.25">
      <c r="A20" s="26"/>
      <c r="B20" s="34" t="s">
        <v>71</v>
      </c>
      <c r="C20" s="34" t="s">
        <v>72</v>
      </c>
      <c r="D20" s="35">
        <f t="shared" ref="D20" si="10">SUM(D21:D24)</f>
        <v>641025</v>
      </c>
      <c r="E20" s="35">
        <f>SUM(E21:E24)</f>
        <v>2921737</v>
      </c>
      <c r="F20" s="35">
        <f t="shared" ref="F20:M20" si="11">SUM(F21:F24)</f>
        <v>4718217.5965678915</v>
      </c>
      <c r="G20" s="35">
        <f t="shared" si="11"/>
        <v>6229885.9155263212</v>
      </c>
      <c r="H20" s="35">
        <f t="shared" si="11"/>
        <v>6488081.4437866248</v>
      </c>
      <c r="I20" s="35">
        <f t="shared" si="11"/>
        <v>7111606.8561541662</v>
      </c>
      <c r="J20" s="35">
        <f t="shared" si="11"/>
        <v>7797484.809758462</v>
      </c>
      <c r="K20" s="35">
        <f t="shared" si="11"/>
        <v>8551950.5587231889</v>
      </c>
      <c r="L20" s="35">
        <f t="shared" si="11"/>
        <v>9381862.8825843874</v>
      </c>
      <c r="M20" s="35">
        <f t="shared" si="11"/>
        <v>10294766.438831706</v>
      </c>
      <c r="N20" s="26"/>
      <c r="O20" s="26"/>
      <c r="P20" s="26"/>
      <c r="Q20" s="26"/>
      <c r="R20" s="26"/>
      <c r="S20" s="26"/>
      <c r="T20" s="26"/>
      <c r="U20" s="26"/>
      <c r="V20" s="26"/>
      <c r="W20" s="26"/>
      <c r="X20" s="26"/>
      <c r="Y20" s="26"/>
      <c r="Z20" s="26"/>
      <c r="AA20" s="26"/>
    </row>
    <row r="21" spans="1:27" ht="17.25" customHeight="1" x14ac:dyDescent="0.25">
      <c r="A21" s="26"/>
      <c r="B21" s="26"/>
      <c r="C21" s="46" t="s">
        <v>59</v>
      </c>
      <c r="D21" s="32">
        <v>140511</v>
      </c>
      <c r="E21" s="32">
        <v>203121</v>
      </c>
      <c r="F21" s="80">
        <f>F58*F6+F91+F94</f>
        <v>328014.60114450083</v>
      </c>
      <c r="G21" s="80">
        <f t="shared" ref="G21:M21" si="12">G58*G6+G91+G94</f>
        <v>489988.15333415632</v>
      </c>
      <c r="H21" s="80">
        <f t="shared" si="12"/>
        <v>896113.15804572008</v>
      </c>
      <c r="I21" s="80">
        <f t="shared" si="12"/>
        <v>960441.74183917069</v>
      </c>
      <c r="J21" s="80">
        <f t="shared" si="12"/>
        <v>1031203.1840119665</v>
      </c>
      <c r="K21" s="80">
        <f t="shared" si="12"/>
        <v>1109040.7704020417</v>
      </c>
      <c r="L21" s="80">
        <f t="shared" si="12"/>
        <v>1194662.1154311246</v>
      </c>
      <c r="M21" s="80">
        <f t="shared" si="12"/>
        <v>1288845.5949631156</v>
      </c>
      <c r="N21" s="26"/>
      <c r="O21" s="26"/>
      <c r="P21" s="26"/>
      <c r="Q21" s="26"/>
      <c r="R21" s="26"/>
      <c r="S21" s="26"/>
      <c r="T21" s="26"/>
      <c r="U21" s="26"/>
      <c r="V21" s="26"/>
      <c r="W21" s="26"/>
      <c r="X21" s="26"/>
      <c r="Y21" s="26"/>
      <c r="Z21" s="26"/>
      <c r="AA21" s="26"/>
    </row>
    <row r="22" spans="1:27" ht="17.25" customHeight="1" x14ac:dyDescent="0.25">
      <c r="A22" s="26"/>
      <c r="B22" s="26"/>
      <c r="C22" s="46" t="s">
        <v>61</v>
      </c>
      <c r="D22" s="32">
        <v>499966</v>
      </c>
      <c r="E22" s="32">
        <v>1368507</v>
      </c>
      <c r="F22" s="74">
        <f>F59*F6</f>
        <v>2209956.042727659</v>
      </c>
      <c r="G22" s="74">
        <f t="shared" ref="G22:M22" si="13">G59*G6</f>
        <v>2889370.2084890064</v>
      </c>
      <c r="H22" s="74">
        <f t="shared" si="13"/>
        <v>2795984.1428704523</v>
      </c>
      <c r="I22" s="74">
        <f t="shared" si="13"/>
        <v>3075582.5571574979</v>
      </c>
      <c r="J22" s="74">
        <f t="shared" si="13"/>
        <v>3383140.812873248</v>
      </c>
      <c r="K22" s="74">
        <f t="shared" si="13"/>
        <v>3721454.8941605734</v>
      </c>
      <c r="L22" s="74">
        <f t="shared" si="13"/>
        <v>4093600.3835766311</v>
      </c>
      <c r="M22" s="74">
        <f t="shared" si="13"/>
        <v>4502960.4219342945</v>
      </c>
      <c r="N22" s="26"/>
      <c r="O22" s="26"/>
      <c r="P22" s="26"/>
      <c r="Q22" s="26"/>
      <c r="R22" s="26"/>
      <c r="S22" s="26"/>
      <c r="T22" s="26"/>
      <c r="U22" s="26"/>
      <c r="V22" s="26"/>
      <c r="W22" s="26"/>
      <c r="X22" s="26"/>
      <c r="Y22" s="26"/>
      <c r="Z22" s="26"/>
      <c r="AA22" s="26"/>
    </row>
    <row r="23" spans="1:27" ht="17.25" customHeight="1" x14ac:dyDescent="0.25">
      <c r="A23" s="26"/>
      <c r="B23" s="26"/>
      <c r="C23" s="46" t="s">
        <v>70</v>
      </c>
      <c r="D23" s="32"/>
      <c r="E23" s="32"/>
      <c r="F23" s="74"/>
      <c r="G23" s="74"/>
      <c r="H23" s="74"/>
      <c r="I23" s="74"/>
      <c r="J23" s="74"/>
      <c r="K23" s="74"/>
      <c r="L23" s="74"/>
      <c r="M23" s="74"/>
      <c r="N23" s="26"/>
      <c r="O23" s="26"/>
      <c r="P23" s="26"/>
      <c r="Q23" s="26"/>
      <c r="R23" s="26"/>
      <c r="S23" s="26"/>
      <c r="T23" s="26"/>
      <c r="U23" s="26"/>
      <c r="V23" s="26"/>
      <c r="W23" s="26"/>
      <c r="X23" s="26"/>
      <c r="Y23" s="26"/>
      <c r="Z23" s="26"/>
      <c r="AA23" s="26"/>
    </row>
    <row r="24" spans="1:27" ht="17.25" customHeight="1" x14ac:dyDescent="0.25">
      <c r="A24" s="26"/>
      <c r="B24" s="26"/>
      <c r="C24" s="46" t="s">
        <v>63</v>
      </c>
      <c r="D24" s="32">
        <v>548</v>
      </c>
      <c r="E24" s="32">
        <v>1350109</v>
      </c>
      <c r="F24" s="74">
        <f>F61*F6</f>
        <v>2180246.952695732</v>
      </c>
      <c r="G24" s="74">
        <f t="shared" ref="G24:L24" si="14">G61*G6</f>
        <v>2850527.5537031591</v>
      </c>
      <c r="H24" s="74">
        <f t="shared" si="14"/>
        <v>2795984.1428704523</v>
      </c>
      <c r="I24" s="74">
        <f t="shared" si="14"/>
        <v>3075582.5571574979</v>
      </c>
      <c r="J24" s="74">
        <f t="shared" si="14"/>
        <v>3383140.812873248</v>
      </c>
      <c r="K24" s="74">
        <f t="shared" si="14"/>
        <v>3721454.8941605734</v>
      </c>
      <c r="L24" s="74">
        <f t="shared" si="14"/>
        <v>4093600.3835766311</v>
      </c>
      <c r="M24" s="74">
        <f>M61*M6</f>
        <v>4502960.4219342945</v>
      </c>
      <c r="N24" s="26"/>
      <c r="O24" s="26"/>
      <c r="P24" s="26"/>
      <c r="Q24" s="26"/>
      <c r="R24" s="26"/>
      <c r="S24" s="26"/>
      <c r="T24" s="26"/>
      <c r="U24" s="26"/>
      <c r="V24" s="26"/>
      <c r="W24" s="26"/>
      <c r="X24" s="26"/>
      <c r="Y24" s="26"/>
      <c r="Z24" s="26"/>
      <c r="AA24" s="26"/>
    </row>
    <row r="25" spans="1:27" ht="17.25" customHeight="1" x14ac:dyDescent="0.25">
      <c r="A25" s="29"/>
      <c r="B25" s="30" t="s">
        <v>73</v>
      </c>
      <c r="C25" s="30" t="s">
        <v>74</v>
      </c>
      <c r="D25" s="33">
        <f t="shared" ref="D25:M25" si="15">SUM(D13-D14)</f>
        <v>348069</v>
      </c>
      <c r="E25" s="33">
        <f>SUM(E13-E14)</f>
        <v>359727</v>
      </c>
      <c r="F25" s="33">
        <f t="shared" si="15"/>
        <v>580907.60597704817</v>
      </c>
      <c r="G25" s="33">
        <f t="shared" si="15"/>
        <v>698367.04302063305</v>
      </c>
      <c r="H25" s="33">
        <f t="shared" si="15"/>
        <v>3889907.994033807</v>
      </c>
      <c r="I25" s="33">
        <f t="shared" si="15"/>
        <v>4304110.5254483102</v>
      </c>
      <c r="J25" s="33">
        <f t="shared" si="15"/>
        <v>4759754.3100042604</v>
      </c>
      <c r="K25" s="33">
        <f t="shared" si="15"/>
        <v>5261012.4730158094</v>
      </c>
      <c r="L25" s="33">
        <f t="shared" si="15"/>
        <v>5812396.4523285106</v>
      </c>
      <c r="M25" s="33">
        <f t="shared" si="15"/>
        <v>6418918.829572482</v>
      </c>
      <c r="N25" s="29"/>
      <c r="O25" s="29"/>
      <c r="P25" s="29"/>
      <c r="Q25" s="29"/>
      <c r="R25" s="29"/>
      <c r="S25" s="29"/>
      <c r="T25" s="29"/>
      <c r="U25" s="29"/>
      <c r="V25" s="29"/>
      <c r="W25" s="29"/>
      <c r="X25" s="29"/>
      <c r="Y25" s="29"/>
      <c r="Z25" s="29"/>
      <c r="AA25" s="29"/>
    </row>
    <row r="26" spans="1:27" ht="17.25" customHeight="1" x14ac:dyDescent="0.25">
      <c r="A26" s="29"/>
      <c r="B26" s="30" t="s">
        <v>75</v>
      </c>
      <c r="C26" s="30" t="s">
        <v>76</v>
      </c>
      <c r="D26" s="31">
        <f t="shared" ref="D26:M26" si="16">SUM(D27-D28)</f>
        <v>4344.3002780352181</v>
      </c>
      <c r="E26" s="31">
        <f t="shared" si="16"/>
        <v>89548.192771084345</v>
      </c>
      <c r="F26" s="31">
        <f t="shared" si="16"/>
        <v>144608.37135403921</v>
      </c>
      <c r="G26" s="31">
        <f t="shared" si="16"/>
        <v>189065.80583963511</v>
      </c>
      <c r="H26" s="31">
        <f t="shared" si="16"/>
        <v>283598.70875945268</v>
      </c>
      <c r="I26" s="31">
        <f t="shared" si="16"/>
        <v>311958.57963539794</v>
      </c>
      <c r="J26" s="31">
        <f t="shared" si="16"/>
        <v>343154.43759893777</v>
      </c>
      <c r="K26" s="31">
        <f t="shared" si="16"/>
        <v>377469.8813588316</v>
      </c>
      <c r="L26" s="31">
        <f t="shared" si="16"/>
        <v>415216.86949471477</v>
      </c>
      <c r="M26" s="31">
        <f t="shared" si="16"/>
        <v>456738.55644418631</v>
      </c>
      <c r="N26" s="29"/>
      <c r="O26" s="29"/>
      <c r="P26" s="29"/>
      <c r="Q26" s="29"/>
      <c r="R26" s="29"/>
      <c r="S26" s="29"/>
      <c r="T26" s="29"/>
      <c r="U26" s="29"/>
      <c r="V26" s="29"/>
      <c r="W26" s="29"/>
      <c r="X26" s="29"/>
      <c r="Y26" s="29"/>
      <c r="Z26" s="29"/>
      <c r="AA26" s="29"/>
    </row>
    <row r="27" spans="1:27" ht="17.25" customHeight="1" x14ac:dyDescent="0.25">
      <c r="A27" s="26"/>
      <c r="B27" s="34" t="s">
        <v>77</v>
      </c>
      <c r="C27" s="34" t="s">
        <v>78</v>
      </c>
      <c r="D27" s="35">
        <f>15000/3.4528</f>
        <v>4344.3002780352181</v>
      </c>
      <c r="E27" s="35">
        <f>309192/3.4528</f>
        <v>89548.192771084345</v>
      </c>
      <c r="F27" s="74">
        <f>F64*F6</f>
        <v>144608.37135403921</v>
      </c>
      <c r="G27" s="74">
        <f t="shared" ref="G27:M27" si="17">G64*G6</f>
        <v>189065.80583963511</v>
      </c>
      <c r="H27" s="74">
        <f t="shared" si="17"/>
        <v>283598.70875945268</v>
      </c>
      <c r="I27" s="74">
        <f t="shared" si="17"/>
        <v>311958.57963539794</v>
      </c>
      <c r="J27" s="74">
        <f t="shared" si="17"/>
        <v>343154.43759893777</v>
      </c>
      <c r="K27" s="74">
        <f t="shared" si="17"/>
        <v>377469.8813588316</v>
      </c>
      <c r="L27" s="74">
        <f t="shared" si="17"/>
        <v>415216.86949471477</v>
      </c>
      <c r="M27" s="74">
        <f t="shared" si="17"/>
        <v>456738.55644418631</v>
      </c>
      <c r="N27" s="26"/>
      <c r="O27" s="26"/>
      <c r="P27" s="26"/>
      <c r="Q27" s="26"/>
      <c r="R27" s="26"/>
      <c r="S27" s="26"/>
      <c r="T27" s="26"/>
      <c r="U27" s="26"/>
      <c r="V27" s="26"/>
      <c r="W27" s="26"/>
      <c r="X27" s="26"/>
      <c r="Y27" s="26"/>
      <c r="Z27" s="26"/>
      <c r="AA27" s="26"/>
    </row>
    <row r="28" spans="1:27" ht="17.25" customHeight="1" x14ac:dyDescent="0.25">
      <c r="A28" s="26"/>
      <c r="B28" s="34" t="s">
        <v>79</v>
      </c>
      <c r="C28" s="34" t="s">
        <v>80</v>
      </c>
      <c r="D28" s="35"/>
      <c r="E28" s="35"/>
      <c r="F28" s="74"/>
      <c r="G28" s="74"/>
      <c r="H28" s="74"/>
      <c r="I28" s="74"/>
      <c r="J28" s="74"/>
      <c r="K28" s="74"/>
      <c r="L28" s="74"/>
      <c r="M28" s="74"/>
      <c r="N28" s="26"/>
      <c r="O28" s="26"/>
      <c r="P28" s="26"/>
      <c r="Q28" s="26"/>
      <c r="R28" s="26"/>
      <c r="S28" s="26"/>
      <c r="T28" s="26"/>
      <c r="U28" s="26"/>
      <c r="V28" s="26"/>
      <c r="W28" s="26"/>
      <c r="X28" s="26"/>
      <c r="Y28" s="26"/>
      <c r="Z28" s="26"/>
      <c r="AA28" s="26"/>
    </row>
    <row r="29" spans="1:27" ht="17.25" customHeight="1" x14ac:dyDescent="0.25">
      <c r="A29" s="29"/>
      <c r="B29" s="30" t="s">
        <v>81</v>
      </c>
      <c r="C29" s="30" t="s">
        <v>82</v>
      </c>
      <c r="D29" s="31">
        <f>SUM(D30-D31)</f>
        <v>-9701.112140871177</v>
      </c>
      <c r="E29" s="31">
        <f t="shared" ref="E29:M29" si="18">SUM(E30-E31)</f>
        <v>-21799.119555143654</v>
      </c>
      <c r="F29" s="31">
        <f t="shared" si="18"/>
        <v>-34083.063406984831</v>
      </c>
      <c r="G29" s="31">
        <f t="shared" si="18"/>
        <v>-94725.149841038859</v>
      </c>
      <c r="H29" s="31">
        <f t="shared" si="18"/>
        <v>-76837.724761558289</v>
      </c>
      <c r="I29" s="31">
        <f t="shared" si="18"/>
        <v>-60971.497237714109</v>
      </c>
      <c r="J29" s="31">
        <f t="shared" si="18"/>
        <v>-49518.646961485523</v>
      </c>
      <c r="K29" s="31">
        <f t="shared" si="18"/>
        <v>-23470.511657634073</v>
      </c>
      <c r="L29" s="31">
        <f t="shared" si="18"/>
        <v>12682.437176602522</v>
      </c>
      <c r="M29" s="31">
        <f t="shared" si="18"/>
        <v>13950.680894262774</v>
      </c>
      <c r="N29" s="29"/>
      <c r="O29" s="29"/>
      <c r="P29" s="29"/>
      <c r="Q29" s="29"/>
      <c r="R29" s="29"/>
      <c r="S29" s="29"/>
      <c r="T29" s="29"/>
      <c r="U29" s="29"/>
      <c r="V29" s="29"/>
      <c r="W29" s="29"/>
      <c r="X29" s="29"/>
      <c r="Y29" s="29"/>
      <c r="Z29" s="29"/>
      <c r="AA29" s="29"/>
    </row>
    <row r="30" spans="1:27" ht="17.25" customHeight="1" x14ac:dyDescent="0.25">
      <c r="A30" s="26"/>
      <c r="B30" s="34" t="s">
        <v>83</v>
      </c>
      <c r="C30" s="34" t="s">
        <v>78</v>
      </c>
      <c r="D30" s="35">
        <f>11633/3.4528</f>
        <v>3369.1496756255792</v>
      </c>
      <c r="E30" s="35">
        <f>9444/3.4528</f>
        <v>2735.1714550509732</v>
      </c>
      <c r="F30" s="74">
        <f>F67*F6</f>
        <v>4416.9365930151698</v>
      </c>
      <c r="G30" s="74">
        <f t="shared" ref="G30:M30" si="19">G67*G6</f>
        <v>5774.8501589611442</v>
      </c>
      <c r="H30" s="74">
        <f t="shared" si="19"/>
        <v>8662.2752384417163</v>
      </c>
      <c r="I30" s="74">
        <f t="shared" si="19"/>
        <v>9528.5027622858888</v>
      </c>
      <c r="J30" s="74">
        <f t="shared" si="19"/>
        <v>10481.353038514479</v>
      </c>
      <c r="K30" s="74">
        <f t="shared" si="19"/>
        <v>11529.488342365928</v>
      </c>
      <c r="L30" s="74">
        <f t="shared" si="19"/>
        <v>12682.437176602522</v>
      </c>
      <c r="M30" s="74">
        <f t="shared" si="19"/>
        <v>13950.680894262774</v>
      </c>
      <c r="N30" s="26"/>
      <c r="O30" s="26"/>
      <c r="P30" s="26"/>
      <c r="Q30" s="26"/>
      <c r="R30" s="26"/>
      <c r="S30" s="26"/>
      <c r="T30" s="26"/>
      <c r="U30" s="26"/>
      <c r="V30" s="26"/>
      <c r="W30" s="26"/>
      <c r="X30" s="26"/>
      <c r="Y30" s="26"/>
      <c r="Z30" s="26"/>
      <c r="AA30" s="26"/>
    </row>
    <row r="31" spans="1:27" ht="17.25" customHeight="1" x14ac:dyDescent="0.25">
      <c r="A31" s="26"/>
      <c r="B31" s="34" t="s">
        <v>84</v>
      </c>
      <c r="C31" s="34" t="s">
        <v>80</v>
      </c>
      <c r="D31" s="35">
        <f>45129/3.4528</f>
        <v>13070.261816496757</v>
      </c>
      <c r="E31" s="35">
        <f>84712/3.4528</f>
        <v>24534.291010194625</v>
      </c>
      <c r="F31" s="74">
        <f>F85+F87</f>
        <v>38500</v>
      </c>
      <c r="G31" s="74">
        <f t="shared" ref="G31:K31" si="20">G85+G87</f>
        <v>100500</v>
      </c>
      <c r="H31" s="74">
        <f t="shared" si="20"/>
        <v>85500</v>
      </c>
      <c r="I31" s="74">
        <f t="shared" si="20"/>
        <v>70500</v>
      </c>
      <c r="J31" s="74">
        <f t="shared" si="20"/>
        <v>60000</v>
      </c>
      <c r="K31" s="74">
        <f t="shared" si="20"/>
        <v>35000</v>
      </c>
      <c r="L31" s="74">
        <v>0</v>
      </c>
      <c r="M31" s="74">
        <v>0</v>
      </c>
      <c r="N31" s="26"/>
      <c r="O31" s="26"/>
      <c r="P31" s="26"/>
      <c r="Q31" s="26"/>
      <c r="R31" s="26"/>
      <c r="S31" s="26"/>
      <c r="T31" s="26"/>
      <c r="U31" s="26"/>
      <c r="V31" s="26"/>
      <c r="W31" s="26"/>
      <c r="X31" s="26"/>
      <c r="Y31" s="26"/>
      <c r="Z31" s="26"/>
      <c r="AA31" s="26"/>
    </row>
    <row r="32" spans="1:27" ht="17.25" customHeight="1" x14ac:dyDescent="0.25">
      <c r="A32" s="29"/>
      <c r="B32" s="30" t="s">
        <v>85</v>
      </c>
      <c r="C32" s="30" t="s">
        <v>86</v>
      </c>
      <c r="D32" s="33">
        <f t="shared" ref="D32" si="21">SUM(D25+D26+D29)</f>
        <v>342712.18813716405</v>
      </c>
      <c r="E32" s="33">
        <f>SUM(E25+E26+E29)</f>
        <v>427476.07321594073</v>
      </c>
      <c r="F32" s="33">
        <f>SUM(F25+F26+F29)</f>
        <v>691432.91392410256</v>
      </c>
      <c r="G32" s="33">
        <f t="shared" ref="G32:M32" si="22">SUM(G25+G26+G29)</f>
        <v>792707.69901922927</v>
      </c>
      <c r="H32" s="33">
        <f t="shared" si="22"/>
        <v>4096668.9780317014</v>
      </c>
      <c r="I32" s="33">
        <f t="shared" si="22"/>
        <v>4555097.6078459937</v>
      </c>
      <c r="J32" s="33">
        <f t="shared" si="22"/>
        <v>5053390.1006417125</v>
      </c>
      <c r="K32" s="33">
        <f t="shared" si="22"/>
        <v>5615011.8427170068</v>
      </c>
      <c r="L32" s="33">
        <f t="shared" si="22"/>
        <v>6240295.7589998282</v>
      </c>
      <c r="M32" s="33">
        <f t="shared" si="22"/>
        <v>6889608.0669109318</v>
      </c>
      <c r="N32" s="29"/>
      <c r="O32" s="29"/>
      <c r="P32" s="29"/>
      <c r="Q32" s="29"/>
      <c r="R32" s="29"/>
      <c r="S32" s="29"/>
      <c r="T32" s="29"/>
      <c r="U32" s="29"/>
      <c r="V32" s="29"/>
      <c r="W32" s="29"/>
      <c r="X32" s="29"/>
      <c r="Y32" s="29"/>
      <c r="Z32" s="29"/>
      <c r="AA32" s="29"/>
    </row>
    <row r="33" spans="1:27" ht="17.25" customHeight="1" x14ac:dyDescent="0.25">
      <c r="A33" s="29"/>
      <c r="B33" s="30"/>
      <c r="C33" s="30"/>
      <c r="D33" s="33"/>
      <c r="E33" s="33"/>
      <c r="F33" s="73"/>
      <c r="G33" s="73"/>
      <c r="H33" s="73"/>
      <c r="I33" s="73"/>
      <c r="J33" s="73"/>
      <c r="K33" s="73"/>
      <c r="L33" s="73"/>
      <c r="M33" s="73"/>
      <c r="N33" s="29"/>
      <c r="O33" s="29"/>
      <c r="P33" s="29"/>
      <c r="Q33" s="29"/>
      <c r="R33" s="29"/>
      <c r="S33" s="29"/>
      <c r="T33" s="29"/>
      <c r="U33" s="29"/>
      <c r="V33" s="29"/>
      <c r="W33" s="29"/>
      <c r="X33" s="29"/>
      <c r="Y33" s="29"/>
      <c r="Z33" s="29"/>
      <c r="AA33" s="29"/>
    </row>
    <row r="34" spans="1:27" ht="17.25" customHeight="1" x14ac:dyDescent="0.25">
      <c r="A34" s="29"/>
      <c r="B34" s="30" t="s">
        <v>87</v>
      </c>
      <c r="C34" s="30" t="s">
        <v>88</v>
      </c>
      <c r="D34" s="33"/>
      <c r="E34" s="33"/>
      <c r="F34" s="73"/>
      <c r="G34" s="73"/>
      <c r="H34" s="73"/>
      <c r="I34" s="73"/>
      <c r="J34" s="73"/>
      <c r="K34" s="73"/>
      <c r="L34" s="73"/>
      <c r="M34" s="73"/>
      <c r="N34" s="29"/>
      <c r="O34" s="29"/>
      <c r="P34" s="29"/>
      <c r="Q34" s="29"/>
      <c r="R34" s="29"/>
      <c r="S34" s="29"/>
      <c r="T34" s="29"/>
      <c r="U34" s="29"/>
      <c r="V34" s="29"/>
      <c r="W34" s="29"/>
      <c r="X34" s="29"/>
      <c r="Y34" s="29"/>
      <c r="Z34" s="29"/>
      <c r="AA34" s="29"/>
    </row>
    <row r="35" spans="1:27" ht="17.25" customHeight="1" x14ac:dyDescent="0.25">
      <c r="A35" s="29"/>
      <c r="B35" s="30" t="s">
        <v>89</v>
      </c>
      <c r="C35" s="30" t="s">
        <v>90</v>
      </c>
      <c r="D35" s="33">
        <f t="shared" ref="D35" si="23">SUM(D32+D33-D34)</f>
        <v>342712.18813716405</v>
      </c>
      <c r="E35" s="33">
        <f>SUM(E32+E33-E34)</f>
        <v>427476.07321594073</v>
      </c>
      <c r="F35" s="33">
        <f>SUM(F32+F33-F34)</f>
        <v>691432.91392410256</v>
      </c>
      <c r="G35" s="33">
        <f t="shared" ref="G35:M35" si="24">SUM(G32+G33-G34)</f>
        <v>792707.69901922927</v>
      </c>
      <c r="H35" s="33">
        <f t="shared" si="24"/>
        <v>4096668.9780317014</v>
      </c>
      <c r="I35" s="33">
        <f t="shared" si="24"/>
        <v>4555097.6078459937</v>
      </c>
      <c r="J35" s="33">
        <f t="shared" si="24"/>
        <v>5053390.1006417125</v>
      </c>
      <c r="K35" s="33">
        <f t="shared" si="24"/>
        <v>5615011.8427170068</v>
      </c>
      <c r="L35" s="33">
        <f t="shared" si="24"/>
        <v>6240295.7589998282</v>
      </c>
      <c r="M35" s="33">
        <f t="shared" si="24"/>
        <v>6889608.0669109318</v>
      </c>
      <c r="N35" s="29"/>
      <c r="O35" s="29"/>
      <c r="P35" s="29"/>
      <c r="Q35" s="29"/>
      <c r="R35" s="29"/>
      <c r="S35" s="29"/>
      <c r="T35" s="29"/>
      <c r="U35" s="29"/>
      <c r="V35" s="29"/>
      <c r="W35" s="29"/>
      <c r="X35" s="29"/>
      <c r="Y35" s="29"/>
      <c r="Z35" s="29"/>
      <c r="AA35" s="29"/>
    </row>
    <row r="36" spans="1:27" ht="17.25" customHeight="1" x14ac:dyDescent="0.25">
      <c r="A36" s="29"/>
      <c r="B36" s="30" t="s">
        <v>91</v>
      </c>
      <c r="C36" s="30" t="s">
        <v>92</v>
      </c>
      <c r="D36" s="31">
        <v>54291</v>
      </c>
      <c r="E36" s="31">
        <v>62089</v>
      </c>
      <c r="F36" s="73">
        <f>F73*F35</f>
        <v>100429.04478902231</v>
      </c>
      <c r="G36" s="73">
        <f t="shared" ref="G36:M36" si="25">G73*G35</f>
        <v>115138.97502736433</v>
      </c>
      <c r="H36" s="73">
        <f t="shared" si="25"/>
        <v>595031.77241820656</v>
      </c>
      <c r="I36" s="73">
        <f t="shared" si="25"/>
        <v>661617.47938853374</v>
      </c>
      <c r="J36" s="73">
        <f t="shared" si="25"/>
        <v>733993.32102008781</v>
      </c>
      <c r="K36" s="73">
        <f t="shared" si="25"/>
        <v>815567.59084948117</v>
      </c>
      <c r="L36" s="73">
        <f t="shared" si="25"/>
        <v>906388.64545885986</v>
      </c>
      <c r="M36" s="73">
        <f t="shared" si="25"/>
        <v>1000699.7688376721</v>
      </c>
      <c r="N36" s="29"/>
      <c r="O36" s="29"/>
      <c r="P36" s="29"/>
      <c r="Q36" s="29"/>
      <c r="R36" s="29"/>
      <c r="S36" s="29"/>
      <c r="T36" s="29"/>
      <c r="U36" s="29"/>
      <c r="V36" s="29"/>
      <c r="W36" s="29"/>
      <c r="X36" s="29"/>
      <c r="Y36" s="29"/>
      <c r="Z36" s="29"/>
      <c r="AA36" s="29"/>
    </row>
    <row r="37" spans="1:27" ht="17.25" customHeight="1" x14ac:dyDescent="0.25">
      <c r="A37" s="29"/>
      <c r="B37" s="30" t="s">
        <v>93</v>
      </c>
      <c r="C37" s="30" t="s">
        <v>94</v>
      </c>
      <c r="D37" s="31">
        <f t="shared" ref="D37:E37" si="26">D35-D36</f>
        <v>288421.18813716405</v>
      </c>
      <c r="E37" s="31">
        <f t="shared" si="26"/>
        <v>365387.07321594073</v>
      </c>
      <c r="F37" s="73">
        <f>F35-F36</f>
        <v>591003.86913508025</v>
      </c>
      <c r="G37" s="73">
        <f t="shared" ref="G37:M37" si="27">G35-G36</f>
        <v>677568.72399186494</v>
      </c>
      <c r="H37" s="73">
        <f t="shared" si="27"/>
        <v>3501637.2056134949</v>
      </c>
      <c r="I37" s="73">
        <f t="shared" si="27"/>
        <v>3893480.1284574601</v>
      </c>
      <c r="J37" s="73">
        <f t="shared" si="27"/>
        <v>4319396.7796216244</v>
      </c>
      <c r="K37" s="73">
        <f t="shared" si="27"/>
        <v>4799444.2518675253</v>
      </c>
      <c r="L37" s="73">
        <f t="shared" si="27"/>
        <v>5333907.1135409679</v>
      </c>
      <c r="M37" s="73">
        <f t="shared" si="27"/>
        <v>5888908.2980732601</v>
      </c>
      <c r="N37" s="29"/>
      <c r="O37" s="29"/>
      <c r="P37" s="29"/>
      <c r="Q37" s="29"/>
      <c r="R37" s="29"/>
      <c r="S37" s="29"/>
      <c r="T37" s="29"/>
      <c r="U37" s="29"/>
      <c r="V37" s="29"/>
      <c r="W37" s="29"/>
      <c r="X37" s="29"/>
      <c r="Y37" s="29"/>
      <c r="Z37" s="29"/>
      <c r="AA37" s="29"/>
    </row>
    <row r="38" spans="1:27" ht="12.75" customHeight="1" x14ac:dyDescent="0.25">
      <c r="A38" s="26"/>
      <c r="B38" s="26"/>
      <c r="C38" s="26"/>
      <c r="D38" s="36"/>
      <c r="E38" s="36"/>
      <c r="F38" s="26"/>
      <c r="G38" s="26"/>
      <c r="H38" s="26"/>
      <c r="I38" s="26"/>
      <c r="J38" s="26"/>
      <c r="K38" s="26"/>
      <c r="L38" s="26"/>
      <c r="M38" s="26"/>
      <c r="N38" s="26"/>
      <c r="O38" s="26"/>
      <c r="P38" s="26"/>
      <c r="Q38" s="26"/>
      <c r="R38" s="26"/>
      <c r="S38" s="26"/>
      <c r="T38" s="26"/>
      <c r="U38" s="26"/>
      <c r="V38" s="26"/>
      <c r="W38" s="26"/>
      <c r="X38" s="26"/>
      <c r="Y38" s="26"/>
      <c r="Z38" s="26"/>
      <c r="AA38" s="26"/>
    </row>
    <row r="39" spans="1:27" ht="12.75" customHeight="1" x14ac:dyDescent="0.25">
      <c r="A39" s="26"/>
      <c r="B39" s="26"/>
      <c r="C39" s="26"/>
      <c r="D39" s="27">
        <v>0</v>
      </c>
      <c r="E39" s="27">
        <v>0</v>
      </c>
      <c r="F39" s="26"/>
      <c r="G39" s="26"/>
      <c r="H39" s="26"/>
      <c r="I39" s="26"/>
      <c r="J39" s="26"/>
      <c r="K39" s="26"/>
      <c r="L39" s="26"/>
      <c r="M39" s="26"/>
      <c r="N39" s="26"/>
      <c r="O39" s="26"/>
      <c r="P39" s="26"/>
      <c r="Q39" s="26"/>
      <c r="R39" s="26"/>
      <c r="S39" s="26"/>
      <c r="T39" s="26"/>
      <c r="U39" s="26"/>
      <c r="V39" s="26"/>
      <c r="W39" s="26"/>
      <c r="X39" s="26"/>
      <c r="Y39" s="26"/>
      <c r="Z39" s="26"/>
      <c r="AA39" s="26"/>
    </row>
    <row r="40" spans="1:27" ht="12.75" customHeight="1" x14ac:dyDescent="0.25">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row>
    <row r="41" spans="1:27" ht="12.75" customHeight="1" x14ac:dyDescent="0.25">
      <c r="A41" s="26"/>
      <c r="B41" s="26"/>
      <c r="C41" s="175" t="s">
        <v>167</v>
      </c>
      <c r="D41" s="177">
        <v>2016</v>
      </c>
      <c r="E41" s="177">
        <v>2017</v>
      </c>
      <c r="F41" s="166">
        <v>2018</v>
      </c>
      <c r="G41" s="166">
        <v>2019</v>
      </c>
      <c r="H41" s="166">
        <v>2020</v>
      </c>
      <c r="I41" s="166">
        <v>2021</v>
      </c>
      <c r="J41" s="166">
        <v>2022</v>
      </c>
      <c r="K41" s="166">
        <v>2023</v>
      </c>
      <c r="L41" s="166">
        <v>2024</v>
      </c>
      <c r="M41" s="166">
        <v>2025</v>
      </c>
      <c r="N41" s="26"/>
      <c r="O41" s="26"/>
      <c r="P41" s="26"/>
      <c r="Q41" s="26"/>
      <c r="R41" s="26"/>
      <c r="S41" s="26"/>
      <c r="T41" s="26"/>
      <c r="U41" s="26"/>
      <c r="V41" s="26"/>
      <c r="W41" s="26"/>
      <c r="X41" s="26"/>
      <c r="Y41" s="26"/>
      <c r="Z41" s="26"/>
      <c r="AA41" s="26"/>
    </row>
    <row r="42" spans="1:27" ht="25.2" customHeight="1" x14ac:dyDescent="0.25">
      <c r="A42" s="26"/>
      <c r="B42" s="26"/>
      <c r="C42" s="176"/>
      <c r="D42" s="178"/>
      <c r="E42" s="178"/>
      <c r="F42" s="167"/>
      <c r="G42" s="167"/>
      <c r="H42" s="167"/>
      <c r="I42" s="167"/>
      <c r="J42" s="167"/>
      <c r="K42" s="167"/>
      <c r="L42" s="167"/>
      <c r="M42" s="167"/>
      <c r="N42" s="26"/>
      <c r="O42" s="26"/>
      <c r="P42" s="26"/>
      <c r="Q42" s="26"/>
      <c r="R42" s="26"/>
      <c r="S42" s="26"/>
      <c r="T42" s="26"/>
      <c r="U42" s="26"/>
      <c r="V42" s="26"/>
      <c r="W42" s="26"/>
      <c r="X42" s="26"/>
      <c r="Y42" s="26"/>
      <c r="Z42" s="26"/>
      <c r="AA42" s="26"/>
    </row>
    <row r="43" spans="1:27" ht="12.75" customHeight="1" x14ac:dyDescent="0.25">
      <c r="A43" s="26"/>
      <c r="B43" s="26"/>
      <c r="C43" s="47" t="s">
        <v>56</v>
      </c>
      <c r="D43" s="48">
        <v>2714177.4791473583</v>
      </c>
      <c r="E43" s="48">
        <v>4414253.6492122337</v>
      </c>
      <c r="F43" s="69">
        <f>D43/E43</f>
        <v>0.61486667845463061</v>
      </c>
      <c r="G43" s="69">
        <f>F43*0.5</f>
        <v>0.30743333922731531</v>
      </c>
      <c r="H43" s="69">
        <v>0.5</v>
      </c>
      <c r="I43" s="69">
        <v>0.1</v>
      </c>
      <c r="J43" s="69">
        <v>0.1</v>
      </c>
      <c r="K43" s="69">
        <v>0.1</v>
      </c>
      <c r="L43" s="69">
        <v>0.1</v>
      </c>
      <c r="M43" s="69">
        <v>0.1</v>
      </c>
      <c r="N43" s="26"/>
      <c r="O43" s="26"/>
      <c r="P43" s="26"/>
      <c r="Q43" s="26"/>
      <c r="R43" s="26"/>
      <c r="S43" s="26"/>
      <c r="T43" s="26"/>
      <c r="U43" s="26"/>
      <c r="V43" s="26"/>
      <c r="W43" s="26"/>
      <c r="X43" s="26"/>
      <c r="Y43" s="26"/>
      <c r="Z43" s="26"/>
      <c r="AA43" s="26"/>
    </row>
    <row r="44" spans="1:27" ht="12.75" customHeight="1" x14ac:dyDescent="0.25">
      <c r="A44" s="26"/>
      <c r="B44" s="26"/>
      <c r="C44" s="47" t="s">
        <v>58</v>
      </c>
      <c r="D44" s="53">
        <v>998289.53753475449</v>
      </c>
      <c r="E44" s="53">
        <v>1121942.4814643189</v>
      </c>
      <c r="F44" s="70"/>
      <c r="G44" s="70"/>
      <c r="H44" s="70"/>
      <c r="I44" s="70"/>
      <c r="J44" s="70"/>
      <c r="K44" s="70"/>
      <c r="L44" s="70"/>
      <c r="M44" s="70"/>
      <c r="N44" s="26"/>
      <c r="O44" s="26"/>
      <c r="P44" s="26"/>
      <c r="Q44" s="26"/>
      <c r="R44" s="26"/>
      <c r="S44" s="26"/>
      <c r="T44" s="26"/>
      <c r="U44" s="26"/>
      <c r="V44" s="26"/>
      <c r="W44" s="26"/>
      <c r="X44" s="26"/>
      <c r="Y44" s="26"/>
      <c r="Z44" s="26"/>
      <c r="AA44" s="26"/>
    </row>
    <row r="45" spans="1:27" ht="12.75" hidden="1" customHeight="1" x14ac:dyDescent="0.25">
      <c r="A45" s="26"/>
      <c r="B45" s="26"/>
      <c r="C45" s="49" t="s">
        <v>59</v>
      </c>
      <c r="D45" s="50">
        <v>0</v>
      </c>
      <c r="E45" s="50">
        <v>0</v>
      </c>
      <c r="F45" s="71"/>
      <c r="G45" s="71"/>
      <c r="H45" s="71"/>
      <c r="I45" s="71"/>
      <c r="J45" s="71"/>
      <c r="K45" s="71"/>
      <c r="L45" s="71"/>
      <c r="M45" s="71"/>
      <c r="N45" s="26"/>
      <c r="O45" s="26"/>
      <c r="P45" s="26"/>
      <c r="Q45" s="26"/>
      <c r="R45" s="26"/>
      <c r="S45" s="26"/>
      <c r="T45" s="26"/>
      <c r="U45" s="26"/>
      <c r="V45" s="26"/>
      <c r="W45" s="26"/>
      <c r="X45" s="26"/>
      <c r="Y45" s="26"/>
      <c r="Z45" s="26"/>
      <c r="AA45" s="26"/>
    </row>
    <row r="46" spans="1:27" ht="12.75" customHeight="1" x14ac:dyDescent="0.25">
      <c r="A46" s="26"/>
      <c r="B46" s="26"/>
      <c r="C46" s="49" t="str">
        <f>C9 &amp; " as a % of rev"</f>
        <v>Materials (raw materials) as a % of rev</v>
      </c>
      <c r="D46" s="50">
        <v>992551.55236329942</v>
      </c>
      <c r="E46" s="50">
        <v>1076892.6668211308</v>
      </c>
      <c r="F46" s="72">
        <f>$E$46/$E$43</f>
        <v>0.24395803965939128</v>
      </c>
      <c r="G46" s="72">
        <f t="shared" ref="G46:M46" si="28">$E$46/$E$43</f>
        <v>0.24395803965939128</v>
      </c>
      <c r="H46" s="72">
        <f t="shared" si="28"/>
        <v>0.24395803965939128</v>
      </c>
      <c r="I46" s="72">
        <f t="shared" si="28"/>
        <v>0.24395803965939128</v>
      </c>
      <c r="J46" s="72">
        <f t="shared" si="28"/>
        <v>0.24395803965939128</v>
      </c>
      <c r="K46" s="72">
        <f t="shared" si="28"/>
        <v>0.24395803965939128</v>
      </c>
      <c r="L46" s="72">
        <f t="shared" si="28"/>
        <v>0.24395803965939128</v>
      </c>
      <c r="M46" s="72">
        <f t="shared" si="28"/>
        <v>0.24395803965939128</v>
      </c>
      <c r="N46" s="26"/>
      <c r="O46" s="26"/>
      <c r="P46" s="26"/>
      <c r="Q46" s="57"/>
      <c r="R46" s="26"/>
      <c r="S46" s="26"/>
      <c r="T46" s="26"/>
      <c r="U46" s="26"/>
      <c r="V46" s="26"/>
      <c r="W46" s="26"/>
      <c r="X46" s="26"/>
      <c r="Y46" s="26"/>
      <c r="Z46" s="26"/>
      <c r="AA46" s="26"/>
    </row>
    <row r="47" spans="1:27" ht="12.75" customHeight="1" x14ac:dyDescent="0.25">
      <c r="A47" s="26"/>
      <c r="B47" s="26"/>
      <c r="C47" s="49" t="s">
        <v>61</v>
      </c>
      <c r="D47" s="50"/>
      <c r="E47" s="50"/>
      <c r="F47" s="72"/>
      <c r="G47" s="71"/>
      <c r="H47" s="71">
        <f>H80</f>
        <v>14390</v>
      </c>
      <c r="I47" s="71">
        <f t="shared" ref="I47:M47" si="29">I80</f>
        <v>15900</v>
      </c>
      <c r="J47" s="71">
        <f t="shared" si="29"/>
        <v>17540</v>
      </c>
      <c r="K47" s="71">
        <f t="shared" si="29"/>
        <v>19294</v>
      </c>
      <c r="L47" s="71">
        <f t="shared" si="29"/>
        <v>21223.4</v>
      </c>
      <c r="M47" s="71">
        <f t="shared" si="29"/>
        <v>23345.740000000005</v>
      </c>
      <c r="N47" s="110" t="s">
        <v>217</v>
      </c>
      <c r="O47" s="110"/>
      <c r="P47" s="26"/>
      <c r="Q47" s="26"/>
      <c r="R47" s="26"/>
      <c r="S47" s="26"/>
      <c r="T47" s="26"/>
      <c r="U47" s="26"/>
      <c r="V47" s="26"/>
      <c r="W47" s="26"/>
      <c r="X47" s="26"/>
      <c r="Y47" s="26"/>
      <c r="Z47" s="26"/>
      <c r="AA47" s="26"/>
    </row>
    <row r="48" spans="1:27" ht="12.75" customHeight="1" x14ac:dyDescent="0.25">
      <c r="A48" s="26"/>
      <c r="B48" s="26"/>
      <c r="C48" s="49" t="s">
        <v>62</v>
      </c>
      <c r="D48" s="50"/>
      <c r="E48" s="50"/>
      <c r="F48" s="71"/>
      <c r="G48" s="71"/>
      <c r="H48" s="71"/>
      <c r="I48" s="71"/>
      <c r="J48" s="71"/>
      <c r="K48" s="71"/>
      <c r="L48" s="71"/>
      <c r="M48" s="71"/>
      <c r="N48" s="26"/>
      <c r="O48" s="26"/>
      <c r="P48" s="26"/>
      <c r="Q48" s="26"/>
      <c r="R48" s="26"/>
      <c r="S48" s="26"/>
      <c r="T48" s="26"/>
      <c r="U48" s="26"/>
      <c r="V48" s="26"/>
      <c r="W48" s="26"/>
      <c r="X48" s="26"/>
      <c r="Y48" s="26"/>
      <c r="Z48" s="26"/>
      <c r="AA48" s="26"/>
    </row>
    <row r="49" spans="1:27" ht="12.75" customHeight="1" x14ac:dyDescent="0.25">
      <c r="A49" s="26"/>
      <c r="B49" s="26"/>
      <c r="C49" s="49" t="str">
        <f>C12 &amp; " as a % of rev"</f>
        <v>Others as a % of rev</v>
      </c>
      <c r="D49" s="50">
        <v>5737.985171455075</v>
      </c>
      <c r="E49" s="50">
        <v>45049.814643188147</v>
      </c>
      <c r="F49" s="72">
        <f>$E$49/$E$43</f>
        <v>1.0205533760215098E-2</v>
      </c>
      <c r="G49" s="72">
        <f t="shared" ref="G49:M49" si="30">$E$49/$E$43</f>
        <v>1.0205533760215098E-2</v>
      </c>
      <c r="H49" s="72">
        <f t="shared" si="30"/>
        <v>1.0205533760215098E-2</v>
      </c>
      <c r="I49" s="72">
        <f t="shared" si="30"/>
        <v>1.0205533760215098E-2</v>
      </c>
      <c r="J49" s="72">
        <f t="shared" si="30"/>
        <v>1.0205533760215098E-2</v>
      </c>
      <c r="K49" s="72">
        <f t="shared" si="30"/>
        <v>1.0205533760215098E-2</v>
      </c>
      <c r="L49" s="72">
        <f t="shared" si="30"/>
        <v>1.0205533760215098E-2</v>
      </c>
      <c r="M49" s="72">
        <f t="shared" si="30"/>
        <v>1.0205533760215098E-2</v>
      </c>
      <c r="N49" s="26"/>
      <c r="O49" s="26"/>
      <c r="P49" s="26"/>
      <c r="Q49" s="26"/>
      <c r="R49" s="26"/>
      <c r="S49" s="26"/>
      <c r="T49" s="26"/>
      <c r="U49" s="26"/>
      <c r="V49" s="26"/>
      <c r="W49" s="26"/>
      <c r="X49" s="26"/>
      <c r="Y49" s="26"/>
      <c r="Z49" s="26"/>
      <c r="AA49" s="26"/>
    </row>
    <row r="50" spans="1:27" ht="12.75" customHeight="1" x14ac:dyDescent="0.25">
      <c r="A50" s="26"/>
      <c r="B50" s="26"/>
      <c r="C50" s="54" t="s">
        <v>65</v>
      </c>
      <c r="D50" s="55">
        <f>SUM(D43-D44)</f>
        <v>1715887.9416126038</v>
      </c>
      <c r="E50" s="55">
        <f>SUM(E43-E44)</f>
        <v>3292311.1677479148</v>
      </c>
      <c r="F50" s="70"/>
      <c r="G50" s="70"/>
      <c r="H50" s="70"/>
      <c r="I50" s="70"/>
      <c r="J50" s="70"/>
      <c r="K50" s="70"/>
      <c r="L50" s="70"/>
      <c r="M50" s="70"/>
      <c r="N50" s="26"/>
      <c r="O50" s="26"/>
      <c r="P50" s="26"/>
      <c r="Q50" s="26"/>
      <c r="R50" s="26"/>
      <c r="S50" s="26"/>
      <c r="T50" s="26"/>
      <c r="U50" s="26"/>
      <c r="V50" s="26"/>
      <c r="W50" s="26"/>
      <c r="X50" s="26"/>
      <c r="Y50" s="26"/>
      <c r="Z50" s="26"/>
      <c r="AA50" s="26"/>
    </row>
    <row r="51" spans="1:27" ht="12.75" customHeight="1" x14ac:dyDescent="0.25">
      <c r="A51" s="26"/>
      <c r="B51" s="26"/>
      <c r="C51" s="47" t="s">
        <v>67</v>
      </c>
      <c r="D51" s="53">
        <f t="shared" ref="D51:E51" si="31">SUM(D52,D57)</f>
        <v>1367820.0690454128</v>
      </c>
      <c r="E51" s="53">
        <f t="shared" si="31"/>
        <v>2932586.3067655233</v>
      </c>
      <c r="F51" s="70"/>
      <c r="G51" s="70"/>
      <c r="H51" s="70"/>
      <c r="I51" s="70"/>
      <c r="J51" s="70"/>
      <c r="K51" s="70"/>
      <c r="L51" s="70"/>
      <c r="M51" s="70"/>
      <c r="N51" s="26"/>
      <c r="O51" s="26"/>
      <c r="P51" s="26"/>
      <c r="Q51" s="26"/>
      <c r="R51" s="26"/>
      <c r="S51" s="26"/>
      <c r="T51" s="26"/>
      <c r="U51" s="26"/>
      <c r="V51" s="26"/>
      <c r="W51" s="26"/>
      <c r="X51" s="26"/>
      <c r="Y51" s="26"/>
      <c r="Z51" s="26"/>
      <c r="AA51" s="26"/>
    </row>
    <row r="52" spans="1:27" ht="12.75" customHeight="1" x14ac:dyDescent="0.25">
      <c r="A52" s="26"/>
      <c r="B52" s="26"/>
      <c r="C52" s="51" t="s">
        <v>69</v>
      </c>
      <c r="D52" s="56">
        <v>726794.19601482863</v>
      </c>
      <c r="E52" s="56">
        <v>10847.717794253938</v>
      </c>
      <c r="F52" s="71"/>
      <c r="G52" s="71"/>
      <c r="H52" s="71"/>
      <c r="I52" s="71"/>
      <c r="J52" s="71"/>
      <c r="K52" s="71"/>
      <c r="L52" s="71"/>
      <c r="M52" s="71"/>
      <c r="N52" s="26"/>
      <c r="O52" s="26"/>
      <c r="P52" s="26"/>
      <c r="Q52" s="26"/>
      <c r="R52" s="26"/>
      <c r="S52" s="26"/>
      <c r="T52" s="26"/>
      <c r="U52" s="26"/>
      <c r="V52" s="26"/>
      <c r="W52" s="26"/>
      <c r="X52" s="26"/>
      <c r="Y52" s="26"/>
      <c r="Z52" s="26"/>
      <c r="AA52" s="26"/>
    </row>
    <row r="53" spans="1:27" ht="12.75" customHeight="1" x14ac:dyDescent="0.25">
      <c r="A53" s="26"/>
      <c r="B53" s="26"/>
      <c r="C53" s="49" t="s">
        <v>59</v>
      </c>
      <c r="D53" s="50"/>
      <c r="E53" s="50"/>
      <c r="F53" s="71"/>
      <c r="G53" s="71"/>
      <c r="H53" s="71"/>
      <c r="I53" s="71"/>
      <c r="J53" s="71"/>
      <c r="K53" s="71"/>
      <c r="L53" s="71"/>
      <c r="M53" s="71"/>
      <c r="N53" s="26"/>
      <c r="O53" s="26"/>
      <c r="P53" s="26"/>
      <c r="Q53" s="26"/>
      <c r="R53" s="26"/>
      <c r="S53" s="26"/>
      <c r="T53" s="26"/>
      <c r="U53" s="26"/>
      <c r="V53" s="26"/>
      <c r="W53" s="26"/>
      <c r="X53" s="26"/>
      <c r="Y53" s="26"/>
      <c r="Z53" s="26"/>
      <c r="AA53" s="26"/>
    </row>
    <row r="54" spans="1:27" ht="12.75" customHeight="1" x14ac:dyDescent="0.25">
      <c r="A54" s="26"/>
      <c r="B54" s="26"/>
      <c r="C54" s="49" t="s">
        <v>61</v>
      </c>
      <c r="D54" s="50"/>
      <c r="E54" s="50"/>
      <c r="F54" s="71"/>
      <c r="G54" s="71"/>
      <c r="H54" s="71"/>
      <c r="I54" s="71"/>
      <c r="J54" s="71"/>
      <c r="K54" s="71"/>
      <c r="L54" s="71"/>
      <c r="M54" s="71"/>
      <c r="N54" s="26"/>
      <c r="O54" s="26"/>
      <c r="P54" s="26"/>
      <c r="Q54" s="26"/>
      <c r="R54" s="26"/>
      <c r="S54" s="26"/>
      <c r="T54" s="26"/>
      <c r="U54" s="26"/>
      <c r="V54" s="26"/>
      <c r="W54" s="26"/>
      <c r="X54" s="26"/>
      <c r="Y54" s="26"/>
      <c r="Z54" s="26"/>
      <c r="AA54" s="26"/>
    </row>
    <row r="55" spans="1:27" ht="12.75" customHeight="1" x14ac:dyDescent="0.25">
      <c r="A55" s="26"/>
      <c r="B55" s="26"/>
      <c r="C55" s="49" t="s">
        <v>70</v>
      </c>
      <c r="D55" s="50"/>
      <c r="E55" s="50"/>
      <c r="F55" s="71"/>
      <c r="G55" s="71"/>
      <c r="H55" s="71"/>
      <c r="I55" s="71"/>
      <c r="J55" s="71"/>
      <c r="K55" s="71"/>
      <c r="L55" s="71"/>
      <c r="M55" s="71"/>
      <c r="N55" s="26"/>
      <c r="O55" s="26"/>
      <c r="P55" s="26"/>
      <c r="Q55" s="26"/>
      <c r="R55" s="26"/>
      <c r="S55" s="26"/>
      <c r="T55" s="26"/>
      <c r="U55" s="26"/>
      <c r="V55" s="26"/>
      <c r="W55" s="26"/>
      <c r="X55" s="26"/>
      <c r="Y55" s="26"/>
      <c r="Z55" s="26"/>
      <c r="AA55" s="26"/>
    </row>
    <row r="56" spans="1:27" ht="12.75" customHeight="1" x14ac:dyDescent="0.25">
      <c r="A56" s="26"/>
      <c r="B56" s="26"/>
      <c r="C56" s="49" t="str">
        <f>C19 &amp; " as a % of rev"</f>
        <v>Others as a % of rev</v>
      </c>
      <c r="D56" s="50">
        <f t="shared" ref="D56:E56" si="32">D52</f>
        <v>726794.19601482863</v>
      </c>
      <c r="E56" s="50">
        <f t="shared" si="32"/>
        <v>10847.717794253938</v>
      </c>
      <c r="F56" s="75">
        <f>$E$56/$E$43</f>
        <v>2.4574296486541544E-3</v>
      </c>
      <c r="G56" s="75">
        <f t="shared" ref="G56:M56" si="33">$E$56/$E$43</f>
        <v>2.4574296486541544E-3</v>
      </c>
      <c r="H56" s="75">
        <f t="shared" si="33"/>
        <v>2.4574296486541544E-3</v>
      </c>
      <c r="I56" s="75">
        <f t="shared" si="33"/>
        <v>2.4574296486541544E-3</v>
      </c>
      <c r="J56" s="75">
        <f t="shared" si="33"/>
        <v>2.4574296486541544E-3</v>
      </c>
      <c r="K56" s="75">
        <f t="shared" si="33"/>
        <v>2.4574296486541544E-3</v>
      </c>
      <c r="L56" s="75">
        <f t="shared" si="33"/>
        <v>2.4574296486541544E-3</v>
      </c>
      <c r="M56" s="75">
        <f t="shared" si="33"/>
        <v>2.4574296486541544E-3</v>
      </c>
      <c r="N56" s="26"/>
      <c r="O56" s="26"/>
      <c r="P56" s="26"/>
      <c r="Q56" s="26"/>
      <c r="R56" s="26"/>
      <c r="S56" s="26"/>
      <c r="T56" s="26"/>
      <c r="U56" s="26"/>
      <c r="V56" s="26"/>
      <c r="W56" s="26"/>
      <c r="X56" s="26"/>
      <c r="Y56" s="26"/>
      <c r="Z56" s="26"/>
      <c r="AA56" s="26"/>
    </row>
    <row r="57" spans="1:27" ht="12.75" customHeight="1" x14ac:dyDescent="0.25">
      <c r="A57" s="26"/>
      <c r="B57" s="26"/>
      <c r="C57" s="51" t="s">
        <v>72</v>
      </c>
      <c r="D57" s="56">
        <f t="shared" ref="D57:E57" si="34">SUM(D58:D61)</f>
        <v>641025.87303058407</v>
      </c>
      <c r="E57" s="56">
        <f t="shared" si="34"/>
        <v>2921738.5889712693</v>
      </c>
      <c r="F57" s="71"/>
      <c r="G57" s="71"/>
      <c r="H57" s="71"/>
      <c r="I57" s="71"/>
      <c r="J57" s="71"/>
      <c r="K57" s="71"/>
      <c r="L57" s="71"/>
      <c r="M57" s="71"/>
      <c r="N57" s="26"/>
      <c r="O57" s="26"/>
      <c r="P57" s="26"/>
      <c r="Q57" s="26"/>
      <c r="R57" s="26"/>
      <c r="S57" s="26"/>
      <c r="T57" s="26"/>
      <c r="U57" s="26"/>
      <c r="V57" s="26"/>
      <c r="W57" s="26"/>
      <c r="X57" s="26"/>
      <c r="Y57" s="26"/>
      <c r="Z57" s="26"/>
      <c r="AA57" s="26"/>
    </row>
    <row r="58" spans="1:27" ht="12.75" customHeight="1" x14ac:dyDescent="0.25">
      <c r="A58" s="26"/>
      <c r="B58" s="26"/>
      <c r="C58" s="49" t="s">
        <v>59</v>
      </c>
      <c r="D58" s="50">
        <v>140511.17933271549</v>
      </c>
      <c r="E58" s="50">
        <v>203121.81417979611</v>
      </c>
      <c r="F58" s="72">
        <f>$E$58/$E$43</f>
        <v>4.6014984711185584E-2</v>
      </c>
      <c r="G58" s="72">
        <f t="shared" ref="G58:M58" si="35">$E$58/$E$43</f>
        <v>4.6014984711185584E-2</v>
      </c>
      <c r="H58" s="72">
        <f t="shared" si="35"/>
        <v>4.6014984711185584E-2</v>
      </c>
      <c r="I58" s="72">
        <f t="shared" si="35"/>
        <v>4.6014984711185584E-2</v>
      </c>
      <c r="J58" s="72">
        <f t="shared" si="35"/>
        <v>4.6014984711185584E-2</v>
      </c>
      <c r="K58" s="72">
        <f t="shared" si="35"/>
        <v>4.6014984711185584E-2</v>
      </c>
      <c r="L58" s="72">
        <f t="shared" si="35"/>
        <v>4.6014984711185584E-2</v>
      </c>
      <c r="M58" s="72">
        <f t="shared" si="35"/>
        <v>4.6014984711185584E-2</v>
      </c>
      <c r="N58" s="26"/>
      <c r="O58" s="26"/>
      <c r="P58" s="26"/>
      <c r="Q58" s="26"/>
      <c r="R58" s="26"/>
      <c r="S58" s="26"/>
      <c r="T58" s="26"/>
      <c r="U58" s="26"/>
      <c r="V58" s="26"/>
      <c r="W58" s="26"/>
      <c r="X58" s="26"/>
      <c r="Y58" s="26"/>
      <c r="Z58" s="26"/>
      <c r="AA58" s="26"/>
    </row>
    <row r="59" spans="1:27" ht="12.75" customHeight="1" x14ac:dyDescent="0.25">
      <c r="A59" s="26"/>
      <c r="B59" s="26"/>
      <c r="C59" s="49" t="s">
        <v>61</v>
      </c>
      <c r="D59" s="50">
        <v>499966.69369786844</v>
      </c>
      <c r="E59" s="50">
        <v>1368507.0088044486</v>
      </c>
      <c r="F59" s="72">
        <f>$E$59/$E$43</f>
        <v>0.31002002094933351</v>
      </c>
      <c r="G59" s="72">
        <f>$E$59/$E$43</f>
        <v>0.31002002094933351</v>
      </c>
      <c r="H59" s="72">
        <v>0.2</v>
      </c>
      <c r="I59" s="72">
        <v>0.2</v>
      </c>
      <c r="J59" s="72">
        <v>0.2</v>
      </c>
      <c r="K59" s="72">
        <v>0.2</v>
      </c>
      <c r="L59" s="72">
        <v>0.2</v>
      </c>
      <c r="M59" s="72">
        <v>0.2</v>
      </c>
      <c r="N59" s="26"/>
      <c r="O59" s="26"/>
      <c r="P59" s="26"/>
      <c r="Q59" s="26"/>
      <c r="R59" s="26"/>
      <c r="S59" s="26"/>
      <c r="T59" s="26"/>
      <c r="U59" s="26"/>
      <c r="V59" s="26"/>
      <c r="W59" s="26"/>
      <c r="X59" s="26"/>
      <c r="Y59" s="26"/>
      <c r="Z59" s="26"/>
      <c r="AA59" s="26"/>
    </row>
    <row r="60" spans="1:27" ht="12.75" customHeight="1" x14ac:dyDescent="0.25">
      <c r="A60" s="26"/>
      <c r="B60" s="26"/>
      <c r="C60" s="49" t="s">
        <v>70</v>
      </c>
      <c r="D60" s="50"/>
      <c r="E60" s="50"/>
      <c r="F60" s="71"/>
      <c r="G60" s="71"/>
      <c r="H60" s="71"/>
      <c r="I60" s="71"/>
      <c r="J60" s="71"/>
      <c r="K60" s="71"/>
      <c r="L60" s="71"/>
      <c r="M60" s="71"/>
      <c r="N60" s="26"/>
      <c r="O60" s="26"/>
      <c r="P60" s="26"/>
      <c r="Q60" s="26"/>
      <c r="R60" s="26"/>
      <c r="S60" s="26"/>
      <c r="T60" s="26"/>
      <c r="U60" s="26"/>
      <c r="V60" s="26"/>
      <c r="W60" s="26"/>
      <c r="X60" s="26"/>
      <c r="Y60" s="26"/>
      <c r="Z60" s="26"/>
      <c r="AA60" s="26"/>
    </row>
    <row r="61" spans="1:27" ht="12.75" customHeight="1" x14ac:dyDescent="0.25">
      <c r="A61" s="26"/>
      <c r="B61" s="26"/>
      <c r="C61" s="49" t="str">
        <f>C24 &amp; " as a % of rev"</f>
        <v>Others as a % of rev</v>
      </c>
      <c r="D61" s="50">
        <v>548.00000000011642</v>
      </c>
      <c r="E61" s="50">
        <v>1350109.7659870244</v>
      </c>
      <c r="F61" s="72">
        <f>$E$61/$E$43</f>
        <v>0.30585233049033433</v>
      </c>
      <c r="G61" s="72">
        <f t="shared" ref="G61" si="36">$E$61/$E$43</f>
        <v>0.30585233049033433</v>
      </c>
      <c r="H61" s="72">
        <v>0.2</v>
      </c>
      <c r="I61" s="72">
        <v>0.2</v>
      </c>
      <c r="J61" s="72">
        <v>0.2</v>
      </c>
      <c r="K61" s="72">
        <v>0.2</v>
      </c>
      <c r="L61" s="72">
        <v>0.2</v>
      </c>
      <c r="M61" s="72">
        <v>0.2</v>
      </c>
      <c r="N61" s="26"/>
      <c r="O61" s="26"/>
      <c r="P61" s="26"/>
      <c r="Q61" s="26"/>
      <c r="R61" s="26"/>
      <c r="S61" s="26"/>
      <c r="T61" s="26"/>
      <c r="U61" s="26"/>
      <c r="V61" s="26"/>
      <c r="W61" s="26"/>
      <c r="X61" s="26"/>
      <c r="Y61" s="26"/>
      <c r="Z61" s="26"/>
      <c r="AA61" s="26"/>
    </row>
    <row r="62" spans="1:27" ht="12.75" customHeight="1" x14ac:dyDescent="0.25">
      <c r="A62" s="27"/>
      <c r="B62" s="26"/>
      <c r="C62" s="47" t="s">
        <v>74</v>
      </c>
      <c r="D62" s="55">
        <f t="shared" ref="D62:E62" si="37">SUM(D50-D51)</f>
        <v>348067.87256719102</v>
      </c>
      <c r="E62" s="55">
        <f t="shared" si="37"/>
        <v>359724.86098239152</v>
      </c>
      <c r="F62" s="70"/>
      <c r="G62" s="70"/>
      <c r="H62" s="70"/>
      <c r="I62" s="70"/>
      <c r="J62" s="70"/>
      <c r="K62" s="70"/>
      <c r="L62" s="70"/>
      <c r="M62" s="70"/>
      <c r="N62" s="26"/>
      <c r="O62" s="26"/>
      <c r="P62" s="26"/>
      <c r="Q62" s="26"/>
      <c r="R62" s="26"/>
      <c r="S62" s="26"/>
      <c r="T62" s="26"/>
      <c r="U62" s="26"/>
      <c r="V62" s="26"/>
      <c r="W62" s="26"/>
      <c r="X62" s="26"/>
      <c r="Y62" s="26"/>
      <c r="Z62" s="26"/>
      <c r="AA62" s="27"/>
    </row>
    <row r="63" spans="1:27" ht="12.75" customHeight="1" x14ac:dyDescent="0.25">
      <c r="A63" s="26"/>
      <c r="B63" s="26"/>
      <c r="C63" s="47" t="s">
        <v>76</v>
      </c>
      <c r="D63" s="53">
        <f t="shared" ref="D63:E63" si="38">SUM(D64-D65)</f>
        <v>4344.3002780352181</v>
      </c>
      <c r="E63" s="53">
        <f t="shared" si="38"/>
        <v>89548.192771084345</v>
      </c>
      <c r="F63" s="70"/>
      <c r="G63" s="70"/>
      <c r="H63" s="70"/>
      <c r="I63" s="70"/>
      <c r="J63" s="70"/>
      <c r="K63" s="70"/>
      <c r="L63" s="70"/>
      <c r="M63" s="70"/>
      <c r="N63" s="26"/>
      <c r="O63" s="26"/>
      <c r="P63" s="26"/>
      <c r="Q63" s="26"/>
      <c r="R63" s="26"/>
      <c r="S63" s="26"/>
      <c r="T63" s="26"/>
      <c r="U63" s="26"/>
      <c r="V63" s="26"/>
      <c r="W63" s="26"/>
      <c r="X63" s="26"/>
      <c r="Y63" s="26"/>
      <c r="Z63" s="26"/>
      <c r="AA63" s="26"/>
    </row>
    <row r="64" spans="1:27" ht="12.75" customHeight="1" x14ac:dyDescent="0.25">
      <c r="A64" s="26"/>
      <c r="B64" s="26"/>
      <c r="C64" s="51" t="s">
        <v>78</v>
      </c>
      <c r="D64" s="52">
        <f>15000/3.4528</f>
        <v>4344.3002780352181</v>
      </c>
      <c r="E64" s="52">
        <f>309192/3.4528</f>
        <v>89548.192771084345</v>
      </c>
      <c r="F64" s="72">
        <f>$E$64/$E$43</f>
        <v>2.0286145719574832E-2</v>
      </c>
      <c r="G64" s="72">
        <f t="shared" ref="G64:M64" si="39">$E$64/$E$43</f>
        <v>2.0286145719574832E-2</v>
      </c>
      <c r="H64" s="72">
        <f t="shared" si="39"/>
        <v>2.0286145719574832E-2</v>
      </c>
      <c r="I64" s="72">
        <f t="shared" si="39"/>
        <v>2.0286145719574832E-2</v>
      </c>
      <c r="J64" s="72">
        <f t="shared" si="39"/>
        <v>2.0286145719574832E-2</v>
      </c>
      <c r="K64" s="72">
        <f t="shared" si="39"/>
        <v>2.0286145719574832E-2</v>
      </c>
      <c r="L64" s="72">
        <f t="shared" si="39"/>
        <v>2.0286145719574832E-2</v>
      </c>
      <c r="M64" s="72">
        <f t="shared" si="39"/>
        <v>2.0286145719574832E-2</v>
      </c>
      <c r="N64" s="77"/>
      <c r="O64" s="77"/>
      <c r="P64" s="26"/>
      <c r="Q64" s="26"/>
      <c r="R64" s="26"/>
      <c r="S64" s="26"/>
      <c r="T64" s="26"/>
      <c r="U64" s="26"/>
      <c r="V64" s="26"/>
      <c r="W64" s="26"/>
      <c r="X64" s="26"/>
      <c r="Y64" s="26"/>
      <c r="Z64" s="26"/>
      <c r="AA64" s="26"/>
    </row>
    <row r="65" spans="1:27" ht="12.75" customHeight="1" x14ac:dyDescent="0.25">
      <c r="A65" s="26"/>
      <c r="B65" s="26"/>
      <c r="C65" s="51" t="s">
        <v>80</v>
      </c>
      <c r="D65" s="56">
        <v>0</v>
      </c>
      <c r="E65" s="56">
        <v>0</v>
      </c>
      <c r="F65" s="71"/>
      <c r="G65" s="71"/>
      <c r="H65" s="71"/>
      <c r="I65" s="71"/>
      <c r="J65" s="71"/>
      <c r="K65" s="71"/>
      <c r="L65" s="71"/>
      <c r="M65" s="71"/>
      <c r="N65" s="26"/>
      <c r="O65" s="26"/>
      <c r="P65" s="26"/>
      <c r="Q65" s="26"/>
      <c r="R65" s="26"/>
      <c r="S65" s="26"/>
      <c r="T65" s="26"/>
      <c r="U65" s="26"/>
      <c r="V65" s="26"/>
      <c r="W65" s="26"/>
      <c r="X65" s="26"/>
      <c r="Y65" s="26"/>
      <c r="Z65" s="26"/>
      <c r="AA65" s="26"/>
    </row>
    <row r="66" spans="1:27" ht="12.75" customHeight="1" x14ac:dyDescent="0.25">
      <c r="A66" s="26"/>
      <c r="B66" s="26"/>
      <c r="C66" s="47" t="s">
        <v>82</v>
      </c>
      <c r="D66" s="53">
        <f t="shared" ref="D66:E66" si="40">SUM(D67-D68)</f>
        <v>-9701.112140871177</v>
      </c>
      <c r="E66" s="53">
        <f t="shared" si="40"/>
        <v>-21799.119555143654</v>
      </c>
      <c r="F66" s="70"/>
      <c r="G66" s="70"/>
      <c r="H66" s="70"/>
      <c r="I66" s="70"/>
      <c r="J66" s="70"/>
      <c r="K66" s="70"/>
      <c r="L66" s="70"/>
      <c r="M66" s="70"/>
      <c r="N66" s="26"/>
      <c r="O66" s="26"/>
      <c r="P66" s="26"/>
      <c r="Q66" s="26"/>
      <c r="R66" s="26"/>
      <c r="S66" s="26"/>
      <c r="T66" s="26"/>
      <c r="U66" s="26"/>
      <c r="V66" s="26"/>
      <c r="W66" s="26"/>
      <c r="X66" s="26"/>
      <c r="Y66" s="26"/>
      <c r="Z66" s="26"/>
      <c r="AA66" s="26"/>
    </row>
    <row r="67" spans="1:27" ht="12.75" customHeight="1" x14ac:dyDescent="0.25">
      <c r="A67" s="26"/>
      <c r="B67" s="26"/>
      <c r="C67" s="51" t="s">
        <v>78</v>
      </c>
      <c r="D67" s="52">
        <f>11633/3.4528</f>
        <v>3369.1496756255792</v>
      </c>
      <c r="E67" s="52">
        <f>9444/3.4528</f>
        <v>2735.1714550509732</v>
      </c>
      <c r="F67" s="75">
        <f>$E$67/$E$43</f>
        <v>6.1962262987290981E-4</v>
      </c>
      <c r="G67" s="75">
        <f t="shared" ref="G67:M67" si="41">$E$67/$E$43</f>
        <v>6.1962262987290981E-4</v>
      </c>
      <c r="H67" s="75">
        <f t="shared" si="41"/>
        <v>6.1962262987290981E-4</v>
      </c>
      <c r="I67" s="75">
        <f t="shared" si="41"/>
        <v>6.1962262987290981E-4</v>
      </c>
      <c r="J67" s="75">
        <f t="shared" si="41"/>
        <v>6.1962262987290981E-4</v>
      </c>
      <c r="K67" s="75">
        <f t="shared" si="41"/>
        <v>6.1962262987290981E-4</v>
      </c>
      <c r="L67" s="75">
        <f t="shared" si="41"/>
        <v>6.1962262987290981E-4</v>
      </c>
      <c r="M67" s="75">
        <f t="shared" si="41"/>
        <v>6.1962262987290981E-4</v>
      </c>
      <c r="N67" s="26"/>
      <c r="O67" s="26"/>
      <c r="P67" s="26"/>
      <c r="Q67" s="26"/>
      <c r="R67" s="26"/>
      <c r="S67" s="26"/>
      <c r="T67" s="26"/>
      <c r="U67" s="26"/>
      <c r="V67" s="26"/>
      <c r="W67" s="26"/>
      <c r="X67" s="26"/>
      <c r="Y67" s="26"/>
      <c r="Z67" s="26"/>
      <c r="AA67" s="26"/>
    </row>
    <row r="68" spans="1:27" ht="12.75" customHeight="1" x14ac:dyDescent="0.25">
      <c r="A68" s="26"/>
      <c r="B68" s="26"/>
      <c r="C68" s="51" t="s">
        <v>80</v>
      </c>
      <c r="D68" s="52">
        <f>45129/3.4528</f>
        <v>13070.261816496757</v>
      </c>
      <c r="E68" s="52">
        <f>84712/3.4528</f>
        <v>24534.291010194625</v>
      </c>
      <c r="F68" s="71"/>
      <c r="G68" s="71"/>
      <c r="H68" s="71"/>
      <c r="I68" s="71"/>
      <c r="J68" s="71"/>
      <c r="K68" s="71"/>
      <c r="L68" s="71"/>
      <c r="M68" s="71"/>
      <c r="N68" s="26"/>
      <c r="O68" s="26"/>
      <c r="P68" s="26"/>
      <c r="Q68" s="26"/>
      <c r="R68" s="26"/>
      <c r="S68" s="26"/>
      <c r="T68" s="26"/>
      <c r="U68" s="26"/>
      <c r="V68" s="26"/>
      <c r="W68" s="26"/>
      <c r="X68" s="26"/>
      <c r="Y68" s="26"/>
      <c r="Z68" s="26"/>
      <c r="AA68" s="26"/>
    </row>
    <row r="69" spans="1:27" ht="12.75" customHeight="1" x14ac:dyDescent="0.25">
      <c r="A69" s="26"/>
      <c r="B69" s="26"/>
      <c r="C69" s="47" t="s">
        <v>86</v>
      </c>
      <c r="D69" s="55">
        <f t="shared" ref="D69:E69" si="42">SUM(D62+D63+D66)</f>
        <v>342711.06070435507</v>
      </c>
      <c r="E69" s="55">
        <f t="shared" si="42"/>
        <v>427473.93419833225</v>
      </c>
      <c r="F69" s="70"/>
      <c r="G69" s="70"/>
      <c r="H69" s="70"/>
      <c r="I69" s="70"/>
      <c r="J69" s="70"/>
      <c r="K69" s="70"/>
      <c r="L69" s="70"/>
      <c r="M69" s="70"/>
      <c r="N69" s="26"/>
      <c r="O69" s="26"/>
      <c r="P69" s="26"/>
      <c r="Q69" s="26"/>
      <c r="R69" s="26"/>
      <c r="S69" s="26"/>
      <c r="T69" s="26"/>
      <c r="U69" s="26"/>
      <c r="V69" s="26"/>
      <c r="W69" s="26"/>
      <c r="X69" s="26"/>
      <c r="Y69" s="26"/>
      <c r="Z69" s="26"/>
      <c r="AA69" s="26"/>
    </row>
    <row r="70" spans="1:27" ht="12.75" customHeight="1" x14ac:dyDescent="0.25">
      <c r="A70" s="26"/>
      <c r="B70" s="26"/>
      <c r="C70" s="47"/>
      <c r="D70" s="55"/>
      <c r="E70" s="55"/>
      <c r="F70" s="70"/>
      <c r="G70" s="70"/>
      <c r="H70" s="70"/>
      <c r="I70" s="70"/>
      <c r="J70" s="70"/>
      <c r="K70" s="70"/>
      <c r="L70" s="70"/>
      <c r="M70" s="70"/>
      <c r="N70" s="26"/>
      <c r="O70" s="26"/>
      <c r="P70" s="26"/>
      <c r="Q70" s="26"/>
      <c r="R70" s="26"/>
      <c r="S70" s="26"/>
      <c r="T70" s="26"/>
      <c r="U70" s="26"/>
      <c r="V70" s="26"/>
      <c r="W70" s="26"/>
      <c r="X70" s="26"/>
      <c r="Y70" s="26"/>
      <c r="Z70" s="26"/>
      <c r="AA70" s="26"/>
    </row>
    <row r="71" spans="1:27" ht="12.75" customHeight="1" x14ac:dyDescent="0.25">
      <c r="A71" s="26"/>
      <c r="B71" s="26"/>
      <c r="C71" s="47" t="s">
        <v>88</v>
      </c>
      <c r="D71" s="78"/>
      <c r="E71" s="78"/>
      <c r="F71" s="70"/>
      <c r="G71" s="70"/>
      <c r="H71" s="70"/>
      <c r="I71" s="70"/>
      <c r="J71" s="70"/>
      <c r="K71" s="70"/>
      <c r="L71" s="70"/>
      <c r="M71" s="70"/>
      <c r="N71" s="26"/>
      <c r="O71" s="26"/>
      <c r="P71" s="26"/>
      <c r="Q71" s="26"/>
      <c r="R71" s="26"/>
      <c r="S71" s="26"/>
      <c r="T71" s="26"/>
      <c r="U71" s="26"/>
      <c r="V71" s="26"/>
      <c r="W71" s="26"/>
      <c r="X71" s="26"/>
      <c r="Y71" s="26"/>
      <c r="Z71" s="26"/>
      <c r="AA71" s="26"/>
    </row>
    <row r="72" spans="1:27" ht="12.75" customHeight="1" x14ac:dyDescent="0.25">
      <c r="A72" s="26"/>
      <c r="B72" s="26"/>
      <c r="C72" s="47" t="s">
        <v>90</v>
      </c>
      <c r="D72" s="55">
        <f t="shared" ref="D72:E72" si="43">SUM(D69+D70-D71)</f>
        <v>342711.06070435507</v>
      </c>
      <c r="E72" s="55">
        <f t="shared" si="43"/>
        <v>427473.93419833225</v>
      </c>
      <c r="F72" s="70"/>
      <c r="G72" s="70"/>
      <c r="H72" s="70"/>
      <c r="I72" s="70"/>
      <c r="J72" s="70"/>
      <c r="K72" s="70"/>
      <c r="L72" s="70"/>
      <c r="M72" s="70"/>
      <c r="N72" s="26"/>
      <c r="O72" s="26"/>
      <c r="P72" s="26"/>
      <c r="Q72" s="26"/>
      <c r="R72" s="26"/>
      <c r="S72" s="26"/>
      <c r="T72" s="26"/>
      <c r="U72" s="26"/>
      <c r="V72" s="26"/>
      <c r="W72" s="26"/>
      <c r="X72" s="26"/>
      <c r="Y72" s="26"/>
      <c r="Z72" s="26"/>
      <c r="AA72" s="26"/>
    </row>
    <row r="73" spans="1:27" ht="12.75" customHeight="1" x14ac:dyDescent="0.25">
      <c r="A73" s="26"/>
      <c r="B73" s="26"/>
      <c r="C73" s="47" t="s">
        <v>92</v>
      </c>
      <c r="D73" s="78">
        <v>54291.010194624658</v>
      </c>
      <c r="E73" s="78">
        <v>62089.608433734946</v>
      </c>
      <c r="F73" s="69">
        <f>$E$73/$E$72</f>
        <v>0.14524770627284059</v>
      </c>
      <c r="G73" s="69">
        <f t="shared" ref="G73:M73" si="44">$E$73/$E$72</f>
        <v>0.14524770627284059</v>
      </c>
      <c r="H73" s="69">
        <f t="shared" si="44"/>
        <v>0.14524770627284059</v>
      </c>
      <c r="I73" s="69">
        <f t="shared" si="44"/>
        <v>0.14524770627284059</v>
      </c>
      <c r="J73" s="69">
        <f t="shared" si="44"/>
        <v>0.14524770627284059</v>
      </c>
      <c r="K73" s="69">
        <f t="shared" si="44"/>
        <v>0.14524770627284059</v>
      </c>
      <c r="L73" s="69">
        <f t="shared" si="44"/>
        <v>0.14524770627284059</v>
      </c>
      <c r="M73" s="69">
        <f t="shared" si="44"/>
        <v>0.14524770627284059</v>
      </c>
      <c r="N73" s="26"/>
      <c r="O73" s="26"/>
      <c r="P73" s="26"/>
      <c r="Q73" s="26"/>
      <c r="R73" s="26"/>
      <c r="S73" s="26"/>
      <c r="T73" s="26"/>
      <c r="U73" s="26"/>
      <c r="V73" s="26"/>
      <c r="W73" s="26"/>
      <c r="X73" s="26"/>
      <c r="Y73" s="26"/>
      <c r="Z73" s="26"/>
      <c r="AA73" s="26"/>
    </row>
    <row r="74" spans="1:27" ht="12.75" customHeight="1" x14ac:dyDescent="0.25">
      <c r="A74" s="26"/>
      <c r="B74" s="26"/>
      <c r="C74" s="47" t="s">
        <v>94</v>
      </c>
      <c r="D74" s="55">
        <f t="shared" ref="D74:E74" si="45">D72-D73</f>
        <v>288420.05050973041</v>
      </c>
      <c r="E74" s="55">
        <f t="shared" si="45"/>
        <v>365384.32576459728</v>
      </c>
      <c r="F74" s="70"/>
      <c r="G74" s="70"/>
      <c r="H74" s="70"/>
      <c r="I74" s="70"/>
      <c r="J74" s="70"/>
      <c r="K74" s="70"/>
      <c r="L74" s="70"/>
      <c r="M74" s="70"/>
      <c r="N74" s="26"/>
      <c r="O74" s="26"/>
      <c r="P74" s="26"/>
      <c r="Q74" s="26"/>
      <c r="R74" s="26"/>
      <c r="S74" s="26"/>
      <c r="T74" s="26"/>
      <c r="U74" s="26"/>
      <c r="V74" s="26"/>
      <c r="W74" s="26"/>
      <c r="X74" s="26"/>
      <c r="Y74" s="26"/>
      <c r="Z74" s="26"/>
      <c r="AA74" s="26"/>
    </row>
    <row r="75" spans="1:27" ht="12.75" customHeight="1" x14ac:dyDescent="0.25">
      <c r="A75" s="26"/>
      <c r="B75" s="26"/>
      <c r="C75" s="47" t="s">
        <v>245</v>
      </c>
      <c r="D75" s="78">
        <f>(D10+D17+D22)/D77</f>
        <v>637.71173469387759</v>
      </c>
      <c r="E75" s="78">
        <f t="shared" ref="E75:M75" si="46">(E10+E17+E22)/E77</f>
        <v>1613.805424528302</v>
      </c>
      <c r="F75" s="78">
        <f t="shared" si="46"/>
        <v>2371.1974707378317</v>
      </c>
      <c r="G75" s="78">
        <f t="shared" si="46"/>
        <v>2212.3814766378305</v>
      </c>
      <c r="H75" s="78">
        <f t="shared" si="46"/>
        <v>1953.0049637737682</v>
      </c>
      <c r="I75" s="78">
        <f t="shared" si="46"/>
        <v>1944.328652300313</v>
      </c>
      <c r="J75" s="78">
        <f t="shared" si="46"/>
        <v>1938.8146025503124</v>
      </c>
      <c r="K75" s="78">
        <f t="shared" si="46"/>
        <v>1938.8146025503127</v>
      </c>
      <c r="L75" s="78">
        <f t="shared" si="46"/>
        <v>1938.8146025503127</v>
      </c>
      <c r="M75" s="78">
        <f t="shared" si="46"/>
        <v>1938.8146025503127</v>
      </c>
      <c r="N75" s="78"/>
      <c r="O75" s="78"/>
      <c r="P75" s="26"/>
      <c r="Q75" s="26"/>
      <c r="R75" s="26"/>
      <c r="S75" s="26"/>
      <c r="T75" s="26"/>
      <c r="U75" s="26"/>
      <c r="V75" s="26"/>
      <c r="W75" s="26"/>
      <c r="X75" s="26"/>
      <c r="Y75" s="26"/>
      <c r="Z75" s="26"/>
      <c r="AA75" s="26"/>
    </row>
    <row r="76" spans="1:27" ht="25.2" customHeight="1" x14ac:dyDescent="0.25">
      <c r="A76" s="26"/>
      <c r="B76" s="26"/>
      <c r="C76" s="168" t="s">
        <v>173</v>
      </c>
      <c r="D76" s="59">
        <v>2016</v>
      </c>
      <c r="E76" s="59">
        <v>2017</v>
      </c>
      <c r="F76" s="59">
        <v>2018</v>
      </c>
      <c r="G76" s="26">
        <v>2019</v>
      </c>
      <c r="H76" s="66">
        <v>2020</v>
      </c>
      <c r="I76" s="67">
        <v>2021</v>
      </c>
      <c r="J76" s="67">
        <v>2022</v>
      </c>
      <c r="K76" s="68">
        <v>2023</v>
      </c>
      <c r="L76" s="68">
        <v>2024</v>
      </c>
      <c r="M76" s="68">
        <v>2025</v>
      </c>
      <c r="N76" s="26"/>
      <c r="O76" s="26"/>
      <c r="P76" s="26"/>
      <c r="Q76" s="26"/>
      <c r="R76" s="26"/>
      <c r="S76" s="26"/>
      <c r="T76" s="26"/>
      <c r="U76" s="26"/>
      <c r="V76" s="26"/>
      <c r="W76" s="26"/>
      <c r="X76" s="26"/>
      <c r="Y76" s="26"/>
      <c r="Z76" s="26"/>
      <c r="AA76" s="26"/>
    </row>
    <row r="77" spans="1:27" ht="12.75" customHeight="1" x14ac:dyDescent="0.25">
      <c r="A77" s="26"/>
      <c r="B77" s="26"/>
      <c r="C77" s="168"/>
      <c r="D77" s="59">
        <v>784</v>
      </c>
      <c r="E77" s="59">
        <v>848</v>
      </c>
      <c r="F77" s="59">
        <v>932</v>
      </c>
      <c r="G77" s="59">
        <v>1306</v>
      </c>
      <c r="H77" s="59">
        <v>1439</v>
      </c>
      <c r="I77" s="59">
        <v>1590</v>
      </c>
      <c r="J77" s="59">
        <v>1754</v>
      </c>
      <c r="K77" s="64">
        <f>(1+K78)*J77</f>
        <v>1929.4</v>
      </c>
      <c r="L77" s="64">
        <f t="shared" ref="L77:M77" si="47">(1+L78)*K77</f>
        <v>2122.34</v>
      </c>
      <c r="M77" s="64">
        <f t="shared" si="47"/>
        <v>2334.5740000000005</v>
      </c>
      <c r="N77" s="59" t="s">
        <v>168</v>
      </c>
      <c r="P77" s="26"/>
      <c r="Q77" s="26"/>
      <c r="R77" s="26"/>
      <c r="S77" s="26"/>
      <c r="T77" s="26"/>
      <c r="U77" s="26"/>
      <c r="V77" s="26"/>
      <c r="W77" s="26"/>
      <c r="X77" s="26"/>
      <c r="Y77" s="26"/>
      <c r="Z77" s="26"/>
      <c r="AA77" s="26"/>
    </row>
    <row r="78" spans="1:27" ht="12.75" customHeight="1" x14ac:dyDescent="0.25">
      <c r="A78" s="26"/>
      <c r="B78" s="26"/>
      <c r="C78" s="168"/>
      <c r="H78" s="61">
        <f>(I77-H77)/H77</f>
        <v>0.10493398193189715</v>
      </c>
      <c r="I78" s="61">
        <f>(J77-I77)/I77</f>
        <v>0.10314465408805032</v>
      </c>
      <c r="J78" s="61">
        <f>(K77-J77)/J77</f>
        <v>0.10000000000000005</v>
      </c>
      <c r="K78" s="65">
        <v>0.1</v>
      </c>
      <c r="L78" s="65">
        <v>0.1</v>
      </c>
      <c r="M78" s="65">
        <v>0.1</v>
      </c>
      <c r="N78" s="59" t="s">
        <v>172</v>
      </c>
      <c r="P78" s="26"/>
      <c r="Q78" s="26"/>
      <c r="R78" s="26"/>
      <c r="S78" s="26"/>
      <c r="T78" s="26"/>
      <c r="U78" s="26"/>
      <c r="V78" s="26"/>
      <c r="W78" s="26"/>
      <c r="X78" s="26"/>
      <c r="Y78" s="26"/>
      <c r="Z78" s="26"/>
      <c r="AA78" s="26"/>
    </row>
    <row r="79" spans="1:27" ht="12.75" customHeight="1" x14ac:dyDescent="0.25">
      <c r="A79" s="26"/>
      <c r="B79" s="26"/>
      <c r="C79" s="168"/>
      <c r="H79" s="59">
        <v>10</v>
      </c>
      <c r="I79" s="59">
        <v>10</v>
      </c>
      <c r="J79" s="59">
        <v>10</v>
      </c>
      <c r="K79" s="63">
        <v>10</v>
      </c>
      <c r="L79" s="63">
        <v>10</v>
      </c>
      <c r="M79" s="63">
        <v>10</v>
      </c>
      <c r="N79" s="59" t="s">
        <v>169</v>
      </c>
      <c r="P79" s="26"/>
      <c r="Q79" s="26"/>
      <c r="R79" s="26"/>
      <c r="S79" s="26"/>
      <c r="T79" s="26"/>
      <c r="U79" s="26"/>
      <c r="V79" s="26"/>
      <c r="W79" s="26"/>
      <c r="X79" s="26"/>
      <c r="Y79" s="26"/>
      <c r="Z79" s="26"/>
      <c r="AA79" s="26"/>
    </row>
    <row r="80" spans="1:27" ht="12.75" customHeight="1" x14ac:dyDescent="0.25">
      <c r="A80" s="26"/>
      <c r="B80" s="26"/>
      <c r="C80" s="168"/>
      <c r="H80" s="60">
        <f>H79*H77</f>
        <v>14390</v>
      </c>
      <c r="I80" s="60">
        <f t="shared" ref="I80:M80" si="48">I79*I77</f>
        <v>15900</v>
      </c>
      <c r="J80" s="60">
        <f t="shared" si="48"/>
        <v>17540</v>
      </c>
      <c r="K80" s="64">
        <f t="shared" si="48"/>
        <v>19294</v>
      </c>
      <c r="L80" s="64">
        <f t="shared" si="48"/>
        <v>21223.4</v>
      </c>
      <c r="M80" s="64">
        <f t="shared" si="48"/>
        <v>23345.740000000005</v>
      </c>
      <c r="N80" s="59" t="s">
        <v>170</v>
      </c>
      <c r="P80" s="26"/>
      <c r="Q80" s="26"/>
      <c r="R80" s="26"/>
      <c r="S80" s="26"/>
      <c r="T80" s="26"/>
      <c r="U80" s="26"/>
      <c r="V80" s="26"/>
      <c r="W80" s="26"/>
      <c r="X80" s="26"/>
      <c r="Y80" s="26"/>
      <c r="Z80" s="26"/>
      <c r="AA80" s="26"/>
    </row>
    <row r="81" spans="1:27" ht="12.75" customHeight="1" x14ac:dyDescent="0.25">
      <c r="A81" s="26"/>
      <c r="B81" s="26"/>
      <c r="C81" s="168"/>
      <c r="J81" s="26"/>
      <c r="K81" s="62" t="s">
        <v>171</v>
      </c>
      <c r="L81" s="26"/>
      <c r="M81" s="26"/>
      <c r="N81" s="26"/>
      <c r="O81" s="26"/>
      <c r="P81" s="26"/>
      <c r="Q81" s="26"/>
      <c r="R81" s="26"/>
      <c r="S81" s="26"/>
      <c r="T81" s="26"/>
      <c r="U81" s="26"/>
      <c r="V81" s="26"/>
      <c r="W81" s="26"/>
      <c r="X81" s="26"/>
      <c r="Y81" s="26"/>
      <c r="Z81" s="26"/>
      <c r="AA81" s="26"/>
    </row>
    <row r="82" spans="1:27" ht="12.75" customHeight="1" x14ac:dyDescent="0.25">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row>
    <row r="83" spans="1:27" ht="12.75" customHeight="1" x14ac:dyDescent="0.25">
      <c r="A83" s="26"/>
      <c r="B83" s="26"/>
      <c r="C83" s="26"/>
      <c r="D83" s="26"/>
      <c r="E83" s="26"/>
      <c r="F83" s="66">
        <v>2018</v>
      </c>
      <c r="G83" s="66">
        <v>2019</v>
      </c>
      <c r="H83" s="66">
        <v>2020</v>
      </c>
      <c r="I83" s="67">
        <v>2021</v>
      </c>
      <c r="J83" s="67">
        <v>2022</v>
      </c>
      <c r="K83" s="79">
        <v>2023</v>
      </c>
      <c r="L83" s="79">
        <v>2024</v>
      </c>
      <c r="M83" s="79">
        <v>2025</v>
      </c>
      <c r="N83" s="26"/>
      <c r="O83" s="26"/>
      <c r="P83" s="26"/>
      <c r="Q83" s="26"/>
      <c r="R83" s="26"/>
      <c r="S83" s="26"/>
      <c r="T83" s="26"/>
      <c r="U83" s="26"/>
      <c r="V83" s="26"/>
      <c r="W83" s="26"/>
      <c r="X83" s="26"/>
      <c r="Y83" s="26"/>
      <c r="Z83" s="26"/>
      <c r="AA83" s="26"/>
    </row>
    <row r="84" spans="1:27" ht="12.75" customHeight="1" x14ac:dyDescent="0.25">
      <c r="A84" s="26"/>
      <c r="B84" s="26"/>
      <c r="C84" s="169" t="s">
        <v>176</v>
      </c>
      <c r="D84" s="26" t="s">
        <v>47</v>
      </c>
      <c r="F84" s="35">
        <f>Invesment!D11</f>
        <v>500000</v>
      </c>
      <c r="G84" s="35">
        <f>F84+Invesment!E11</f>
        <v>1200000</v>
      </c>
      <c r="H84" s="35">
        <f>G84</f>
        <v>1200000</v>
      </c>
      <c r="I84" s="35">
        <f>H84</f>
        <v>1200000</v>
      </c>
      <c r="J84" s="35">
        <f>I84</f>
        <v>1200000</v>
      </c>
      <c r="K84" s="35">
        <f>J84-F84</f>
        <v>700000</v>
      </c>
      <c r="L84" s="35">
        <f>K84-Invesment!E11</f>
        <v>0</v>
      </c>
      <c r="M84" s="35">
        <f>L84-Invesment!F11</f>
        <v>0</v>
      </c>
      <c r="N84" s="26"/>
      <c r="O84" s="26"/>
      <c r="P84" s="26"/>
      <c r="Q84" s="26"/>
      <c r="R84" s="26"/>
      <c r="S84" s="26"/>
      <c r="T84" s="26"/>
      <c r="U84" s="26"/>
      <c r="V84" s="26"/>
      <c r="W84" s="26"/>
      <c r="X84" s="26"/>
      <c r="Y84" s="26"/>
      <c r="Z84" s="26"/>
      <c r="AA84" s="26"/>
    </row>
    <row r="85" spans="1:27" ht="12.75" customHeight="1" x14ac:dyDescent="0.25">
      <c r="A85" s="26"/>
      <c r="B85" s="26"/>
      <c r="C85" s="169"/>
      <c r="D85" s="26" t="s">
        <v>174</v>
      </c>
      <c r="F85" s="35">
        <f>F84*$N$85</f>
        <v>25000</v>
      </c>
      <c r="G85" s="35">
        <f t="shared" ref="G85:M85" si="49">G84*$N$85</f>
        <v>60000</v>
      </c>
      <c r="H85" s="35">
        <f t="shared" si="49"/>
        <v>60000</v>
      </c>
      <c r="I85" s="35">
        <f t="shared" si="49"/>
        <v>60000</v>
      </c>
      <c r="J85" s="35">
        <f t="shared" si="49"/>
        <v>60000</v>
      </c>
      <c r="K85" s="35">
        <f t="shared" si="49"/>
        <v>35000</v>
      </c>
      <c r="L85" s="35">
        <f t="shared" si="49"/>
        <v>0</v>
      </c>
      <c r="M85" s="35">
        <f t="shared" si="49"/>
        <v>0</v>
      </c>
      <c r="N85" s="76">
        <v>0.05</v>
      </c>
      <c r="O85" s="76"/>
      <c r="P85" s="26"/>
      <c r="Q85" s="26"/>
      <c r="R85" s="26"/>
      <c r="S85" s="26"/>
      <c r="T85" s="26"/>
      <c r="U85" s="26"/>
      <c r="V85" s="26"/>
      <c r="W85" s="26"/>
      <c r="X85" s="26"/>
      <c r="Y85" s="26"/>
      <c r="Z85" s="26"/>
      <c r="AA85" s="26"/>
    </row>
    <row r="86" spans="1:27" ht="12.75" customHeight="1" x14ac:dyDescent="0.25">
      <c r="A86" s="26"/>
      <c r="B86" s="26"/>
      <c r="C86" s="169"/>
      <c r="D86" s="26" t="s">
        <v>50</v>
      </c>
      <c r="F86" s="35">
        <f>Invesment!D13</f>
        <v>450000</v>
      </c>
      <c r="G86" s="35">
        <f>F86*2/3+Invesment!E13</f>
        <v>1350000</v>
      </c>
      <c r="H86" s="35">
        <f>Invesment!D13*1/3+Invesment!E13*2/3</f>
        <v>850000</v>
      </c>
      <c r="I86" s="35">
        <f>Invesment!E13*1/3</f>
        <v>350000</v>
      </c>
      <c r="J86" s="35">
        <v>0</v>
      </c>
      <c r="K86" s="35">
        <v>0</v>
      </c>
      <c r="L86" s="35">
        <v>0</v>
      </c>
      <c r="M86" s="35">
        <v>0</v>
      </c>
      <c r="N86" s="26"/>
      <c r="O86" s="26"/>
      <c r="P86" s="26"/>
      <c r="Q86" s="26"/>
      <c r="R86" s="26"/>
      <c r="S86" s="26"/>
      <c r="T86" s="26"/>
      <c r="U86" s="26"/>
      <c r="V86" s="26"/>
      <c r="W86" s="26"/>
      <c r="X86" s="26"/>
      <c r="Y86" s="26"/>
      <c r="Z86" s="26"/>
      <c r="AA86" s="26"/>
    </row>
    <row r="87" spans="1:27" ht="12.75" customHeight="1" x14ac:dyDescent="0.25">
      <c r="A87" s="26"/>
      <c r="B87" s="26"/>
      <c r="C87" s="169"/>
      <c r="D87" s="26" t="s">
        <v>175</v>
      </c>
      <c r="F87" s="35">
        <f>F86*$N$87</f>
        <v>13500</v>
      </c>
      <c r="G87" s="35">
        <f t="shared" ref="G87:M87" si="50">G86*$N$87</f>
        <v>40500</v>
      </c>
      <c r="H87" s="35">
        <f t="shared" si="50"/>
        <v>25500</v>
      </c>
      <c r="I87" s="35">
        <f t="shared" si="50"/>
        <v>10500</v>
      </c>
      <c r="J87" s="35">
        <f t="shared" si="50"/>
        <v>0</v>
      </c>
      <c r="K87" s="35">
        <f t="shared" si="50"/>
        <v>0</v>
      </c>
      <c r="L87" s="35">
        <f t="shared" si="50"/>
        <v>0</v>
      </c>
      <c r="M87" s="35">
        <f t="shared" si="50"/>
        <v>0</v>
      </c>
      <c r="N87" s="76">
        <v>0.03</v>
      </c>
      <c r="O87" s="76"/>
      <c r="P87" s="26"/>
      <c r="Q87" s="26"/>
      <c r="R87" s="26"/>
      <c r="S87" s="26"/>
      <c r="T87" s="26"/>
      <c r="U87" s="26"/>
      <c r="V87" s="26"/>
      <c r="W87" s="26"/>
      <c r="X87" s="26"/>
      <c r="Y87" s="26"/>
      <c r="Z87" s="26"/>
      <c r="AA87" s="26"/>
    </row>
    <row r="88" spans="1:27" ht="12.75" customHeight="1" x14ac:dyDescent="0.25">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row>
    <row r="89" spans="1:27" ht="12.75" customHeight="1" x14ac:dyDescent="0.25">
      <c r="A89" s="26"/>
      <c r="B89" s="26"/>
      <c r="C89" s="26"/>
      <c r="D89" s="165" t="s">
        <v>184</v>
      </c>
      <c r="E89" s="26"/>
      <c r="F89" s="66">
        <v>2018</v>
      </c>
      <c r="G89" s="66">
        <v>2019</v>
      </c>
      <c r="H89" s="66">
        <v>2020</v>
      </c>
      <c r="I89" s="67">
        <v>2021</v>
      </c>
      <c r="J89" s="67">
        <v>2022</v>
      </c>
      <c r="K89" s="79">
        <v>2023</v>
      </c>
      <c r="L89" s="79">
        <v>2024</v>
      </c>
      <c r="M89" s="79">
        <v>2025</v>
      </c>
      <c r="N89" s="26" t="s">
        <v>179</v>
      </c>
      <c r="O89" s="26"/>
      <c r="P89" s="26" t="s">
        <v>182</v>
      </c>
      <c r="Q89" s="26" t="s">
        <v>183</v>
      </c>
      <c r="R89" s="26"/>
      <c r="S89" s="26"/>
      <c r="T89" s="26"/>
      <c r="U89" s="26"/>
      <c r="V89" s="26"/>
      <c r="W89" s="26"/>
      <c r="X89" s="26"/>
      <c r="Y89" s="26"/>
      <c r="Z89" s="26"/>
      <c r="AA89" s="26"/>
    </row>
    <row r="90" spans="1:27" ht="12.75" customHeight="1" x14ac:dyDescent="0.25">
      <c r="A90" s="26"/>
      <c r="B90" s="26"/>
      <c r="C90" s="26"/>
      <c r="D90" s="165"/>
      <c r="E90" s="26" t="s">
        <v>177</v>
      </c>
      <c r="F90" s="35">
        <f>Invesment!D5</f>
        <v>611309.28044485638</v>
      </c>
      <c r="G90" s="35">
        <f>F90+Invesment!E5-G91</f>
        <v>1467142.2730676553</v>
      </c>
      <c r="H90" s="35">
        <f t="shared" ref="H90:M90" si="51">G90-H91</f>
        <v>1314314.9529564411</v>
      </c>
      <c r="I90" s="35">
        <f t="shared" si="51"/>
        <v>1161487.6328452269</v>
      </c>
      <c r="J90" s="35">
        <f t="shared" si="51"/>
        <v>1008660.3127340128</v>
      </c>
      <c r="K90" s="35">
        <f t="shared" si="51"/>
        <v>855832.99262279877</v>
      </c>
      <c r="L90" s="35">
        <f t="shared" si="51"/>
        <v>703005.67251158471</v>
      </c>
      <c r="M90" s="35">
        <f t="shared" si="51"/>
        <v>550178.35240037064</v>
      </c>
      <c r="N90" s="26">
        <v>10</v>
      </c>
      <c r="O90" s="26"/>
      <c r="P90" s="74">
        <f>Invesment!D5/'Income Statement - FACTORY'!N90</f>
        <v>61130.928044485641</v>
      </c>
      <c r="Q90" s="74">
        <f>Invesment!E5/'Income Statement - FACTORY'!N90</f>
        <v>91696.392066728455</v>
      </c>
      <c r="R90" s="26"/>
      <c r="S90" s="26"/>
      <c r="T90" s="26"/>
      <c r="U90" s="26"/>
      <c r="V90" s="26"/>
      <c r="W90" s="26"/>
      <c r="X90" s="26"/>
      <c r="Y90" s="26"/>
      <c r="Z90" s="26"/>
      <c r="AA90" s="26"/>
    </row>
    <row r="91" spans="1:27" ht="12.75" customHeight="1" x14ac:dyDescent="0.25">
      <c r="A91" s="26"/>
      <c r="B91" s="26"/>
      <c r="C91" s="26"/>
      <c r="D91" s="165"/>
      <c r="E91" s="26" t="s">
        <v>180</v>
      </c>
      <c r="F91" s="35"/>
      <c r="G91" s="35">
        <f>P90</f>
        <v>61130.928044485641</v>
      </c>
      <c r="H91" s="74">
        <f>$P$90+$Q$90</f>
        <v>152827.3201112141</v>
      </c>
      <c r="I91" s="74">
        <f t="shared" ref="I91:M91" si="52">$P$90+$Q$90</f>
        <v>152827.3201112141</v>
      </c>
      <c r="J91" s="74">
        <f t="shared" si="52"/>
        <v>152827.3201112141</v>
      </c>
      <c r="K91" s="74">
        <f t="shared" si="52"/>
        <v>152827.3201112141</v>
      </c>
      <c r="L91" s="74">
        <f t="shared" si="52"/>
        <v>152827.3201112141</v>
      </c>
      <c r="M91" s="74">
        <f t="shared" si="52"/>
        <v>152827.3201112141</v>
      </c>
      <c r="N91" s="26"/>
      <c r="O91" s="26"/>
      <c r="P91" s="26"/>
      <c r="Q91" s="26"/>
      <c r="R91" s="26"/>
      <c r="S91" s="26"/>
      <c r="T91" s="26"/>
      <c r="U91" s="26"/>
      <c r="V91" s="26"/>
      <c r="W91" s="26"/>
      <c r="X91" s="26"/>
      <c r="Y91" s="26"/>
      <c r="Z91" s="26"/>
      <c r="AA91" s="26"/>
    </row>
    <row r="92" spans="1:27" ht="12.75" customHeight="1" x14ac:dyDescent="0.25">
      <c r="A92" s="26"/>
      <c r="B92" s="26"/>
      <c r="C92" s="26"/>
      <c r="D92" s="165"/>
      <c r="E92" s="26"/>
      <c r="F92" s="35"/>
      <c r="G92" s="35"/>
      <c r="H92" s="36"/>
      <c r="I92" s="36"/>
      <c r="J92" s="36"/>
      <c r="K92" s="36"/>
      <c r="L92" s="36"/>
      <c r="M92" s="36"/>
      <c r="R92" s="26"/>
      <c r="S92" s="26"/>
      <c r="T92" s="26"/>
      <c r="U92" s="26"/>
      <c r="V92" s="26"/>
      <c r="W92" s="26"/>
      <c r="X92" s="26"/>
      <c r="Y92" s="26"/>
      <c r="Z92" s="26"/>
      <c r="AA92" s="26"/>
    </row>
    <row r="93" spans="1:27" ht="12.75" customHeight="1" x14ac:dyDescent="0.25">
      <c r="A93" s="26"/>
      <c r="B93" s="26"/>
      <c r="C93" s="26"/>
      <c r="D93" s="165"/>
      <c r="E93" s="26" t="s">
        <v>178</v>
      </c>
      <c r="F93" s="26"/>
      <c r="G93" s="35">
        <f>Invesment!E6</f>
        <v>3000000</v>
      </c>
      <c r="H93" s="35">
        <f>G93-H94</f>
        <v>2900000</v>
      </c>
      <c r="I93" s="35">
        <f t="shared" ref="I93:M93" si="53">H93-I94</f>
        <v>2800000</v>
      </c>
      <c r="J93" s="35">
        <f t="shared" si="53"/>
        <v>2700000</v>
      </c>
      <c r="K93" s="35">
        <f t="shared" si="53"/>
        <v>2600000</v>
      </c>
      <c r="L93" s="35">
        <f t="shared" si="53"/>
        <v>2500000</v>
      </c>
      <c r="M93" s="35">
        <f t="shared" si="53"/>
        <v>2400000</v>
      </c>
      <c r="N93" s="26">
        <v>30</v>
      </c>
      <c r="O93" s="26"/>
      <c r="P93" s="26"/>
      <c r="Q93" s="26">
        <f>Invesment!E6/'Income Statement - FACTORY'!N93</f>
        <v>100000</v>
      </c>
      <c r="R93" s="26"/>
      <c r="S93" s="26"/>
      <c r="T93" s="26"/>
      <c r="U93" s="26"/>
      <c r="V93" s="26"/>
      <c r="W93" s="26"/>
      <c r="X93" s="26"/>
      <c r="Y93" s="26"/>
      <c r="Z93" s="26"/>
      <c r="AA93" s="26"/>
    </row>
    <row r="94" spans="1:27" ht="12.75" customHeight="1" x14ac:dyDescent="0.25">
      <c r="A94" s="26"/>
      <c r="B94" s="26"/>
      <c r="C94" s="26"/>
      <c r="D94" s="165"/>
      <c r="E94" s="26" t="s">
        <v>181</v>
      </c>
      <c r="F94" s="26"/>
      <c r="G94" s="26"/>
      <c r="H94" s="74">
        <f>$Q$93</f>
        <v>100000</v>
      </c>
      <c r="I94" s="74">
        <f t="shared" ref="I94:M94" si="54">$Q$93</f>
        <v>100000</v>
      </c>
      <c r="J94" s="74">
        <f t="shared" si="54"/>
        <v>100000</v>
      </c>
      <c r="K94" s="74">
        <f t="shared" si="54"/>
        <v>100000</v>
      </c>
      <c r="L94" s="74">
        <f t="shared" si="54"/>
        <v>100000</v>
      </c>
      <c r="M94" s="74">
        <f t="shared" si="54"/>
        <v>100000</v>
      </c>
      <c r="N94" s="26"/>
      <c r="O94" s="26"/>
      <c r="P94" s="26"/>
      <c r="Q94" s="26"/>
      <c r="R94" s="26"/>
      <c r="S94" s="26"/>
      <c r="T94" s="26"/>
      <c r="U94" s="26"/>
      <c r="V94" s="26"/>
      <c r="W94" s="26"/>
      <c r="X94" s="26"/>
      <c r="Y94" s="26"/>
      <c r="Z94" s="26"/>
      <c r="AA94" s="26"/>
    </row>
    <row r="95" spans="1:27" ht="12.75" customHeight="1" x14ac:dyDescent="0.2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row>
    <row r="96" spans="1:27" ht="12.75" customHeight="1" x14ac:dyDescent="0.25">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row>
    <row r="97" spans="1:27" ht="12.75" customHeight="1" x14ac:dyDescent="0.25">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row>
    <row r="98" spans="1:27" ht="12.75" customHeight="1" x14ac:dyDescent="0.25">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row>
    <row r="99" spans="1:27" ht="12.75" customHeight="1" x14ac:dyDescent="0.25">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row>
    <row r="100" spans="1:27" ht="12.75" customHeight="1" x14ac:dyDescent="0.2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row>
    <row r="101" spans="1:27" ht="12.75" customHeight="1" x14ac:dyDescent="0.2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row>
    <row r="102" spans="1:27" ht="12.75" customHeight="1" x14ac:dyDescent="0.2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row>
    <row r="103" spans="1:27" ht="12.75" customHeight="1" x14ac:dyDescent="0.25">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row>
    <row r="104" spans="1:27" ht="12.75" customHeight="1" x14ac:dyDescent="0.25">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row>
    <row r="105" spans="1:27" ht="12.75" customHeight="1" x14ac:dyDescent="0.2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row>
    <row r="106" spans="1:27" ht="12.75" customHeight="1" x14ac:dyDescent="0.25">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row>
    <row r="107" spans="1:27" ht="12.75" customHeight="1" x14ac:dyDescent="0.25">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row>
    <row r="108" spans="1:27" ht="12.75" customHeight="1" x14ac:dyDescent="0.25">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row>
    <row r="109" spans="1:27" ht="12.75" customHeight="1" x14ac:dyDescent="0.25">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row>
    <row r="110" spans="1:27" ht="12.75" customHeight="1" x14ac:dyDescent="0.25">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row>
    <row r="111" spans="1:27" ht="12.75" customHeight="1" x14ac:dyDescent="0.2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row>
    <row r="112" spans="1:27" ht="12.75" customHeight="1" x14ac:dyDescent="0.25">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row>
    <row r="113" spans="1:27" ht="12.75" customHeight="1" x14ac:dyDescent="0.2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row>
    <row r="114" spans="1:27" ht="12.75" customHeight="1" x14ac:dyDescent="0.25">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row>
    <row r="115" spans="1:27" ht="12.75" customHeight="1" x14ac:dyDescent="0.2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row>
    <row r="116" spans="1:27" ht="12.75" customHeight="1" x14ac:dyDescent="0.25">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row>
    <row r="117" spans="1:27" ht="12.75" customHeight="1" x14ac:dyDescent="0.25">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row>
    <row r="118" spans="1:27" ht="12.75" customHeight="1" x14ac:dyDescent="0.25">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row>
    <row r="119" spans="1:27" ht="12.75" customHeight="1" x14ac:dyDescent="0.25">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row>
    <row r="120" spans="1:27" ht="12.75" customHeight="1" x14ac:dyDescent="0.25">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row>
    <row r="121" spans="1:27" ht="12.75" customHeight="1" x14ac:dyDescent="0.25">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row>
    <row r="122" spans="1:27" ht="12.75" customHeight="1" x14ac:dyDescent="0.25">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row>
    <row r="123" spans="1:27" ht="12.75" customHeight="1" x14ac:dyDescent="0.25">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row>
    <row r="124" spans="1:27" ht="12.75" customHeight="1" x14ac:dyDescent="0.25">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row>
    <row r="125" spans="1:27" ht="12.75" customHeight="1" x14ac:dyDescent="0.2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row>
    <row r="126" spans="1:27" ht="12.75" customHeight="1" x14ac:dyDescent="0.25">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row>
    <row r="127" spans="1:27" ht="12.75" customHeight="1" x14ac:dyDescent="0.25">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row>
    <row r="128" spans="1:27" ht="12.75" customHeight="1" x14ac:dyDescent="0.25">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row>
    <row r="129" spans="1:27" ht="12.75" customHeight="1" x14ac:dyDescent="0.25">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row>
    <row r="130" spans="1:27" ht="12.75" customHeight="1" x14ac:dyDescent="0.25">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row>
    <row r="131" spans="1:27" ht="12.75" customHeight="1" x14ac:dyDescent="0.25">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row>
    <row r="132" spans="1:27" ht="12.75" customHeight="1" x14ac:dyDescent="0.25">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row>
    <row r="133" spans="1:27" ht="12.75" customHeight="1" x14ac:dyDescent="0.25">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row>
    <row r="134" spans="1:27" ht="12.75" customHeight="1" x14ac:dyDescent="0.25">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row>
    <row r="135" spans="1:27" ht="12.75" customHeight="1" x14ac:dyDescent="0.2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row>
    <row r="136" spans="1:27" ht="12.75" customHeight="1" x14ac:dyDescent="0.25">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row>
    <row r="137" spans="1:27" ht="12.75" customHeight="1" x14ac:dyDescent="0.25">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row>
    <row r="138" spans="1:27" ht="12.75" customHeight="1" x14ac:dyDescent="0.25">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row>
    <row r="139" spans="1:27" ht="12.75" customHeight="1" x14ac:dyDescent="0.25">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row>
    <row r="140" spans="1:27" ht="12.75" customHeight="1" x14ac:dyDescent="0.25">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row>
    <row r="141" spans="1:27" ht="12.75" customHeight="1" x14ac:dyDescent="0.25">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row>
    <row r="142" spans="1:27" ht="12.75" customHeight="1" x14ac:dyDescent="0.25">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row>
    <row r="143" spans="1:27" ht="12.75" customHeight="1" x14ac:dyDescent="0.25">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row>
    <row r="144" spans="1:27" ht="12.75" customHeight="1" x14ac:dyDescent="0.25">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row>
    <row r="145" spans="1:27" ht="12.75" customHeight="1" x14ac:dyDescent="0.2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row>
    <row r="146" spans="1:27" ht="12.75" customHeight="1" x14ac:dyDescent="0.25">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row>
    <row r="147" spans="1:27" ht="12.75" customHeight="1" x14ac:dyDescent="0.25">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row>
    <row r="148" spans="1:27" ht="12.75" customHeight="1" x14ac:dyDescent="0.25">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row>
    <row r="149" spans="1:27" ht="12.75" customHeight="1" x14ac:dyDescent="0.25">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row>
    <row r="150" spans="1:27" ht="12.75" customHeight="1" x14ac:dyDescent="0.25">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row>
    <row r="151" spans="1:27" ht="12.75" customHeight="1" x14ac:dyDescent="0.25">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row>
    <row r="152" spans="1:27" ht="12.75" customHeight="1" x14ac:dyDescent="0.25">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row>
    <row r="153" spans="1:27" ht="12.75" customHeight="1" x14ac:dyDescent="0.25">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row>
    <row r="154" spans="1:27" ht="12.75" customHeight="1" x14ac:dyDescent="0.2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row>
    <row r="155" spans="1:27" ht="12.75" customHeight="1" x14ac:dyDescent="0.2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row>
    <row r="156" spans="1:27" ht="12.75" customHeight="1" x14ac:dyDescent="0.25">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row>
    <row r="157" spans="1:27" ht="12.75" customHeight="1" x14ac:dyDescent="0.25">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row>
    <row r="158" spans="1:27" ht="12.75" customHeight="1" x14ac:dyDescent="0.25">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row>
    <row r="159" spans="1:27" ht="12.75" customHeight="1" x14ac:dyDescent="0.25">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row>
    <row r="160" spans="1:27" ht="12.75" customHeight="1" x14ac:dyDescent="0.25">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row>
    <row r="161" spans="1:27" ht="12.75" customHeight="1" x14ac:dyDescent="0.25">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row>
    <row r="162" spans="1:27" ht="12.75" customHeight="1" x14ac:dyDescent="0.25">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row>
    <row r="163" spans="1:27" ht="12.75" customHeight="1" x14ac:dyDescent="0.25">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row>
    <row r="164" spans="1:27" ht="12.75" customHeight="1" x14ac:dyDescent="0.25">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row>
    <row r="165" spans="1:27" ht="12.75" customHeight="1" x14ac:dyDescent="0.2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row>
    <row r="166" spans="1:27" ht="12.75" customHeight="1" x14ac:dyDescent="0.25">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row>
    <row r="167" spans="1:27" ht="12.75" customHeight="1" x14ac:dyDescent="0.25">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row>
    <row r="168" spans="1:27" ht="12.75" customHeight="1" x14ac:dyDescent="0.25">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row>
    <row r="169" spans="1:27" ht="12.75" customHeight="1" x14ac:dyDescent="0.25">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row>
    <row r="170" spans="1:27" ht="12.75" customHeight="1" x14ac:dyDescent="0.25">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row>
    <row r="171" spans="1:27" ht="12.75" customHeight="1" x14ac:dyDescent="0.25">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row>
    <row r="172" spans="1:27" ht="12.75" customHeight="1" x14ac:dyDescent="0.25">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row>
    <row r="173" spans="1:27" ht="12.75" customHeight="1" x14ac:dyDescent="0.25">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row>
    <row r="174" spans="1:27" ht="12.75" customHeight="1" x14ac:dyDescent="0.25">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row>
    <row r="175" spans="1:27" ht="12.75" customHeight="1" x14ac:dyDescent="0.2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row>
    <row r="176" spans="1:27" ht="12.75" customHeight="1" x14ac:dyDescent="0.25">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row>
    <row r="177" spans="1:27" ht="12.75" customHeight="1" x14ac:dyDescent="0.25">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row>
    <row r="178" spans="1:27" ht="12.75" customHeight="1" x14ac:dyDescent="0.25">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row>
    <row r="179" spans="1:27" ht="12.75" customHeight="1" x14ac:dyDescent="0.25">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row>
    <row r="180" spans="1:27" ht="12.75" customHeight="1" x14ac:dyDescent="0.25">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row>
    <row r="181" spans="1:27" ht="12.75" customHeight="1" x14ac:dyDescent="0.25">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row>
    <row r="182" spans="1:27" ht="12.75" customHeight="1" x14ac:dyDescent="0.25">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row>
    <row r="183" spans="1:27" ht="12.75" customHeight="1" x14ac:dyDescent="0.25">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row>
    <row r="184" spans="1:27" ht="12.75" customHeight="1" x14ac:dyDescent="0.25">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row>
    <row r="185" spans="1:27" ht="12.75" customHeight="1" x14ac:dyDescent="0.2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row>
    <row r="186" spans="1:27" ht="12.75" customHeight="1" x14ac:dyDescent="0.25">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row>
    <row r="187" spans="1:27" ht="12.75" customHeight="1" x14ac:dyDescent="0.25">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row>
    <row r="188" spans="1:27" ht="12.75" customHeight="1" x14ac:dyDescent="0.25">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row>
    <row r="189" spans="1:27" ht="12.75" customHeight="1" x14ac:dyDescent="0.25">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row>
    <row r="190" spans="1:27" ht="12.75" customHeight="1" x14ac:dyDescent="0.25">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row>
    <row r="191" spans="1:27" ht="12.75" customHeight="1" x14ac:dyDescent="0.25">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row>
    <row r="192" spans="1:27" ht="12.75" customHeight="1" x14ac:dyDescent="0.25">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row>
    <row r="193" spans="1:27" ht="12.75" customHeight="1" x14ac:dyDescent="0.25">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row>
    <row r="194" spans="1:27" ht="12.75" customHeight="1" x14ac:dyDescent="0.25">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row>
    <row r="195" spans="1:27" ht="12.75" customHeight="1" x14ac:dyDescent="0.2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row>
    <row r="196" spans="1:27" ht="12.75" customHeight="1" x14ac:dyDescent="0.25">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row>
    <row r="197" spans="1:27" ht="12.75" customHeight="1" x14ac:dyDescent="0.25">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row>
    <row r="198" spans="1:27" ht="12.75" customHeight="1" x14ac:dyDescent="0.25">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row>
    <row r="199" spans="1:27" ht="12.75" customHeight="1" x14ac:dyDescent="0.25">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row>
    <row r="200" spans="1:27" ht="12.75" customHeight="1" x14ac:dyDescent="0.25">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row>
    <row r="201" spans="1:27" ht="12.75" customHeight="1" x14ac:dyDescent="0.25">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row>
    <row r="202" spans="1:27" ht="12.75" customHeight="1" x14ac:dyDescent="0.25">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row>
    <row r="203" spans="1:27" ht="12.75" customHeight="1" x14ac:dyDescent="0.25">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row>
    <row r="204" spans="1:27" ht="12.75" customHeight="1" x14ac:dyDescent="0.25">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row>
    <row r="205" spans="1:27" ht="12.75" customHeight="1" x14ac:dyDescent="0.2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row>
    <row r="206" spans="1:27" ht="12.75" customHeight="1" x14ac:dyDescent="0.25">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row>
    <row r="207" spans="1:27" ht="12.75" customHeight="1" x14ac:dyDescent="0.25">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row>
    <row r="208" spans="1:27" ht="12.75" customHeight="1" x14ac:dyDescent="0.25">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row>
    <row r="209" spans="1:27" ht="12.75" customHeight="1" x14ac:dyDescent="0.25">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row>
    <row r="210" spans="1:27" ht="12.75" customHeight="1" x14ac:dyDescent="0.25">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row>
    <row r="211" spans="1:27" ht="12.75" customHeight="1" x14ac:dyDescent="0.25">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row>
    <row r="212" spans="1:27" ht="12.75" customHeight="1" x14ac:dyDescent="0.25">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row>
    <row r="213" spans="1:27" ht="12.75" customHeight="1" x14ac:dyDescent="0.25">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row>
    <row r="214" spans="1:27" ht="12.75" customHeight="1" x14ac:dyDescent="0.25">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row>
    <row r="215" spans="1:27" ht="12.75" customHeight="1" x14ac:dyDescent="0.2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row>
    <row r="216" spans="1:27" ht="12.75" customHeight="1" x14ac:dyDescent="0.25">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row>
    <row r="217" spans="1:27" ht="12.75" customHeight="1" x14ac:dyDescent="0.25">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row>
    <row r="218" spans="1:27" ht="12.75" customHeight="1" x14ac:dyDescent="0.25">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row>
    <row r="219" spans="1:27" ht="12.75" customHeight="1" x14ac:dyDescent="0.25">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row>
    <row r="220" spans="1:27" ht="12.75" customHeight="1" x14ac:dyDescent="0.25">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row>
    <row r="221" spans="1:27" ht="12.75" customHeight="1" x14ac:dyDescent="0.25">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row>
    <row r="222" spans="1:27" ht="12.75" customHeight="1" x14ac:dyDescent="0.25">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row>
    <row r="223" spans="1:27" ht="12.75" customHeight="1" x14ac:dyDescent="0.25">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row>
    <row r="224" spans="1:27" ht="12.75" customHeight="1" x14ac:dyDescent="0.25">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row>
    <row r="225" spans="1:27" ht="12.75" customHeight="1" x14ac:dyDescent="0.2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row>
    <row r="226" spans="1:27" ht="12.75" customHeight="1" x14ac:dyDescent="0.25">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row>
    <row r="227" spans="1:27" ht="12.75" customHeight="1" x14ac:dyDescent="0.25">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row>
    <row r="228" spans="1:27" ht="12.75" customHeight="1" x14ac:dyDescent="0.25">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row>
    <row r="229" spans="1:27" ht="12.75" customHeight="1" x14ac:dyDescent="0.25">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row>
    <row r="230" spans="1:27" ht="12.75" customHeight="1" x14ac:dyDescent="0.25">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row>
    <row r="231" spans="1:27" ht="12.75" customHeight="1" x14ac:dyDescent="0.25">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row>
    <row r="232" spans="1:27" ht="12.75" customHeight="1" x14ac:dyDescent="0.25">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row>
    <row r="233" spans="1:27" ht="12.75" customHeight="1" x14ac:dyDescent="0.25">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row>
    <row r="234" spans="1:27" ht="12.75" customHeight="1" x14ac:dyDescent="0.25">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row>
    <row r="235" spans="1:27" ht="12.75" customHeight="1" x14ac:dyDescent="0.2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row>
    <row r="236" spans="1:27" ht="12.75" customHeight="1" x14ac:dyDescent="0.25">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row>
    <row r="237" spans="1:27" ht="12.75" customHeight="1" x14ac:dyDescent="0.25">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row>
    <row r="238" spans="1:27" ht="12.75" customHeight="1" x14ac:dyDescent="0.25">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row>
    <row r="239" spans="1:27" ht="12.75" customHeight="1" x14ac:dyDescent="0.25">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row>
    <row r="240" spans="1:27" ht="12.75" customHeight="1" x14ac:dyDescent="0.25">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row>
    <row r="241" spans="1:27" ht="12.75" customHeight="1" x14ac:dyDescent="0.25">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row>
    <row r="242" spans="1:27" ht="12.75" customHeight="1" x14ac:dyDescent="0.25">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row>
    <row r="243" spans="1:27" ht="12.75" customHeight="1" x14ac:dyDescent="0.25">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row>
    <row r="244" spans="1:27" ht="12.75" customHeight="1" x14ac:dyDescent="0.25">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row>
    <row r="245" spans="1:27" ht="12.75" customHeight="1" x14ac:dyDescent="0.2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row>
    <row r="246" spans="1:27" ht="12.75" customHeight="1" x14ac:dyDescent="0.25">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row>
    <row r="247" spans="1:27" ht="12.75" customHeight="1" x14ac:dyDescent="0.25">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row>
    <row r="248" spans="1:27" ht="12.75" customHeight="1" x14ac:dyDescent="0.25">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row>
    <row r="249" spans="1:27" ht="12.75" customHeight="1" x14ac:dyDescent="0.25">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row>
    <row r="250" spans="1:27" ht="12.75" customHeight="1" x14ac:dyDescent="0.25">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row>
    <row r="251" spans="1:27" ht="12.75" customHeight="1" x14ac:dyDescent="0.25">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row>
    <row r="252" spans="1:27" ht="12.75" customHeight="1" x14ac:dyDescent="0.25">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row>
    <row r="253" spans="1:27" ht="12.75" customHeight="1" x14ac:dyDescent="0.25">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row>
    <row r="254" spans="1:27" ht="12.75" customHeight="1" x14ac:dyDescent="0.25">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row>
    <row r="255" spans="1:27" ht="12.75" customHeight="1" x14ac:dyDescent="0.25">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row>
    <row r="256" spans="1:27" ht="12.75" customHeight="1" x14ac:dyDescent="0.25">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row>
    <row r="257" spans="1:27" ht="12.75" customHeight="1" x14ac:dyDescent="0.25">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row>
    <row r="258" spans="1:27" ht="12.75" customHeight="1" x14ac:dyDescent="0.25">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row>
    <row r="259" spans="1:27" ht="12.75" customHeight="1" x14ac:dyDescent="0.25">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row>
    <row r="260" spans="1:27" ht="12.75" customHeight="1" x14ac:dyDescent="0.25">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row>
    <row r="261" spans="1:27" ht="12.75" customHeight="1" x14ac:dyDescent="0.25">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row>
    <row r="262" spans="1:27" ht="12.75" customHeight="1" x14ac:dyDescent="0.25">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row>
    <row r="263" spans="1:27" ht="12.75" customHeight="1" x14ac:dyDescent="0.25">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row>
    <row r="264" spans="1:27" ht="12.75" customHeight="1" x14ac:dyDescent="0.25">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row>
    <row r="265" spans="1:27" ht="12.75" customHeight="1" x14ac:dyDescent="0.25">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row>
    <row r="266" spans="1:27" ht="12.75" customHeight="1" x14ac:dyDescent="0.25">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row>
    <row r="267" spans="1:27" ht="12.75" customHeight="1" x14ac:dyDescent="0.25">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row>
    <row r="268" spans="1:27" ht="12.75" customHeight="1" x14ac:dyDescent="0.25">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row>
    <row r="269" spans="1:27" ht="12.75" customHeight="1" x14ac:dyDescent="0.25">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row>
    <row r="270" spans="1:27" ht="12.75" customHeight="1" x14ac:dyDescent="0.25">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row>
    <row r="271" spans="1:27" ht="12.75" customHeight="1" x14ac:dyDescent="0.25">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row>
    <row r="272" spans="1:27" ht="12.75" customHeight="1" x14ac:dyDescent="0.25">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row>
    <row r="273" spans="1:27" ht="12.75" customHeight="1" x14ac:dyDescent="0.25">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row>
    <row r="274" spans="1:27" ht="12.75" customHeight="1" x14ac:dyDescent="0.25">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row>
    <row r="275" spans="1:27" ht="12.75" customHeight="1" x14ac:dyDescent="0.2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row>
    <row r="276" spans="1:27" ht="12.75" customHeight="1" x14ac:dyDescent="0.25">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row>
    <row r="277" spans="1:27" ht="12.75" customHeight="1" x14ac:dyDescent="0.25">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row>
    <row r="278" spans="1:27" ht="12.75" customHeight="1" x14ac:dyDescent="0.25">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row>
    <row r="279" spans="1:27" ht="12.75" customHeight="1" x14ac:dyDescent="0.25">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row>
    <row r="280" spans="1:27" ht="12.75" customHeight="1" x14ac:dyDescent="0.25">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row>
    <row r="281" spans="1:27" ht="12.75" customHeight="1" x14ac:dyDescent="0.25">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row>
    <row r="282" spans="1:27" ht="12.75" customHeight="1" x14ac:dyDescent="0.25">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row>
    <row r="283" spans="1:27" ht="12.75" customHeight="1" x14ac:dyDescent="0.25">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row>
    <row r="284" spans="1:27" ht="12.75" customHeight="1" x14ac:dyDescent="0.25">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row>
    <row r="285" spans="1:27" ht="12.75" customHeight="1" x14ac:dyDescent="0.25">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row>
    <row r="286" spans="1:27" ht="12.75" customHeight="1" x14ac:dyDescent="0.25">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row>
    <row r="287" spans="1:27" ht="12.75" customHeight="1" x14ac:dyDescent="0.25">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row>
    <row r="288" spans="1:27" ht="12.75" customHeight="1" x14ac:dyDescent="0.25">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row>
    <row r="289" spans="1:27" ht="12.75" customHeight="1" x14ac:dyDescent="0.25">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row>
    <row r="290" spans="1:27" ht="12.75" customHeight="1" x14ac:dyDescent="0.25">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row>
    <row r="291" spans="1:27" ht="12.75" customHeight="1" x14ac:dyDescent="0.25">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row>
    <row r="292" spans="1:27" ht="12.75" customHeight="1" x14ac:dyDescent="0.25">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row>
    <row r="293" spans="1:27" ht="12.75" customHeight="1" x14ac:dyDescent="0.25">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row>
    <row r="294" spans="1:27" ht="12.75" customHeight="1" x14ac:dyDescent="0.25">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row>
    <row r="295" spans="1:27" ht="12.75" customHeight="1" x14ac:dyDescent="0.25">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row>
    <row r="296" spans="1:27" ht="12.75" customHeight="1" x14ac:dyDescent="0.25">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row>
    <row r="297" spans="1:27" ht="12.75" customHeight="1" x14ac:dyDescent="0.25">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row>
    <row r="298" spans="1:27" ht="12.75" customHeight="1" x14ac:dyDescent="0.25">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row>
    <row r="299" spans="1:27" ht="12.75" customHeight="1" x14ac:dyDescent="0.25">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row>
    <row r="300" spans="1:27" ht="12.75" customHeight="1" x14ac:dyDescent="0.25">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row>
    <row r="301" spans="1:27" ht="12.75" customHeight="1" x14ac:dyDescent="0.25">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row>
    <row r="302" spans="1:27" ht="12.75" customHeight="1" x14ac:dyDescent="0.25">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row>
    <row r="303" spans="1:27" ht="12.75" customHeight="1" x14ac:dyDescent="0.25">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row>
    <row r="304" spans="1:27" ht="12.75" customHeight="1" x14ac:dyDescent="0.25">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row>
    <row r="305" spans="1:27" ht="12.75" customHeight="1" x14ac:dyDescent="0.25">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row>
    <row r="306" spans="1:27" ht="12.75" customHeight="1" x14ac:dyDescent="0.25">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row>
    <row r="307" spans="1:27" ht="12.75" customHeight="1" x14ac:dyDescent="0.25">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row>
    <row r="308" spans="1:27" ht="12.75" customHeight="1" x14ac:dyDescent="0.25">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row>
    <row r="309" spans="1:27" ht="12.75" customHeight="1" x14ac:dyDescent="0.25">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row>
    <row r="310" spans="1:27" ht="12.75" customHeight="1" x14ac:dyDescent="0.25">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row>
    <row r="311" spans="1:27" ht="12.75" customHeight="1" x14ac:dyDescent="0.25">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row>
    <row r="312" spans="1:27" ht="12.75" customHeight="1" x14ac:dyDescent="0.25">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row>
    <row r="313" spans="1:27" ht="12.75" customHeight="1" x14ac:dyDescent="0.25">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row>
    <row r="314" spans="1:27" ht="12.75" customHeight="1" x14ac:dyDescent="0.25">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row>
    <row r="315" spans="1:27" ht="12.75" customHeight="1" x14ac:dyDescent="0.25">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row>
    <row r="316" spans="1:27" ht="12.75" customHeight="1" x14ac:dyDescent="0.25">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row>
    <row r="317" spans="1:27" ht="12.75" customHeight="1" x14ac:dyDescent="0.25">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row>
    <row r="318" spans="1:27" ht="12.75" customHeight="1" x14ac:dyDescent="0.25">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row>
    <row r="319" spans="1:27" ht="12.75" customHeight="1" x14ac:dyDescent="0.25">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row>
    <row r="320" spans="1:27" ht="12.75" customHeight="1" x14ac:dyDescent="0.25">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row>
    <row r="321" spans="1:27" ht="12.75" customHeight="1" x14ac:dyDescent="0.25">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row>
    <row r="322" spans="1:27" ht="12.75" customHeight="1" x14ac:dyDescent="0.25">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row>
    <row r="323" spans="1:27" ht="12.75" customHeight="1" x14ac:dyDescent="0.25">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row>
    <row r="324" spans="1:27" ht="12.75" customHeight="1" x14ac:dyDescent="0.25">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row>
    <row r="325" spans="1:27" ht="12.75" customHeight="1" x14ac:dyDescent="0.25">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row>
    <row r="326" spans="1:27" ht="12.75" customHeight="1" x14ac:dyDescent="0.25">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row>
    <row r="327" spans="1:27" ht="12.75" customHeight="1" x14ac:dyDescent="0.25">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row>
    <row r="328" spans="1:27" ht="12.75" customHeight="1" x14ac:dyDescent="0.25">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row>
    <row r="329" spans="1:27" ht="12.75" customHeight="1" x14ac:dyDescent="0.25">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row>
    <row r="330" spans="1:27" ht="12.75" customHeight="1" x14ac:dyDescent="0.25">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row>
    <row r="331" spans="1:27" ht="12.75" customHeight="1" x14ac:dyDescent="0.25">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row>
    <row r="332" spans="1:27" ht="12.75" customHeight="1" x14ac:dyDescent="0.25">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row>
    <row r="333" spans="1:27" ht="12.75" customHeight="1" x14ac:dyDescent="0.25">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row>
    <row r="334" spans="1:27" ht="12.75" customHeight="1" x14ac:dyDescent="0.25">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row>
    <row r="335" spans="1:27" ht="12.75" customHeight="1" x14ac:dyDescent="0.25">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row>
    <row r="336" spans="1:27" ht="12.75" customHeight="1" x14ac:dyDescent="0.25">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row>
    <row r="337" spans="1:27" ht="12.75" customHeight="1" x14ac:dyDescent="0.25">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row>
    <row r="338" spans="1:27" ht="12.75" customHeight="1" x14ac:dyDescent="0.25">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row>
    <row r="339" spans="1:27" ht="12.75" customHeight="1" x14ac:dyDescent="0.25">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row>
    <row r="340" spans="1:27" ht="12.75" customHeight="1" x14ac:dyDescent="0.25">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row>
    <row r="341" spans="1:27" ht="12.75" customHeight="1" x14ac:dyDescent="0.25">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row>
    <row r="342" spans="1:27" ht="12.75" customHeight="1" x14ac:dyDescent="0.25">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row>
    <row r="343" spans="1:27" ht="12.75" customHeight="1" x14ac:dyDescent="0.25">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row>
    <row r="344" spans="1:27" ht="12.75" customHeight="1" x14ac:dyDescent="0.25">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row>
    <row r="345" spans="1:27" ht="12.75" customHeight="1" x14ac:dyDescent="0.25">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row>
    <row r="346" spans="1:27" ht="12.75" customHeight="1" x14ac:dyDescent="0.25">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row>
    <row r="347" spans="1:27" ht="12.75" customHeight="1" x14ac:dyDescent="0.25">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row>
    <row r="348" spans="1:27" ht="12.75" customHeight="1" x14ac:dyDescent="0.25">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row>
    <row r="349" spans="1:27" ht="12.75" customHeight="1" x14ac:dyDescent="0.25">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row>
    <row r="350" spans="1:27" ht="12.75" customHeight="1" x14ac:dyDescent="0.25">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row>
    <row r="351" spans="1:27" ht="12.75" customHeight="1" x14ac:dyDescent="0.25">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row>
    <row r="352" spans="1:27" ht="12.75" customHeight="1" x14ac:dyDescent="0.25">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row>
    <row r="353" spans="1:27" ht="12.75" customHeight="1" x14ac:dyDescent="0.25">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row>
    <row r="354" spans="1:27" ht="12.75" customHeight="1" x14ac:dyDescent="0.25">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row>
    <row r="355" spans="1:27" ht="12.75" customHeight="1" x14ac:dyDescent="0.25">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row>
    <row r="356" spans="1:27" ht="12.75" customHeight="1" x14ac:dyDescent="0.25">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row>
    <row r="357" spans="1:27" ht="12.75" customHeight="1" x14ac:dyDescent="0.25">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row>
    <row r="358" spans="1:27" ht="12.75" customHeight="1" x14ac:dyDescent="0.25">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row>
    <row r="359" spans="1:27" ht="12.75" customHeight="1" x14ac:dyDescent="0.25">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row>
    <row r="360" spans="1:27" ht="12.75" customHeight="1" x14ac:dyDescent="0.25">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row>
    <row r="361" spans="1:27" ht="12.75" customHeight="1" x14ac:dyDescent="0.25">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row>
    <row r="362" spans="1:27" ht="12.75" customHeight="1" x14ac:dyDescent="0.25">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row>
    <row r="363" spans="1:27" ht="12.75" customHeight="1" x14ac:dyDescent="0.25">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row>
    <row r="364" spans="1:27" ht="12.75" customHeight="1" x14ac:dyDescent="0.25">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row>
    <row r="365" spans="1:27" ht="12.75" customHeight="1" x14ac:dyDescent="0.25">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row>
    <row r="366" spans="1:27" ht="12.75" customHeight="1" x14ac:dyDescent="0.25">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row>
    <row r="367" spans="1:27" ht="12.75" customHeight="1" x14ac:dyDescent="0.25">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row>
    <row r="368" spans="1:27" ht="12.75" customHeight="1" x14ac:dyDescent="0.25">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row>
    <row r="369" spans="1:27" ht="12.75" customHeight="1" x14ac:dyDescent="0.25">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row>
    <row r="370" spans="1:27" ht="12.75" customHeight="1" x14ac:dyDescent="0.25">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row>
    <row r="371" spans="1:27" ht="12.75" customHeight="1" x14ac:dyDescent="0.25">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row>
    <row r="372" spans="1:27" ht="12.75" customHeight="1" x14ac:dyDescent="0.25">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row>
    <row r="373" spans="1:27" ht="12.75" customHeight="1" x14ac:dyDescent="0.25">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row>
    <row r="374" spans="1:27" ht="12.75" customHeight="1" x14ac:dyDescent="0.25">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row>
    <row r="375" spans="1:27" ht="12.75" customHeight="1" x14ac:dyDescent="0.25">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row>
    <row r="376" spans="1:27" ht="12.75" customHeight="1" x14ac:dyDescent="0.25">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row>
    <row r="377" spans="1:27" ht="12.75" customHeight="1" x14ac:dyDescent="0.25">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row>
    <row r="378" spans="1:27" ht="12.75" customHeight="1" x14ac:dyDescent="0.25">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row>
    <row r="379" spans="1:27" ht="12.75" customHeight="1" x14ac:dyDescent="0.25">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row>
    <row r="380" spans="1:27" ht="12.75" customHeight="1" x14ac:dyDescent="0.25">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row>
    <row r="381" spans="1:27" ht="12.75" customHeight="1" x14ac:dyDescent="0.25">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row>
    <row r="382" spans="1:27" ht="12.75" customHeight="1" x14ac:dyDescent="0.25">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row>
    <row r="383" spans="1:27" ht="12.75" customHeight="1" x14ac:dyDescent="0.25">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row>
    <row r="384" spans="1:27" ht="12.75" customHeight="1" x14ac:dyDescent="0.25">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row>
    <row r="385" spans="1:27" ht="12.75" customHeight="1" x14ac:dyDescent="0.25">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row>
    <row r="386" spans="1:27" ht="12.75" customHeight="1" x14ac:dyDescent="0.25">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row>
    <row r="387" spans="1:27" ht="12.75" customHeight="1" x14ac:dyDescent="0.25">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row>
    <row r="388" spans="1:27" ht="12.75" customHeight="1" x14ac:dyDescent="0.25">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row>
    <row r="389" spans="1:27" ht="12.75" customHeight="1" x14ac:dyDescent="0.25">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row>
    <row r="390" spans="1:27" ht="12.75" customHeight="1" x14ac:dyDescent="0.25">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row>
    <row r="391" spans="1:27" ht="12.75" customHeight="1" x14ac:dyDescent="0.25">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row>
    <row r="392" spans="1:27" ht="12.75" customHeight="1" x14ac:dyDescent="0.25">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row>
    <row r="393" spans="1:27" ht="12.75" customHeight="1" x14ac:dyDescent="0.25">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row>
    <row r="394" spans="1:27" ht="12.75" customHeight="1" x14ac:dyDescent="0.25">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row>
    <row r="395" spans="1:27" ht="12.75" customHeight="1" x14ac:dyDescent="0.25">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row>
    <row r="396" spans="1:27" ht="12.75" customHeight="1" x14ac:dyDescent="0.25">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row>
    <row r="397" spans="1:27" ht="12.75" customHeight="1" x14ac:dyDescent="0.25">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row>
    <row r="398" spans="1:27" ht="12.75" customHeight="1" x14ac:dyDescent="0.25">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row>
    <row r="399" spans="1:27" ht="12.75" customHeight="1" x14ac:dyDescent="0.25">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row>
    <row r="400" spans="1:27" ht="12.75" customHeight="1" x14ac:dyDescent="0.25">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row>
    <row r="401" spans="1:27" ht="12.75" customHeight="1" x14ac:dyDescent="0.25">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row>
    <row r="402" spans="1:27" ht="12.75" customHeight="1" x14ac:dyDescent="0.25">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row>
    <row r="403" spans="1:27" ht="12.75" customHeight="1" x14ac:dyDescent="0.25">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row>
    <row r="404" spans="1:27" ht="12.75" customHeight="1" x14ac:dyDescent="0.25">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row>
    <row r="405" spans="1:27" ht="12.75" customHeight="1" x14ac:dyDescent="0.25">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row>
    <row r="406" spans="1:27" ht="12.75" customHeight="1" x14ac:dyDescent="0.25">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row>
    <row r="407" spans="1:27" ht="12.75" customHeight="1" x14ac:dyDescent="0.25">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row>
    <row r="408" spans="1:27" ht="12.75" customHeight="1" x14ac:dyDescent="0.25">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row>
    <row r="409" spans="1:27" ht="12.75" customHeight="1" x14ac:dyDescent="0.25">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row>
    <row r="410" spans="1:27" ht="12.75" customHeight="1" x14ac:dyDescent="0.25">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row>
    <row r="411" spans="1:27" ht="12.75" customHeight="1" x14ac:dyDescent="0.25">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row>
    <row r="412" spans="1:27" ht="12.75" customHeight="1" x14ac:dyDescent="0.25">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row>
    <row r="413" spans="1:27" ht="12.75" customHeight="1" x14ac:dyDescent="0.25">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row>
    <row r="414" spans="1:27" ht="12.75" customHeight="1" x14ac:dyDescent="0.25">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row>
    <row r="415" spans="1:27" ht="12.75" customHeight="1" x14ac:dyDescent="0.25">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row>
    <row r="416" spans="1:27" ht="12.75" customHeight="1" x14ac:dyDescent="0.25">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row>
    <row r="417" spans="1:27" ht="12.75" customHeight="1" x14ac:dyDescent="0.25">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row>
    <row r="418" spans="1:27" ht="12.75" customHeight="1" x14ac:dyDescent="0.25">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row>
    <row r="419" spans="1:27" ht="12.75" customHeight="1" x14ac:dyDescent="0.25">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row>
    <row r="420" spans="1:27" ht="12.75" customHeight="1" x14ac:dyDescent="0.25">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row>
    <row r="421" spans="1:27" ht="12.75" customHeight="1" x14ac:dyDescent="0.25">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row>
    <row r="422" spans="1:27" ht="12.75" customHeight="1" x14ac:dyDescent="0.25">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row>
    <row r="423" spans="1:27" ht="12.75" customHeight="1" x14ac:dyDescent="0.25">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row>
    <row r="424" spans="1:27" ht="12.75" customHeight="1" x14ac:dyDescent="0.25">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row>
    <row r="425" spans="1:27" ht="12.75" customHeight="1" x14ac:dyDescent="0.25">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row>
    <row r="426" spans="1:27" ht="12.75" customHeight="1" x14ac:dyDescent="0.25">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row>
    <row r="427" spans="1:27" ht="12.75" customHeight="1" x14ac:dyDescent="0.25">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row>
    <row r="428" spans="1:27" ht="12.75" customHeight="1" x14ac:dyDescent="0.25">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row>
    <row r="429" spans="1:27" ht="12.75" customHeight="1" x14ac:dyDescent="0.25">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row>
    <row r="430" spans="1:27" ht="12.75" customHeight="1" x14ac:dyDescent="0.25">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row>
    <row r="431" spans="1:27" ht="12.75" customHeight="1" x14ac:dyDescent="0.25">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row>
    <row r="432" spans="1:27" ht="12.75" customHeight="1" x14ac:dyDescent="0.25">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row>
    <row r="433" spans="1:27" ht="12.75" customHeight="1" x14ac:dyDescent="0.25">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row>
    <row r="434" spans="1:27" ht="12.75" customHeight="1" x14ac:dyDescent="0.25">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row>
    <row r="435" spans="1:27" ht="12.75" customHeight="1" x14ac:dyDescent="0.25">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row>
    <row r="436" spans="1:27" ht="12.75" customHeight="1" x14ac:dyDescent="0.25">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row>
    <row r="437" spans="1:27" ht="12.75" customHeight="1" x14ac:dyDescent="0.25">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row>
    <row r="438" spans="1:27" ht="12.75" customHeight="1" x14ac:dyDescent="0.25">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row>
    <row r="439" spans="1:27" ht="12.75" customHeight="1" x14ac:dyDescent="0.25">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row>
    <row r="440" spans="1:27" ht="12.75" customHeight="1" x14ac:dyDescent="0.25">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row>
    <row r="441" spans="1:27" ht="12.75" customHeight="1" x14ac:dyDescent="0.25">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row>
    <row r="442" spans="1:27" ht="12.75" customHeight="1" x14ac:dyDescent="0.25">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row>
    <row r="443" spans="1:27" ht="12.75" customHeight="1" x14ac:dyDescent="0.25">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row>
    <row r="444" spans="1:27" ht="12.75" customHeight="1" x14ac:dyDescent="0.25">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row>
    <row r="445" spans="1:27" ht="12.75" customHeight="1" x14ac:dyDescent="0.25">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row>
    <row r="446" spans="1:27" ht="12.75" customHeight="1" x14ac:dyDescent="0.25">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row>
    <row r="447" spans="1:27" ht="12.75" customHeight="1" x14ac:dyDescent="0.25">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row>
    <row r="448" spans="1:27" ht="12.75" customHeight="1" x14ac:dyDescent="0.25">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row>
    <row r="449" spans="1:27" ht="12.75" customHeight="1" x14ac:dyDescent="0.25">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row>
    <row r="450" spans="1:27" ht="12.75" customHeight="1" x14ac:dyDescent="0.25">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row>
    <row r="451" spans="1:27" ht="12.75" customHeight="1" x14ac:dyDescent="0.25">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row>
    <row r="452" spans="1:27" ht="12.75" customHeight="1" x14ac:dyDescent="0.25">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row>
    <row r="453" spans="1:27" ht="12.75" customHeight="1" x14ac:dyDescent="0.25">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row>
    <row r="454" spans="1:27" ht="12.75" customHeight="1" x14ac:dyDescent="0.25">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row>
    <row r="455" spans="1:27" ht="12.75" customHeight="1" x14ac:dyDescent="0.25">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row>
    <row r="456" spans="1:27" ht="12.75" customHeight="1" x14ac:dyDescent="0.25">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row>
    <row r="457" spans="1:27" ht="12.75" customHeight="1" x14ac:dyDescent="0.25">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row>
    <row r="458" spans="1:27" ht="12.75" customHeight="1" x14ac:dyDescent="0.25">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row>
    <row r="459" spans="1:27" ht="12.75" customHeight="1" x14ac:dyDescent="0.25">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row>
    <row r="460" spans="1:27" ht="12.75" customHeight="1" x14ac:dyDescent="0.25">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row>
    <row r="461" spans="1:27" ht="12.75" customHeight="1" x14ac:dyDescent="0.25">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row>
    <row r="462" spans="1:27" ht="12.75" customHeight="1" x14ac:dyDescent="0.25">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row>
    <row r="463" spans="1:27" ht="12.75" customHeight="1" x14ac:dyDescent="0.25">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row>
    <row r="464" spans="1:27" ht="12.75" customHeight="1" x14ac:dyDescent="0.25">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row>
    <row r="465" spans="1:27" ht="12.75" customHeight="1" x14ac:dyDescent="0.25">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row>
    <row r="466" spans="1:27" ht="12.75" customHeight="1" x14ac:dyDescent="0.25">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row>
    <row r="467" spans="1:27" ht="12.75" customHeight="1" x14ac:dyDescent="0.25">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row>
    <row r="468" spans="1:27" ht="12.75" customHeight="1" x14ac:dyDescent="0.25">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row>
    <row r="469" spans="1:27" ht="12.75" customHeight="1" x14ac:dyDescent="0.25">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row>
    <row r="470" spans="1:27" ht="12.75" customHeight="1" x14ac:dyDescent="0.25">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row>
    <row r="471" spans="1:27" ht="12.75" customHeight="1" x14ac:dyDescent="0.25">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row>
    <row r="472" spans="1:27" ht="12.75" customHeight="1" x14ac:dyDescent="0.25">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row>
    <row r="473" spans="1:27" ht="12.75" customHeight="1" x14ac:dyDescent="0.25">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row>
    <row r="474" spans="1:27" ht="12.75" customHeight="1" x14ac:dyDescent="0.25">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row>
    <row r="475" spans="1:27" ht="12.75" customHeight="1" x14ac:dyDescent="0.25">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row>
    <row r="476" spans="1:27" ht="12.75" customHeight="1" x14ac:dyDescent="0.25">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row>
    <row r="477" spans="1:27" ht="12.75" customHeight="1" x14ac:dyDescent="0.25">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row>
    <row r="478" spans="1:27" ht="12.75" customHeight="1" x14ac:dyDescent="0.25">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row>
    <row r="479" spans="1:27" ht="12.75" customHeight="1" x14ac:dyDescent="0.25">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row>
    <row r="480" spans="1:27" ht="12.75" customHeight="1" x14ac:dyDescent="0.25">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row>
    <row r="481" spans="1:27" ht="12.75" customHeight="1" x14ac:dyDescent="0.25">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row>
    <row r="482" spans="1:27" ht="12.75" customHeight="1" x14ac:dyDescent="0.25">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row>
    <row r="483" spans="1:27" ht="12.75" customHeight="1" x14ac:dyDescent="0.25">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row>
    <row r="484" spans="1:27" ht="12.75" customHeight="1" x14ac:dyDescent="0.25">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row>
    <row r="485" spans="1:27" ht="12.75" customHeight="1" x14ac:dyDescent="0.25">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row>
    <row r="486" spans="1:27" ht="12.75" customHeight="1" x14ac:dyDescent="0.25">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row>
    <row r="487" spans="1:27" ht="12.75" customHeight="1" x14ac:dyDescent="0.25">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row>
    <row r="488" spans="1:27" ht="12.75" customHeight="1" x14ac:dyDescent="0.25">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row>
    <row r="489" spans="1:27" ht="12.75" customHeight="1" x14ac:dyDescent="0.25">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row>
    <row r="490" spans="1:27" ht="12.75" customHeight="1" x14ac:dyDescent="0.25">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row>
    <row r="491" spans="1:27" ht="12.75" customHeight="1" x14ac:dyDescent="0.25">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row>
    <row r="492" spans="1:27" ht="12.75" customHeight="1" x14ac:dyDescent="0.25">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row>
    <row r="493" spans="1:27" ht="12.75" customHeight="1" x14ac:dyDescent="0.25">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row>
    <row r="494" spans="1:27" ht="12.75" customHeight="1" x14ac:dyDescent="0.25">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row>
    <row r="495" spans="1:27" ht="12.75" customHeight="1" x14ac:dyDescent="0.25">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row>
    <row r="496" spans="1:27" ht="12.75" customHeight="1" x14ac:dyDescent="0.25">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row>
    <row r="497" spans="1:27" ht="12.75" customHeight="1" x14ac:dyDescent="0.25">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row>
    <row r="498" spans="1:27" ht="12.75" customHeight="1" x14ac:dyDescent="0.25">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row>
    <row r="499" spans="1:27" ht="12.75" customHeight="1" x14ac:dyDescent="0.25">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row>
    <row r="500" spans="1:27" ht="12.75" customHeight="1" x14ac:dyDescent="0.25">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row>
    <row r="501" spans="1:27" ht="12.75" customHeight="1" x14ac:dyDescent="0.25">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row>
    <row r="502" spans="1:27" ht="12.75" customHeight="1" x14ac:dyDescent="0.25">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row>
    <row r="503" spans="1:27" ht="12.75" customHeight="1" x14ac:dyDescent="0.25">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row>
    <row r="504" spans="1:27" ht="12.75" customHeight="1" x14ac:dyDescent="0.25">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row>
    <row r="505" spans="1:27" ht="12.75" customHeight="1" x14ac:dyDescent="0.25">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row>
    <row r="506" spans="1:27" ht="12.75" customHeight="1" x14ac:dyDescent="0.25">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row>
    <row r="507" spans="1:27" ht="12.75" customHeight="1" x14ac:dyDescent="0.25">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row>
    <row r="508" spans="1:27" ht="12.75" customHeight="1" x14ac:dyDescent="0.25">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row>
    <row r="509" spans="1:27" ht="12.75" customHeight="1" x14ac:dyDescent="0.25">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row>
    <row r="510" spans="1:27" ht="12.75" customHeight="1" x14ac:dyDescent="0.25">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row>
    <row r="511" spans="1:27" ht="12.75" customHeight="1" x14ac:dyDescent="0.25">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row>
    <row r="512" spans="1:27" ht="12.75" customHeight="1" x14ac:dyDescent="0.25">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row>
    <row r="513" spans="1:27" ht="12.75" customHeight="1" x14ac:dyDescent="0.25">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row>
    <row r="514" spans="1:27" ht="12.75" customHeight="1" x14ac:dyDescent="0.25">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row>
    <row r="515" spans="1:27" ht="12.75" customHeight="1" x14ac:dyDescent="0.25">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row>
    <row r="516" spans="1:27" ht="12.75" customHeight="1" x14ac:dyDescent="0.25">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row>
    <row r="517" spans="1:27" ht="12.75" customHeight="1" x14ac:dyDescent="0.25">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row>
    <row r="518" spans="1:27" ht="12.75" customHeight="1" x14ac:dyDescent="0.25">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row>
    <row r="519" spans="1:27" ht="12.75" customHeight="1" x14ac:dyDescent="0.25">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row>
    <row r="520" spans="1:27" ht="12.75" customHeight="1" x14ac:dyDescent="0.25">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row>
    <row r="521" spans="1:27" ht="12.75" customHeight="1" x14ac:dyDescent="0.25">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row>
    <row r="522" spans="1:27" ht="12.75" customHeight="1" x14ac:dyDescent="0.25">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row>
    <row r="523" spans="1:27" ht="12.75" customHeight="1" x14ac:dyDescent="0.25">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row>
    <row r="524" spans="1:27" ht="12.75" customHeight="1" x14ac:dyDescent="0.25">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row>
    <row r="525" spans="1:27" ht="12.75" customHeight="1" x14ac:dyDescent="0.25">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row>
    <row r="526" spans="1:27" ht="12.75" customHeight="1" x14ac:dyDescent="0.25">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row>
    <row r="527" spans="1:27" ht="12.75" customHeight="1" x14ac:dyDescent="0.25">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row>
    <row r="528" spans="1:27" ht="12.75" customHeight="1" x14ac:dyDescent="0.25">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row>
    <row r="529" spans="1:27" ht="12.75" customHeight="1" x14ac:dyDescent="0.25">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row>
    <row r="530" spans="1:27" ht="12.75" customHeight="1" x14ac:dyDescent="0.25">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row>
    <row r="531" spans="1:27" ht="12.75" customHeight="1" x14ac:dyDescent="0.25">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row>
    <row r="532" spans="1:27" ht="12.75" customHeight="1" x14ac:dyDescent="0.25">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row>
    <row r="533" spans="1:27" ht="12.75" customHeight="1" x14ac:dyDescent="0.25">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row>
    <row r="534" spans="1:27" ht="12.75" customHeight="1" x14ac:dyDescent="0.25">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row>
    <row r="535" spans="1:27" ht="12.75" customHeight="1" x14ac:dyDescent="0.25">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row>
    <row r="536" spans="1:27" ht="12.75" customHeight="1" x14ac:dyDescent="0.25">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row>
    <row r="537" spans="1:27" ht="12.75" customHeight="1" x14ac:dyDescent="0.25">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row>
    <row r="538" spans="1:27" ht="12.75" customHeight="1" x14ac:dyDescent="0.25">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row>
    <row r="539" spans="1:27" ht="12.75" customHeight="1" x14ac:dyDescent="0.25">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row>
    <row r="540" spans="1:27" ht="12.75" customHeight="1" x14ac:dyDescent="0.25">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row>
    <row r="541" spans="1:27" ht="12.75" customHeight="1" x14ac:dyDescent="0.25">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row>
    <row r="542" spans="1:27" ht="12.75" customHeight="1" x14ac:dyDescent="0.25">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row>
    <row r="543" spans="1:27" ht="12.75" customHeight="1" x14ac:dyDescent="0.25">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row>
    <row r="544" spans="1:27" ht="12.75" customHeight="1" x14ac:dyDescent="0.25">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row>
    <row r="545" spans="1:27" ht="12.75" customHeight="1" x14ac:dyDescent="0.25">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row>
    <row r="546" spans="1:27" ht="12.75" customHeight="1" x14ac:dyDescent="0.25">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row>
    <row r="547" spans="1:27" ht="12.75" customHeight="1" x14ac:dyDescent="0.25">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row>
    <row r="548" spans="1:27" ht="12.75" customHeight="1" x14ac:dyDescent="0.25">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row>
    <row r="549" spans="1:27" ht="12.75" customHeight="1" x14ac:dyDescent="0.25">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row>
    <row r="550" spans="1:27" ht="12.75" customHeight="1" x14ac:dyDescent="0.25">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row>
    <row r="551" spans="1:27" ht="12.75" customHeight="1" x14ac:dyDescent="0.25">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row>
    <row r="552" spans="1:27" ht="12.75" customHeight="1" x14ac:dyDescent="0.25">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row>
    <row r="553" spans="1:27" ht="12.75" customHeight="1" x14ac:dyDescent="0.25">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row>
    <row r="554" spans="1:27" ht="12.75" customHeight="1" x14ac:dyDescent="0.25">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row>
    <row r="555" spans="1:27" ht="12.75" customHeight="1" x14ac:dyDescent="0.25">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row>
    <row r="556" spans="1:27" ht="12.75" customHeight="1" x14ac:dyDescent="0.25">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row>
    <row r="557" spans="1:27" ht="12.75" customHeight="1" x14ac:dyDescent="0.25">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row>
    <row r="558" spans="1:27" ht="12.75" customHeight="1" x14ac:dyDescent="0.25">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row>
    <row r="559" spans="1:27" ht="12.75" customHeight="1" x14ac:dyDescent="0.25">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row>
    <row r="560" spans="1:27" ht="12.75" customHeight="1" x14ac:dyDescent="0.25">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row>
    <row r="561" spans="1:27" ht="12.75" customHeight="1" x14ac:dyDescent="0.25">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row>
    <row r="562" spans="1:27" ht="12.75" customHeight="1" x14ac:dyDescent="0.25">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row>
    <row r="563" spans="1:27" ht="12.75" customHeight="1" x14ac:dyDescent="0.25">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row>
    <row r="564" spans="1:27" ht="12.75" customHeight="1" x14ac:dyDescent="0.25">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row>
    <row r="565" spans="1:27" ht="12.75" customHeight="1" x14ac:dyDescent="0.25">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row>
    <row r="566" spans="1:27" ht="12.75" customHeight="1" x14ac:dyDescent="0.25">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row>
    <row r="567" spans="1:27" ht="12.75" customHeight="1" x14ac:dyDescent="0.25">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row>
    <row r="568" spans="1:27" ht="12.75" customHeight="1" x14ac:dyDescent="0.25">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row>
    <row r="569" spans="1:27" ht="12.75" customHeight="1" x14ac:dyDescent="0.25">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row>
    <row r="570" spans="1:27" ht="12.75" customHeight="1" x14ac:dyDescent="0.25">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row>
    <row r="571" spans="1:27" ht="12.75" customHeight="1" x14ac:dyDescent="0.25">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row>
    <row r="572" spans="1:27" ht="12.75" customHeight="1" x14ac:dyDescent="0.25">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row>
    <row r="573" spans="1:27" ht="12.75" customHeight="1" x14ac:dyDescent="0.25">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row>
    <row r="574" spans="1:27" ht="12.75" customHeight="1" x14ac:dyDescent="0.25">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row>
    <row r="575" spans="1:27" ht="12.75" customHeight="1" x14ac:dyDescent="0.25">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row>
    <row r="576" spans="1:27" ht="12.75" customHeight="1" x14ac:dyDescent="0.25">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row>
    <row r="577" spans="1:27" ht="12.75" customHeight="1" x14ac:dyDescent="0.25">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row>
    <row r="578" spans="1:27" ht="12.75" customHeight="1" x14ac:dyDescent="0.25">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row>
    <row r="579" spans="1:27" ht="12.75" customHeight="1" x14ac:dyDescent="0.25">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row>
    <row r="580" spans="1:27" ht="12.75" customHeight="1" x14ac:dyDescent="0.25">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row>
    <row r="581" spans="1:27" ht="12.75" customHeight="1" x14ac:dyDescent="0.25">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row>
    <row r="582" spans="1:27" ht="12.75" customHeight="1" x14ac:dyDescent="0.25">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row>
    <row r="583" spans="1:27" ht="12.75" customHeight="1" x14ac:dyDescent="0.25">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row>
    <row r="584" spans="1:27" ht="12.75" customHeight="1" x14ac:dyDescent="0.25">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row>
    <row r="585" spans="1:27" ht="12.75" customHeight="1" x14ac:dyDescent="0.25">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row>
    <row r="586" spans="1:27" ht="12.75" customHeight="1" x14ac:dyDescent="0.25">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row>
    <row r="587" spans="1:27" ht="12.75" customHeight="1" x14ac:dyDescent="0.25">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row>
    <row r="588" spans="1:27" ht="12.75" customHeight="1" x14ac:dyDescent="0.25">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row>
    <row r="589" spans="1:27" ht="12.75" customHeight="1" x14ac:dyDescent="0.25">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row>
    <row r="590" spans="1:27" ht="12.75" customHeight="1" x14ac:dyDescent="0.25">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row>
    <row r="591" spans="1:27" ht="12.75" customHeight="1" x14ac:dyDescent="0.25">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row>
    <row r="592" spans="1:27" ht="12.75" customHeight="1" x14ac:dyDescent="0.25">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row>
    <row r="593" spans="1:27" ht="12.75" customHeight="1" x14ac:dyDescent="0.25">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row>
    <row r="594" spans="1:27" ht="12.75" customHeight="1" x14ac:dyDescent="0.25">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row>
    <row r="595" spans="1:27" ht="12.75" customHeight="1" x14ac:dyDescent="0.25">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row>
    <row r="596" spans="1:27" ht="12.75" customHeight="1" x14ac:dyDescent="0.25">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row>
    <row r="597" spans="1:27" ht="12.75" customHeight="1" x14ac:dyDescent="0.25">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row>
    <row r="598" spans="1:27" ht="12.75" customHeight="1" x14ac:dyDescent="0.25">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row>
    <row r="599" spans="1:27" ht="12.75" customHeight="1" x14ac:dyDescent="0.25">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row>
    <row r="600" spans="1:27" ht="12.75" customHeight="1" x14ac:dyDescent="0.25">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row>
    <row r="601" spans="1:27" ht="12.75" customHeight="1" x14ac:dyDescent="0.25">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row>
    <row r="602" spans="1:27" ht="12.75" customHeight="1" x14ac:dyDescent="0.25">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row>
    <row r="603" spans="1:27" ht="12.75" customHeight="1" x14ac:dyDescent="0.25">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row>
    <row r="604" spans="1:27" ht="12.75" customHeight="1" x14ac:dyDescent="0.25">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row>
    <row r="605" spans="1:27" ht="12.75" customHeight="1" x14ac:dyDescent="0.25">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row>
    <row r="606" spans="1:27" ht="12.75" customHeight="1" x14ac:dyDescent="0.25">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row>
    <row r="607" spans="1:27" ht="12.75" customHeight="1" x14ac:dyDescent="0.25">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row>
    <row r="608" spans="1:27" ht="12.75" customHeight="1" x14ac:dyDescent="0.25">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row>
    <row r="609" spans="1:27" ht="12.75" customHeight="1" x14ac:dyDescent="0.25">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row>
    <row r="610" spans="1:27" ht="12.75" customHeight="1" x14ac:dyDescent="0.25">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row>
    <row r="611" spans="1:27" ht="12.75" customHeight="1" x14ac:dyDescent="0.25">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row>
    <row r="612" spans="1:27" ht="12.75" customHeight="1" x14ac:dyDescent="0.25">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row>
    <row r="613" spans="1:27" ht="12.75" customHeight="1" x14ac:dyDescent="0.25">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row>
    <row r="614" spans="1:27" ht="12.75" customHeight="1" x14ac:dyDescent="0.25">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row>
    <row r="615" spans="1:27" ht="12.75" customHeight="1" x14ac:dyDescent="0.25">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row>
    <row r="616" spans="1:27" ht="12.75" customHeight="1" x14ac:dyDescent="0.25">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row>
    <row r="617" spans="1:27" ht="12.75" customHeight="1" x14ac:dyDescent="0.25">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row>
    <row r="618" spans="1:27" ht="12.75" customHeight="1" x14ac:dyDescent="0.25">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row>
    <row r="619" spans="1:27" ht="12.75" customHeight="1" x14ac:dyDescent="0.25">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row>
    <row r="620" spans="1:27" ht="12.75" customHeight="1" x14ac:dyDescent="0.25">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row>
    <row r="621" spans="1:27" ht="12.75" customHeight="1" x14ac:dyDescent="0.25">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row>
    <row r="622" spans="1:27" ht="12.75" customHeight="1" x14ac:dyDescent="0.25">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row>
    <row r="623" spans="1:27" ht="12.75" customHeight="1" x14ac:dyDescent="0.25">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row>
    <row r="624" spans="1:27" ht="12.75" customHeight="1" x14ac:dyDescent="0.25">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row>
    <row r="625" spans="1:27" ht="12.75" customHeight="1" x14ac:dyDescent="0.25">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row>
    <row r="626" spans="1:27" ht="12.75" customHeight="1" x14ac:dyDescent="0.25">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row>
    <row r="627" spans="1:27" ht="12.75" customHeight="1" x14ac:dyDescent="0.25">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row>
    <row r="628" spans="1:27" ht="12.75" customHeight="1" x14ac:dyDescent="0.25">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row>
    <row r="629" spans="1:27" ht="12.75" customHeight="1" x14ac:dyDescent="0.25">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row>
    <row r="630" spans="1:27" ht="12.75" customHeight="1" x14ac:dyDescent="0.25">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row>
    <row r="631" spans="1:27" ht="12.75" customHeight="1" x14ac:dyDescent="0.25">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row>
    <row r="632" spans="1:27" ht="12.75" customHeight="1" x14ac:dyDescent="0.25">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row>
    <row r="633" spans="1:27" ht="12.75" customHeight="1" x14ac:dyDescent="0.25">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row>
    <row r="634" spans="1:27" ht="12.75" customHeight="1" x14ac:dyDescent="0.25">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row>
    <row r="635" spans="1:27" ht="12.75" customHeight="1" x14ac:dyDescent="0.25">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row>
    <row r="636" spans="1:27" ht="12.75" customHeight="1" x14ac:dyDescent="0.25">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row>
    <row r="637" spans="1:27" ht="12.75" customHeight="1" x14ac:dyDescent="0.25">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row>
    <row r="638" spans="1:27" ht="12.75" customHeight="1" x14ac:dyDescent="0.25">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row>
    <row r="639" spans="1:27" ht="12.75" customHeight="1" x14ac:dyDescent="0.25">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row>
    <row r="640" spans="1:27" ht="12.75" customHeight="1" x14ac:dyDescent="0.25">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row>
    <row r="641" spans="1:27" ht="12.75" customHeight="1" x14ac:dyDescent="0.25">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row>
    <row r="642" spans="1:27" ht="12.75" customHeight="1" x14ac:dyDescent="0.25">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row>
    <row r="643" spans="1:27" ht="12.75" customHeight="1" x14ac:dyDescent="0.25">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row>
    <row r="644" spans="1:27" ht="12.75" customHeight="1" x14ac:dyDescent="0.25">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row>
    <row r="645" spans="1:27" ht="12.75" customHeight="1" x14ac:dyDescent="0.25">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row>
    <row r="646" spans="1:27" ht="12.75" customHeight="1" x14ac:dyDescent="0.25">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row>
    <row r="647" spans="1:27" ht="12.75" customHeight="1" x14ac:dyDescent="0.25">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row>
    <row r="648" spans="1:27" ht="12.75" customHeight="1" x14ac:dyDescent="0.25">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row>
    <row r="649" spans="1:27" ht="12.75" customHeight="1" x14ac:dyDescent="0.25">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row>
    <row r="650" spans="1:27" ht="12.75" customHeight="1" x14ac:dyDescent="0.25">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row>
    <row r="651" spans="1:27" ht="12.75" customHeight="1" x14ac:dyDescent="0.25">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row>
    <row r="652" spans="1:27" ht="12.75" customHeight="1" x14ac:dyDescent="0.25">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row>
    <row r="653" spans="1:27" ht="12.75" customHeight="1" x14ac:dyDescent="0.25">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row>
    <row r="654" spans="1:27" ht="12.75" customHeight="1" x14ac:dyDescent="0.25">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row>
    <row r="655" spans="1:27" ht="12.75" customHeight="1" x14ac:dyDescent="0.25">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row>
    <row r="656" spans="1:27" ht="12.75" customHeight="1" x14ac:dyDescent="0.25">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row>
    <row r="657" spans="1:27" ht="12.75" customHeight="1" x14ac:dyDescent="0.25">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row>
    <row r="658" spans="1:27" ht="12.75" customHeight="1" x14ac:dyDescent="0.25">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row>
    <row r="659" spans="1:27" ht="12.75" customHeight="1" x14ac:dyDescent="0.25">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row>
    <row r="660" spans="1:27" ht="12.75" customHeight="1" x14ac:dyDescent="0.25">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row>
    <row r="661" spans="1:27" ht="12.75" customHeight="1" x14ac:dyDescent="0.25">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row>
    <row r="662" spans="1:27" ht="12.75" customHeight="1" x14ac:dyDescent="0.25">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row>
    <row r="663" spans="1:27" ht="12.75" customHeight="1" x14ac:dyDescent="0.25">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row>
    <row r="664" spans="1:27" ht="12.75" customHeight="1" x14ac:dyDescent="0.25">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row>
    <row r="665" spans="1:27" ht="12.75" customHeight="1" x14ac:dyDescent="0.25">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row>
    <row r="666" spans="1:27" ht="12.75" customHeight="1" x14ac:dyDescent="0.25">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row>
    <row r="667" spans="1:27" ht="12.75" customHeight="1" x14ac:dyDescent="0.25">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row>
    <row r="668" spans="1:27" ht="12.75" customHeight="1" x14ac:dyDescent="0.25">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row>
    <row r="669" spans="1:27" ht="12.75" customHeight="1" x14ac:dyDescent="0.25">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row>
    <row r="670" spans="1:27" ht="12.75" customHeight="1" x14ac:dyDescent="0.25">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row>
    <row r="671" spans="1:27" ht="12.75" customHeight="1" x14ac:dyDescent="0.25">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row>
    <row r="672" spans="1:27" ht="12.75" customHeight="1" x14ac:dyDescent="0.25">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row>
    <row r="673" spans="1:27" ht="12.75" customHeight="1" x14ac:dyDescent="0.25">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row>
    <row r="674" spans="1:27" ht="12.75" customHeight="1" x14ac:dyDescent="0.25">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row>
    <row r="675" spans="1:27" ht="12.75" customHeight="1" x14ac:dyDescent="0.25">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row>
    <row r="676" spans="1:27" ht="12.75" customHeight="1" x14ac:dyDescent="0.25">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row>
    <row r="677" spans="1:27" ht="12.75" customHeight="1" x14ac:dyDescent="0.25">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row>
    <row r="678" spans="1:27" ht="12.75" customHeight="1" x14ac:dyDescent="0.25">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row>
    <row r="679" spans="1:27" ht="12.75" customHeight="1" x14ac:dyDescent="0.25">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row>
    <row r="680" spans="1:27" ht="12.75" customHeight="1" x14ac:dyDescent="0.25">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row>
    <row r="681" spans="1:27" ht="12.75" customHeight="1" x14ac:dyDescent="0.25">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row>
    <row r="682" spans="1:27" ht="12.75" customHeight="1" x14ac:dyDescent="0.25">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row>
    <row r="683" spans="1:27" ht="12.75" customHeight="1" x14ac:dyDescent="0.25">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row>
    <row r="684" spans="1:27" ht="12.75" customHeight="1" x14ac:dyDescent="0.25">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row>
    <row r="685" spans="1:27" ht="12.75" customHeight="1" x14ac:dyDescent="0.25">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row>
    <row r="686" spans="1:27" ht="12.75" customHeight="1" x14ac:dyDescent="0.25">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row>
    <row r="687" spans="1:27" ht="12.75" customHeight="1" x14ac:dyDescent="0.25">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row>
    <row r="688" spans="1:27" ht="12.75" customHeight="1" x14ac:dyDescent="0.25">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row>
    <row r="689" spans="1:27" ht="12.75" customHeight="1" x14ac:dyDescent="0.25">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row>
    <row r="690" spans="1:27" ht="12.75" customHeight="1" x14ac:dyDescent="0.25">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row>
    <row r="691" spans="1:27" ht="12.75" customHeight="1" x14ac:dyDescent="0.25">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row>
    <row r="692" spans="1:27" ht="12.75" customHeight="1" x14ac:dyDescent="0.25">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row>
    <row r="693" spans="1:27" ht="12.75" customHeight="1" x14ac:dyDescent="0.25">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row>
    <row r="694" spans="1:27" ht="12.75" customHeight="1" x14ac:dyDescent="0.25">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row>
    <row r="695" spans="1:27" ht="12.75" customHeight="1" x14ac:dyDescent="0.25">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row>
    <row r="696" spans="1:27" ht="12.75" customHeight="1" x14ac:dyDescent="0.25">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row>
    <row r="697" spans="1:27" ht="12.75" customHeight="1" x14ac:dyDescent="0.25">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row>
    <row r="698" spans="1:27" ht="12.75" customHeight="1" x14ac:dyDescent="0.25">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row>
    <row r="699" spans="1:27" ht="12.75" customHeight="1" x14ac:dyDescent="0.25">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row>
    <row r="700" spans="1:27" ht="12.75" customHeight="1" x14ac:dyDescent="0.25">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row>
    <row r="701" spans="1:27" ht="12.75" customHeight="1" x14ac:dyDescent="0.25">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row>
    <row r="702" spans="1:27" ht="12.75" customHeight="1" x14ac:dyDescent="0.25">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row>
    <row r="703" spans="1:27" ht="12.75" customHeight="1" x14ac:dyDescent="0.25">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row>
    <row r="704" spans="1:27" ht="12.75" customHeight="1" x14ac:dyDescent="0.25">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row>
    <row r="705" spans="1:27" ht="12.75" customHeight="1" x14ac:dyDescent="0.25">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row>
    <row r="706" spans="1:27" ht="12.75" customHeight="1" x14ac:dyDescent="0.25">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row>
    <row r="707" spans="1:27" ht="12.75" customHeight="1" x14ac:dyDescent="0.25">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row>
    <row r="708" spans="1:27" ht="12.75" customHeight="1" x14ac:dyDescent="0.25">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row>
    <row r="709" spans="1:27" ht="12.75" customHeight="1" x14ac:dyDescent="0.25">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row>
    <row r="710" spans="1:27" ht="12.75" customHeight="1" x14ac:dyDescent="0.25">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row>
    <row r="711" spans="1:27" ht="12.75" customHeight="1" x14ac:dyDescent="0.25">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row>
    <row r="712" spans="1:27" ht="12.75" customHeight="1" x14ac:dyDescent="0.25">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row>
    <row r="713" spans="1:27" ht="12.75" customHeight="1" x14ac:dyDescent="0.25">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row>
    <row r="714" spans="1:27" ht="12.75" customHeight="1" x14ac:dyDescent="0.25">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row>
    <row r="715" spans="1:27" ht="12.75" customHeight="1" x14ac:dyDescent="0.25">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row>
    <row r="716" spans="1:27" ht="12.75" customHeight="1" x14ac:dyDescent="0.25">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row>
    <row r="717" spans="1:27" ht="12.75" customHeight="1" x14ac:dyDescent="0.25">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row>
    <row r="718" spans="1:27" ht="12.75" customHeight="1" x14ac:dyDescent="0.25">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row>
    <row r="719" spans="1:27" ht="12.75" customHeight="1" x14ac:dyDescent="0.25">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row>
    <row r="720" spans="1:27" ht="12.75" customHeight="1" x14ac:dyDescent="0.25">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row>
    <row r="721" spans="1:27" ht="12.75" customHeight="1" x14ac:dyDescent="0.25">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row>
    <row r="722" spans="1:27" ht="12.75" customHeight="1" x14ac:dyDescent="0.25">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row>
    <row r="723" spans="1:27" ht="12.75" customHeight="1" x14ac:dyDescent="0.25">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row>
    <row r="724" spans="1:27" ht="12.75" customHeight="1" x14ac:dyDescent="0.25">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row>
    <row r="725" spans="1:27" ht="12.75" customHeight="1" x14ac:dyDescent="0.25">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row>
    <row r="726" spans="1:27" ht="12.75" customHeight="1" x14ac:dyDescent="0.25">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row>
    <row r="727" spans="1:27" ht="12.75" customHeight="1" x14ac:dyDescent="0.25">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row>
    <row r="728" spans="1:27" ht="12.75" customHeight="1" x14ac:dyDescent="0.25">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row>
    <row r="729" spans="1:27" ht="12.75" customHeight="1" x14ac:dyDescent="0.25">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row>
    <row r="730" spans="1:27" ht="12.75" customHeight="1" x14ac:dyDescent="0.25">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row>
    <row r="731" spans="1:27" ht="12.75" customHeight="1" x14ac:dyDescent="0.25">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row>
    <row r="732" spans="1:27" ht="12.75" customHeight="1" x14ac:dyDescent="0.25">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row>
    <row r="733" spans="1:27" ht="12.75" customHeight="1" x14ac:dyDescent="0.25">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row>
    <row r="734" spans="1:27" ht="12.75" customHeight="1" x14ac:dyDescent="0.25">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row>
    <row r="735" spans="1:27" ht="12.75" customHeight="1" x14ac:dyDescent="0.25">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row>
    <row r="736" spans="1:27" ht="12.75" customHeight="1" x14ac:dyDescent="0.25">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row>
    <row r="737" spans="1:27" ht="12.75" customHeight="1" x14ac:dyDescent="0.25">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row>
    <row r="738" spans="1:27" ht="12.75" customHeight="1" x14ac:dyDescent="0.25">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row>
    <row r="739" spans="1:27" ht="12.75" customHeight="1" x14ac:dyDescent="0.25">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row>
    <row r="740" spans="1:27" ht="12.75" customHeight="1" x14ac:dyDescent="0.25">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row>
    <row r="741" spans="1:27" ht="12.75" customHeight="1" x14ac:dyDescent="0.25">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row>
    <row r="742" spans="1:27" ht="12.75" customHeight="1" x14ac:dyDescent="0.25">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row>
    <row r="743" spans="1:27" ht="12.75" customHeight="1" x14ac:dyDescent="0.25">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row>
    <row r="744" spans="1:27" ht="12.75" customHeight="1" x14ac:dyDescent="0.25">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row>
    <row r="745" spans="1:27" ht="12.75" customHeight="1" x14ac:dyDescent="0.25">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row>
    <row r="746" spans="1:27" ht="12.75" customHeight="1" x14ac:dyDescent="0.25">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row>
    <row r="747" spans="1:27" ht="12.75" customHeight="1" x14ac:dyDescent="0.25">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row>
    <row r="748" spans="1:27" ht="12.75" customHeight="1" x14ac:dyDescent="0.25">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row>
    <row r="749" spans="1:27" ht="12.75" customHeight="1" x14ac:dyDescent="0.25">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row>
    <row r="750" spans="1:27" ht="12.75" customHeight="1" x14ac:dyDescent="0.25">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row>
    <row r="751" spans="1:27" ht="12.75" customHeight="1" x14ac:dyDescent="0.25">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row>
    <row r="752" spans="1:27" ht="12.75" customHeight="1" x14ac:dyDescent="0.25">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row>
    <row r="753" spans="1:27" ht="12.75" customHeight="1" x14ac:dyDescent="0.25">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row>
    <row r="754" spans="1:27" ht="12.75" customHeight="1" x14ac:dyDescent="0.25">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row>
    <row r="755" spans="1:27" ht="12.75" customHeight="1" x14ac:dyDescent="0.25">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row>
    <row r="756" spans="1:27" ht="12.75" customHeight="1" x14ac:dyDescent="0.25">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row>
    <row r="757" spans="1:27" ht="12.75" customHeight="1" x14ac:dyDescent="0.25">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row>
    <row r="758" spans="1:27" ht="12.75" customHeight="1" x14ac:dyDescent="0.25">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row>
    <row r="759" spans="1:27" ht="12.75" customHeight="1" x14ac:dyDescent="0.25">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row>
    <row r="760" spans="1:27" ht="12.75" customHeight="1" x14ac:dyDescent="0.25">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row>
    <row r="761" spans="1:27" ht="12.75" customHeight="1" x14ac:dyDescent="0.25">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row>
    <row r="762" spans="1:27" ht="12.75" customHeight="1" x14ac:dyDescent="0.25">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row>
    <row r="763" spans="1:27" ht="12.75" customHeight="1" x14ac:dyDescent="0.25">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row>
    <row r="764" spans="1:27" ht="12.75" customHeight="1" x14ac:dyDescent="0.25">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row>
    <row r="765" spans="1:27" ht="12.75" customHeight="1" x14ac:dyDescent="0.25">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row>
    <row r="766" spans="1:27" ht="12.75" customHeight="1" x14ac:dyDescent="0.25">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row>
    <row r="767" spans="1:27" ht="12.75" customHeight="1" x14ac:dyDescent="0.25">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row>
    <row r="768" spans="1:27" ht="12.75" customHeight="1" x14ac:dyDescent="0.25">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row>
    <row r="769" spans="1:27" ht="12.75" customHeight="1" x14ac:dyDescent="0.25">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row>
    <row r="770" spans="1:27" ht="12.75" customHeight="1" x14ac:dyDescent="0.25">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row>
    <row r="771" spans="1:27" ht="12.75" customHeight="1" x14ac:dyDescent="0.25">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row>
    <row r="772" spans="1:27" ht="12.75" customHeight="1" x14ac:dyDescent="0.25">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row>
    <row r="773" spans="1:27" ht="12.75" customHeight="1" x14ac:dyDescent="0.25">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row>
    <row r="774" spans="1:27" ht="12.75" customHeight="1" x14ac:dyDescent="0.25">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row>
    <row r="775" spans="1:27" ht="12.75" customHeight="1" x14ac:dyDescent="0.25">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row>
    <row r="776" spans="1:27" ht="12.75" customHeight="1" x14ac:dyDescent="0.25">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row>
    <row r="777" spans="1:27" ht="12.75" customHeight="1" x14ac:dyDescent="0.25">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row>
    <row r="778" spans="1:27" ht="12.75" customHeight="1" x14ac:dyDescent="0.25">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row>
    <row r="779" spans="1:27" ht="12.75" customHeight="1" x14ac:dyDescent="0.25">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row>
    <row r="780" spans="1:27" ht="12.75" customHeight="1" x14ac:dyDescent="0.25">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row>
    <row r="781" spans="1:27" ht="12.75" customHeight="1" x14ac:dyDescent="0.25">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row>
    <row r="782" spans="1:27" ht="12.75" customHeight="1" x14ac:dyDescent="0.25">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row>
    <row r="783" spans="1:27" ht="12.75" customHeight="1" x14ac:dyDescent="0.25">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row>
    <row r="784" spans="1:27" ht="12.75" customHeight="1" x14ac:dyDescent="0.25">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row>
    <row r="785" spans="1:27" ht="12.75" customHeight="1" x14ac:dyDescent="0.25">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row>
    <row r="786" spans="1:27" ht="12.75" customHeight="1" x14ac:dyDescent="0.25">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row>
    <row r="787" spans="1:27" ht="12.75" customHeight="1" x14ac:dyDescent="0.25">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row>
    <row r="788" spans="1:27" ht="12.75" customHeight="1" x14ac:dyDescent="0.25">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row>
    <row r="789" spans="1:27" ht="12.75" customHeight="1" x14ac:dyDescent="0.25">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row>
    <row r="790" spans="1:27" ht="12.75" customHeight="1" x14ac:dyDescent="0.25">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row>
    <row r="791" spans="1:27" ht="12.75" customHeight="1" x14ac:dyDescent="0.25">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row>
    <row r="792" spans="1:27" ht="12.75" customHeight="1" x14ac:dyDescent="0.25">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row>
    <row r="793" spans="1:27" ht="12.75" customHeight="1" x14ac:dyDescent="0.25">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row>
    <row r="794" spans="1:27" ht="12.75" customHeight="1" x14ac:dyDescent="0.25">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row>
    <row r="795" spans="1:27" ht="12.75" customHeight="1" x14ac:dyDescent="0.25">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row>
    <row r="796" spans="1:27" ht="12.75" customHeight="1" x14ac:dyDescent="0.25">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row>
    <row r="797" spans="1:27" ht="12.75" customHeight="1" x14ac:dyDescent="0.25">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row>
    <row r="798" spans="1:27" ht="12.75" customHeight="1" x14ac:dyDescent="0.25">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row>
    <row r="799" spans="1:27" ht="12.75" customHeight="1" x14ac:dyDescent="0.25">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row>
    <row r="800" spans="1:27" ht="12.75" customHeight="1" x14ac:dyDescent="0.25">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row>
    <row r="801" spans="1:27" ht="12.75" customHeight="1" x14ac:dyDescent="0.25">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row>
    <row r="802" spans="1:27" ht="12.75" customHeight="1" x14ac:dyDescent="0.25">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row>
    <row r="803" spans="1:27" ht="12.75" customHeight="1" x14ac:dyDescent="0.25">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row>
    <row r="804" spans="1:27" ht="12.75" customHeight="1" x14ac:dyDescent="0.25">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row>
    <row r="805" spans="1:27" ht="12.75" customHeight="1" x14ac:dyDescent="0.25">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row>
    <row r="806" spans="1:27" ht="12.75" customHeight="1" x14ac:dyDescent="0.25">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row>
    <row r="807" spans="1:27" ht="12.75" customHeight="1" x14ac:dyDescent="0.25">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row>
    <row r="808" spans="1:27" ht="12.75" customHeight="1" x14ac:dyDescent="0.25">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row>
    <row r="809" spans="1:27" ht="12.75" customHeight="1" x14ac:dyDescent="0.25">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row>
    <row r="810" spans="1:27" ht="12.75" customHeight="1" x14ac:dyDescent="0.25">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row>
    <row r="811" spans="1:27" ht="12.75" customHeight="1" x14ac:dyDescent="0.25">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row>
    <row r="812" spans="1:27" ht="12.75" customHeight="1" x14ac:dyDescent="0.25">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row>
    <row r="813" spans="1:27" ht="12.75" customHeight="1" x14ac:dyDescent="0.25">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row>
    <row r="814" spans="1:27" ht="12.75" customHeight="1" x14ac:dyDescent="0.25">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row>
    <row r="815" spans="1:27" ht="12.75" customHeight="1" x14ac:dyDescent="0.25">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row>
    <row r="816" spans="1:27" ht="12.75" customHeight="1" x14ac:dyDescent="0.25">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row>
    <row r="817" spans="1:27" ht="12.75" customHeight="1" x14ac:dyDescent="0.25">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row>
    <row r="818" spans="1:27" ht="12.75" customHeight="1" x14ac:dyDescent="0.25">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row>
    <row r="819" spans="1:27" ht="12.75" customHeight="1" x14ac:dyDescent="0.25">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row>
    <row r="820" spans="1:27" ht="12.75" customHeight="1" x14ac:dyDescent="0.25">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row>
    <row r="821" spans="1:27" ht="12.75" customHeight="1" x14ac:dyDescent="0.25">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row>
    <row r="822" spans="1:27" ht="12.75" customHeight="1" x14ac:dyDescent="0.25">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row>
    <row r="823" spans="1:27" ht="12.75" customHeight="1" x14ac:dyDescent="0.25">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row>
    <row r="824" spans="1:27" ht="12.75" customHeight="1" x14ac:dyDescent="0.25">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row>
    <row r="825" spans="1:27" ht="12.75" customHeight="1" x14ac:dyDescent="0.25">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row>
    <row r="826" spans="1:27" ht="12.75" customHeight="1" x14ac:dyDescent="0.25">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row>
    <row r="827" spans="1:27" ht="12.75" customHeight="1" x14ac:dyDescent="0.25">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row>
    <row r="828" spans="1:27" ht="12.75" customHeight="1" x14ac:dyDescent="0.25">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row>
    <row r="829" spans="1:27" ht="12.75" customHeight="1" x14ac:dyDescent="0.25">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row>
    <row r="830" spans="1:27" ht="12.75" customHeight="1" x14ac:dyDescent="0.25">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row>
    <row r="831" spans="1:27" ht="12.75" customHeight="1" x14ac:dyDescent="0.25">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row>
    <row r="832" spans="1:27" ht="12.75" customHeight="1" x14ac:dyDescent="0.25">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row>
    <row r="833" spans="1:27" ht="12.75" customHeight="1" x14ac:dyDescent="0.25">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row>
    <row r="834" spans="1:27" ht="12.75" customHeight="1" x14ac:dyDescent="0.25">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row>
    <row r="835" spans="1:27" ht="12.75" customHeight="1" x14ac:dyDescent="0.25">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row>
    <row r="836" spans="1:27" ht="12.75" customHeight="1" x14ac:dyDescent="0.25">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row>
    <row r="837" spans="1:27" ht="12.75" customHeight="1" x14ac:dyDescent="0.25">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row>
    <row r="838" spans="1:27" ht="12.75" customHeight="1" x14ac:dyDescent="0.25">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row>
    <row r="839" spans="1:27" ht="12.75" customHeight="1" x14ac:dyDescent="0.25">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row>
    <row r="840" spans="1:27" ht="12.75" customHeight="1" x14ac:dyDescent="0.25">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row>
    <row r="841" spans="1:27" ht="12.75" customHeight="1" x14ac:dyDescent="0.25">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row>
    <row r="842" spans="1:27" ht="12.75" customHeight="1" x14ac:dyDescent="0.25">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row>
    <row r="843" spans="1:27" ht="12.75" customHeight="1" x14ac:dyDescent="0.25">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row>
    <row r="844" spans="1:27" ht="12.75" customHeight="1" x14ac:dyDescent="0.25">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row>
    <row r="845" spans="1:27" ht="12.75" customHeight="1" x14ac:dyDescent="0.25">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row>
    <row r="846" spans="1:27" ht="12.75" customHeight="1" x14ac:dyDescent="0.25">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row>
    <row r="847" spans="1:27" ht="12.75" customHeight="1" x14ac:dyDescent="0.25">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row>
    <row r="848" spans="1:27" ht="12.75" customHeight="1" x14ac:dyDescent="0.25">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row>
    <row r="849" spans="1:27" ht="12.75" customHeight="1" x14ac:dyDescent="0.25">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row>
    <row r="850" spans="1:27" ht="12.75" customHeight="1" x14ac:dyDescent="0.25">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row>
    <row r="851" spans="1:27" ht="12.75" customHeight="1" x14ac:dyDescent="0.25">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row>
    <row r="852" spans="1:27" ht="12.75" customHeight="1" x14ac:dyDescent="0.25">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row>
    <row r="853" spans="1:27" ht="12.75" customHeight="1" x14ac:dyDescent="0.25">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row>
    <row r="854" spans="1:27" ht="12.75" customHeight="1" x14ac:dyDescent="0.25">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row>
    <row r="855" spans="1:27" ht="12.75" customHeight="1" x14ac:dyDescent="0.25">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row>
    <row r="856" spans="1:27" ht="12.75" customHeight="1" x14ac:dyDescent="0.25">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row>
    <row r="857" spans="1:27" ht="12.75" customHeight="1" x14ac:dyDescent="0.25">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row>
    <row r="858" spans="1:27" ht="12.75" customHeight="1" x14ac:dyDescent="0.25">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row>
    <row r="859" spans="1:27" ht="12.75" customHeight="1" x14ac:dyDescent="0.25">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row>
    <row r="860" spans="1:27" ht="12.75" customHeight="1" x14ac:dyDescent="0.25">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row>
    <row r="861" spans="1:27" ht="12.75" customHeight="1" x14ac:dyDescent="0.25">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row>
    <row r="862" spans="1:27" ht="12.75" customHeight="1" x14ac:dyDescent="0.25">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row>
    <row r="863" spans="1:27" ht="12.75" customHeight="1" x14ac:dyDescent="0.25">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row>
    <row r="864" spans="1:27" ht="12.75" customHeight="1" x14ac:dyDescent="0.25">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row>
    <row r="865" spans="1:27" ht="12.75" customHeight="1" x14ac:dyDescent="0.25">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row>
    <row r="866" spans="1:27" ht="12.75" customHeight="1" x14ac:dyDescent="0.25">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row>
    <row r="867" spans="1:27" ht="12.75" customHeight="1" x14ac:dyDescent="0.25">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row>
    <row r="868" spans="1:27" ht="12.75" customHeight="1" x14ac:dyDescent="0.25">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row>
    <row r="869" spans="1:27" ht="12.75" customHeight="1" x14ac:dyDescent="0.25">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row>
    <row r="870" spans="1:27" ht="12.75" customHeight="1" x14ac:dyDescent="0.25">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row>
    <row r="871" spans="1:27" ht="12.75" customHeight="1" x14ac:dyDescent="0.25">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row>
    <row r="872" spans="1:27" ht="12.75" customHeight="1" x14ac:dyDescent="0.25">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row>
    <row r="873" spans="1:27" ht="12.75" customHeight="1" x14ac:dyDescent="0.25">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row>
    <row r="874" spans="1:27" ht="12.75" customHeight="1" x14ac:dyDescent="0.25">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row>
    <row r="875" spans="1:27" ht="12.75" customHeight="1" x14ac:dyDescent="0.25">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row>
    <row r="876" spans="1:27" ht="12.75" customHeight="1" x14ac:dyDescent="0.25">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row>
    <row r="877" spans="1:27" ht="12.75" customHeight="1" x14ac:dyDescent="0.25">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row>
    <row r="878" spans="1:27" ht="12.75" customHeight="1" x14ac:dyDescent="0.25">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row>
    <row r="879" spans="1:27" ht="12.75" customHeight="1" x14ac:dyDescent="0.25">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row>
    <row r="880" spans="1:27" ht="12.75" customHeight="1" x14ac:dyDescent="0.25">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row>
    <row r="881" spans="1:27" ht="12.75" customHeight="1" x14ac:dyDescent="0.25">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row>
    <row r="882" spans="1:27" ht="12.75" customHeight="1" x14ac:dyDescent="0.25">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row>
    <row r="883" spans="1:27" ht="12.75" customHeight="1" x14ac:dyDescent="0.25">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row>
    <row r="884" spans="1:27" ht="12.75" customHeight="1" x14ac:dyDescent="0.25">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row>
    <row r="885" spans="1:27" ht="12.75" customHeight="1" x14ac:dyDescent="0.25">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row>
    <row r="886" spans="1:27" ht="12.75" customHeight="1" x14ac:dyDescent="0.25">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row>
    <row r="887" spans="1:27" ht="12.75" customHeight="1" x14ac:dyDescent="0.25">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row>
    <row r="888" spans="1:27" ht="12.75" customHeight="1" x14ac:dyDescent="0.25">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row>
    <row r="889" spans="1:27" ht="12.75" customHeight="1" x14ac:dyDescent="0.25">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row>
    <row r="890" spans="1:27" ht="12.75" customHeight="1" x14ac:dyDescent="0.25">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row>
    <row r="891" spans="1:27" ht="12.75" customHeight="1" x14ac:dyDescent="0.25">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row>
    <row r="892" spans="1:27" ht="12.75" customHeight="1" x14ac:dyDescent="0.25">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row>
    <row r="893" spans="1:27" ht="12.75" customHeight="1" x14ac:dyDescent="0.25">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row>
    <row r="894" spans="1:27" ht="12.75" customHeight="1" x14ac:dyDescent="0.25">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row>
    <row r="895" spans="1:27" ht="12.75" customHeight="1" x14ac:dyDescent="0.25">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row>
    <row r="896" spans="1:27" ht="12.75" customHeight="1" x14ac:dyDescent="0.25">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row>
    <row r="897" spans="1:27" ht="12.75" customHeight="1" x14ac:dyDescent="0.25">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row>
    <row r="898" spans="1:27" ht="12.75" customHeight="1" x14ac:dyDescent="0.25">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row>
    <row r="899" spans="1:27" ht="12.75" customHeight="1" x14ac:dyDescent="0.25">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row>
    <row r="900" spans="1:27" ht="12.75" customHeight="1" x14ac:dyDescent="0.25">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row>
    <row r="901" spans="1:27" ht="12.75" customHeight="1" x14ac:dyDescent="0.25">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row>
    <row r="902" spans="1:27" ht="12.75" customHeight="1" x14ac:dyDescent="0.25">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row>
    <row r="903" spans="1:27" ht="12.75" customHeight="1" x14ac:dyDescent="0.25">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row>
    <row r="904" spans="1:27" ht="12.75" customHeight="1" x14ac:dyDescent="0.25">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row>
    <row r="905" spans="1:27" ht="12.75" customHeight="1" x14ac:dyDescent="0.25">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row>
    <row r="906" spans="1:27" ht="12.75" customHeight="1" x14ac:dyDescent="0.25">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row>
    <row r="907" spans="1:27" ht="12.75" customHeight="1" x14ac:dyDescent="0.25">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row>
    <row r="908" spans="1:27" ht="12.75" customHeight="1" x14ac:dyDescent="0.25">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row>
    <row r="909" spans="1:27" ht="12.75" customHeight="1" x14ac:dyDescent="0.25">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row>
    <row r="910" spans="1:27" ht="12.75" customHeight="1" x14ac:dyDescent="0.25">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row>
    <row r="911" spans="1:27" ht="12.75" customHeight="1" x14ac:dyDescent="0.25">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row>
    <row r="912" spans="1:27" ht="12.75" customHeight="1" x14ac:dyDescent="0.25">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row>
    <row r="913" spans="1:27" ht="12.75" customHeight="1" x14ac:dyDescent="0.25">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row>
    <row r="914" spans="1:27" ht="12.75" customHeight="1" x14ac:dyDescent="0.25">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row>
    <row r="915" spans="1:27" ht="12.75" customHeight="1" x14ac:dyDescent="0.25">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row>
    <row r="916" spans="1:27" ht="12.75" customHeight="1" x14ac:dyDescent="0.25">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row>
    <row r="917" spans="1:27" ht="12.75" customHeight="1" x14ac:dyDescent="0.25">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row>
    <row r="918" spans="1:27" ht="12.75" customHeight="1" x14ac:dyDescent="0.25">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row>
    <row r="919" spans="1:27" ht="12.75" customHeight="1" x14ac:dyDescent="0.25">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row>
    <row r="920" spans="1:27" ht="12.75" customHeight="1" x14ac:dyDescent="0.25">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row>
    <row r="921" spans="1:27" ht="12.75" customHeight="1" x14ac:dyDescent="0.25">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row>
    <row r="922" spans="1:27" ht="12.75" customHeight="1" x14ac:dyDescent="0.25">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row>
    <row r="923" spans="1:27" ht="12.75" customHeight="1" x14ac:dyDescent="0.25">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row>
    <row r="924" spans="1:27" ht="12.75" customHeight="1" x14ac:dyDescent="0.25">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row>
    <row r="925" spans="1:27" ht="12.75" customHeight="1" x14ac:dyDescent="0.25">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row>
    <row r="926" spans="1:27" ht="12.75" customHeight="1" x14ac:dyDescent="0.25">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row>
    <row r="927" spans="1:27" ht="12.75" customHeight="1" x14ac:dyDescent="0.25">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row>
    <row r="928" spans="1:27" ht="12.75" customHeight="1" x14ac:dyDescent="0.25">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row>
    <row r="929" spans="1:27" ht="12.75" customHeight="1" x14ac:dyDescent="0.25">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row>
    <row r="930" spans="1:27" ht="12.75" customHeight="1" x14ac:dyDescent="0.25">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row>
    <row r="931" spans="1:27" ht="12.75" customHeight="1" x14ac:dyDescent="0.25">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row>
    <row r="932" spans="1:27" ht="12.75" customHeight="1" x14ac:dyDescent="0.25">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row>
    <row r="933" spans="1:27" ht="12.75" customHeight="1" x14ac:dyDescent="0.25">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row>
    <row r="934" spans="1:27" ht="12.75" customHeight="1" x14ac:dyDescent="0.25">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row>
    <row r="935" spans="1:27" ht="12.75" customHeight="1" x14ac:dyDescent="0.25">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row>
    <row r="936" spans="1:27" ht="12.75" customHeight="1" x14ac:dyDescent="0.25">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row>
    <row r="937" spans="1:27" ht="12.75" customHeight="1" x14ac:dyDescent="0.25">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row>
    <row r="938" spans="1:27" ht="12.75" customHeight="1" x14ac:dyDescent="0.25">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row>
    <row r="939" spans="1:27" ht="12.75" customHeight="1" x14ac:dyDescent="0.25">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row>
    <row r="940" spans="1:27" ht="12.75" customHeight="1" x14ac:dyDescent="0.25">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row>
    <row r="941" spans="1:27" ht="12.75" customHeight="1" x14ac:dyDescent="0.25">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row>
    <row r="942" spans="1:27" ht="12.75" customHeight="1" x14ac:dyDescent="0.25">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row>
    <row r="943" spans="1:27" ht="12.75" customHeight="1" x14ac:dyDescent="0.25">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row>
    <row r="944" spans="1:27" ht="12.75" customHeight="1" x14ac:dyDescent="0.25">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row>
    <row r="945" spans="1:27" ht="12.75" customHeight="1" x14ac:dyDescent="0.25">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row>
    <row r="946" spans="1:27" ht="12.75" customHeight="1" x14ac:dyDescent="0.25">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row>
    <row r="947" spans="1:27" ht="12.75" customHeight="1" x14ac:dyDescent="0.25">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row>
    <row r="948" spans="1:27" ht="12.75" customHeight="1" x14ac:dyDescent="0.25">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row>
    <row r="949" spans="1:27" ht="12.75" customHeight="1" x14ac:dyDescent="0.25">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row>
    <row r="950" spans="1:27" ht="12.75" customHeight="1" x14ac:dyDescent="0.25">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row>
    <row r="951" spans="1:27" ht="12.75" customHeight="1" x14ac:dyDescent="0.25">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row>
    <row r="952" spans="1:27" ht="12.75" customHeight="1" x14ac:dyDescent="0.25">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row>
    <row r="953" spans="1:27" ht="12.75" customHeight="1" x14ac:dyDescent="0.25">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row>
    <row r="954" spans="1:27" ht="12.75" customHeight="1" x14ac:dyDescent="0.25">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row>
    <row r="955" spans="1:27" ht="12.75" customHeight="1" x14ac:dyDescent="0.25">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row>
    <row r="956" spans="1:27" ht="12.75" customHeight="1" x14ac:dyDescent="0.25">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row>
    <row r="957" spans="1:27" ht="12.75" customHeight="1" x14ac:dyDescent="0.25">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row>
    <row r="958" spans="1:27" ht="12.75" customHeight="1" x14ac:dyDescent="0.25">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row>
    <row r="959" spans="1:27" ht="12.75" customHeight="1" x14ac:dyDescent="0.25">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row>
    <row r="960" spans="1:27" ht="12.75" customHeight="1" x14ac:dyDescent="0.25">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row>
    <row r="961" spans="1:27" ht="12.75" customHeight="1" x14ac:dyDescent="0.25">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row>
    <row r="962" spans="1:27" ht="12.75" customHeight="1" x14ac:dyDescent="0.25">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row>
    <row r="963" spans="1:27" ht="12.75" customHeight="1" x14ac:dyDescent="0.25">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row>
    <row r="964" spans="1:27" ht="12.75" customHeight="1" x14ac:dyDescent="0.25">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row>
    <row r="965" spans="1:27" ht="12.75" customHeight="1" x14ac:dyDescent="0.25">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row>
    <row r="966" spans="1:27" ht="12.75" customHeight="1" x14ac:dyDescent="0.25">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row>
    <row r="967" spans="1:27" ht="12.75" customHeight="1" x14ac:dyDescent="0.25">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row>
    <row r="968" spans="1:27" ht="12.75" customHeight="1" x14ac:dyDescent="0.25">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row>
    <row r="969" spans="1:27" ht="12.75" customHeight="1" x14ac:dyDescent="0.25">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row>
    <row r="970" spans="1:27" ht="12.75" customHeight="1" x14ac:dyDescent="0.25">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row>
    <row r="971" spans="1:27" ht="12.75" customHeight="1" x14ac:dyDescent="0.25">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row>
    <row r="972" spans="1:27" ht="12.75" customHeight="1" x14ac:dyDescent="0.25">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row>
    <row r="973" spans="1:27" ht="12.75" customHeight="1" x14ac:dyDescent="0.25">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row>
    <row r="974" spans="1:27" ht="12.75" customHeight="1" x14ac:dyDescent="0.25">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row>
    <row r="975" spans="1:27" ht="12.75" customHeight="1" x14ac:dyDescent="0.25">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row>
    <row r="976" spans="1:27" ht="12.75" customHeight="1" x14ac:dyDescent="0.25">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row>
    <row r="977" spans="1:27" ht="12.75" customHeight="1" x14ac:dyDescent="0.25">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row>
    <row r="978" spans="1:27" ht="12.75" customHeight="1" x14ac:dyDescent="0.25">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row>
    <row r="979" spans="1:27" ht="12.75" customHeight="1" x14ac:dyDescent="0.25">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row>
    <row r="980" spans="1:27" ht="12.75" customHeight="1" x14ac:dyDescent="0.25">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row>
    <row r="981" spans="1:27" ht="12.75" customHeight="1" x14ac:dyDescent="0.25">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row>
    <row r="982" spans="1:27" ht="12.75" customHeight="1" x14ac:dyDescent="0.25">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row>
    <row r="983" spans="1:27" ht="12.75" customHeight="1" x14ac:dyDescent="0.25">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row>
    <row r="984" spans="1:27" ht="12.75" customHeight="1" x14ac:dyDescent="0.25">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row>
    <row r="985" spans="1:27" ht="12.75" customHeight="1" x14ac:dyDescent="0.25">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row>
    <row r="986" spans="1:27" ht="12.75" customHeight="1" x14ac:dyDescent="0.25">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row>
    <row r="987" spans="1:27" ht="12.75" customHeight="1" x14ac:dyDescent="0.25">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row>
    <row r="988" spans="1:27" ht="12.75" customHeight="1" x14ac:dyDescent="0.25">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row>
    <row r="989" spans="1:27" ht="12.75" customHeight="1" x14ac:dyDescent="0.25">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row>
    <row r="990" spans="1:27" ht="12.75" customHeight="1" x14ac:dyDescent="0.25">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row>
    <row r="991" spans="1:27" ht="12.75" customHeight="1" x14ac:dyDescent="0.25">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row>
    <row r="992" spans="1:27" ht="12.75" customHeight="1" x14ac:dyDescent="0.25">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row>
    <row r="993" spans="1:27" ht="12.75" customHeight="1" x14ac:dyDescent="0.25">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row>
    <row r="994" spans="1:27" ht="12.75" customHeight="1" x14ac:dyDescent="0.25">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row>
    <row r="995" spans="1:27" ht="12.75" customHeight="1" x14ac:dyDescent="0.25">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row>
    <row r="996" spans="1:27" ht="12.75" customHeight="1" x14ac:dyDescent="0.25">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row>
    <row r="997" spans="1:27" ht="12.75" customHeight="1" x14ac:dyDescent="0.25">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row>
    <row r="998" spans="1:27" ht="12.75" customHeight="1" x14ac:dyDescent="0.25">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row>
    <row r="999" spans="1:27" ht="12.75" customHeight="1" x14ac:dyDescent="0.25">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row>
    <row r="1000" spans="1:27" ht="12.75" customHeight="1" x14ac:dyDescent="0.25">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row>
    <row r="1001" spans="1:27" ht="12.75" customHeight="1" x14ac:dyDescent="0.25">
      <c r="A1001" s="26"/>
      <c r="B1001" s="26"/>
      <c r="C1001" s="26"/>
      <c r="D1001" s="26"/>
      <c r="E1001" s="26"/>
      <c r="F1001" s="26"/>
      <c r="G1001" s="26"/>
      <c r="H1001" s="26"/>
      <c r="I1001" s="26"/>
      <c r="J1001" s="26"/>
      <c r="K1001" s="26"/>
      <c r="L1001" s="26"/>
      <c r="M1001" s="26"/>
      <c r="N1001" s="26"/>
      <c r="O1001" s="26"/>
      <c r="P1001" s="26"/>
      <c r="Q1001" s="26"/>
      <c r="R1001" s="26"/>
      <c r="S1001" s="26"/>
      <c r="T1001" s="26"/>
      <c r="U1001" s="26"/>
      <c r="V1001" s="26"/>
      <c r="W1001" s="26"/>
      <c r="X1001" s="26"/>
      <c r="Y1001" s="26"/>
      <c r="Z1001" s="26"/>
      <c r="AA1001" s="26"/>
    </row>
    <row r="1002" spans="1:27" ht="12.75" customHeight="1" x14ac:dyDescent="0.25">
      <c r="A1002" s="26"/>
      <c r="B1002" s="26"/>
      <c r="C1002" s="26"/>
      <c r="D1002" s="26"/>
      <c r="E1002" s="26"/>
      <c r="F1002" s="26"/>
      <c r="G1002" s="26"/>
      <c r="H1002" s="26"/>
      <c r="I1002" s="26"/>
      <c r="J1002" s="26"/>
      <c r="K1002" s="26"/>
      <c r="L1002" s="26"/>
      <c r="M1002" s="26"/>
      <c r="N1002" s="26"/>
      <c r="O1002" s="26"/>
      <c r="P1002" s="26"/>
      <c r="Q1002" s="26"/>
      <c r="R1002" s="26"/>
      <c r="S1002" s="26"/>
      <c r="T1002" s="26"/>
      <c r="U1002" s="26"/>
      <c r="V1002" s="26"/>
      <c r="W1002" s="26"/>
      <c r="X1002" s="26"/>
      <c r="Y1002" s="26"/>
      <c r="Z1002" s="26"/>
      <c r="AA1002" s="26"/>
    </row>
    <row r="1003" spans="1:27" ht="12.75" customHeight="1" x14ac:dyDescent="0.25">
      <c r="A1003" s="26"/>
      <c r="B1003" s="26"/>
      <c r="C1003" s="26"/>
      <c r="D1003" s="26"/>
      <c r="E1003" s="26"/>
      <c r="F1003" s="26"/>
      <c r="G1003" s="26"/>
      <c r="H1003" s="26"/>
      <c r="I1003" s="26"/>
      <c r="J1003" s="26"/>
      <c r="K1003" s="26"/>
      <c r="L1003" s="26"/>
      <c r="M1003" s="26"/>
      <c r="N1003" s="26"/>
      <c r="O1003" s="26"/>
      <c r="P1003" s="26"/>
      <c r="Q1003" s="26"/>
      <c r="R1003" s="26"/>
      <c r="S1003" s="26"/>
      <c r="T1003" s="26"/>
      <c r="U1003" s="26"/>
      <c r="V1003" s="26"/>
      <c r="W1003" s="26"/>
      <c r="X1003" s="26"/>
      <c r="Y1003" s="26"/>
      <c r="Z1003" s="26"/>
      <c r="AA1003" s="26"/>
    </row>
    <row r="1004" spans="1:27" ht="12.75" customHeight="1" x14ac:dyDescent="0.25">
      <c r="A1004" s="26"/>
      <c r="B1004" s="26"/>
      <c r="C1004" s="26"/>
      <c r="D1004" s="26"/>
      <c r="E1004" s="26"/>
      <c r="F1004" s="26"/>
      <c r="G1004" s="26"/>
      <c r="H1004" s="26"/>
      <c r="I1004" s="26"/>
      <c r="J1004" s="26"/>
      <c r="K1004" s="26"/>
      <c r="L1004" s="26"/>
      <c r="M1004" s="26"/>
      <c r="N1004" s="26"/>
      <c r="O1004" s="26"/>
      <c r="P1004" s="26"/>
      <c r="Q1004" s="26"/>
      <c r="R1004" s="26"/>
      <c r="S1004" s="26"/>
      <c r="T1004" s="26"/>
      <c r="U1004" s="26"/>
      <c r="V1004" s="26"/>
      <c r="W1004" s="26"/>
      <c r="X1004" s="26"/>
      <c r="Y1004" s="26"/>
      <c r="Z1004" s="26"/>
      <c r="AA1004" s="26"/>
    </row>
    <row r="1005" spans="1:27" ht="12.75" customHeight="1" x14ac:dyDescent="0.25">
      <c r="A1005" s="26"/>
      <c r="B1005" s="26"/>
      <c r="C1005" s="26"/>
      <c r="D1005" s="26"/>
      <c r="E1005" s="26"/>
      <c r="F1005" s="26"/>
      <c r="G1005" s="26"/>
      <c r="H1005" s="26"/>
      <c r="I1005" s="26"/>
      <c r="J1005" s="26"/>
      <c r="K1005" s="26"/>
      <c r="L1005" s="26"/>
      <c r="M1005" s="26"/>
      <c r="N1005" s="26"/>
      <c r="O1005" s="26"/>
      <c r="P1005" s="26"/>
      <c r="Q1005" s="26"/>
      <c r="R1005" s="26"/>
      <c r="S1005" s="26"/>
      <c r="T1005" s="26"/>
      <c r="U1005" s="26"/>
      <c r="V1005" s="26"/>
      <c r="W1005" s="26"/>
      <c r="X1005" s="26"/>
      <c r="Y1005" s="26"/>
      <c r="Z1005" s="26"/>
      <c r="AA1005" s="26"/>
    </row>
    <row r="1006" spans="1:27" ht="12.75" customHeight="1" x14ac:dyDescent="0.25">
      <c r="A1006" s="26"/>
      <c r="B1006" s="26"/>
      <c r="C1006" s="26"/>
      <c r="D1006" s="26"/>
      <c r="E1006" s="26"/>
      <c r="F1006" s="26"/>
      <c r="G1006" s="26"/>
      <c r="H1006" s="26"/>
      <c r="I1006" s="26"/>
      <c r="J1006" s="26"/>
      <c r="K1006" s="26"/>
      <c r="L1006" s="26"/>
      <c r="M1006" s="26"/>
      <c r="N1006" s="26"/>
      <c r="O1006" s="26"/>
      <c r="P1006" s="26"/>
      <c r="Q1006" s="26"/>
      <c r="R1006" s="26"/>
      <c r="S1006" s="26"/>
      <c r="T1006" s="26"/>
      <c r="U1006" s="26"/>
      <c r="V1006" s="26"/>
      <c r="W1006" s="26"/>
      <c r="X1006" s="26"/>
      <c r="Y1006" s="26"/>
      <c r="Z1006" s="26"/>
      <c r="AA1006" s="26"/>
    </row>
    <row r="1007" spans="1:27" ht="12.75" customHeight="1" x14ac:dyDescent="0.25">
      <c r="A1007" s="26"/>
      <c r="B1007" s="26"/>
      <c r="C1007" s="26"/>
      <c r="D1007" s="26"/>
      <c r="E1007" s="26"/>
      <c r="F1007" s="26"/>
      <c r="G1007" s="26"/>
      <c r="H1007" s="26"/>
      <c r="I1007" s="26"/>
      <c r="J1007" s="26"/>
      <c r="K1007" s="26"/>
      <c r="L1007" s="26"/>
      <c r="M1007" s="26"/>
      <c r="N1007" s="26"/>
      <c r="O1007" s="26"/>
      <c r="P1007" s="26"/>
      <c r="Q1007" s="26"/>
      <c r="R1007" s="26"/>
      <c r="S1007" s="26"/>
      <c r="T1007" s="26"/>
      <c r="U1007" s="26"/>
      <c r="V1007" s="26"/>
      <c r="W1007" s="26"/>
      <c r="X1007" s="26"/>
      <c r="Y1007" s="26"/>
      <c r="Z1007" s="26"/>
      <c r="AA1007" s="26"/>
    </row>
    <row r="1008" spans="1:27" ht="15" customHeight="1" x14ac:dyDescent="0.25">
      <c r="E1008" s="26"/>
      <c r="F1008" s="26"/>
      <c r="G1008" s="26"/>
      <c r="H1008" s="26"/>
      <c r="I1008" s="26"/>
      <c r="J1008" s="26"/>
      <c r="K1008" s="26"/>
      <c r="L1008" s="26"/>
      <c r="M1008" s="26"/>
    </row>
  </sheetData>
  <mergeCells count="32">
    <mergeCell ref="C1:M1"/>
    <mergeCell ref="K4:K5"/>
    <mergeCell ref="L4:L5"/>
    <mergeCell ref="M4:M5"/>
    <mergeCell ref="C2:M2"/>
    <mergeCell ref="D3:E3"/>
    <mergeCell ref="F3:M3"/>
    <mergeCell ref="F4:F5"/>
    <mergeCell ref="G4:G5"/>
    <mergeCell ref="H4:H5"/>
    <mergeCell ref="I4:I5"/>
    <mergeCell ref="J4:J5"/>
    <mergeCell ref="B4:B5"/>
    <mergeCell ref="C4:C5"/>
    <mergeCell ref="D4:D5"/>
    <mergeCell ref="E4:E5"/>
    <mergeCell ref="C41:C42"/>
    <mergeCell ref="D41:D42"/>
    <mergeCell ref="E41:E42"/>
    <mergeCell ref="C76:C81"/>
    <mergeCell ref="J41:J42"/>
    <mergeCell ref="C84:C87"/>
    <mergeCell ref="F41:F42"/>
    <mergeCell ref="G41:G42"/>
    <mergeCell ref="H41:H42"/>
    <mergeCell ref="I41:I42"/>
    <mergeCell ref="P6:T6"/>
    <mergeCell ref="P7:T13"/>
    <mergeCell ref="D89:D94"/>
    <mergeCell ref="K41:K42"/>
    <mergeCell ref="L41:L42"/>
    <mergeCell ref="M41:M42"/>
  </mergeCells>
  <phoneticPr fontId="29" type="noConversion"/>
  <pageMargins left="0.56999999999999995" right="0.31" top="0.4" bottom="0.52" header="0" footer="0"/>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99"/>
  <sheetViews>
    <sheetView topLeftCell="A28" zoomScale="77" zoomScaleNormal="160" workbookViewId="0">
      <selection activeCell="B63" sqref="B63"/>
    </sheetView>
  </sheetViews>
  <sheetFormatPr defaultColWidth="12.6640625" defaultRowHeight="15" customHeight="1" x14ac:dyDescent="0.25"/>
  <cols>
    <col min="1" max="1" width="2.33203125" style="59" customWidth="1"/>
    <col min="2" max="2" width="72.88671875" style="59" customWidth="1"/>
    <col min="3" max="4" width="10" style="59" customWidth="1"/>
    <col min="5" max="5" width="9.109375" style="59" customWidth="1"/>
    <col min="6" max="6" width="11.21875" style="59" bestFit="1" customWidth="1"/>
    <col min="7" max="9" width="12.6640625" style="59" bestFit="1" customWidth="1"/>
    <col min="10" max="12" width="13.77734375" style="59" bestFit="1" customWidth="1"/>
    <col min="13" max="13" width="8.6640625" style="59" customWidth="1"/>
    <col min="14" max="14" width="67.109375" style="59" bestFit="1" customWidth="1"/>
    <col min="15" max="21" width="8.6640625" style="59" customWidth="1"/>
    <col min="22" max="22" width="10.21875" style="59" bestFit="1" customWidth="1"/>
    <col min="23" max="26" width="8.6640625" style="59" customWidth="1"/>
    <col min="27" max="16384" width="12.6640625" style="59"/>
  </cols>
  <sheetData>
    <row r="1" spans="1:26" ht="12.75" customHeight="1" x14ac:dyDescent="0.3">
      <c r="B1" s="38" t="s">
        <v>164</v>
      </c>
      <c r="C1" s="38"/>
      <c r="D1" s="38"/>
      <c r="E1" s="38"/>
      <c r="F1" s="38"/>
      <c r="G1" s="38"/>
      <c r="H1" s="38"/>
      <c r="I1" s="38"/>
      <c r="J1" s="38"/>
      <c r="K1" s="38"/>
      <c r="L1" s="38"/>
      <c r="M1" s="26"/>
      <c r="N1" s="26"/>
      <c r="O1" s="26"/>
      <c r="P1" s="26"/>
      <c r="Q1" s="26"/>
      <c r="R1" s="26"/>
      <c r="S1" s="26"/>
      <c r="T1" s="26"/>
      <c r="U1" s="26"/>
      <c r="V1" s="26"/>
      <c r="W1" s="26"/>
      <c r="X1" s="26"/>
      <c r="Y1" s="26"/>
      <c r="Z1" s="26"/>
    </row>
    <row r="2" spans="1:26" ht="12.75" customHeight="1" x14ac:dyDescent="0.25">
      <c r="B2" s="180" t="s">
        <v>166</v>
      </c>
      <c r="C2" s="180"/>
      <c r="D2" s="180"/>
      <c r="E2" s="180"/>
      <c r="F2" s="180"/>
      <c r="G2" s="180"/>
      <c r="H2" s="180"/>
      <c r="I2" s="180"/>
      <c r="J2" s="180"/>
      <c r="K2" s="180"/>
      <c r="L2" s="180"/>
      <c r="M2" s="26"/>
      <c r="N2" s="26"/>
      <c r="O2" s="26"/>
      <c r="P2" s="26"/>
      <c r="Q2" s="26"/>
      <c r="R2" s="26"/>
      <c r="S2" s="26"/>
      <c r="T2" s="26"/>
      <c r="U2" s="26"/>
      <c r="V2" s="26"/>
      <c r="W2" s="26"/>
      <c r="X2" s="26"/>
      <c r="Y2" s="26"/>
      <c r="Z2" s="26"/>
    </row>
    <row r="3" spans="1:26" ht="12.75" customHeight="1" x14ac:dyDescent="0.25">
      <c r="B3" s="37"/>
      <c r="C3" s="183" t="s">
        <v>95</v>
      </c>
      <c r="D3" s="183"/>
      <c r="E3" s="181" t="s">
        <v>163</v>
      </c>
      <c r="F3" s="181"/>
      <c r="G3" s="181"/>
      <c r="H3" s="181"/>
      <c r="I3" s="181"/>
      <c r="J3" s="181"/>
      <c r="K3" s="181"/>
      <c r="L3" s="181"/>
      <c r="M3" s="26"/>
      <c r="N3" s="26"/>
      <c r="O3" s="26"/>
      <c r="P3" s="26"/>
      <c r="Q3" s="26"/>
      <c r="R3" s="26"/>
      <c r="S3" s="26"/>
      <c r="T3" s="26"/>
      <c r="U3" s="26"/>
      <c r="V3" s="26"/>
      <c r="W3" s="26"/>
      <c r="X3" s="26"/>
      <c r="Y3" s="26"/>
      <c r="Z3" s="26"/>
    </row>
    <row r="4" spans="1:26" ht="31.8" customHeight="1" x14ac:dyDescent="0.25">
      <c r="A4" s="26"/>
      <c r="B4" s="42" t="s">
        <v>54</v>
      </c>
      <c r="C4" s="44">
        <v>2016</v>
      </c>
      <c r="D4" s="43">
        <v>2017</v>
      </c>
      <c r="E4" s="28">
        <v>2018</v>
      </c>
      <c r="F4" s="28">
        <v>2019</v>
      </c>
      <c r="G4" s="28">
        <v>2020</v>
      </c>
      <c r="H4" s="28">
        <v>2021</v>
      </c>
      <c r="I4" s="28">
        <v>2022</v>
      </c>
      <c r="J4" s="28">
        <v>2023</v>
      </c>
      <c r="K4" s="28">
        <v>2024</v>
      </c>
      <c r="L4" s="28">
        <v>2025</v>
      </c>
      <c r="M4" s="26"/>
      <c r="N4" s="26"/>
      <c r="O4" s="26"/>
      <c r="P4" s="26"/>
      <c r="Q4" s="26"/>
      <c r="R4" s="26"/>
      <c r="S4" s="26"/>
      <c r="T4" s="26"/>
      <c r="U4" s="26"/>
      <c r="V4" s="26"/>
      <c r="W4" s="26"/>
      <c r="X4" s="26"/>
      <c r="Y4" s="26"/>
      <c r="Z4" s="26"/>
    </row>
    <row r="5" spans="1:26" ht="17.25" customHeight="1" x14ac:dyDescent="0.3">
      <c r="A5" s="26"/>
      <c r="B5" s="26" t="s">
        <v>96</v>
      </c>
      <c r="C5" s="35">
        <v>1321426</v>
      </c>
      <c r="D5" s="35">
        <v>1249622</v>
      </c>
      <c r="E5" s="35">
        <f>E6+E10+E17</f>
        <v>1744717.3991615651</v>
      </c>
      <c r="F5" s="35">
        <f t="shared" ref="F5:L5" si="0">F6+F10+F17</f>
        <v>5485944.6511817817</v>
      </c>
      <c r="G5" s="35">
        <f t="shared" si="0"/>
        <v>5120283.3111127121</v>
      </c>
      <c r="H5" s="35">
        <f t="shared" si="0"/>
        <v>4756579.2086808737</v>
      </c>
      <c r="I5" s="35">
        <f t="shared" si="0"/>
        <v>4395034.2399733895</v>
      </c>
      <c r="J5" s="35">
        <f t="shared" si="0"/>
        <v>4138515.544953329</v>
      </c>
      <c r="K5" s="35">
        <f t="shared" si="0"/>
        <v>3884628.0900780242</v>
      </c>
      <c r="L5" s="35">
        <f t="shared" si="0"/>
        <v>3633643.6772931083</v>
      </c>
      <c r="M5" s="26"/>
      <c r="N5" s="106"/>
      <c r="O5" s="33"/>
      <c r="P5" s="33"/>
      <c r="Q5" s="108"/>
      <c r="R5" s="26"/>
      <c r="S5" s="26"/>
      <c r="T5" s="35"/>
      <c r="U5" s="26"/>
      <c r="V5" s="74"/>
      <c r="W5" s="26"/>
      <c r="X5" s="26"/>
      <c r="Y5" s="26"/>
      <c r="Z5" s="26"/>
    </row>
    <row r="6" spans="1:26" ht="17.25" customHeight="1" x14ac:dyDescent="0.25">
      <c r="A6" s="26"/>
      <c r="B6" s="34" t="s">
        <v>97</v>
      </c>
      <c r="C6" s="35">
        <v>1345</v>
      </c>
      <c r="D6" s="35">
        <v>1572</v>
      </c>
      <c r="E6" s="35">
        <f>E9</f>
        <v>1799</v>
      </c>
      <c r="F6" s="35">
        <f t="shared" ref="F6:L6" si="1">F9</f>
        <v>2026</v>
      </c>
      <c r="G6" s="35">
        <f>G9</f>
        <v>2253</v>
      </c>
      <c r="H6" s="35">
        <f t="shared" si="1"/>
        <v>2480</v>
      </c>
      <c r="I6" s="35">
        <f t="shared" si="1"/>
        <v>2707</v>
      </c>
      <c r="J6" s="35">
        <f t="shared" si="1"/>
        <v>2934</v>
      </c>
      <c r="K6" s="35">
        <f t="shared" si="1"/>
        <v>3161</v>
      </c>
      <c r="L6" s="35">
        <f t="shared" si="1"/>
        <v>3388</v>
      </c>
      <c r="M6" s="26"/>
      <c r="N6" s="29"/>
      <c r="O6" s="33"/>
      <c r="P6" s="33"/>
      <c r="Q6" s="26"/>
      <c r="R6" s="26"/>
      <c r="S6" s="26"/>
      <c r="T6" s="35"/>
      <c r="U6" s="26"/>
      <c r="V6" s="26"/>
      <c r="W6" s="26"/>
      <c r="X6" s="26"/>
      <c r="Y6" s="26"/>
      <c r="Z6" s="26"/>
    </row>
    <row r="7" spans="1:26" ht="17.25" hidden="1" customHeight="1" x14ac:dyDescent="0.25">
      <c r="A7" s="26"/>
      <c r="B7" s="45" t="s">
        <v>98</v>
      </c>
      <c r="C7" s="35"/>
      <c r="D7" s="35"/>
      <c r="E7" s="35"/>
      <c r="F7" s="35"/>
      <c r="G7" s="35"/>
      <c r="H7" s="35"/>
      <c r="I7" s="35"/>
      <c r="J7" s="35"/>
      <c r="K7" s="35"/>
      <c r="L7" s="35"/>
      <c r="M7" s="26"/>
      <c r="N7" s="26"/>
      <c r="O7" s="35"/>
      <c r="P7" s="33"/>
      <c r="Q7" s="26"/>
      <c r="R7" s="26"/>
      <c r="S7" s="26"/>
      <c r="T7" s="26"/>
      <c r="U7" s="26"/>
      <c r="V7" s="26"/>
      <c r="W7" s="26"/>
      <c r="X7" s="26"/>
      <c r="Y7" s="26"/>
      <c r="Z7" s="26"/>
    </row>
    <row r="8" spans="1:26" ht="17.25" hidden="1" customHeight="1" x14ac:dyDescent="0.25">
      <c r="A8" s="26"/>
      <c r="B8" s="45" t="s">
        <v>99</v>
      </c>
      <c r="C8" s="35"/>
      <c r="D8" s="35"/>
      <c r="E8" s="35"/>
      <c r="F8" s="35"/>
      <c r="G8" s="35"/>
      <c r="H8" s="35"/>
      <c r="I8" s="35"/>
      <c r="J8" s="35"/>
      <c r="K8" s="35"/>
      <c r="L8" s="35"/>
      <c r="M8" s="26"/>
      <c r="N8" s="26"/>
      <c r="O8" s="35"/>
      <c r="P8" s="33"/>
      <c r="Q8" s="26"/>
      <c r="R8" s="26"/>
      <c r="S8" s="26"/>
      <c r="T8" s="26"/>
      <c r="U8" s="26"/>
      <c r="V8" s="26"/>
      <c r="W8" s="26"/>
      <c r="X8" s="26"/>
      <c r="Y8" s="26"/>
      <c r="Z8" s="26"/>
    </row>
    <row r="9" spans="1:26" ht="17.25" customHeight="1" x14ac:dyDescent="0.25">
      <c r="A9" s="26"/>
      <c r="B9" s="45" t="s">
        <v>100</v>
      </c>
      <c r="C9" s="90">
        <v>1345</v>
      </c>
      <c r="D9" s="90">
        <v>1572</v>
      </c>
      <c r="E9" s="90">
        <f>((D9-C9)/D9+1)*D9</f>
        <v>1799</v>
      </c>
      <c r="F9" s="90">
        <f>((E9-D9)/E9+1)*E9</f>
        <v>2026</v>
      </c>
      <c r="G9" s="90">
        <f t="shared" ref="G9:L9" si="2">((F9-E9)/F9+1)*F9</f>
        <v>2253</v>
      </c>
      <c r="H9" s="90">
        <f t="shared" si="2"/>
        <v>2480</v>
      </c>
      <c r="I9" s="90">
        <f t="shared" si="2"/>
        <v>2707</v>
      </c>
      <c r="J9" s="90">
        <f t="shared" si="2"/>
        <v>2934</v>
      </c>
      <c r="K9" s="90">
        <f t="shared" si="2"/>
        <v>3161</v>
      </c>
      <c r="L9" s="90">
        <f t="shared" si="2"/>
        <v>3388</v>
      </c>
      <c r="M9" s="26"/>
      <c r="N9" s="26"/>
      <c r="O9" s="35"/>
      <c r="P9" s="35"/>
      <c r="Q9" s="26"/>
      <c r="R9" s="26"/>
      <c r="S9" s="26"/>
      <c r="T9" s="35"/>
      <c r="U9" s="26"/>
      <c r="V9" s="26"/>
      <c r="W9" s="26"/>
      <c r="X9" s="26"/>
      <c r="Y9" s="26"/>
      <c r="Z9" s="26"/>
    </row>
    <row r="10" spans="1:26" ht="17.25" customHeight="1" x14ac:dyDescent="0.25">
      <c r="A10" s="26"/>
      <c r="B10" s="34" t="s">
        <v>101</v>
      </c>
      <c r="C10" s="35">
        <v>1184828</v>
      </c>
      <c r="D10" s="35">
        <v>1098769</v>
      </c>
      <c r="E10" s="35">
        <f>SUM(E12:E15)</f>
        <v>1578155.45</v>
      </c>
      <c r="F10" s="35">
        <f t="shared" ref="F10:L10" si="3">SUM(F12:F15)</f>
        <v>5302066.8999999994</v>
      </c>
      <c r="G10" s="35">
        <f t="shared" si="3"/>
        <v>4917317.3500000006</v>
      </c>
      <c r="H10" s="35">
        <f t="shared" si="3"/>
        <v>4532568.8</v>
      </c>
      <c r="I10" s="35">
        <f t="shared" si="3"/>
        <v>4147820.25</v>
      </c>
      <c r="J10" s="35">
        <f t="shared" si="3"/>
        <v>3865714.9000000004</v>
      </c>
      <c r="K10" s="35">
        <f t="shared" si="3"/>
        <v>3583610.5500000003</v>
      </c>
      <c r="L10" s="35">
        <f t="shared" si="3"/>
        <v>3301506.2</v>
      </c>
      <c r="M10" s="26"/>
      <c r="N10" s="29"/>
      <c r="O10" s="33"/>
      <c r="P10" s="33"/>
      <c r="Q10" s="26"/>
      <c r="R10" s="26"/>
      <c r="S10" s="26"/>
      <c r="T10" s="35"/>
      <c r="U10" s="26"/>
      <c r="V10" s="91"/>
      <c r="W10" s="26"/>
      <c r="X10" s="26"/>
      <c r="Y10" s="26"/>
      <c r="Z10" s="26"/>
    </row>
    <row r="11" spans="1:26" ht="17.25" hidden="1" customHeight="1" x14ac:dyDescent="0.25">
      <c r="A11" s="26"/>
      <c r="B11" s="45" t="s">
        <v>102</v>
      </c>
      <c r="C11" s="35"/>
      <c r="D11" s="35"/>
      <c r="E11" s="35"/>
      <c r="F11" s="35"/>
      <c r="G11" s="35"/>
      <c r="H11" s="35"/>
      <c r="I11" s="35"/>
      <c r="J11" s="35"/>
      <c r="K11" s="35"/>
      <c r="L11" s="35"/>
      <c r="M11" s="26"/>
      <c r="N11" s="26"/>
      <c r="O11" s="35"/>
      <c r="P11" s="33"/>
      <c r="Q11" s="26"/>
      <c r="R11" s="26"/>
      <c r="S11" s="26"/>
      <c r="T11" s="26"/>
      <c r="U11" s="26"/>
      <c r="V11" s="26"/>
      <c r="W11" s="26"/>
      <c r="X11" s="26"/>
      <c r="Y11" s="26"/>
      <c r="Z11" s="26"/>
    </row>
    <row r="12" spans="1:26" ht="17.25" customHeight="1" x14ac:dyDescent="0.25">
      <c r="A12" s="26"/>
      <c r="B12" s="45" t="s">
        <v>103</v>
      </c>
      <c r="C12" s="90">
        <v>728233</v>
      </c>
      <c r="D12" s="90">
        <v>585547</v>
      </c>
      <c r="E12" s="90">
        <f>E127+E132</f>
        <v>556269.65</v>
      </c>
      <c r="F12" s="90">
        <f t="shared" ref="F12:L12" si="4">F127+F132</f>
        <v>3526992.3</v>
      </c>
      <c r="G12" s="90">
        <f t="shared" si="4"/>
        <v>3397714.95</v>
      </c>
      <c r="H12" s="90">
        <f t="shared" si="4"/>
        <v>3268437.6</v>
      </c>
      <c r="I12" s="90">
        <f t="shared" si="4"/>
        <v>3139160.25</v>
      </c>
      <c r="J12" s="90">
        <f t="shared" si="4"/>
        <v>3009882.9000000004</v>
      </c>
      <c r="K12" s="90">
        <f t="shared" si="4"/>
        <v>2880605.5500000003</v>
      </c>
      <c r="L12" s="90">
        <f t="shared" si="4"/>
        <v>2751328.2</v>
      </c>
      <c r="M12" s="26"/>
      <c r="N12" s="26"/>
      <c r="O12" s="35"/>
      <c r="P12" s="35"/>
      <c r="Q12" s="26"/>
      <c r="R12" s="26"/>
      <c r="S12" s="26"/>
      <c r="T12" s="26"/>
      <c r="U12" s="26"/>
      <c r="V12" s="26"/>
      <c r="W12" s="26"/>
      <c r="X12" s="26"/>
      <c r="Y12" s="26"/>
      <c r="Z12" s="26"/>
    </row>
    <row r="13" spans="1:26" ht="17.25" customHeight="1" x14ac:dyDescent="0.25">
      <c r="A13" s="26"/>
      <c r="B13" s="45" t="s">
        <v>104</v>
      </c>
      <c r="C13" s="90">
        <v>323297</v>
      </c>
      <c r="D13" s="90">
        <v>222930</v>
      </c>
      <c r="E13" s="90">
        <f>E124+E130</f>
        <v>789653</v>
      </c>
      <c r="F13" s="90">
        <f t="shared" ref="F13:L13" si="5">F124+F130</f>
        <v>1600900</v>
      </c>
      <c r="G13" s="90">
        <f t="shared" si="5"/>
        <v>1403486</v>
      </c>
      <c r="H13" s="90">
        <f t="shared" si="5"/>
        <v>1206073</v>
      </c>
      <c r="I13" s="90">
        <f t="shared" si="5"/>
        <v>1008660</v>
      </c>
      <c r="J13" s="90">
        <f t="shared" si="5"/>
        <v>855832</v>
      </c>
      <c r="K13" s="90">
        <f t="shared" si="5"/>
        <v>703005</v>
      </c>
      <c r="L13" s="90">
        <f t="shared" si="5"/>
        <v>550178</v>
      </c>
      <c r="M13" s="26"/>
      <c r="N13" s="26"/>
      <c r="O13" s="35"/>
      <c r="P13" s="35"/>
      <c r="Q13" s="26"/>
      <c r="R13" s="26"/>
      <c r="S13" s="26"/>
      <c r="T13" s="35"/>
      <c r="U13" s="26"/>
      <c r="V13" s="35"/>
      <c r="W13" s="26"/>
      <c r="X13" s="26"/>
      <c r="Y13" s="26"/>
      <c r="Z13" s="26"/>
    </row>
    <row r="14" spans="1:26" ht="17.25" customHeight="1" x14ac:dyDescent="0.25">
      <c r="A14" s="26"/>
      <c r="B14" s="45" t="s">
        <v>105</v>
      </c>
      <c r="C14" s="90">
        <v>130161</v>
      </c>
      <c r="D14" s="90">
        <v>249225</v>
      </c>
      <c r="E14" s="90">
        <f>E134</f>
        <v>199380</v>
      </c>
      <c r="F14" s="90">
        <f t="shared" ref="F14:L14" si="6">F134</f>
        <v>149535</v>
      </c>
      <c r="G14" s="90">
        <f t="shared" si="6"/>
        <v>99690</v>
      </c>
      <c r="H14" s="90">
        <f t="shared" si="6"/>
        <v>49845</v>
      </c>
      <c r="I14" s="90">
        <f t="shared" si="6"/>
        <v>0</v>
      </c>
      <c r="J14" s="90">
        <f t="shared" si="6"/>
        <v>0</v>
      </c>
      <c r="K14" s="90">
        <f t="shared" si="6"/>
        <v>0</v>
      </c>
      <c r="L14" s="90">
        <f t="shared" si="6"/>
        <v>0</v>
      </c>
      <c r="M14" s="26"/>
      <c r="N14" s="26"/>
      <c r="O14" s="35"/>
      <c r="P14" s="35"/>
      <c r="Q14" s="26"/>
      <c r="R14" s="26"/>
      <c r="S14" s="26"/>
      <c r="T14" s="91"/>
      <c r="U14" s="26"/>
      <c r="V14" s="26"/>
      <c r="W14" s="26"/>
      <c r="X14" s="26"/>
      <c r="Y14" s="26"/>
      <c r="Z14" s="26"/>
    </row>
    <row r="15" spans="1:26" ht="17.25" customHeight="1" x14ac:dyDescent="0.25">
      <c r="A15" s="26"/>
      <c r="B15" s="45" t="s">
        <v>106</v>
      </c>
      <c r="C15" s="90">
        <v>3136</v>
      </c>
      <c r="D15" s="90">
        <v>41066</v>
      </c>
      <c r="E15" s="90">
        <f>E136</f>
        <v>32852.800000000003</v>
      </c>
      <c r="F15" s="90">
        <f t="shared" ref="F15:L15" si="7">F136</f>
        <v>24639.600000000002</v>
      </c>
      <c r="G15" s="90">
        <f t="shared" si="7"/>
        <v>16426.400000000001</v>
      </c>
      <c r="H15" s="90">
        <f t="shared" si="7"/>
        <v>8213.2000000000007</v>
      </c>
      <c r="I15" s="90">
        <f t="shared" si="7"/>
        <v>0</v>
      </c>
      <c r="J15" s="90">
        <f t="shared" si="7"/>
        <v>0</v>
      </c>
      <c r="K15" s="90">
        <f t="shared" si="7"/>
        <v>0</v>
      </c>
      <c r="L15" s="90">
        <f t="shared" si="7"/>
        <v>0</v>
      </c>
      <c r="M15" s="26"/>
      <c r="N15" s="26"/>
      <c r="O15" s="35"/>
      <c r="P15" s="35"/>
      <c r="Q15" s="26"/>
      <c r="R15" s="26"/>
      <c r="S15" s="26"/>
      <c r="T15" s="91"/>
      <c r="U15" s="26"/>
      <c r="V15" s="26"/>
      <c r="W15" s="26"/>
      <c r="X15" s="26"/>
      <c r="Y15" s="26"/>
      <c r="Z15" s="26"/>
    </row>
    <row r="16" spans="1:26" ht="17.25" hidden="1" customHeight="1" x14ac:dyDescent="0.25">
      <c r="A16" s="26"/>
      <c r="B16" s="45" t="s">
        <v>107</v>
      </c>
      <c r="C16" s="35"/>
      <c r="D16" s="35"/>
      <c r="E16" s="35"/>
      <c r="F16" s="35"/>
      <c r="G16" s="35"/>
      <c r="H16" s="35"/>
      <c r="I16" s="35"/>
      <c r="J16" s="35"/>
      <c r="K16" s="35"/>
      <c r="L16" s="35"/>
      <c r="M16" s="26"/>
      <c r="N16" s="26"/>
      <c r="O16" s="35"/>
      <c r="P16" s="33"/>
      <c r="Q16" s="26"/>
      <c r="R16" s="26"/>
      <c r="S16" s="26"/>
      <c r="T16" s="26"/>
      <c r="U16" s="26"/>
      <c r="V16" s="26"/>
      <c r="W16" s="26"/>
      <c r="X16" s="26"/>
      <c r="Y16" s="26"/>
      <c r="Z16" s="26"/>
    </row>
    <row r="17" spans="1:26" ht="17.25" customHeight="1" x14ac:dyDescent="0.25">
      <c r="A17" s="26"/>
      <c r="B17" s="34" t="s">
        <v>108</v>
      </c>
      <c r="C17" s="35">
        <v>135252</v>
      </c>
      <c r="D17" s="35">
        <v>149280</v>
      </c>
      <c r="E17" s="35">
        <f>((D17-C17)/C17+1)*D17</f>
        <v>164762.94916156508</v>
      </c>
      <c r="F17" s="35">
        <f t="shared" ref="F17:L17" si="8">((E17-D17)/D17+1)*E17</f>
        <v>181851.75118178243</v>
      </c>
      <c r="G17" s="35">
        <f t="shared" si="8"/>
        <v>200712.9611127117</v>
      </c>
      <c r="H17" s="35">
        <f t="shared" si="8"/>
        <v>221530.40868087424</v>
      </c>
      <c r="I17" s="35">
        <f t="shared" si="8"/>
        <v>244506.98997338972</v>
      </c>
      <c r="J17" s="35">
        <f t="shared" si="8"/>
        <v>269866.64495332871</v>
      </c>
      <c r="K17" s="35">
        <f t="shared" si="8"/>
        <v>297856.54007802409</v>
      </c>
      <c r="L17" s="35">
        <f t="shared" si="8"/>
        <v>328749.47729310795</v>
      </c>
      <c r="M17" s="26"/>
      <c r="N17" s="29"/>
      <c r="O17" s="33"/>
      <c r="P17" s="33"/>
      <c r="Q17" s="26"/>
      <c r="R17" s="26"/>
      <c r="S17" s="26"/>
      <c r="T17" s="26"/>
      <c r="U17" s="26"/>
      <c r="V17" s="26"/>
      <c r="W17" s="26"/>
      <c r="X17" s="26"/>
      <c r="Y17" s="26"/>
      <c r="Z17" s="26"/>
    </row>
    <row r="18" spans="1:26" ht="17.25" hidden="1" customHeight="1" x14ac:dyDescent="0.25">
      <c r="A18" s="26"/>
      <c r="B18" s="34" t="s">
        <v>109</v>
      </c>
      <c r="C18" s="35"/>
      <c r="D18" s="35"/>
      <c r="E18" s="35"/>
      <c r="F18" s="35"/>
      <c r="G18" s="35"/>
      <c r="H18" s="35"/>
      <c r="I18" s="35"/>
      <c r="J18" s="35"/>
      <c r="K18" s="35"/>
      <c r="L18" s="35"/>
      <c r="M18" s="26"/>
      <c r="N18" s="26"/>
      <c r="O18" s="35"/>
      <c r="P18" s="33"/>
      <c r="Q18" s="26"/>
      <c r="R18" s="26"/>
      <c r="S18" s="26"/>
      <c r="T18" s="26"/>
      <c r="U18" s="26"/>
      <c r="V18" s="26"/>
      <c r="W18" s="26"/>
      <c r="X18" s="26"/>
      <c r="Y18" s="26"/>
      <c r="Z18" s="26"/>
    </row>
    <row r="19" spans="1:26" ht="17.25" customHeight="1" x14ac:dyDescent="0.25">
      <c r="A19" s="26"/>
      <c r="B19" s="26"/>
      <c r="C19" s="35"/>
      <c r="D19" s="35"/>
      <c r="E19" s="35"/>
      <c r="F19" s="35"/>
      <c r="G19" s="35"/>
      <c r="H19" s="35"/>
      <c r="I19" s="35"/>
      <c r="J19" s="35"/>
      <c r="K19" s="35"/>
      <c r="L19" s="35"/>
      <c r="M19" s="26"/>
      <c r="N19" s="26"/>
      <c r="O19" s="35"/>
      <c r="P19" s="26"/>
      <c r="Q19" s="26"/>
      <c r="R19" s="26"/>
      <c r="S19" s="26"/>
      <c r="T19" s="26"/>
      <c r="U19" s="26"/>
      <c r="V19" s="26"/>
      <c r="W19" s="26"/>
      <c r="X19" s="26"/>
      <c r="Y19" s="26"/>
      <c r="Z19" s="26"/>
    </row>
    <row r="20" spans="1:26" ht="17.25" customHeight="1" x14ac:dyDescent="0.25">
      <c r="A20" s="26"/>
      <c r="B20" s="26" t="s">
        <v>110</v>
      </c>
      <c r="C20" s="35">
        <v>416804</v>
      </c>
      <c r="D20" s="35">
        <v>520089</v>
      </c>
      <c r="E20" s="35">
        <f>E21+E27+E31</f>
        <v>1847534.2814692413</v>
      </c>
      <c r="F20" s="35">
        <f t="shared" ref="F20:L20" si="9">F21+F27+F31</f>
        <v>1507993.9844678105</v>
      </c>
      <c r="G20" s="35">
        <f t="shared" si="9"/>
        <v>6097137.3052348755</v>
      </c>
      <c r="H20" s="35">
        <f t="shared" si="9"/>
        <v>9999825.0875319634</v>
      </c>
      <c r="I20" s="35">
        <f t="shared" si="9"/>
        <v>14695744.069984015</v>
      </c>
      <c r="J20" s="35">
        <f t="shared" si="9"/>
        <v>18951231.535555221</v>
      </c>
      <c r="K20" s="35">
        <f t="shared" si="9"/>
        <v>23362122.483816173</v>
      </c>
      <c r="L20" s="35">
        <f t="shared" si="9"/>
        <v>29705877.950858399</v>
      </c>
      <c r="M20" s="26"/>
      <c r="N20" s="106"/>
      <c r="O20" s="33"/>
      <c r="P20" s="33"/>
      <c r="Q20" s="26"/>
      <c r="R20" s="35"/>
      <c r="S20" s="26"/>
      <c r="T20" s="26"/>
      <c r="U20" s="26"/>
      <c r="V20" s="26"/>
      <c r="W20" s="26"/>
      <c r="X20" s="26"/>
      <c r="Y20" s="26"/>
      <c r="Z20" s="26"/>
    </row>
    <row r="21" spans="1:26" ht="17.25" customHeight="1" x14ac:dyDescent="0.25">
      <c r="A21" s="26"/>
      <c r="B21" s="34" t="s">
        <v>111</v>
      </c>
      <c r="C21" s="35">
        <v>162812</v>
      </c>
      <c r="D21" s="35">
        <v>187468</v>
      </c>
      <c r="E21" s="35">
        <f>E22+E26</f>
        <v>245101.91323826637</v>
      </c>
      <c r="F21" s="35">
        <f t="shared" ref="F21:L21" si="10">F22+F26</f>
        <v>367652.86985739955</v>
      </c>
      <c r="G21" s="35">
        <f t="shared" si="10"/>
        <v>404418.15684313956</v>
      </c>
      <c r="H21" s="35">
        <f t="shared" si="10"/>
        <v>444859.9725274535</v>
      </c>
      <c r="I21" s="35">
        <f t="shared" si="10"/>
        <v>489345.96978019894</v>
      </c>
      <c r="J21" s="35">
        <f t="shared" si="10"/>
        <v>538280.5667582188</v>
      </c>
      <c r="K21" s="35">
        <f t="shared" si="10"/>
        <v>592108.6234340407</v>
      </c>
      <c r="L21" s="35">
        <f t="shared" si="10"/>
        <v>592108.6234340407</v>
      </c>
      <c r="M21" s="26"/>
      <c r="N21" s="29"/>
      <c r="O21" s="33"/>
      <c r="P21" s="33"/>
      <c r="Q21" s="26"/>
      <c r="R21" s="35"/>
      <c r="S21" s="35"/>
      <c r="T21" s="26"/>
      <c r="U21" s="26"/>
      <c r="V21" s="26"/>
      <c r="W21" s="26"/>
      <c r="X21" s="26"/>
      <c r="Y21" s="26"/>
      <c r="Z21" s="26"/>
    </row>
    <row r="22" spans="1:26" ht="17.25" customHeight="1" x14ac:dyDescent="0.25">
      <c r="A22" s="26"/>
      <c r="B22" s="45" t="s">
        <v>112</v>
      </c>
      <c r="C22" s="90">
        <v>45580</v>
      </c>
      <c r="D22" s="90">
        <v>29898</v>
      </c>
      <c r="E22" s="90">
        <f>E83*'Income Statement - FACTORY'!G6</f>
        <v>39089.641976218278</v>
      </c>
      <c r="F22" s="90">
        <f>F83*'Income Statement - FACTORY'!H6</f>
        <v>58634.462964327409</v>
      </c>
      <c r="G22" s="90">
        <f>G83*'Income Statement - FACTORY'!I6</f>
        <v>64497.909260760156</v>
      </c>
      <c r="H22" s="90">
        <f>H83*'Income Statement - FACTORY'!J6</f>
        <v>70947.700186836184</v>
      </c>
      <c r="I22" s="90">
        <f>I83*'Income Statement - FACTORY'!K6</f>
        <v>78042.470205519814</v>
      </c>
      <c r="J22" s="90">
        <f>J83*'Income Statement - FACTORY'!L6</f>
        <v>85846.717226071793</v>
      </c>
      <c r="K22" s="90">
        <f>K83*'Income Statement - FACTORY'!M6</f>
        <v>94431.38894867897</v>
      </c>
      <c r="L22" s="90">
        <f>L83*'Income Statement - FACTORY'!M6</f>
        <v>94431.38894867897</v>
      </c>
      <c r="M22" s="26"/>
      <c r="N22" s="26"/>
      <c r="O22" s="35"/>
      <c r="P22" s="35"/>
      <c r="Q22" s="26"/>
      <c r="R22" s="26"/>
      <c r="S22" s="26"/>
      <c r="T22" s="26"/>
      <c r="U22" s="26"/>
      <c r="V22" s="26"/>
      <c r="W22" s="26"/>
      <c r="X22" s="26"/>
      <c r="Y22" s="26"/>
      <c r="Z22" s="26"/>
    </row>
    <row r="23" spans="1:26" ht="17.25" hidden="1" customHeight="1" x14ac:dyDescent="0.25">
      <c r="A23" s="26"/>
      <c r="B23" s="45" t="s">
        <v>113</v>
      </c>
      <c r="C23" s="90"/>
      <c r="D23" s="90"/>
      <c r="E23" s="90"/>
      <c r="F23" s="90"/>
      <c r="G23" s="90"/>
      <c r="H23" s="90"/>
      <c r="I23" s="90"/>
      <c r="J23" s="90"/>
      <c r="K23" s="90"/>
      <c r="L23" s="90"/>
      <c r="M23" s="26"/>
      <c r="N23" s="26"/>
      <c r="O23" s="35"/>
      <c r="P23" s="35"/>
      <c r="Q23" s="26"/>
      <c r="R23" s="26"/>
      <c r="S23" s="26"/>
      <c r="T23" s="26"/>
      <c r="U23" s="26"/>
      <c r="V23" s="26"/>
      <c r="W23" s="26"/>
      <c r="X23" s="26"/>
      <c r="Y23" s="26"/>
      <c r="Z23" s="26"/>
    </row>
    <row r="24" spans="1:26" ht="17.25" hidden="1" customHeight="1" x14ac:dyDescent="0.25">
      <c r="A24" s="26"/>
      <c r="B24" s="45" t="s">
        <v>114</v>
      </c>
      <c r="C24" s="90"/>
      <c r="D24" s="90"/>
      <c r="E24" s="90"/>
      <c r="F24" s="90"/>
      <c r="G24" s="90"/>
      <c r="H24" s="90"/>
      <c r="I24" s="90"/>
      <c r="J24" s="90"/>
      <c r="K24" s="90"/>
      <c r="L24" s="90"/>
      <c r="M24" s="26"/>
      <c r="N24" s="26"/>
      <c r="O24" s="35"/>
      <c r="P24" s="35"/>
      <c r="Q24" s="26"/>
      <c r="R24" s="26"/>
      <c r="S24" s="26"/>
      <c r="T24" s="26"/>
      <c r="U24" s="26"/>
      <c r="V24" s="26"/>
      <c r="W24" s="26"/>
      <c r="X24" s="26"/>
      <c r="Y24" s="26"/>
      <c r="Z24" s="26"/>
    </row>
    <row r="25" spans="1:26" ht="17.25" hidden="1" customHeight="1" x14ac:dyDescent="0.25">
      <c r="A25" s="26"/>
      <c r="B25" s="45" t="s">
        <v>115</v>
      </c>
      <c r="C25" s="90"/>
      <c r="D25" s="90"/>
      <c r="E25" s="90"/>
      <c r="F25" s="90"/>
      <c r="G25" s="90"/>
      <c r="H25" s="90"/>
      <c r="I25" s="90"/>
      <c r="J25" s="90"/>
      <c r="K25" s="90"/>
      <c r="L25" s="90"/>
      <c r="M25" s="26"/>
      <c r="N25" s="26"/>
      <c r="O25" s="35"/>
      <c r="P25" s="35"/>
      <c r="Q25" s="26"/>
      <c r="R25" s="26"/>
      <c r="S25" s="26"/>
      <c r="T25" s="26"/>
      <c r="U25" s="26"/>
      <c r="V25" s="26"/>
      <c r="W25" s="26"/>
      <c r="X25" s="26"/>
      <c r="Y25" s="26"/>
      <c r="Z25" s="26"/>
    </row>
    <row r="26" spans="1:26" ht="17.25" customHeight="1" x14ac:dyDescent="0.25">
      <c r="A26" s="26"/>
      <c r="B26" s="45" t="s">
        <v>116</v>
      </c>
      <c r="C26" s="90">
        <v>117232</v>
      </c>
      <c r="D26" s="90">
        <v>157570</v>
      </c>
      <c r="E26" s="90">
        <f>E87*'Income Statement - FACTORY'!G6</f>
        <v>206012.2712620481</v>
      </c>
      <c r="F26" s="90">
        <f>F87*'Income Statement - FACTORY'!H6</f>
        <v>309018.40689307213</v>
      </c>
      <c r="G26" s="90">
        <f>G87*'Income Statement - FACTORY'!I6</f>
        <v>339920.24758237938</v>
      </c>
      <c r="H26" s="90">
        <f>H87*'Income Statement - FACTORY'!J6</f>
        <v>373912.27234061732</v>
      </c>
      <c r="I26" s="90">
        <f>I87*'Income Statement - FACTORY'!K6</f>
        <v>411303.49957467912</v>
      </c>
      <c r="J26" s="90">
        <f>J87*'Income Statement - FACTORY'!L6</f>
        <v>452433.84953214705</v>
      </c>
      <c r="K26" s="90">
        <f>K87*'Income Statement - FACTORY'!M6</f>
        <v>497677.23448536178</v>
      </c>
      <c r="L26" s="90">
        <f>L87*'Income Statement - FACTORY'!M6</f>
        <v>497677.23448536178</v>
      </c>
      <c r="M26" s="26"/>
      <c r="N26" s="26"/>
      <c r="O26" s="35"/>
      <c r="P26" s="35"/>
      <c r="Q26" s="26"/>
      <c r="R26" s="26"/>
      <c r="S26" s="26"/>
      <c r="T26" s="26"/>
      <c r="U26" s="26"/>
      <c r="V26" s="26"/>
      <c r="W26" s="26"/>
      <c r="X26" s="26"/>
      <c r="Y26" s="26"/>
      <c r="Z26" s="26"/>
    </row>
    <row r="27" spans="1:26" ht="17.25" customHeight="1" x14ac:dyDescent="0.25">
      <c r="A27" s="26"/>
      <c r="B27" s="34" t="s">
        <v>117</v>
      </c>
      <c r="C27" s="35">
        <v>68365</v>
      </c>
      <c r="D27" s="35">
        <v>152062</v>
      </c>
      <c r="E27" s="35">
        <f>SUM(E28:E29)</f>
        <v>245559.85685916804</v>
      </c>
      <c r="F27" s="35">
        <f t="shared" ref="F27:K27" si="11">SUM(F28:F29)</f>
        <v>321053.1436335636</v>
      </c>
      <c r="G27" s="35">
        <f t="shared" si="11"/>
        <v>481579.71545034542</v>
      </c>
      <c r="H27" s="35">
        <f t="shared" si="11"/>
        <v>529737.68699537998</v>
      </c>
      <c r="I27" s="35">
        <f t="shared" si="11"/>
        <v>582711.45569491806</v>
      </c>
      <c r="J27" s="35">
        <f t="shared" si="11"/>
        <v>640982.60126440995</v>
      </c>
      <c r="K27" s="35">
        <f t="shared" si="11"/>
        <v>705080.86139085097</v>
      </c>
      <c r="L27" s="35">
        <f>SUM(L28:L29)</f>
        <v>775588.94752993609</v>
      </c>
      <c r="M27" s="26"/>
      <c r="N27" s="29"/>
      <c r="O27" s="33"/>
      <c r="P27" s="33"/>
      <c r="Q27" s="26"/>
      <c r="R27" s="26"/>
      <c r="S27" s="26"/>
      <c r="T27" s="26"/>
      <c r="U27" s="26"/>
      <c r="V27" s="26"/>
      <c r="W27" s="26"/>
      <c r="X27" s="26"/>
      <c r="Y27" s="26"/>
      <c r="Z27" s="26"/>
    </row>
    <row r="28" spans="1:26" ht="17.25" customHeight="1" x14ac:dyDescent="0.25">
      <c r="A28" s="26"/>
      <c r="B28" s="45" t="s">
        <v>118</v>
      </c>
      <c r="C28" s="90">
        <v>59868</v>
      </c>
      <c r="D28" s="90">
        <v>131712</v>
      </c>
      <c r="E28" s="90">
        <f>E89*'Income Statement - FACTORY'!F6</f>
        <v>212697.31995261629</v>
      </c>
      <c r="F28" s="90">
        <f>F89*'Income Statement - FACTORY'!G6</f>
        <v>278087.56727034977</v>
      </c>
      <c r="G28" s="90">
        <f>G89*'Income Statement - FACTORY'!H6</f>
        <v>417131.35090552468</v>
      </c>
      <c r="H28" s="90">
        <f>H89*'Income Statement - FACTORY'!I6</f>
        <v>458844.48599607719</v>
      </c>
      <c r="I28" s="90">
        <f>I89*'Income Statement - FACTORY'!J6</f>
        <v>504728.93459568499</v>
      </c>
      <c r="J28" s="90">
        <f>J89*'Income Statement - FACTORY'!K6</f>
        <v>555201.82805525349</v>
      </c>
      <c r="K28" s="90">
        <f>K89*'Income Statement - FACTORY'!L6</f>
        <v>610722.01086077886</v>
      </c>
      <c r="L28" s="90">
        <f>L89*'Income Statement - FACTORY'!M6</f>
        <v>671794.21194685681</v>
      </c>
      <c r="M28" s="26"/>
      <c r="N28" s="26"/>
      <c r="O28" s="35"/>
      <c r="P28" s="35"/>
      <c r="Q28" s="26"/>
      <c r="R28" s="26"/>
      <c r="S28" s="26"/>
      <c r="T28" s="26"/>
      <c r="U28" s="26"/>
      <c r="V28" s="26"/>
      <c r="W28" s="26"/>
      <c r="X28" s="26"/>
      <c r="Y28" s="26"/>
      <c r="Z28" s="26"/>
    </row>
    <row r="29" spans="1:26" ht="17.25" customHeight="1" x14ac:dyDescent="0.25">
      <c r="A29" s="26"/>
      <c r="B29" s="45" t="s">
        <v>119</v>
      </c>
      <c r="C29" s="90">
        <v>8496</v>
      </c>
      <c r="D29" s="90">
        <v>20350</v>
      </c>
      <c r="E29" s="90">
        <f>E90*'Income Statement - FACTORY'!F6</f>
        <v>32862.53690655173</v>
      </c>
      <c r="F29" s="90">
        <f>F90*'Income Statement - FACTORY'!G6</f>
        <v>42965.576363213819</v>
      </c>
      <c r="G29" s="90">
        <f>G90*'Income Statement - FACTORY'!H6</f>
        <v>64448.364544820724</v>
      </c>
      <c r="H29" s="90">
        <f>H90*'Income Statement - FACTORY'!I6</f>
        <v>70893.200999302804</v>
      </c>
      <c r="I29" s="90">
        <f>I90*'Income Statement - FACTORY'!J6</f>
        <v>77982.521099233098</v>
      </c>
      <c r="J29" s="90">
        <f>J90*'Income Statement - FACTORY'!K6</f>
        <v>85780.77320915641</v>
      </c>
      <c r="K29" s="90">
        <f>K90*'Income Statement - FACTORY'!L6</f>
        <v>94358.850530072057</v>
      </c>
      <c r="L29" s="90">
        <f>L90*'Income Statement - FACTORY'!M6</f>
        <v>103794.73558307927</v>
      </c>
      <c r="M29" s="26"/>
      <c r="N29" s="26"/>
      <c r="O29" s="35"/>
      <c r="P29" s="35"/>
      <c r="Q29" s="26"/>
      <c r="R29" s="26"/>
      <c r="S29" s="26"/>
      <c r="T29" s="26"/>
      <c r="U29" s="26"/>
      <c r="V29" s="26"/>
      <c r="W29" s="26"/>
      <c r="X29" s="26"/>
      <c r="Y29" s="26"/>
      <c r="Z29" s="26"/>
    </row>
    <row r="30" spans="1:26" ht="17.25" hidden="1" customHeight="1" x14ac:dyDescent="0.25">
      <c r="A30" s="26"/>
      <c r="B30" s="34" t="s">
        <v>120</v>
      </c>
      <c r="C30" s="35"/>
      <c r="D30" s="35"/>
      <c r="E30" s="35"/>
      <c r="F30" s="35"/>
      <c r="G30" s="35"/>
      <c r="H30" s="35"/>
      <c r="I30" s="35"/>
      <c r="J30" s="35"/>
      <c r="K30" s="35"/>
      <c r="L30" s="35"/>
      <c r="M30" s="26"/>
      <c r="N30" s="26"/>
      <c r="O30" s="35"/>
      <c r="P30" s="33"/>
      <c r="Q30" s="26"/>
      <c r="R30" s="26"/>
      <c r="S30" s="26"/>
      <c r="T30" s="26"/>
      <c r="U30" s="26"/>
      <c r="V30" s="26"/>
      <c r="W30" s="26"/>
      <c r="X30" s="26"/>
      <c r="Y30" s="26"/>
      <c r="Z30" s="26"/>
    </row>
    <row r="31" spans="1:26" ht="17.25" customHeight="1" x14ac:dyDescent="0.25">
      <c r="A31" s="26"/>
      <c r="B31" s="34" t="s">
        <v>121</v>
      </c>
      <c r="C31" s="35">
        <v>185627</v>
      </c>
      <c r="D31" s="35">
        <v>180557</v>
      </c>
      <c r="E31" s="35">
        <f>'Cash flows - FACTORY'!E30</f>
        <v>1356872.5113718067</v>
      </c>
      <c r="F31" s="35">
        <f>'Cash flows - FACTORY'!F30</f>
        <v>819287.97097684722</v>
      </c>
      <c r="G31" s="35">
        <f>'Cash flows - FACTORY'!G30</f>
        <v>5211139.4329413902</v>
      </c>
      <c r="H31" s="35">
        <f>'Cash flows - FACTORY'!H30</f>
        <v>9025227.4280091301</v>
      </c>
      <c r="I31" s="35">
        <f>'Cash flows - FACTORY'!I30</f>
        <v>13623686.644508898</v>
      </c>
      <c r="J31" s="35">
        <f>'Cash flows - FACTORY'!J30</f>
        <v>17771968.367532592</v>
      </c>
      <c r="K31" s="35">
        <f>'Cash flows - FACTORY'!K30</f>
        <v>22064932.998991281</v>
      </c>
      <c r="L31" s="35">
        <f>'Cash flows - FACTORY'!L30</f>
        <v>28338180.379894421</v>
      </c>
      <c r="M31" s="26"/>
      <c r="N31" s="29"/>
      <c r="O31" s="33"/>
      <c r="P31" s="33"/>
      <c r="Q31" s="26"/>
      <c r="R31" s="26"/>
      <c r="S31" s="26"/>
      <c r="T31" s="26"/>
      <c r="U31" s="26"/>
      <c r="V31" s="26"/>
      <c r="W31" s="26"/>
      <c r="X31" s="26"/>
      <c r="Y31" s="26"/>
      <c r="Z31" s="26"/>
    </row>
    <row r="32" spans="1:26" ht="17.25" customHeight="1" x14ac:dyDescent="0.25">
      <c r="A32" s="26"/>
      <c r="B32" s="29" t="s">
        <v>122</v>
      </c>
      <c r="C32" s="33">
        <v>1738231</v>
      </c>
      <c r="D32" s="33">
        <v>1769712</v>
      </c>
      <c r="E32" s="33">
        <f>E20+E5</f>
        <v>3592251.6806308064</v>
      </c>
      <c r="F32" s="33">
        <f t="shared" ref="F32:L32" si="12">F20+F5</f>
        <v>6993938.6356495917</v>
      </c>
      <c r="G32" s="33">
        <f t="shared" si="12"/>
        <v>11217420.616347589</v>
      </c>
      <c r="H32" s="33">
        <f t="shared" si="12"/>
        <v>14756404.296212837</v>
      </c>
      <c r="I32" s="33">
        <f t="shared" si="12"/>
        <v>19090778.309957404</v>
      </c>
      <c r="J32" s="33">
        <f t="shared" si="12"/>
        <v>23089747.080508549</v>
      </c>
      <c r="K32" s="33">
        <f t="shared" si="12"/>
        <v>27246750.573894195</v>
      </c>
      <c r="L32" s="33">
        <f t="shared" si="12"/>
        <v>33339521.628151506</v>
      </c>
      <c r="M32" s="26"/>
      <c r="N32" s="29"/>
      <c r="O32" s="33"/>
      <c r="P32" s="33"/>
      <c r="Q32" s="26"/>
      <c r="R32" s="26"/>
      <c r="S32" s="26"/>
      <c r="T32" s="26"/>
      <c r="U32" s="26"/>
      <c r="V32" s="26"/>
      <c r="W32" s="26"/>
      <c r="X32" s="26"/>
      <c r="Y32" s="26"/>
      <c r="Z32" s="26"/>
    </row>
    <row r="33" spans="1:26" ht="17.25" customHeight="1" x14ac:dyDescent="0.25">
      <c r="A33" s="26"/>
      <c r="B33" s="26"/>
      <c r="C33" s="35"/>
      <c r="D33" s="35"/>
      <c r="E33" s="35"/>
      <c r="F33" s="35"/>
      <c r="G33" s="35"/>
      <c r="H33" s="35"/>
      <c r="I33" s="35"/>
      <c r="J33" s="35"/>
      <c r="K33" s="35"/>
      <c r="L33" s="35"/>
      <c r="M33" s="26"/>
      <c r="N33" s="26"/>
      <c r="O33" s="35"/>
      <c r="P33" s="26"/>
      <c r="Q33" s="35"/>
      <c r="R33" s="26"/>
      <c r="S33" s="26"/>
      <c r="T33" s="26"/>
      <c r="U33" s="26"/>
      <c r="V33" s="26"/>
      <c r="W33" s="26"/>
      <c r="X33" s="26"/>
      <c r="Y33" s="26"/>
      <c r="Z33" s="26"/>
    </row>
    <row r="34" spans="1:26" ht="17.25" customHeight="1" x14ac:dyDescent="0.25">
      <c r="A34" s="26"/>
      <c r="B34" s="26" t="s">
        <v>123</v>
      </c>
      <c r="C34" s="35">
        <v>456358</v>
      </c>
      <c r="D34" s="35">
        <v>821743</v>
      </c>
      <c r="E34" s="35">
        <f>E35+E40+E43</f>
        <v>1412745.8691350804</v>
      </c>
      <c r="F34" s="35">
        <f t="shared" ref="F34:L34" si="13">F35+F40+F43</f>
        <v>2090314.5931269452</v>
      </c>
      <c r="G34" s="35">
        <f t="shared" si="13"/>
        <v>5591951.79874044</v>
      </c>
      <c r="H34" s="35">
        <f t="shared" si="13"/>
        <v>9485431.9271978997</v>
      </c>
      <c r="I34" s="35">
        <f t="shared" si="13"/>
        <v>13804828.706819523</v>
      </c>
      <c r="J34" s="35">
        <f t="shared" si="13"/>
        <v>18604272.958687048</v>
      </c>
      <c r="K34" s="35">
        <f t="shared" si="13"/>
        <v>23938180.072228014</v>
      </c>
      <c r="L34" s="35">
        <f t="shared" si="13"/>
        <v>29827088.370301276</v>
      </c>
      <c r="M34" s="26"/>
      <c r="N34" s="106"/>
      <c r="O34" s="33"/>
      <c r="P34" s="33"/>
      <c r="Q34" s="26"/>
      <c r="R34" s="26"/>
      <c r="S34" s="26"/>
      <c r="T34" s="26"/>
      <c r="U34" s="26"/>
      <c r="V34" s="26"/>
      <c r="W34" s="26"/>
      <c r="X34" s="26"/>
      <c r="Y34" s="26"/>
      <c r="Z34" s="26"/>
    </row>
    <row r="35" spans="1:26" ht="17.25" customHeight="1" x14ac:dyDescent="0.25">
      <c r="A35" s="26"/>
      <c r="B35" s="34" t="s">
        <v>124</v>
      </c>
      <c r="C35" s="35">
        <v>2896</v>
      </c>
      <c r="D35" s="35">
        <v>2896</v>
      </c>
      <c r="E35" s="35">
        <f>E36</f>
        <v>2896</v>
      </c>
      <c r="F35" s="35">
        <f t="shared" ref="F35:L35" si="14">F36</f>
        <v>2896</v>
      </c>
      <c r="G35" s="35">
        <f t="shared" si="14"/>
        <v>2896</v>
      </c>
      <c r="H35" s="35">
        <f t="shared" si="14"/>
        <v>2896</v>
      </c>
      <c r="I35" s="35">
        <f t="shared" si="14"/>
        <v>2896</v>
      </c>
      <c r="J35" s="35">
        <f t="shared" si="14"/>
        <v>2896</v>
      </c>
      <c r="K35" s="35">
        <f t="shared" si="14"/>
        <v>2896</v>
      </c>
      <c r="L35" s="35">
        <f t="shared" si="14"/>
        <v>2896</v>
      </c>
      <c r="M35" s="26"/>
      <c r="N35" s="29"/>
      <c r="O35" s="33"/>
      <c r="P35" s="35"/>
      <c r="Q35" s="26"/>
      <c r="R35" s="26"/>
      <c r="S35" s="26"/>
      <c r="T35" s="26"/>
      <c r="U35" s="26"/>
      <c r="V35" s="26"/>
      <c r="W35" s="26"/>
      <c r="X35" s="26"/>
      <c r="Y35" s="26"/>
      <c r="Z35" s="26"/>
    </row>
    <row r="36" spans="1:26" ht="17.25" customHeight="1" x14ac:dyDescent="0.25">
      <c r="A36" s="26"/>
      <c r="B36" s="45" t="s">
        <v>125</v>
      </c>
      <c r="C36" s="90">
        <v>2896</v>
      </c>
      <c r="D36" s="90">
        <v>2896</v>
      </c>
      <c r="E36" s="90">
        <v>2896</v>
      </c>
      <c r="F36" s="90">
        <v>2896</v>
      </c>
      <c r="G36" s="90">
        <v>2896</v>
      </c>
      <c r="H36" s="90">
        <v>2896</v>
      </c>
      <c r="I36" s="90">
        <v>2896</v>
      </c>
      <c r="J36" s="90">
        <v>2896</v>
      </c>
      <c r="K36" s="90">
        <v>2896</v>
      </c>
      <c r="L36" s="90">
        <v>2896</v>
      </c>
      <c r="M36" s="26"/>
      <c r="N36" s="26"/>
      <c r="O36" s="35"/>
      <c r="P36" s="35"/>
      <c r="Q36" s="26"/>
      <c r="R36" s="26"/>
      <c r="S36" s="26"/>
      <c r="T36" s="26"/>
      <c r="U36" s="26"/>
      <c r="V36" s="26"/>
      <c r="W36" s="26"/>
      <c r="X36" s="26"/>
      <c r="Y36" s="26"/>
      <c r="Z36" s="26"/>
    </row>
    <row r="37" spans="1:26" ht="17.25" hidden="1" customHeight="1" x14ac:dyDescent="0.25">
      <c r="A37" s="26"/>
      <c r="B37" s="45" t="s">
        <v>126</v>
      </c>
      <c r="C37" s="35"/>
      <c r="D37" s="35"/>
      <c r="E37" s="35"/>
      <c r="F37" s="35"/>
      <c r="G37" s="35"/>
      <c r="H37" s="35"/>
      <c r="I37" s="35"/>
      <c r="J37" s="35"/>
      <c r="K37" s="35"/>
      <c r="L37" s="35"/>
      <c r="M37" s="26"/>
      <c r="N37" s="26"/>
      <c r="O37" s="35"/>
      <c r="P37" s="35"/>
      <c r="Q37" s="26"/>
      <c r="R37" s="26"/>
      <c r="S37" s="26"/>
      <c r="T37" s="26"/>
      <c r="U37" s="26"/>
      <c r="V37" s="26"/>
      <c r="W37" s="26"/>
      <c r="X37" s="26"/>
      <c r="Y37" s="26"/>
      <c r="Z37" s="26"/>
    </row>
    <row r="38" spans="1:26" ht="17.25" hidden="1" customHeight="1" x14ac:dyDescent="0.25">
      <c r="A38" s="26"/>
      <c r="B38" s="45" t="s">
        <v>116</v>
      </c>
      <c r="C38" s="35"/>
      <c r="D38" s="35"/>
      <c r="E38" s="35"/>
      <c r="F38" s="35"/>
      <c r="G38" s="35"/>
      <c r="H38" s="35"/>
      <c r="I38" s="35"/>
      <c r="J38" s="35"/>
      <c r="K38" s="35"/>
      <c r="L38" s="35"/>
      <c r="M38" s="26"/>
      <c r="N38" s="26"/>
      <c r="O38" s="35"/>
      <c r="P38" s="35"/>
      <c r="Q38" s="26"/>
      <c r="R38" s="26"/>
      <c r="S38" s="26"/>
      <c r="T38" s="26"/>
      <c r="U38" s="26"/>
      <c r="V38" s="26"/>
      <c r="W38" s="26"/>
      <c r="X38" s="26"/>
      <c r="Y38" s="26"/>
      <c r="Z38" s="26"/>
    </row>
    <row r="39" spans="1:26" ht="17.25" hidden="1" customHeight="1" x14ac:dyDescent="0.25">
      <c r="A39" s="26"/>
      <c r="B39" s="34" t="s">
        <v>127</v>
      </c>
      <c r="C39" s="35"/>
      <c r="D39" s="35"/>
      <c r="E39" s="35"/>
      <c r="F39" s="35"/>
      <c r="G39" s="35"/>
      <c r="H39" s="35"/>
      <c r="I39" s="35"/>
      <c r="J39" s="35"/>
      <c r="K39" s="35"/>
      <c r="L39" s="35"/>
      <c r="M39" s="26"/>
      <c r="N39" s="26"/>
      <c r="O39" s="35"/>
      <c r="P39" s="35"/>
      <c r="Q39" s="26"/>
      <c r="R39" s="26"/>
      <c r="S39" s="26"/>
      <c r="T39" s="26"/>
      <c r="U39" s="26"/>
      <c r="V39" s="26"/>
      <c r="W39" s="26"/>
      <c r="X39" s="26"/>
      <c r="Y39" s="26"/>
      <c r="Z39" s="26"/>
    </row>
    <row r="40" spans="1:26" ht="17.25" customHeight="1" x14ac:dyDescent="0.25">
      <c r="A40" s="26"/>
      <c r="B40" s="34" t="s">
        <v>128</v>
      </c>
      <c r="C40" s="35">
        <v>289</v>
      </c>
      <c r="D40" s="35">
        <v>289</v>
      </c>
      <c r="E40" s="35">
        <f>E41</f>
        <v>289</v>
      </c>
      <c r="F40" s="35">
        <f t="shared" ref="F40:L40" si="15">F41</f>
        <v>289</v>
      </c>
      <c r="G40" s="35">
        <f t="shared" si="15"/>
        <v>289</v>
      </c>
      <c r="H40" s="35">
        <f t="shared" si="15"/>
        <v>289</v>
      </c>
      <c r="I40" s="35">
        <f t="shared" si="15"/>
        <v>289</v>
      </c>
      <c r="J40" s="35">
        <f t="shared" si="15"/>
        <v>289</v>
      </c>
      <c r="K40" s="35">
        <f t="shared" si="15"/>
        <v>289</v>
      </c>
      <c r="L40" s="35">
        <f t="shared" si="15"/>
        <v>289</v>
      </c>
      <c r="M40" s="26"/>
      <c r="N40" s="29"/>
      <c r="O40" s="33"/>
      <c r="P40" s="35"/>
      <c r="Q40" s="26"/>
      <c r="R40" s="26"/>
      <c r="S40" s="26"/>
      <c r="T40" s="26"/>
      <c r="U40" s="26"/>
      <c r="V40" s="26"/>
      <c r="W40" s="26"/>
      <c r="X40" s="26"/>
      <c r="Y40" s="26"/>
      <c r="Z40" s="26"/>
    </row>
    <row r="41" spans="1:26" ht="13.2" x14ac:dyDescent="0.25">
      <c r="A41" s="26"/>
      <c r="B41" s="45" t="s">
        <v>129</v>
      </c>
      <c r="C41" s="90">
        <v>289</v>
      </c>
      <c r="D41" s="90">
        <v>289</v>
      </c>
      <c r="E41" s="90">
        <v>289</v>
      </c>
      <c r="F41" s="90">
        <v>289</v>
      </c>
      <c r="G41" s="90">
        <v>289</v>
      </c>
      <c r="H41" s="90">
        <v>289</v>
      </c>
      <c r="I41" s="90">
        <v>289</v>
      </c>
      <c r="J41" s="90">
        <v>289</v>
      </c>
      <c r="K41" s="90">
        <v>289</v>
      </c>
      <c r="L41" s="90">
        <v>289</v>
      </c>
      <c r="M41" s="26"/>
      <c r="N41" s="26"/>
      <c r="O41" s="35"/>
      <c r="P41" s="35"/>
      <c r="Q41" s="26"/>
      <c r="R41" s="26"/>
      <c r="S41" s="26"/>
      <c r="T41" s="26"/>
      <c r="U41" s="26"/>
      <c r="V41" s="26"/>
      <c r="W41" s="26"/>
      <c r="X41" s="26"/>
      <c r="Y41" s="26"/>
      <c r="Z41" s="26"/>
    </row>
    <row r="42" spans="1:26" ht="13.2" hidden="1" x14ac:dyDescent="0.25">
      <c r="A42" s="26"/>
      <c r="B42" s="45" t="s">
        <v>116</v>
      </c>
      <c r="C42" s="35"/>
      <c r="D42" s="35"/>
      <c r="E42" s="35"/>
      <c r="F42" s="35"/>
      <c r="G42" s="35"/>
      <c r="H42" s="35"/>
      <c r="I42" s="35"/>
      <c r="J42" s="35"/>
      <c r="K42" s="35"/>
      <c r="L42" s="35"/>
      <c r="M42" s="26"/>
      <c r="N42" s="26"/>
      <c r="O42" s="35"/>
      <c r="P42" s="35"/>
      <c r="Q42" s="26"/>
      <c r="R42" s="26"/>
      <c r="S42" s="26"/>
      <c r="T42" s="26"/>
      <c r="U42" s="26"/>
      <c r="V42" s="26"/>
      <c r="W42" s="26"/>
      <c r="X42" s="26"/>
      <c r="Y42" s="26"/>
      <c r="Z42" s="26"/>
    </row>
    <row r="43" spans="1:26" ht="13.2" x14ac:dyDescent="0.25">
      <c r="A43" s="26"/>
      <c r="B43" s="34" t="s">
        <v>201</v>
      </c>
      <c r="C43" s="35">
        <v>453173</v>
      </c>
      <c r="D43" s="35">
        <v>818557</v>
      </c>
      <c r="E43" s="35">
        <f>D43+'Income Statement - FACTORY'!F37</f>
        <v>1409560.8691350804</v>
      </c>
      <c r="F43" s="35">
        <f>E43+'Income Statement - FACTORY'!G37</f>
        <v>2087129.5931269452</v>
      </c>
      <c r="G43" s="35">
        <f>F43+'Income Statement - FACTORY'!H37</f>
        <v>5588766.79874044</v>
      </c>
      <c r="H43" s="35">
        <f>G43+'Income Statement - FACTORY'!I37</f>
        <v>9482246.9271978997</v>
      </c>
      <c r="I43" s="35">
        <f>H43+'Income Statement - FACTORY'!J37</f>
        <v>13801643.706819523</v>
      </c>
      <c r="J43" s="35">
        <f>I43+'Income Statement - FACTORY'!K37</f>
        <v>18601087.958687048</v>
      </c>
      <c r="K43" s="35">
        <f>J43+'Income Statement - FACTORY'!L37</f>
        <v>23934995.072228014</v>
      </c>
      <c r="L43" s="35">
        <f>K43+'Income Statement - FACTORY'!M37</f>
        <v>29823903.370301276</v>
      </c>
      <c r="M43" s="35"/>
      <c r="N43" s="107"/>
      <c r="O43" s="35"/>
      <c r="P43" s="35"/>
      <c r="Q43" s="26"/>
      <c r="R43" s="26"/>
      <c r="S43" s="26"/>
      <c r="T43" s="26"/>
      <c r="U43" s="26"/>
      <c r="V43" s="26"/>
      <c r="W43" s="26"/>
      <c r="X43" s="26"/>
      <c r="Y43" s="26"/>
      <c r="Z43" s="26"/>
    </row>
    <row r="44" spans="1:26" ht="17.25" customHeight="1" x14ac:dyDescent="0.25">
      <c r="A44" s="26"/>
      <c r="B44" s="45" t="s">
        <v>130</v>
      </c>
      <c r="C44" s="90">
        <v>921053</v>
      </c>
      <c r="D44" s="90">
        <v>1282323</v>
      </c>
      <c r="E44" s="102">
        <f>E43*E104</f>
        <v>2208169.1591323558</v>
      </c>
      <c r="F44" s="102">
        <f t="shared" ref="F44:L44" si="16">F43*F104</f>
        <v>3269624.816900135</v>
      </c>
      <c r="G44" s="102">
        <f t="shared" si="16"/>
        <v>8755168.1894617453</v>
      </c>
      <c r="H44" s="102">
        <f t="shared" si="16"/>
        <v>14854559.09170063</v>
      </c>
      <c r="I44" s="102">
        <f t="shared" si="16"/>
        <v>21621176.244366527</v>
      </c>
      <c r="J44" s="102">
        <f t="shared" si="16"/>
        <v>29139819.113937639</v>
      </c>
      <c r="K44" s="102">
        <f t="shared" si="16"/>
        <v>37495732.961790867</v>
      </c>
      <c r="L44" s="102">
        <f t="shared" si="16"/>
        <v>46721092.41203098</v>
      </c>
      <c r="M44" s="26"/>
      <c r="N44" s="26"/>
      <c r="O44" s="35"/>
      <c r="P44" s="35"/>
      <c r="Q44" s="26"/>
      <c r="R44" s="26"/>
      <c r="S44" s="26"/>
      <c r="T44" s="26"/>
      <c r="U44" s="26"/>
      <c r="V44" s="26"/>
      <c r="W44" s="26"/>
      <c r="X44" s="26"/>
      <c r="Y44" s="26"/>
      <c r="Z44" s="26"/>
    </row>
    <row r="45" spans="1:26" ht="17.25" customHeight="1" x14ac:dyDescent="0.25">
      <c r="A45" s="26"/>
      <c r="B45" s="45" t="s">
        <v>131</v>
      </c>
      <c r="C45" s="90">
        <v>-467879</v>
      </c>
      <c r="D45" s="90">
        <v>-463765</v>
      </c>
      <c r="E45" s="102">
        <f>E43*E105</f>
        <v>-798606.56799029326</v>
      </c>
      <c r="F45" s="102">
        <f t="shared" ref="F45:L45" si="17">F43*F105</f>
        <v>-1182492.67400623</v>
      </c>
      <c r="G45" s="102">
        <f t="shared" si="17"/>
        <v>-3166394.5631371546</v>
      </c>
      <c r="H45" s="102">
        <f t="shared" si="17"/>
        <v>-5372300.5804017726</v>
      </c>
      <c r="I45" s="102">
        <f t="shared" si="17"/>
        <v>-7819515.6766030416</v>
      </c>
      <c r="J45" s="102">
        <f t="shared" si="17"/>
        <v>-10538708.431007857</v>
      </c>
      <c r="K45" s="102">
        <f t="shared" si="17"/>
        <v>-13560708.649088364</v>
      </c>
      <c r="L45" s="102">
        <f t="shared" si="17"/>
        <v>-16897152.606999598</v>
      </c>
      <c r="M45" s="26"/>
      <c r="N45" s="26"/>
      <c r="O45" s="35"/>
      <c r="P45" s="35"/>
      <c r="Q45" s="26"/>
      <c r="R45" s="26"/>
      <c r="S45" s="26"/>
      <c r="T45" s="26"/>
      <c r="U45" s="26"/>
      <c r="V45" s="26"/>
      <c r="W45" s="26"/>
      <c r="X45" s="26"/>
      <c r="Y45" s="26"/>
      <c r="Z45" s="26"/>
    </row>
    <row r="46" spans="1:26" ht="17.25" hidden="1" customHeight="1" x14ac:dyDescent="0.25">
      <c r="A46" s="26"/>
      <c r="B46" s="26"/>
      <c r="C46" s="35"/>
      <c r="D46" s="35"/>
      <c r="E46" s="35"/>
      <c r="F46" s="35"/>
      <c r="G46" s="35"/>
      <c r="H46" s="35"/>
      <c r="I46" s="35"/>
      <c r="J46" s="35"/>
      <c r="K46" s="35"/>
      <c r="L46" s="35"/>
      <c r="M46" s="26"/>
      <c r="N46" s="26"/>
      <c r="O46" s="35"/>
      <c r="P46" s="35"/>
      <c r="Q46" s="26"/>
      <c r="R46" s="26"/>
      <c r="S46" s="26"/>
      <c r="T46" s="26"/>
      <c r="U46" s="26"/>
      <c r="V46" s="26"/>
      <c r="W46" s="26"/>
      <c r="X46" s="26"/>
      <c r="Y46" s="26"/>
      <c r="Z46" s="26"/>
    </row>
    <row r="47" spans="1:26" ht="17.25" hidden="1" customHeight="1" x14ac:dyDescent="0.25">
      <c r="A47" s="26"/>
      <c r="B47" s="26" t="s">
        <v>132</v>
      </c>
      <c r="C47" s="35"/>
      <c r="D47" s="35"/>
      <c r="E47" s="35"/>
      <c r="F47" s="35"/>
      <c r="G47" s="35"/>
      <c r="H47" s="35"/>
      <c r="I47" s="35"/>
      <c r="J47" s="35"/>
      <c r="K47" s="35"/>
      <c r="L47" s="35"/>
      <c r="M47" s="26"/>
      <c r="N47" s="26"/>
      <c r="O47" s="35"/>
      <c r="P47" s="35"/>
      <c r="Q47" s="26"/>
      <c r="R47" s="26"/>
      <c r="S47" s="26"/>
      <c r="T47" s="26"/>
      <c r="U47" s="26"/>
      <c r="V47" s="26"/>
      <c r="W47" s="26"/>
      <c r="X47" s="26"/>
      <c r="Y47" s="26"/>
      <c r="Z47" s="26"/>
    </row>
    <row r="48" spans="1:26" ht="17.25" customHeight="1" x14ac:dyDescent="0.25">
      <c r="A48" s="26"/>
      <c r="B48" s="26"/>
      <c r="C48" s="35"/>
      <c r="D48" s="35"/>
      <c r="E48" s="35"/>
      <c r="F48" s="35"/>
      <c r="G48" s="35"/>
      <c r="H48" s="35"/>
      <c r="I48" s="35"/>
      <c r="J48" s="35"/>
      <c r="K48" s="35"/>
      <c r="L48" s="35"/>
      <c r="M48" s="26"/>
      <c r="N48" s="26"/>
      <c r="O48" s="35"/>
      <c r="P48" s="35"/>
      <c r="Q48" s="26"/>
      <c r="R48" s="26"/>
      <c r="S48" s="26"/>
      <c r="T48" s="26"/>
      <c r="U48" s="26"/>
      <c r="V48" s="26"/>
      <c r="W48" s="26"/>
      <c r="X48" s="26"/>
      <c r="Y48" s="26"/>
      <c r="Z48" s="26"/>
    </row>
    <row r="49" spans="1:26" ht="17.25" customHeight="1" x14ac:dyDescent="0.25">
      <c r="A49" s="26"/>
      <c r="B49" s="26" t="s">
        <v>133</v>
      </c>
      <c r="C49" s="35">
        <v>1281872</v>
      </c>
      <c r="D49" s="35">
        <v>947969</v>
      </c>
      <c r="E49" s="35">
        <f>E50+E54</f>
        <v>2179505.7614957271</v>
      </c>
      <c r="F49" s="35">
        <f t="shared" ref="F49:L49" si="18">F50+F54</f>
        <v>4903623.9925226448</v>
      </c>
      <c r="G49" s="35">
        <f t="shared" si="18"/>
        <v>5625468.7676071469</v>
      </c>
      <c r="H49" s="35">
        <f t="shared" si="18"/>
        <v>5270972.3190149404</v>
      </c>
      <c r="I49" s="35">
        <f t="shared" si="18"/>
        <v>5285949.5531378835</v>
      </c>
      <c r="J49" s="35">
        <f t="shared" si="18"/>
        <v>4485474.0718215015</v>
      </c>
      <c r="K49" s="35">
        <f t="shared" si="18"/>
        <v>3308570.45166618</v>
      </c>
      <c r="L49" s="35">
        <f t="shared" si="18"/>
        <v>3512433.2078502295</v>
      </c>
      <c r="M49" s="26"/>
      <c r="N49" s="29"/>
      <c r="O49" s="33"/>
      <c r="P49" s="33"/>
      <c r="Q49" s="26"/>
      <c r="R49" s="26"/>
      <c r="S49" s="26"/>
      <c r="T49" s="26"/>
      <c r="U49" s="26"/>
      <c r="V49" s="26"/>
      <c r="W49" s="26"/>
      <c r="X49" s="26"/>
      <c r="Y49" s="26"/>
      <c r="Z49" s="26"/>
    </row>
    <row r="50" spans="1:26" ht="17.25" customHeight="1" x14ac:dyDescent="0.25">
      <c r="A50" s="26"/>
      <c r="B50" s="34" t="s">
        <v>134</v>
      </c>
      <c r="C50" s="35">
        <v>523639</v>
      </c>
      <c r="D50" s="35">
        <v>105177</v>
      </c>
      <c r="E50" s="35">
        <f>SUM(E51:E53)</f>
        <v>1096847.7202639005</v>
      </c>
      <c r="F50" s="35">
        <f t="shared" ref="F50:L50" si="19">SUM(F51:F53)</f>
        <v>3161735.789364581</v>
      </c>
      <c r="G50" s="35">
        <f t="shared" si="19"/>
        <v>2980959.1522979764</v>
      </c>
      <c r="H50" s="35">
        <f t="shared" si="19"/>
        <v>2450347.2501535891</v>
      </c>
      <c r="I50" s="35">
        <f t="shared" si="19"/>
        <v>1919917.0759299062</v>
      </c>
      <c r="J50" s="35">
        <f t="shared" si="19"/>
        <v>1048326.6535572808</v>
      </c>
      <c r="K50" s="35">
        <f t="shared" si="19"/>
        <v>326957.69491105014</v>
      </c>
      <c r="L50" s="35">
        <f t="shared" si="19"/>
        <v>305833.07675973792</v>
      </c>
      <c r="M50" s="26"/>
      <c r="N50" s="106"/>
      <c r="O50" s="33"/>
      <c r="P50" s="33"/>
      <c r="Q50" s="26"/>
      <c r="R50" s="26"/>
      <c r="S50" s="26"/>
      <c r="T50" s="26"/>
      <c r="U50" s="26"/>
      <c r="V50" s="26"/>
      <c r="W50" s="26"/>
      <c r="X50" s="26"/>
      <c r="Y50" s="26"/>
      <c r="Z50" s="26"/>
    </row>
    <row r="51" spans="1:26" ht="17.25" customHeight="1" x14ac:dyDescent="0.25">
      <c r="A51" s="26"/>
      <c r="B51" s="45" t="s">
        <v>135</v>
      </c>
      <c r="C51" s="90">
        <v>394759</v>
      </c>
      <c r="D51" s="90">
        <v>0</v>
      </c>
      <c r="E51" s="90">
        <f>E142</f>
        <v>950000</v>
      </c>
      <c r="F51" s="90">
        <f>F142</f>
        <v>2700000</v>
      </c>
      <c r="G51" s="90">
        <f>G142</f>
        <v>2550000</v>
      </c>
      <c r="H51" s="90">
        <f t="shared" ref="H51:L51" si="20">H142</f>
        <v>2050000</v>
      </c>
      <c r="I51" s="90">
        <f t="shared" si="20"/>
        <v>1550000</v>
      </c>
      <c r="J51" s="90">
        <f t="shared" si="20"/>
        <v>700000</v>
      </c>
      <c r="K51" s="90">
        <f t="shared" si="20"/>
        <v>0</v>
      </c>
      <c r="L51" s="90">
        <f t="shared" si="20"/>
        <v>0</v>
      </c>
      <c r="M51" s="26"/>
      <c r="N51" s="26"/>
      <c r="O51" s="35"/>
      <c r="P51" s="35"/>
      <c r="Q51" s="26"/>
      <c r="R51" s="26"/>
      <c r="S51" s="26"/>
      <c r="T51" s="26"/>
      <c r="U51" s="26"/>
      <c r="V51" s="26"/>
      <c r="W51" s="26"/>
      <c r="X51" s="26"/>
      <c r="Y51" s="26"/>
      <c r="Z51" s="26"/>
    </row>
    <row r="52" spans="1:26" ht="17.25" customHeight="1" x14ac:dyDescent="0.25">
      <c r="A52" s="26"/>
      <c r="B52" s="45" t="s">
        <v>136</v>
      </c>
      <c r="C52" s="90">
        <v>75011</v>
      </c>
      <c r="D52" s="90">
        <v>105177</v>
      </c>
      <c r="E52" s="90">
        <f>E112*E5</f>
        <v>146847.72026390056</v>
      </c>
      <c r="F52" s="90">
        <f t="shared" ref="F52:L52" si="21">F112*F5</f>
        <v>461735.78936458082</v>
      </c>
      <c r="G52" s="90">
        <f t="shared" si="21"/>
        <v>430959.15229797625</v>
      </c>
      <c r="H52" s="90">
        <f t="shared" si="21"/>
        <v>400347.25015358906</v>
      </c>
      <c r="I52" s="90">
        <f t="shared" si="21"/>
        <v>369917.07592990616</v>
      </c>
      <c r="J52" s="90">
        <f t="shared" si="21"/>
        <v>348326.65355728072</v>
      </c>
      <c r="K52" s="90">
        <f t="shared" si="21"/>
        <v>326957.69491105014</v>
      </c>
      <c r="L52" s="90">
        <f t="shared" si="21"/>
        <v>305833.07675973792</v>
      </c>
      <c r="M52" s="26"/>
      <c r="N52" s="26"/>
      <c r="O52" s="35"/>
      <c r="P52" s="35"/>
      <c r="Q52" s="26"/>
      <c r="R52" s="35"/>
      <c r="S52" s="26"/>
      <c r="T52" s="26"/>
      <c r="U52" s="26"/>
      <c r="V52" s="26"/>
      <c r="W52" s="26"/>
      <c r="X52" s="26"/>
      <c r="Y52" s="26"/>
      <c r="Z52" s="26"/>
    </row>
    <row r="53" spans="1:26" ht="17.25" customHeight="1" x14ac:dyDescent="0.25">
      <c r="A53" s="26"/>
      <c r="B53" s="45" t="s">
        <v>116</v>
      </c>
      <c r="C53" s="90">
        <v>53869</v>
      </c>
      <c r="D53" s="90">
        <v>0</v>
      </c>
      <c r="E53" s="90">
        <v>0</v>
      </c>
      <c r="F53" s="90">
        <v>0</v>
      </c>
      <c r="G53" s="90">
        <v>0</v>
      </c>
      <c r="H53" s="90">
        <v>0</v>
      </c>
      <c r="I53" s="90">
        <v>0</v>
      </c>
      <c r="J53" s="90">
        <v>0</v>
      </c>
      <c r="K53" s="90">
        <v>0</v>
      </c>
      <c r="L53" s="90">
        <v>0</v>
      </c>
      <c r="M53" s="26"/>
      <c r="N53" s="26"/>
      <c r="O53" s="35"/>
      <c r="P53" s="35"/>
      <c r="Q53" s="26"/>
      <c r="R53" s="26"/>
      <c r="S53" s="26"/>
      <c r="T53" s="26"/>
      <c r="U53" s="26"/>
      <c r="V53" s="26"/>
      <c r="W53" s="26"/>
      <c r="X53" s="26"/>
      <c r="Y53" s="26"/>
      <c r="Z53" s="26"/>
    </row>
    <row r="54" spans="1:26" ht="17.25" customHeight="1" x14ac:dyDescent="0.25">
      <c r="A54" s="26"/>
      <c r="B54" s="34" t="s">
        <v>137</v>
      </c>
      <c r="C54" s="35">
        <v>758233</v>
      </c>
      <c r="D54" s="35">
        <v>842791</v>
      </c>
      <c r="E54" s="35">
        <f>SUM(E55:E58)</f>
        <v>1082658.0412318264</v>
      </c>
      <c r="F54" s="35">
        <f t="shared" ref="F54:L54" si="22">SUM(F55:F58)</f>
        <v>1741888.203158064</v>
      </c>
      <c r="G54" s="35">
        <f t="shared" si="22"/>
        <v>2644509.6153091709</v>
      </c>
      <c r="H54" s="35">
        <f t="shared" si="22"/>
        <v>2820625.0688613509</v>
      </c>
      <c r="I54" s="35">
        <f t="shared" si="22"/>
        <v>3366032.4772079773</v>
      </c>
      <c r="J54" s="35">
        <f t="shared" si="22"/>
        <v>3437147.4182642205</v>
      </c>
      <c r="K54" s="35">
        <f t="shared" si="22"/>
        <v>2981612.7567551299</v>
      </c>
      <c r="L54" s="35">
        <f t="shared" si="22"/>
        <v>3206600.1310904915</v>
      </c>
      <c r="M54" s="26"/>
      <c r="N54" s="106"/>
      <c r="O54" s="33"/>
      <c r="P54" s="33"/>
      <c r="Q54" s="26"/>
      <c r="R54" s="26"/>
      <c r="S54" s="26"/>
      <c r="T54" s="26"/>
      <c r="U54" s="26"/>
      <c r="V54" s="26"/>
      <c r="W54" s="26"/>
      <c r="X54" s="26"/>
      <c r="Y54" s="26"/>
      <c r="Z54" s="26"/>
    </row>
    <row r="55" spans="1:26" ht="17.25" customHeight="1" x14ac:dyDescent="0.25">
      <c r="A55" s="26"/>
      <c r="B55" s="45" t="s">
        <v>138</v>
      </c>
      <c r="C55" s="90">
        <v>42556</v>
      </c>
      <c r="D55" s="90">
        <v>54738</v>
      </c>
      <c r="E55" s="90">
        <f>E144+E52*$M$55</f>
        <v>76424.983711318899</v>
      </c>
      <c r="F55" s="90">
        <f>F144+F52*$M$55</f>
        <v>390304.37869722873</v>
      </c>
      <c r="G55" s="90">
        <f t="shared" ref="G55:L55" si="23">G144+G52*$M$55</f>
        <v>724287.07871955493</v>
      </c>
      <c r="H55" s="90">
        <f t="shared" si="23"/>
        <v>708355.51288691594</v>
      </c>
      <c r="I55" s="90">
        <f t="shared" si="23"/>
        <v>1042518.5249840859</v>
      </c>
      <c r="J55" s="90">
        <f t="shared" si="23"/>
        <v>881282.07081793959</v>
      </c>
      <c r="K55" s="90">
        <f t="shared" si="23"/>
        <v>170160.8745642209</v>
      </c>
      <c r="L55" s="90">
        <f t="shared" si="23"/>
        <v>159166.842139199</v>
      </c>
      <c r="M55" s="77">
        <f>D55/D52</f>
        <v>0.52043697766621977</v>
      </c>
      <c r="N55" s="26"/>
      <c r="O55" s="35"/>
      <c r="P55" s="35"/>
      <c r="Q55" s="26"/>
      <c r="R55" s="26"/>
      <c r="S55" s="26"/>
      <c r="T55" s="26"/>
      <c r="U55" s="26"/>
      <c r="V55" s="26"/>
      <c r="W55" s="26"/>
      <c r="X55" s="26"/>
      <c r="Y55" s="26"/>
      <c r="Z55" s="26"/>
    </row>
    <row r="56" spans="1:26" ht="17.25" customHeight="1" x14ac:dyDescent="0.25">
      <c r="A56" s="26"/>
      <c r="B56" s="45" t="s">
        <v>135</v>
      </c>
      <c r="C56" s="90">
        <v>89784</v>
      </c>
      <c r="D56" s="90">
        <v>0</v>
      </c>
      <c r="E56" s="90">
        <v>0</v>
      </c>
      <c r="F56" s="90">
        <v>0</v>
      </c>
      <c r="G56" s="90">
        <v>0</v>
      </c>
      <c r="H56" s="90">
        <v>0</v>
      </c>
      <c r="I56" s="90">
        <v>0</v>
      </c>
      <c r="J56" s="90">
        <v>0</v>
      </c>
      <c r="K56" s="90">
        <v>0</v>
      </c>
      <c r="L56" s="90">
        <v>0</v>
      </c>
      <c r="M56" s="26"/>
      <c r="N56" s="26"/>
      <c r="O56" s="35"/>
      <c r="P56" s="35"/>
      <c r="Q56" s="26"/>
      <c r="R56" s="26"/>
      <c r="S56" s="26"/>
      <c r="T56" s="26"/>
      <c r="U56" s="26"/>
      <c r="V56" s="26"/>
      <c r="W56" s="26"/>
      <c r="X56" s="26"/>
      <c r="Y56" s="26"/>
      <c r="Z56" s="26"/>
    </row>
    <row r="57" spans="1:26" ht="17.25" customHeight="1" x14ac:dyDescent="0.25">
      <c r="A57" s="26"/>
      <c r="B57" s="45" t="s">
        <v>139</v>
      </c>
      <c r="C57" s="90">
        <v>267060</v>
      </c>
      <c r="D57" s="90">
        <v>391348</v>
      </c>
      <c r="E57" s="90">
        <f>E117*'Income Statement - FACTORY'!F7</f>
        <v>631975.02313652216</v>
      </c>
      <c r="F57" s="90">
        <f>F117*'Income Statement - FACTORY'!G7</f>
        <v>826265.21480764321</v>
      </c>
      <c r="G57" s="90">
        <f>G117*'Income Statement - FACTORY'!H7</f>
        <v>1244417.2418606086</v>
      </c>
      <c r="H57" s="90">
        <f>H117*'Income Statement - FACTORY'!I7</f>
        <v>1368883.7317725271</v>
      </c>
      <c r="I57" s="90">
        <f>I117*'Income Statement - FACTORY'!J7</f>
        <v>1505789.5456017924</v>
      </c>
      <c r="J57" s="90">
        <f>J117*'Income Statement - FACTORY'!K7</f>
        <v>1656368.5001619717</v>
      </c>
      <c r="K57" s="90">
        <f>K117*'Income Statement - FACTORY'!L7</f>
        <v>1822005.3501781693</v>
      </c>
      <c r="L57" s="90">
        <f>L117*'Income Statement - FACTORY'!M7</f>
        <v>2004205.8851959864</v>
      </c>
      <c r="M57" s="26"/>
      <c r="N57" s="26"/>
      <c r="O57" s="35"/>
      <c r="P57" s="35"/>
      <c r="Q57" s="26"/>
      <c r="R57" s="26"/>
      <c r="S57" s="26"/>
      <c r="T57" s="26"/>
      <c r="U57" s="26"/>
      <c r="V57" s="26"/>
      <c r="W57" s="26"/>
      <c r="X57" s="26"/>
      <c r="Y57" s="26"/>
      <c r="Z57" s="26"/>
    </row>
    <row r="58" spans="1:26" ht="17.25" customHeight="1" x14ac:dyDescent="0.25">
      <c r="A58" s="26"/>
      <c r="B58" s="45" t="s">
        <v>116</v>
      </c>
      <c r="C58" s="90">
        <v>358832</v>
      </c>
      <c r="D58" s="90">
        <v>396704</v>
      </c>
      <c r="E58" s="90">
        <v>374258.03438398545</v>
      </c>
      <c r="F58" s="90">
        <v>525318.60965319211</v>
      </c>
      <c r="G58" s="90">
        <v>675805.29472900729</v>
      </c>
      <c r="H58" s="90">
        <v>743385.82420190808</v>
      </c>
      <c r="I58" s="90">
        <v>817724.40662209899</v>
      </c>
      <c r="J58" s="90">
        <v>899496.84728430898</v>
      </c>
      <c r="K58" s="90">
        <v>989446.5320127398</v>
      </c>
      <c r="L58" s="90">
        <v>1043227.4037553063</v>
      </c>
      <c r="M58" s="26"/>
      <c r="N58" s="26"/>
      <c r="O58" s="35"/>
      <c r="P58" s="35"/>
      <c r="Q58" s="26"/>
      <c r="R58" s="26"/>
      <c r="S58" s="26"/>
      <c r="T58" s="26"/>
      <c r="U58" s="26"/>
      <c r="V58" s="26"/>
      <c r="W58" s="26"/>
      <c r="X58" s="26"/>
      <c r="Y58" s="26"/>
      <c r="Z58" s="26"/>
    </row>
    <row r="59" spans="1:26" ht="17.25" customHeight="1" x14ac:dyDescent="0.25">
      <c r="A59" s="26"/>
      <c r="B59" s="29" t="s">
        <v>140</v>
      </c>
      <c r="C59" s="33">
        <v>1738231</v>
      </c>
      <c r="D59" s="33">
        <v>1769712</v>
      </c>
      <c r="E59" s="33">
        <f>E34+E49</f>
        <v>3592251.6306308075</v>
      </c>
      <c r="F59" s="33">
        <f t="shared" ref="F59:L59" si="24">F34+F49</f>
        <v>6993938.58564959</v>
      </c>
      <c r="G59" s="33">
        <f t="shared" si="24"/>
        <v>11217420.566347588</v>
      </c>
      <c r="H59" s="33">
        <f t="shared" si="24"/>
        <v>14756404.24621284</v>
      </c>
      <c r="I59" s="33">
        <f t="shared" si="24"/>
        <v>19090778.259957407</v>
      </c>
      <c r="J59" s="33">
        <f t="shared" si="24"/>
        <v>23089747.030508548</v>
      </c>
      <c r="K59" s="33">
        <f t="shared" si="24"/>
        <v>27246750.523894195</v>
      </c>
      <c r="L59" s="33">
        <f t="shared" si="24"/>
        <v>33339521.578151505</v>
      </c>
      <c r="M59" s="26"/>
      <c r="N59" s="29"/>
      <c r="O59" s="33"/>
      <c r="P59" s="33"/>
      <c r="Q59" s="26"/>
      <c r="R59" s="26"/>
      <c r="S59" s="26"/>
      <c r="T59" s="26"/>
      <c r="U59" s="26"/>
      <c r="V59" s="26"/>
      <c r="W59" s="26"/>
      <c r="X59" s="26"/>
      <c r="Y59" s="26"/>
      <c r="Z59" s="26"/>
    </row>
    <row r="60" spans="1:26" ht="12.75" customHeight="1" x14ac:dyDescent="0.25">
      <c r="A60" s="26"/>
      <c r="B60" s="26"/>
      <c r="C60" s="35"/>
      <c r="D60" s="35"/>
      <c r="E60" s="35"/>
      <c r="F60" s="35"/>
      <c r="G60" s="35"/>
      <c r="H60" s="35"/>
      <c r="I60" s="35"/>
      <c r="J60" s="35"/>
      <c r="K60" s="35"/>
      <c r="L60" s="35"/>
      <c r="M60" s="26"/>
      <c r="N60" s="26"/>
      <c r="O60" s="26"/>
      <c r="P60" s="33"/>
      <c r="Q60" s="26"/>
      <c r="R60" s="26"/>
      <c r="S60" s="26"/>
      <c r="T60" s="26"/>
      <c r="U60" s="26"/>
      <c r="V60" s="26"/>
      <c r="W60" s="26"/>
      <c r="X60" s="26"/>
      <c r="Y60" s="26"/>
      <c r="Z60" s="26"/>
    </row>
    <row r="61" spans="1:26" ht="12.75" customHeight="1" x14ac:dyDescent="0.25">
      <c r="A61" s="26"/>
      <c r="B61" s="82"/>
      <c r="C61" s="35"/>
      <c r="D61" s="35"/>
      <c r="E61" s="35"/>
      <c r="F61" s="26"/>
      <c r="G61" s="26"/>
      <c r="H61" s="26"/>
      <c r="I61" s="26"/>
      <c r="J61" s="26"/>
      <c r="K61" s="26"/>
      <c r="L61" s="26"/>
      <c r="M61" s="26"/>
      <c r="N61" s="26"/>
      <c r="O61" s="26"/>
      <c r="P61" s="26"/>
      <c r="Q61" s="26"/>
      <c r="R61" s="26"/>
      <c r="S61" s="26"/>
      <c r="T61" s="26"/>
      <c r="U61" s="26"/>
      <c r="V61" s="26"/>
      <c r="W61" s="26"/>
      <c r="X61" s="26"/>
      <c r="Y61" s="26"/>
      <c r="Z61" s="26"/>
    </row>
    <row r="62" spans="1:26" ht="12.75" customHeight="1" x14ac:dyDescent="0.25">
      <c r="A62" s="26"/>
      <c r="B62" s="26"/>
      <c r="C62" s="35"/>
      <c r="D62" s="35"/>
      <c r="E62" s="35"/>
      <c r="F62" s="35"/>
      <c r="G62" s="35"/>
      <c r="H62" s="35"/>
      <c r="I62" s="35"/>
      <c r="J62" s="35"/>
      <c r="K62" s="35"/>
      <c r="L62" s="35"/>
      <c r="M62" s="26"/>
      <c r="N62" s="26"/>
      <c r="O62" s="26"/>
      <c r="P62" s="26"/>
      <c r="Q62" s="26"/>
      <c r="R62" s="26"/>
      <c r="S62" s="26"/>
      <c r="T62" s="26"/>
      <c r="U62" s="26"/>
      <c r="V62" s="26"/>
      <c r="W62" s="26"/>
      <c r="X62" s="26"/>
      <c r="Y62" s="26"/>
      <c r="Z62" s="26"/>
    </row>
    <row r="63" spans="1:26" ht="12.75" customHeight="1" x14ac:dyDescent="0.25">
      <c r="A63" s="26"/>
      <c r="B63" s="26"/>
      <c r="C63" s="26"/>
      <c r="D63" s="26"/>
      <c r="E63" s="74"/>
      <c r="F63" s="74"/>
      <c r="G63" s="74"/>
      <c r="H63" s="74"/>
      <c r="I63" s="74"/>
      <c r="J63" s="74"/>
      <c r="K63" s="74"/>
      <c r="L63" s="74"/>
      <c r="M63" s="26"/>
      <c r="N63" s="26"/>
      <c r="O63" s="26"/>
      <c r="P63" s="26"/>
      <c r="Q63" s="26"/>
      <c r="R63" s="26"/>
      <c r="S63" s="26"/>
      <c r="T63" s="26"/>
      <c r="U63" s="26"/>
      <c r="V63" s="26"/>
      <c r="W63" s="26"/>
      <c r="X63" s="26"/>
      <c r="Y63" s="26"/>
      <c r="Z63" s="26"/>
    </row>
    <row r="64" spans="1:26" ht="12.75" customHeight="1" x14ac:dyDescent="0.25">
      <c r="A64" s="26"/>
      <c r="B64" s="175" t="s">
        <v>167</v>
      </c>
      <c r="C64" s="177">
        <v>2016</v>
      </c>
      <c r="D64" s="177">
        <v>2017</v>
      </c>
      <c r="E64" s="166">
        <v>2018</v>
      </c>
      <c r="F64" s="166">
        <v>2019</v>
      </c>
      <c r="G64" s="166">
        <v>2020</v>
      </c>
      <c r="H64" s="166">
        <v>2021</v>
      </c>
      <c r="I64" s="166">
        <v>2022</v>
      </c>
      <c r="J64" s="166">
        <v>2023</v>
      </c>
      <c r="K64" s="166">
        <v>2024</v>
      </c>
      <c r="L64" s="166">
        <v>2025</v>
      </c>
      <c r="M64" s="26"/>
      <c r="N64" s="26"/>
      <c r="O64" s="26"/>
      <c r="P64" s="26"/>
      <c r="Q64" s="26"/>
      <c r="R64" s="26"/>
      <c r="S64" s="26"/>
      <c r="T64" s="26"/>
      <c r="U64" s="26"/>
      <c r="V64" s="26"/>
      <c r="W64" s="26"/>
      <c r="X64" s="26"/>
      <c r="Y64" s="26"/>
      <c r="Z64" s="26"/>
    </row>
    <row r="65" spans="1:26" ht="12.75" customHeight="1" x14ac:dyDescent="0.25">
      <c r="A65" s="26"/>
      <c r="B65" s="176"/>
      <c r="C65" s="178"/>
      <c r="D65" s="178"/>
      <c r="E65" s="167"/>
      <c r="F65" s="167"/>
      <c r="G65" s="167"/>
      <c r="H65" s="167"/>
      <c r="I65" s="167"/>
      <c r="J65" s="167"/>
      <c r="K65" s="167"/>
      <c r="L65" s="167"/>
      <c r="M65" s="26"/>
      <c r="N65" s="26"/>
      <c r="O65" s="26"/>
      <c r="P65" s="26"/>
      <c r="Q65" s="26"/>
      <c r="R65" s="26"/>
      <c r="S65" s="26"/>
      <c r="T65" s="26"/>
      <c r="U65" s="26"/>
      <c r="V65" s="26"/>
      <c r="W65" s="26"/>
      <c r="X65" s="26"/>
      <c r="Y65" s="26"/>
      <c r="Z65" s="26"/>
    </row>
    <row r="66" spans="1:26" ht="12.75" hidden="1" customHeight="1" x14ac:dyDescent="0.25">
      <c r="A66" s="26"/>
      <c r="B66" s="83" t="s">
        <v>96</v>
      </c>
      <c r="C66" s="52">
        <v>1321426</v>
      </c>
      <c r="D66" s="52">
        <v>1249622</v>
      </c>
      <c r="E66" s="52"/>
      <c r="F66" s="52"/>
      <c r="G66" s="52"/>
      <c r="H66" s="52"/>
      <c r="I66" s="52"/>
      <c r="J66" s="52"/>
      <c r="K66" s="52"/>
      <c r="L66" s="52"/>
      <c r="M66" s="26"/>
      <c r="N66" s="26"/>
      <c r="O66" s="26"/>
      <c r="P66" s="26"/>
      <c r="Q66" s="26"/>
      <c r="R66" s="26"/>
      <c r="S66" s="26"/>
      <c r="T66" s="26"/>
      <c r="U66" s="26"/>
      <c r="V66" s="26"/>
      <c r="W66" s="26"/>
      <c r="X66" s="26"/>
      <c r="Y66" s="26"/>
      <c r="Z66" s="26"/>
    </row>
    <row r="67" spans="1:26" ht="12.6" hidden="1" customHeight="1" x14ac:dyDescent="0.25">
      <c r="A67" s="26"/>
      <c r="B67" s="51" t="s">
        <v>97</v>
      </c>
      <c r="C67" s="52">
        <v>1345</v>
      </c>
      <c r="D67" s="52">
        <v>1572</v>
      </c>
      <c r="E67" s="52"/>
      <c r="F67" s="52"/>
      <c r="G67" s="52"/>
      <c r="H67" s="52"/>
      <c r="I67" s="52"/>
      <c r="J67" s="52"/>
      <c r="K67" s="52"/>
      <c r="L67" s="52"/>
      <c r="M67" s="26"/>
      <c r="N67" s="26"/>
      <c r="O67" s="26"/>
      <c r="P67" s="26"/>
      <c r="Q67" s="26"/>
      <c r="R67" s="26"/>
      <c r="S67" s="26"/>
      <c r="T67" s="26"/>
      <c r="U67" s="26"/>
      <c r="V67" s="26"/>
      <c r="W67" s="26"/>
      <c r="X67" s="26"/>
      <c r="Y67" s="26"/>
      <c r="Z67" s="26"/>
    </row>
    <row r="68" spans="1:26" ht="12.75" hidden="1" customHeight="1" x14ac:dyDescent="0.25">
      <c r="A68" s="26"/>
      <c r="B68" s="81" t="s">
        <v>98</v>
      </c>
      <c r="C68" s="52">
        <v>0</v>
      </c>
      <c r="D68" s="52">
        <v>0</v>
      </c>
      <c r="E68" s="52"/>
      <c r="F68" s="52"/>
      <c r="G68" s="52"/>
      <c r="H68" s="52"/>
      <c r="I68" s="52"/>
      <c r="J68" s="52"/>
      <c r="K68" s="52"/>
      <c r="L68" s="52"/>
      <c r="M68" s="26"/>
      <c r="N68" s="26"/>
      <c r="O68" s="26"/>
      <c r="P68" s="26"/>
      <c r="Q68" s="26"/>
      <c r="R68" s="26"/>
      <c r="S68" s="26"/>
      <c r="T68" s="26"/>
      <c r="U68" s="26"/>
      <c r="V68" s="26"/>
      <c r="W68" s="26"/>
      <c r="X68" s="26"/>
      <c r="Y68" s="26"/>
      <c r="Z68" s="26"/>
    </row>
    <row r="69" spans="1:26" ht="12.75" hidden="1" customHeight="1" x14ac:dyDescent="0.25">
      <c r="A69" s="26"/>
      <c r="B69" s="81" t="s">
        <v>99</v>
      </c>
      <c r="C69" s="52">
        <v>0</v>
      </c>
      <c r="D69" s="52">
        <v>0</v>
      </c>
      <c r="E69" s="52"/>
      <c r="F69" s="52"/>
      <c r="G69" s="52"/>
      <c r="H69" s="52"/>
      <c r="I69" s="52"/>
      <c r="J69" s="52"/>
      <c r="K69" s="52"/>
      <c r="L69" s="52"/>
      <c r="M69" s="26"/>
      <c r="N69" s="26"/>
      <c r="O69" s="26"/>
      <c r="P69" s="26"/>
      <c r="Q69" s="26"/>
      <c r="R69" s="26"/>
      <c r="S69" s="26"/>
      <c r="T69" s="26"/>
      <c r="U69" s="26"/>
      <c r="V69" s="26"/>
      <c r="W69" s="26"/>
      <c r="X69" s="26"/>
      <c r="Y69" s="26"/>
      <c r="Z69" s="26"/>
    </row>
    <row r="70" spans="1:26" ht="12.75" hidden="1" customHeight="1" x14ac:dyDescent="0.25">
      <c r="A70" s="26"/>
      <c r="B70" s="81" t="s">
        <v>100</v>
      </c>
      <c r="C70" s="52">
        <v>1345</v>
      </c>
      <c r="D70" s="52">
        <v>1572</v>
      </c>
      <c r="E70" s="52"/>
      <c r="F70" s="52"/>
      <c r="G70" s="52"/>
      <c r="H70" s="52"/>
      <c r="I70" s="52"/>
      <c r="J70" s="52"/>
      <c r="K70" s="52"/>
      <c r="L70" s="52"/>
      <c r="M70" s="26"/>
      <c r="N70" s="26"/>
      <c r="O70" s="26"/>
      <c r="P70" s="26"/>
      <c r="Q70" s="26"/>
      <c r="R70" s="26"/>
      <c r="S70" s="26"/>
      <c r="T70" s="26"/>
      <c r="U70" s="26"/>
      <c r="V70" s="26"/>
      <c r="W70" s="26"/>
      <c r="X70" s="26"/>
      <c r="Y70" s="26"/>
      <c r="Z70" s="26"/>
    </row>
    <row r="71" spans="1:26" ht="12.75" hidden="1" customHeight="1" x14ac:dyDescent="0.25">
      <c r="A71" s="26"/>
      <c r="B71" s="51" t="s">
        <v>101</v>
      </c>
      <c r="C71" s="52">
        <v>1184828</v>
      </c>
      <c r="D71" s="52">
        <v>1098769</v>
      </c>
      <c r="E71" s="52"/>
      <c r="F71" s="52"/>
      <c r="G71" s="52"/>
      <c r="H71" s="52"/>
      <c r="I71" s="52"/>
      <c r="J71" s="52"/>
      <c r="K71" s="52"/>
      <c r="L71" s="52"/>
      <c r="M71" s="26"/>
      <c r="N71" s="26"/>
      <c r="O71" s="26"/>
      <c r="P71" s="26"/>
      <c r="Q71" s="26"/>
      <c r="R71" s="26"/>
      <c r="S71" s="26"/>
      <c r="T71" s="26"/>
      <c r="U71" s="26"/>
      <c r="V71" s="26"/>
      <c r="W71" s="26"/>
      <c r="X71" s="26"/>
      <c r="Y71" s="26"/>
      <c r="Z71" s="26"/>
    </row>
    <row r="72" spans="1:26" ht="12.75" hidden="1" customHeight="1" x14ac:dyDescent="0.25">
      <c r="A72" s="26"/>
      <c r="B72" s="81" t="s">
        <v>102</v>
      </c>
      <c r="C72" s="52">
        <v>0</v>
      </c>
      <c r="D72" s="52">
        <v>0</v>
      </c>
      <c r="E72" s="52"/>
      <c r="F72" s="52"/>
      <c r="G72" s="52"/>
      <c r="H72" s="52"/>
      <c r="I72" s="52"/>
      <c r="J72" s="52"/>
      <c r="K72" s="52"/>
      <c r="L72" s="52"/>
      <c r="M72" s="26"/>
      <c r="N72" s="26"/>
      <c r="O72" s="26"/>
      <c r="P72" s="26"/>
      <c r="Q72" s="26"/>
      <c r="R72" s="26"/>
      <c r="S72" s="26"/>
      <c r="T72" s="26"/>
      <c r="U72" s="26"/>
      <c r="V72" s="26"/>
      <c r="W72" s="26"/>
      <c r="X72" s="26"/>
      <c r="Y72" s="26"/>
      <c r="Z72" s="26"/>
    </row>
    <row r="73" spans="1:26" ht="12.75" hidden="1" customHeight="1" x14ac:dyDescent="0.25">
      <c r="A73" s="26"/>
      <c r="B73" s="81" t="s">
        <v>103</v>
      </c>
      <c r="C73" s="52">
        <v>728233</v>
      </c>
      <c r="D73" s="52">
        <v>585547</v>
      </c>
      <c r="E73" s="52"/>
      <c r="F73" s="52"/>
      <c r="G73" s="52"/>
      <c r="H73" s="52"/>
      <c r="I73" s="52"/>
      <c r="J73" s="52"/>
      <c r="K73" s="52"/>
      <c r="L73" s="52"/>
      <c r="M73" s="26"/>
      <c r="N73" s="26"/>
      <c r="O73" s="26"/>
      <c r="P73" s="26"/>
      <c r="Q73" s="26"/>
      <c r="R73" s="26"/>
      <c r="S73" s="26"/>
      <c r="T73" s="26"/>
      <c r="U73" s="26"/>
      <c r="V73" s="26"/>
      <c r="W73" s="26"/>
      <c r="X73" s="26"/>
      <c r="Y73" s="26"/>
      <c r="Z73" s="26"/>
    </row>
    <row r="74" spans="1:26" ht="12.75" hidden="1" customHeight="1" x14ac:dyDescent="0.25">
      <c r="A74" s="26"/>
      <c r="B74" s="81" t="s">
        <v>104</v>
      </c>
      <c r="C74" s="52">
        <v>323297</v>
      </c>
      <c r="D74" s="52">
        <v>222930</v>
      </c>
      <c r="E74" s="52"/>
      <c r="F74" s="52"/>
      <c r="G74" s="52"/>
      <c r="H74" s="52"/>
      <c r="I74" s="52"/>
      <c r="J74" s="52"/>
      <c r="K74" s="52"/>
      <c r="L74" s="52"/>
      <c r="M74" s="26"/>
      <c r="N74" s="26"/>
      <c r="O74" s="26"/>
      <c r="P74" s="26"/>
      <c r="Q74" s="26"/>
      <c r="R74" s="26"/>
      <c r="S74" s="26"/>
      <c r="T74" s="26"/>
      <c r="U74" s="26"/>
      <c r="V74" s="26"/>
      <c r="W74" s="26"/>
      <c r="X74" s="26"/>
      <c r="Y74" s="26"/>
      <c r="Z74" s="26"/>
    </row>
    <row r="75" spans="1:26" ht="12.75" hidden="1" customHeight="1" x14ac:dyDescent="0.25">
      <c r="A75" s="26"/>
      <c r="B75" s="81" t="s">
        <v>105</v>
      </c>
      <c r="C75" s="52">
        <v>130161</v>
      </c>
      <c r="D75" s="52">
        <v>249225</v>
      </c>
      <c r="E75" s="52"/>
      <c r="F75" s="52"/>
      <c r="G75" s="52"/>
      <c r="H75" s="52"/>
      <c r="I75" s="52"/>
      <c r="J75" s="52"/>
      <c r="K75" s="52"/>
      <c r="L75" s="52"/>
      <c r="M75" s="26"/>
      <c r="N75" s="26"/>
      <c r="O75" s="26"/>
      <c r="P75" s="26"/>
      <c r="Q75" s="26"/>
      <c r="R75" s="26"/>
      <c r="S75" s="26"/>
      <c r="T75" s="26"/>
      <c r="U75" s="26"/>
      <c r="V75" s="26"/>
      <c r="W75" s="26"/>
      <c r="X75" s="26"/>
      <c r="Y75" s="26"/>
      <c r="Z75" s="26"/>
    </row>
    <row r="76" spans="1:26" ht="12.75" hidden="1" customHeight="1" x14ac:dyDescent="0.25">
      <c r="A76" s="26"/>
      <c r="B76" s="81" t="s">
        <v>106</v>
      </c>
      <c r="C76" s="52">
        <v>3136</v>
      </c>
      <c r="D76" s="52">
        <v>41066</v>
      </c>
      <c r="E76" s="52"/>
      <c r="F76" s="52"/>
      <c r="G76" s="52"/>
      <c r="H76" s="52"/>
      <c r="I76" s="52"/>
      <c r="J76" s="52"/>
      <c r="K76" s="52"/>
      <c r="L76" s="52"/>
      <c r="M76" s="26"/>
      <c r="N76" s="26"/>
      <c r="O76" s="26"/>
      <c r="P76" s="26"/>
      <c r="Q76" s="26"/>
      <c r="R76" s="26"/>
      <c r="S76" s="26"/>
      <c r="T76" s="26"/>
      <c r="U76" s="26"/>
      <c r="V76" s="26"/>
      <c r="W76" s="26"/>
      <c r="X76" s="26"/>
      <c r="Y76" s="26"/>
      <c r="Z76" s="26"/>
    </row>
    <row r="77" spans="1:26" ht="12.75" hidden="1" customHeight="1" x14ac:dyDescent="0.25">
      <c r="A77" s="26"/>
      <c r="B77" s="81" t="s">
        <v>107</v>
      </c>
      <c r="C77" s="52">
        <v>0</v>
      </c>
      <c r="D77" s="52">
        <v>0</v>
      </c>
      <c r="E77" s="52"/>
      <c r="F77" s="52"/>
      <c r="G77" s="52"/>
      <c r="H77" s="52"/>
      <c r="I77" s="52"/>
      <c r="J77" s="52"/>
      <c r="K77" s="52"/>
      <c r="L77" s="52"/>
      <c r="M77" s="26"/>
      <c r="N77" s="26"/>
      <c r="O77" s="26"/>
      <c r="P77" s="26"/>
      <c r="Q77" s="26"/>
      <c r="R77" s="26"/>
      <c r="S77" s="26"/>
      <c r="T77" s="26"/>
      <c r="U77" s="26"/>
      <c r="V77" s="26"/>
      <c r="W77" s="26"/>
      <c r="X77" s="26"/>
      <c r="Y77" s="26"/>
      <c r="Z77" s="26"/>
    </row>
    <row r="78" spans="1:26" ht="12.75" hidden="1" customHeight="1" x14ac:dyDescent="0.25">
      <c r="A78" s="26"/>
      <c r="B78" s="51" t="s">
        <v>108</v>
      </c>
      <c r="C78" s="52">
        <v>135252</v>
      </c>
      <c r="D78" s="52">
        <v>149280</v>
      </c>
      <c r="E78" s="52"/>
      <c r="F78" s="52"/>
      <c r="G78" s="52"/>
      <c r="H78" s="52"/>
      <c r="I78" s="52"/>
      <c r="J78" s="52"/>
      <c r="K78" s="52"/>
      <c r="L78" s="52"/>
      <c r="M78" s="26"/>
      <c r="N78" s="26"/>
      <c r="O78" s="26"/>
      <c r="P78" s="26"/>
      <c r="Q78" s="26"/>
      <c r="R78" s="26"/>
      <c r="S78" s="26"/>
      <c r="T78" s="26"/>
      <c r="U78" s="26"/>
      <c r="V78" s="26"/>
      <c r="W78" s="26"/>
      <c r="X78" s="26"/>
      <c r="Y78" s="26"/>
      <c r="Z78" s="26"/>
    </row>
    <row r="79" spans="1:26" ht="12.75" hidden="1" customHeight="1" x14ac:dyDescent="0.25">
      <c r="A79" s="26"/>
      <c r="B79" s="51" t="s">
        <v>109</v>
      </c>
      <c r="C79" s="52">
        <v>0</v>
      </c>
      <c r="D79" s="52">
        <v>0</v>
      </c>
      <c r="E79" s="52"/>
      <c r="F79" s="52"/>
      <c r="G79" s="52"/>
      <c r="H79" s="52"/>
      <c r="I79" s="52"/>
      <c r="J79" s="52"/>
      <c r="K79" s="52"/>
      <c r="L79" s="52"/>
      <c r="M79" s="26"/>
      <c r="N79" s="26"/>
      <c r="O79" s="26"/>
      <c r="P79" s="26"/>
      <c r="Q79" s="26"/>
      <c r="R79" s="26"/>
      <c r="S79" s="26"/>
      <c r="T79" s="26"/>
      <c r="U79" s="26"/>
      <c r="V79" s="26"/>
      <c r="W79" s="26"/>
      <c r="X79" s="26"/>
      <c r="Y79" s="26"/>
      <c r="Z79" s="26"/>
    </row>
    <row r="80" spans="1:26" ht="12.75" hidden="1" customHeight="1" x14ac:dyDescent="0.25">
      <c r="A80" s="26"/>
      <c r="B80" s="83"/>
      <c r="C80" s="52"/>
      <c r="D80" s="52"/>
      <c r="E80" s="52"/>
      <c r="F80" s="52"/>
      <c r="G80" s="52"/>
      <c r="H80" s="52"/>
      <c r="I80" s="52"/>
      <c r="J80" s="52"/>
      <c r="K80" s="52"/>
      <c r="L80" s="52"/>
      <c r="M80" s="26"/>
      <c r="N80" s="26"/>
      <c r="O80" s="26"/>
      <c r="P80" s="26"/>
      <c r="Q80" s="26"/>
      <c r="R80" s="26"/>
      <c r="S80" s="26"/>
      <c r="T80" s="26"/>
      <c r="U80" s="26"/>
      <c r="V80" s="26"/>
      <c r="W80" s="26"/>
      <c r="X80" s="26"/>
      <c r="Y80" s="26"/>
      <c r="Z80" s="26"/>
    </row>
    <row r="81" spans="1:26" ht="12.75" customHeight="1" x14ac:dyDescent="0.25">
      <c r="A81" s="26"/>
      <c r="B81" s="83" t="s">
        <v>110</v>
      </c>
      <c r="C81" s="52">
        <v>416804</v>
      </c>
      <c r="D81" s="52">
        <v>520089</v>
      </c>
      <c r="E81" s="52"/>
      <c r="F81" s="52"/>
      <c r="G81" s="52"/>
      <c r="H81" s="52"/>
      <c r="I81" s="52"/>
      <c r="J81" s="52"/>
      <c r="K81" s="52"/>
      <c r="L81" s="52"/>
      <c r="M81" s="26"/>
      <c r="N81" s="26"/>
      <c r="O81" s="26"/>
      <c r="P81" s="26"/>
      <c r="Q81" s="26"/>
      <c r="R81" s="26"/>
      <c r="S81" s="26"/>
      <c r="T81" s="26"/>
      <c r="U81" s="26"/>
      <c r="V81" s="26"/>
      <c r="W81" s="26"/>
      <c r="X81" s="26"/>
      <c r="Y81" s="26"/>
      <c r="Z81" s="26"/>
    </row>
    <row r="82" spans="1:26" ht="12.75" customHeight="1" x14ac:dyDescent="0.25">
      <c r="A82" s="26"/>
      <c r="B82" s="51" t="s">
        <v>111</v>
      </c>
      <c r="C82" s="52">
        <v>162812</v>
      </c>
      <c r="D82" s="52">
        <v>187468</v>
      </c>
      <c r="E82" s="52"/>
      <c r="F82" s="52"/>
      <c r="G82" s="52"/>
      <c r="H82" s="52"/>
      <c r="I82" s="52"/>
      <c r="J82" s="52"/>
      <c r="K82" s="52"/>
      <c r="L82" s="52"/>
      <c r="M82" s="182" t="s">
        <v>219</v>
      </c>
      <c r="N82" s="26"/>
      <c r="O82" s="26"/>
      <c r="P82" s="26"/>
      <c r="Q82" s="26"/>
      <c r="R82" s="26"/>
      <c r="S82" s="26"/>
      <c r="T82" s="26"/>
      <c r="U82" s="26"/>
      <c r="V82" s="26"/>
      <c r="W82" s="26"/>
      <c r="X82" s="26"/>
      <c r="Y82" s="26"/>
      <c r="Z82" s="26"/>
    </row>
    <row r="83" spans="1:26" ht="12.75" customHeight="1" x14ac:dyDescent="0.25">
      <c r="A83" s="26"/>
      <c r="B83" s="81" t="s">
        <v>199</v>
      </c>
      <c r="C83" s="52">
        <v>45580</v>
      </c>
      <c r="D83" s="52">
        <v>29898</v>
      </c>
      <c r="E83" s="85">
        <f>$D$83/'Income Statement - FACTORY'!F6</f>
        <v>4.1941913807945477E-3</v>
      </c>
      <c r="F83" s="85">
        <f>$D$83/'Income Statement - FACTORY'!$F$6</f>
        <v>4.1941913807945477E-3</v>
      </c>
      <c r="G83" s="85">
        <f>$D$83/'Income Statement - FACTORY'!$F$6</f>
        <v>4.1941913807945477E-3</v>
      </c>
      <c r="H83" s="85">
        <f>$D$83/'Income Statement - FACTORY'!$F$6</f>
        <v>4.1941913807945477E-3</v>
      </c>
      <c r="I83" s="85">
        <f>$D$83/'Income Statement - FACTORY'!$F$6</f>
        <v>4.1941913807945477E-3</v>
      </c>
      <c r="J83" s="85">
        <f>$D$83/'Income Statement - FACTORY'!$F$6</f>
        <v>4.1941913807945477E-3</v>
      </c>
      <c r="K83" s="85">
        <f>$D$83/'Income Statement - FACTORY'!$F$6</f>
        <v>4.1941913807945477E-3</v>
      </c>
      <c r="L83" s="85">
        <f>$D$83/'Income Statement - FACTORY'!$F$6</f>
        <v>4.1941913807945477E-3</v>
      </c>
      <c r="M83" s="182"/>
      <c r="N83" s="26"/>
      <c r="O83" s="26"/>
      <c r="P83" s="26"/>
      <c r="Q83" s="26"/>
      <c r="R83" s="26"/>
      <c r="S83" s="26"/>
      <c r="T83" s="26"/>
      <c r="U83" s="26"/>
      <c r="V83" s="26"/>
      <c r="W83" s="26"/>
      <c r="X83" s="26"/>
      <c r="Y83" s="26"/>
      <c r="Z83" s="26"/>
    </row>
    <row r="84" spans="1:26" ht="12.75" hidden="1" customHeight="1" x14ac:dyDescent="0.25">
      <c r="A84" s="26"/>
      <c r="B84" s="81" t="s">
        <v>113</v>
      </c>
      <c r="C84" s="52">
        <v>0</v>
      </c>
      <c r="D84" s="52">
        <v>0</v>
      </c>
      <c r="E84" s="52"/>
      <c r="F84" s="52"/>
      <c r="G84" s="52"/>
      <c r="H84" s="52"/>
      <c r="I84" s="52"/>
      <c r="J84" s="52"/>
      <c r="K84" s="52"/>
      <c r="L84" s="52"/>
      <c r="M84" s="182"/>
      <c r="N84" s="26"/>
      <c r="O84" s="26"/>
      <c r="P84" s="26"/>
      <c r="Q84" s="26"/>
      <c r="R84" s="26"/>
      <c r="S84" s="26"/>
      <c r="T84" s="26"/>
      <c r="U84" s="26"/>
      <c r="V84" s="26"/>
      <c r="W84" s="26"/>
      <c r="X84" s="26"/>
      <c r="Y84" s="26"/>
      <c r="Z84" s="26"/>
    </row>
    <row r="85" spans="1:26" ht="12.75" hidden="1" customHeight="1" x14ac:dyDescent="0.25">
      <c r="A85" s="26"/>
      <c r="B85" s="81" t="s">
        <v>114</v>
      </c>
      <c r="C85" s="52">
        <v>0</v>
      </c>
      <c r="D85" s="52">
        <v>0</v>
      </c>
      <c r="E85" s="52"/>
      <c r="F85" s="52"/>
      <c r="G85" s="52"/>
      <c r="H85" s="52"/>
      <c r="I85" s="52"/>
      <c r="J85" s="52"/>
      <c r="K85" s="52"/>
      <c r="L85" s="52"/>
      <c r="M85" s="182"/>
      <c r="N85" s="26"/>
      <c r="O85" s="26"/>
      <c r="P85" s="26"/>
      <c r="Q85" s="26"/>
      <c r="R85" s="26"/>
      <c r="S85" s="26"/>
      <c r="T85" s="26"/>
      <c r="U85" s="26"/>
      <c r="V85" s="26"/>
      <c r="W85" s="26"/>
      <c r="X85" s="26"/>
      <c r="Y85" s="26"/>
      <c r="Z85" s="26"/>
    </row>
    <row r="86" spans="1:26" ht="12.75" hidden="1" customHeight="1" x14ac:dyDescent="0.25">
      <c r="A86" s="26"/>
      <c r="B86" s="81" t="s">
        <v>115</v>
      </c>
      <c r="C86" s="52">
        <v>0</v>
      </c>
      <c r="D86" s="52">
        <v>0</v>
      </c>
      <c r="E86" s="52"/>
      <c r="F86" s="52"/>
      <c r="G86" s="52"/>
      <c r="H86" s="52"/>
      <c r="I86" s="52"/>
      <c r="J86" s="52"/>
      <c r="K86" s="52"/>
      <c r="L86" s="52"/>
      <c r="M86" s="182"/>
      <c r="N86" s="26"/>
      <c r="O86" s="26"/>
      <c r="P86" s="26"/>
      <c r="Q86" s="26"/>
      <c r="R86" s="26"/>
      <c r="S86" s="26"/>
      <c r="T86" s="26"/>
      <c r="U86" s="26"/>
      <c r="V86" s="26"/>
      <c r="W86" s="26"/>
      <c r="X86" s="26"/>
      <c r="Y86" s="26"/>
      <c r="Z86" s="26"/>
    </row>
    <row r="87" spans="1:26" ht="12.75" customHeight="1" x14ac:dyDescent="0.25">
      <c r="A87" s="26"/>
      <c r="B87" s="81" t="s">
        <v>200</v>
      </c>
      <c r="C87" s="52">
        <v>117232</v>
      </c>
      <c r="D87" s="52">
        <v>157570</v>
      </c>
      <c r="E87" s="84">
        <f>$D$87/'Income Statement - FACTORY'!$F$6</f>
        <v>2.2104446313191414E-2</v>
      </c>
      <c r="F87" s="84">
        <f>$D$87/'Income Statement - FACTORY'!$F$6</f>
        <v>2.2104446313191414E-2</v>
      </c>
      <c r="G87" s="84">
        <f>$D$87/'Income Statement - FACTORY'!$F$6</f>
        <v>2.2104446313191414E-2</v>
      </c>
      <c r="H87" s="84">
        <f>$D$87/'Income Statement - FACTORY'!$F$6</f>
        <v>2.2104446313191414E-2</v>
      </c>
      <c r="I87" s="84">
        <f>$D$87/'Income Statement - FACTORY'!$F$6</f>
        <v>2.2104446313191414E-2</v>
      </c>
      <c r="J87" s="84">
        <f>$D$87/'Income Statement - FACTORY'!$F$6</f>
        <v>2.2104446313191414E-2</v>
      </c>
      <c r="K87" s="84">
        <f>$D$87/'Income Statement - FACTORY'!$F$6</f>
        <v>2.2104446313191414E-2</v>
      </c>
      <c r="L87" s="84">
        <f>$D$87/'Income Statement - FACTORY'!$F$6</f>
        <v>2.2104446313191414E-2</v>
      </c>
      <c r="M87" s="182"/>
      <c r="N87" s="26"/>
      <c r="O87" s="26"/>
      <c r="P87" s="26"/>
      <c r="Q87" s="26"/>
      <c r="R87" s="26"/>
      <c r="S87" s="26"/>
      <c r="T87" s="26"/>
      <c r="U87" s="26"/>
      <c r="V87" s="26"/>
      <c r="W87" s="26"/>
      <c r="X87" s="26"/>
      <c r="Y87" s="26"/>
      <c r="Z87" s="26"/>
    </row>
    <row r="88" spans="1:26" ht="12.75" customHeight="1" x14ac:dyDescent="0.25">
      <c r="A88" s="26"/>
      <c r="B88" s="51" t="s">
        <v>117</v>
      </c>
      <c r="C88" s="56">
        <v>68365</v>
      </c>
      <c r="D88" s="56">
        <v>152062</v>
      </c>
      <c r="E88" s="84"/>
      <c r="F88" s="52"/>
      <c r="G88" s="52"/>
      <c r="H88" s="52"/>
      <c r="I88" s="52"/>
      <c r="J88" s="52"/>
      <c r="K88" s="52"/>
      <c r="L88" s="52"/>
      <c r="M88" s="182"/>
      <c r="N88" s="26"/>
      <c r="O88" s="26"/>
      <c r="P88" s="26"/>
      <c r="Q88" s="26"/>
      <c r="R88" s="26"/>
      <c r="S88" s="26"/>
      <c r="T88" s="26"/>
      <c r="U88" s="26"/>
      <c r="V88" s="26"/>
      <c r="W88" s="26"/>
      <c r="X88" s="26"/>
      <c r="Y88" s="26"/>
      <c r="Z88" s="26"/>
    </row>
    <row r="89" spans="1:26" ht="12.75" customHeight="1" x14ac:dyDescent="0.25">
      <c r="A89" s="26"/>
      <c r="B89" s="81" t="s">
        <v>185</v>
      </c>
      <c r="C89" s="52">
        <v>59868</v>
      </c>
      <c r="D89" s="52">
        <v>131712</v>
      </c>
      <c r="E89" s="84">
        <f>$D$89/'Income Statement - FACTORY'!$E$6</f>
        <v>2.9837891031619618E-2</v>
      </c>
      <c r="F89" s="84">
        <f>$D$89/'Income Statement - FACTORY'!$E$6</f>
        <v>2.9837891031619618E-2</v>
      </c>
      <c r="G89" s="84">
        <f>$D$89/'Income Statement - FACTORY'!$E$6</f>
        <v>2.9837891031619618E-2</v>
      </c>
      <c r="H89" s="84">
        <f>$D$89/'Income Statement - FACTORY'!$E$6</f>
        <v>2.9837891031619618E-2</v>
      </c>
      <c r="I89" s="84">
        <f>$D$89/'Income Statement - FACTORY'!$E$6</f>
        <v>2.9837891031619618E-2</v>
      </c>
      <c r="J89" s="84">
        <f>$D$89/'Income Statement - FACTORY'!$E$6</f>
        <v>2.9837891031619618E-2</v>
      </c>
      <c r="K89" s="84">
        <f>$D$89/'Income Statement - FACTORY'!$E$6</f>
        <v>2.9837891031619618E-2</v>
      </c>
      <c r="L89" s="84">
        <f>$D$89/'Income Statement - FACTORY'!$E$6</f>
        <v>2.9837891031619618E-2</v>
      </c>
      <c r="M89" s="182"/>
      <c r="N89" s="26"/>
      <c r="O89" s="26"/>
      <c r="P89" s="26"/>
      <c r="Q89" s="26"/>
      <c r="R89" s="26"/>
      <c r="S89" s="26"/>
      <c r="T89" s="26"/>
      <c r="U89" s="26"/>
      <c r="V89" s="26"/>
      <c r="W89" s="26"/>
      <c r="X89" s="26"/>
      <c r="Y89" s="26"/>
      <c r="Z89" s="26"/>
    </row>
    <row r="90" spans="1:26" ht="12.75" customHeight="1" x14ac:dyDescent="0.25">
      <c r="A90" s="26"/>
      <c r="B90" s="81" t="s">
        <v>198</v>
      </c>
      <c r="C90" s="52">
        <v>8496</v>
      </c>
      <c r="D90" s="52">
        <v>20350</v>
      </c>
      <c r="E90" s="85">
        <f>$D$90/'Income Statement - FACTORY'!$E$6</f>
        <v>4.6100665276775027E-3</v>
      </c>
      <c r="F90" s="85">
        <f>$D$90/'Income Statement - FACTORY'!$E$6</f>
        <v>4.6100665276775027E-3</v>
      </c>
      <c r="G90" s="85">
        <f>$D$90/'Income Statement - FACTORY'!$E$6</f>
        <v>4.6100665276775027E-3</v>
      </c>
      <c r="H90" s="85">
        <f>$D$90/'Income Statement - FACTORY'!$E$6</f>
        <v>4.6100665276775027E-3</v>
      </c>
      <c r="I90" s="85">
        <f>$D$90/'Income Statement - FACTORY'!$E$6</f>
        <v>4.6100665276775027E-3</v>
      </c>
      <c r="J90" s="85">
        <f>$D$90/'Income Statement - FACTORY'!$E$6</f>
        <v>4.6100665276775027E-3</v>
      </c>
      <c r="K90" s="85">
        <f>$D$90/'Income Statement - FACTORY'!$E$6</f>
        <v>4.6100665276775027E-3</v>
      </c>
      <c r="L90" s="85">
        <f>$D$90/'Income Statement - FACTORY'!$E$6</f>
        <v>4.6100665276775027E-3</v>
      </c>
      <c r="M90" s="182"/>
      <c r="N90" s="26"/>
      <c r="O90" s="26"/>
      <c r="P90" s="26"/>
      <c r="Q90" s="26"/>
      <c r="R90" s="26"/>
      <c r="S90" s="26"/>
      <c r="T90" s="26"/>
      <c r="U90" s="26"/>
      <c r="V90" s="26"/>
      <c r="W90" s="26"/>
      <c r="X90" s="26"/>
      <c r="Y90" s="26"/>
      <c r="Z90" s="26"/>
    </row>
    <row r="91" spans="1:26" ht="12.75" hidden="1" customHeight="1" x14ac:dyDescent="0.25">
      <c r="A91" s="26"/>
      <c r="B91" s="51" t="s">
        <v>120</v>
      </c>
      <c r="C91" s="52">
        <v>0</v>
      </c>
      <c r="D91" s="52">
        <v>0</v>
      </c>
      <c r="E91" s="84"/>
      <c r="F91" s="52"/>
      <c r="G91" s="52"/>
      <c r="H91" s="52"/>
      <c r="I91" s="52"/>
      <c r="J91" s="52"/>
      <c r="K91" s="52"/>
      <c r="L91" s="52"/>
      <c r="M91" s="182"/>
      <c r="N91" s="26"/>
      <c r="O91" s="26"/>
      <c r="P91" s="26"/>
      <c r="Q91" s="26"/>
      <c r="R91" s="26"/>
      <c r="S91" s="26"/>
      <c r="T91" s="26"/>
      <c r="U91" s="26"/>
      <c r="V91" s="26"/>
      <c r="W91" s="26"/>
      <c r="X91" s="26"/>
      <c r="Y91" s="26"/>
      <c r="Z91" s="26"/>
    </row>
    <row r="92" spans="1:26" ht="12.75" hidden="1" customHeight="1" x14ac:dyDescent="0.25">
      <c r="A92" s="26"/>
      <c r="B92" s="51" t="s">
        <v>121</v>
      </c>
      <c r="C92" s="52">
        <v>185627</v>
      </c>
      <c r="D92" s="52">
        <v>180557</v>
      </c>
      <c r="E92" s="52"/>
      <c r="F92" s="52"/>
      <c r="G92" s="52"/>
      <c r="H92" s="52"/>
      <c r="I92" s="52"/>
      <c r="J92" s="52"/>
      <c r="K92" s="52"/>
      <c r="L92" s="52"/>
      <c r="M92" s="182"/>
      <c r="N92" s="26"/>
      <c r="O92" s="26"/>
      <c r="P92" s="26"/>
      <c r="Q92" s="26"/>
      <c r="R92" s="26"/>
      <c r="S92" s="26"/>
      <c r="T92" s="26"/>
      <c r="U92" s="26"/>
      <c r="V92" s="26"/>
      <c r="W92" s="26"/>
      <c r="X92" s="26"/>
      <c r="Y92" s="26"/>
      <c r="Z92" s="26"/>
    </row>
    <row r="93" spans="1:26" ht="12.75" hidden="1" customHeight="1" x14ac:dyDescent="0.25">
      <c r="A93" s="26"/>
      <c r="B93" s="86" t="s">
        <v>122</v>
      </c>
      <c r="C93" s="87">
        <v>1738231</v>
      </c>
      <c r="D93" s="87">
        <v>1769712</v>
      </c>
      <c r="E93" s="52"/>
      <c r="F93" s="52"/>
      <c r="G93" s="52"/>
      <c r="H93" s="52"/>
      <c r="I93" s="52"/>
      <c r="J93" s="52"/>
      <c r="K93" s="52"/>
      <c r="L93" s="52"/>
      <c r="M93" s="182"/>
      <c r="N93" s="26"/>
      <c r="O93" s="26"/>
      <c r="P93" s="26"/>
      <c r="Q93" s="26"/>
      <c r="R93" s="26"/>
      <c r="S93" s="26"/>
      <c r="T93" s="26"/>
      <c r="U93" s="26"/>
      <c r="V93" s="26"/>
      <c r="W93" s="26"/>
      <c r="X93" s="26"/>
      <c r="Y93" s="26"/>
      <c r="Z93" s="26"/>
    </row>
    <row r="94" spans="1:26" ht="12.75" hidden="1" customHeight="1" x14ac:dyDescent="0.25">
      <c r="A94" s="26"/>
      <c r="B94" s="83" t="s">
        <v>123</v>
      </c>
      <c r="C94" s="52">
        <v>456358</v>
      </c>
      <c r="D94" s="52">
        <v>821743</v>
      </c>
      <c r="E94" s="52"/>
      <c r="F94" s="52"/>
      <c r="G94" s="52"/>
      <c r="H94" s="52"/>
      <c r="I94" s="52"/>
      <c r="J94" s="52"/>
      <c r="K94" s="52"/>
      <c r="L94" s="52"/>
      <c r="M94" s="182"/>
      <c r="N94" s="26"/>
      <c r="O94" s="26"/>
      <c r="P94" s="26"/>
      <c r="Q94" s="26"/>
      <c r="R94" s="26"/>
      <c r="S94" s="26"/>
      <c r="T94" s="26"/>
      <c r="U94" s="26"/>
      <c r="V94" s="26"/>
      <c r="W94" s="26"/>
      <c r="X94" s="26"/>
      <c r="Y94" s="26"/>
      <c r="Z94" s="26"/>
    </row>
    <row r="95" spans="1:26" ht="12.75" hidden="1" customHeight="1" x14ac:dyDescent="0.25">
      <c r="A95" s="26"/>
      <c r="B95" s="51" t="s">
        <v>124</v>
      </c>
      <c r="C95" s="52">
        <v>2896</v>
      </c>
      <c r="D95" s="52">
        <v>2896</v>
      </c>
      <c r="E95" s="52"/>
      <c r="F95" s="52"/>
      <c r="G95" s="52"/>
      <c r="H95" s="52"/>
      <c r="I95" s="52"/>
      <c r="J95" s="52"/>
      <c r="K95" s="52"/>
      <c r="L95" s="52"/>
      <c r="M95" s="182"/>
      <c r="N95" s="26"/>
      <c r="O95" s="26"/>
      <c r="P95" s="26"/>
      <c r="Q95" s="26"/>
      <c r="R95" s="26"/>
      <c r="S95" s="26"/>
      <c r="T95" s="26"/>
      <c r="U95" s="26"/>
      <c r="V95" s="26"/>
      <c r="W95" s="26"/>
      <c r="X95" s="26"/>
      <c r="Y95" s="26"/>
      <c r="Z95" s="26"/>
    </row>
    <row r="96" spans="1:26" ht="12.75" hidden="1" customHeight="1" x14ac:dyDescent="0.25">
      <c r="A96" s="26"/>
      <c r="B96" s="81" t="s">
        <v>125</v>
      </c>
      <c r="C96" s="52">
        <v>2896</v>
      </c>
      <c r="D96" s="52">
        <v>2896</v>
      </c>
      <c r="E96" s="52"/>
      <c r="F96" s="52"/>
      <c r="G96" s="52"/>
      <c r="H96" s="52"/>
      <c r="I96" s="52"/>
      <c r="J96" s="52"/>
      <c r="K96" s="52"/>
      <c r="L96" s="52"/>
      <c r="M96" s="182"/>
      <c r="N96" s="26"/>
      <c r="O96" s="26"/>
      <c r="P96" s="26"/>
      <c r="Q96" s="26"/>
      <c r="R96" s="26"/>
      <c r="S96" s="26"/>
      <c r="T96" s="26"/>
      <c r="U96" s="26"/>
      <c r="V96" s="26"/>
      <c r="W96" s="26"/>
      <c r="X96" s="26"/>
      <c r="Y96" s="26"/>
      <c r="Z96" s="26"/>
    </row>
    <row r="97" spans="1:26" ht="12.75" hidden="1" customHeight="1" x14ac:dyDescent="0.25">
      <c r="A97" s="26"/>
      <c r="B97" s="81" t="s">
        <v>126</v>
      </c>
      <c r="C97" s="52">
        <v>0</v>
      </c>
      <c r="D97" s="52">
        <v>0</v>
      </c>
      <c r="E97" s="52"/>
      <c r="F97" s="52"/>
      <c r="G97" s="52"/>
      <c r="H97" s="52"/>
      <c r="I97" s="52"/>
      <c r="J97" s="52"/>
      <c r="K97" s="52"/>
      <c r="L97" s="52"/>
      <c r="M97" s="182"/>
      <c r="N97" s="26"/>
      <c r="O97" s="26"/>
      <c r="P97" s="26"/>
      <c r="Q97" s="26"/>
      <c r="R97" s="26"/>
      <c r="S97" s="26"/>
      <c r="T97" s="26"/>
      <c r="U97" s="26"/>
      <c r="V97" s="26"/>
      <c r="W97" s="26"/>
      <c r="X97" s="26"/>
      <c r="Y97" s="26"/>
      <c r="Z97" s="26"/>
    </row>
    <row r="98" spans="1:26" ht="12.75" hidden="1" customHeight="1" x14ac:dyDescent="0.25">
      <c r="A98" s="26"/>
      <c r="B98" s="81" t="s">
        <v>116</v>
      </c>
      <c r="C98" s="52">
        <v>0</v>
      </c>
      <c r="D98" s="52">
        <v>0</v>
      </c>
      <c r="E98" s="52"/>
      <c r="F98" s="52"/>
      <c r="G98" s="52"/>
      <c r="H98" s="52"/>
      <c r="I98" s="52"/>
      <c r="J98" s="52"/>
      <c r="K98" s="52"/>
      <c r="L98" s="52"/>
      <c r="M98" s="182"/>
      <c r="N98" s="26"/>
      <c r="O98" s="26"/>
      <c r="P98" s="26"/>
      <c r="Q98" s="26"/>
      <c r="R98" s="26"/>
      <c r="S98" s="26"/>
      <c r="T98" s="26"/>
      <c r="U98" s="26"/>
      <c r="V98" s="26"/>
      <c r="W98" s="26"/>
      <c r="X98" s="26"/>
      <c r="Y98" s="26"/>
      <c r="Z98" s="26"/>
    </row>
    <row r="99" spans="1:26" ht="12.75" hidden="1" customHeight="1" x14ac:dyDescent="0.25">
      <c r="A99" s="26"/>
      <c r="B99" s="51" t="s">
        <v>127</v>
      </c>
      <c r="C99" s="52">
        <v>0</v>
      </c>
      <c r="D99" s="52">
        <v>0</v>
      </c>
      <c r="E99" s="52"/>
      <c r="F99" s="52"/>
      <c r="G99" s="52"/>
      <c r="H99" s="52"/>
      <c r="I99" s="52"/>
      <c r="J99" s="52"/>
      <c r="K99" s="52"/>
      <c r="L99" s="52"/>
      <c r="M99" s="182"/>
      <c r="N99" s="26"/>
      <c r="O99" s="26"/>
      <c r="P99" s="26"/>
      <c r="Q99" s="26"/>
      <c r="R99" s="26"/>
      <c r="S99" s="26"/>
      <c r="T99" s="26"/>
      <c r="U99" s="26"/>
      <c r="V99" s="26"/>
      <c r="W99" s="26"/>
      <c r="X99" s="26"/>
      <c r="Y99" s="26"/>
      <c r="Z99" s="26"/>
    </row>
    <row r="100" spans="1:26" ht="12.75" hidden="1" customHeight="1" x14ac:dyDescent="0.25">
      <c r="A100" s="26"/>
      <c r="B100" s="51" t="s">
        <v>128</v>
      </c>
      <c r="C100" s="52">
        <v>289</v>
      </c>
      <c r="D100" s="52">
        <v>289</v>
      </c>
      <c r="E100" s="52"/>
      <c r="F100" s="52"/>
      <c r="G100" s="52"/>
      <c r="H100" s="52"/>
      <c r="I100" s="52"/>
      <c r="J100" s="52"/>
      <c r="K100" s="52"/>
      <c r="L100" s="52"/>
      <c r="M100" s="182"/>
      <c r="N100" s="26"/>
      <c r="O100" s="26"/>
      <c r="P100" s="26"/>
      <c r="Q100" s="26"/>
      <c r="R100" s="26"/>
      <c r="S100" s="26"/>
      <c r="T100" s="26"/>
      <c r="U100" s="26"/>
      <c r="V100" s="26"/>
      <c r="W100" s="26"/>
      <c r="X100" s="26"/>
      <c r="Y100" s="26"/>
      <c r="Z100" s="26"/>
    </row>
    <row r="101" spans="1:26" ht="12.75" hidden="1" customHeight="1" x14ac:dyDescent="0.25">
      <c r="A101" s="26"/>
      <c r="B101" s="81" t="s">
        <v>129</v>
      </c>
      <c r="C101" s="52">
        <v>289</v>
      </c>
      <c r="D101" s="52">
        <v>289</v>
      </c>
      <c r="E101" s="52"/>
      <c r="F101" s="52"/>
      <c r="G101" s="52"/>
      <c r="H101" s="52"/>
      <c r="I101" s="52"/>
      <c r="J101" s="52"/>
      <c r="K101" s="52"/>
      <c r="L101" s="52"/>
      <c r="M101" s="182"/>
      <c r="N101" s="26"/>
      <c r="O101" s="26"/>
      <c r="P101" s="26"/>
      <c r="Q101" s="26"/>
      <c r="R101" s="26"/>
      <c r="S101" s="26"/>
      <c r="T101" s="26"/>
      <c r="U101" s="26"/>
      <c r="V101" s="26"/>
      <c r="W101" s="26"/>
      <c r="X101" s="26"/>
      <c r="Y101" s="26"/>
      <c r="Z101" s="26"/>
    </row>
    <row r="102" spans="1:26" ht="12.75" hidden="1" customHeight="1" x14ac:dyDescent="0.25">
      <c r="A102" s="26"/>
      <c r="B102" s="81" t="s">
        <v>116</v>
      </c>
      <c r="C102" s="52">
        <v>0</v>
      </c>
      <c r="D102" s="52">
        <v>0</v>
      </c>
      <c r="E102" s="52"/>
      <c r="F102" s="52"/>
      <c r="G102" s="52"/>
      <c r="H102" s="52"/>
      <c r="I102" s="52"/>
      <c r="J102" s="52"/>
      <c r="K102" s="52"/>
      <c r="L102" s="52"/>
      <c r="M102" s="182"/>
      <c r="N102" s="26"/>
      <c r="O102" s="26"/>
      <c r="P102" s="26"/>
      <c r="Q102" s="26"/>
      <c r="R102" s="26"/>
      <c r="S102" s="26"/>
      <c r="T102" s="26"/>
      <c r="U102" s="26"/>
      <c r="V102" s="26"/>
      <c r="W102" s="26"/>
      <c r="X102" s="26"/>
      <c r="Y102" s="26"/>
      <c r="Z102" s="26"/>
    </row>
    <row r="103" spans="1:26" ht="12.75" customHeight="1" x14ac:dyDescent="0.25">
      <c r="A103" s="26"/>
      <c r="B103" s="51" t="s">
        <v>201</v>
      </c>
      <c r="C103" s="56">
        <v>453173</v>
      </c>
      <c r="D103" s="56">
        <v>818557</v>
      </c>
      <c r="E103" s="52"/>
      <c r="F103" s="52"/>
      <c r="G103" s="52"/>
      <c r="H103" s="52"/>
      <c r="I103" s="52"/>
      <c r="J103" s="52"/>
      <c r="K103" s="52"/>
      <c r="L103" s="52"/>
      <c r="M103" s="182"/>
      <c r="N103" s="26"/>
      <c r="O103" s="26"/>
      <c r="P103" s="26"/>
      <c r="Q103" s="26"/>
      <c r="R103" s="26"/>
      <c r="S103" s="26"/>
      <c r="T103" s="26"/>
      <c r="U103" s="26"/>
      <c r="V103" s="26"/>
      <c r="W103" s="26"/>
      <c r="X103" s="26"/>
      <c r="Y103" s="26"/>
      <c r="Z103" s="26"/>
    </row>
    <row r="104" spans="1:26" ht="12.75" customHeight="1" x14ac:dyDescent="0.25">
      <c r="A104" s="26"/>
      <c r="B104" s="81" t="s">
        <v>202</v>
      </c>
      <c r="C104" s="52">
        <v>921053</v>
      </c>
      <c r="D104" s="52">
        <v>1282323</v>
      </c>
      <c r="E104" s="84">
        <f>$D$104/$D$103</f>
        <v>1.566565309440882</v>
      </c>
      <c r="F104" s="84">
        <f t="shared" ref="F104:L104" si="25">$D$104/$D$103</f>
        <v>1.566565309440882</v>
      </c>
      <c r="G104" s="84">
        <f t="shared" si="25"/>
        <v>1.566565309440882</v>
      </c>
      <c r="H104" s="84">
        <f t="shared" si="25"/>
        <v>1.566565309440882</v>
      </c>
      <c r="I104" s="84">
        <f t="shared" si="25"/>
        <v>1.566565309440882</v>
      </c>
      <c r="J104" s="84">
        <f t="shared" si="25"/>
        <v>1.566565309440882</v>
      </c>
      <c r="K104" s="84">
        <f t="shared" si="25"/>
        <v>1.566565309440882</v>
      </c>
      <c r="L104" s="84">
        <f t="shared" si="25"/>
        <v>1.566565309440882</v>
      </c>
      <c r="M104" s="182"/>
      <c r="N104" s="26"/>
      <c r="O104" s="26"/>
      <c r="P104" s="26"/>
      <c r="Q104" s="26"/>
      <c r="R104" s="26"/>
      <c r="S104" s="26"/>
      <c r="T104" s="26"/>
      <c r="U104" s="26"/>
      <c r="V104" s="26"/>
      <c r="W104" s="26"/>
      <c r="X104" s="26"/>
      <c r="Y104" s="26"/>
      <c r="Z104" s="26"/>
    </row>
    <row r="105" spans="1:26" ht="12.75" customHeight="1" x14ac:dyDescent="0.25">
      <c r="A105" s="26"/>
      <c r="B105" s="81" t="s">
        <v>203</v>
      </c>
      <c r="C105" s="52">
        <v>-467879</v>
      </c>
      <c r="D105" s="52">
        <v>-463765</v>
      </c>
      <c r="E105" s="84">
        <f>$D$105/$D$103</f>
        <v>-0.56656408777885958</v>
      </c>
      <c r="F105" s="84">
        <f t="shared" ref="F105:L105" si="26">$D$105/$D$103</f>
        <v>-0.56656408777885958</v>
      </c>
      <c r="G105" s="84">
        <f t="shared" si="26"/>
        <v>-0.56656408777885958</v>
      </c>
      <c r="H105" s="84">
        <f t="shared" si="26"/>
        <v>-0.56656408777885958</v>
      </c>
      <c r="I105" s="84">
        <f t="shared" si="26"/>
        <v>-0.56656408777885958</v>
      </c>
      <c r="J105" s="84">
        <f t="shared" si="26"/>
        <v>-0.56656408777885958</v>
      </c>
      <c r="K105" s="84">
        <f t="shared" si="26"/>
        <v>-0.56656408777885958</v>
      </c>
      <c r="L105" s="84">
        <f t="shared" si="26"/>
        <v>-0.56656408777885958</v>
      </c>
      <c r="M105" s="182"/>
      <c r="N105" s="26"/>
      <c r="O105" s="26"/>
      <c r="P105" s="26"/>
      <c r="Q105" s="26"/>
      <c r="R105" s="26"/>
      <c r="S105" s="26"/>
      <c r="T105" s="26"/>
      <c r="U105" s="26"/>
      <c r="V105" s="26"/>
      <c r="W105" s="26"/>
      <c r="X105" s="26"/>
      <c r="Y105" s="26"/>
      <c r="Z105" s="26"/>
    </row>
    <row r="106" spans="1:26" ht="12.75" hidden="1" customHeight="1" x14ac:dyDescent="0.25">
      <c r="A106" s="26"/>
      <c r="B106" s="83"/>
      <c r="C106" s="52">
        <v>0</v>
      </c>
      <c r="D106" s="52">
        <v>0</v>
      </c>
      <c r="E106" s="52"/>
      <c r="F106" s="52"/>
      <c r="G106" s="52"/>
      <c r="H106" s="52"/>
      <c r="I106" s="52"/>
      <c r="J106" s="52"/>
      <c r="K106" s="52"/>
      <c r="L106" s="52"/>
      <c r="M106" s="182"/>
      <c r="N106" s="26"/>
      <c r="O106" s="26"/>
      <c r="P106" s="26"/>
      <c r="Q106" s="26"/>
      <c r="R106" s="26"/>
      <c r="S106" s="26"/>
      <c r="T106" s="26"/>
      <c r="U106" s="26"/>
      <c r="V106" s="26"/>
      <c r="W106" s="26"/>
      <c r="X106" s="26"/>
      <c r="Y106" s="26"/>
      <c r="Z106" s="26"/>
    </row>
    <row r="107" spans="1:26" ht="12.75" hidden="1" customHeight="1" x14ac:dyDescent="0.25">
      <c r="A107" s="26"/>
      <c r="B107" s="83" t="s">
        <v>132</v>
      </c>
      <c r="C107" s="52">
        <v>0</v>
      </c>
      <c r="D107" s="52">
        <v>0</v>
      </c>
      <c r="E107" s="52"/>
      <c r="F107" s="52"/>
      <c r="G107" s="52"/>
      <c r="H107" s="52"/>
      <c r="I107" s="52"/>
      <c r="J107" s="52"/>
      <c r="K107" s="52"/>
      <c r="L107" s="52"/>
      <c r="M107" s="182"/>
      <c r="N107" s="26"/>
      <c r="O107" s="26"/>
      <c r="P107" s="26"/>
      <c r="Q107" s="26"/>
      <c r="R107" s="26"/>
      <c r="S107" s="26"/>
      <c r="T107" s="26"/>
      <c r="U107" s="26"/>
      <c r="V107" s="26"/>
      <c r="W107" s="26"/>
      <c r="X107" s="26"/>
      <c r="Y107" s="26"/>
      <c r="Z107" s="26"/>
    </row>
    <row r="108" spans="1:26" ht="12.75" hidden="1" customHeight="1" x14ac:dyDescent="0.25">
      <c r="A108" s="26"/>
      <c r="B108" s="83"/>
      <c r="C108" s="52">
        <v>0</v>
      </c>
      <c r="D108" s="52">
        <v>0</v>
      </c>
      <c r="E108" s="52"/>
      <c r="F108" s="52"/>
      <c r="G108" s="52"/>
      <c r="H108" s="52"/>
      <c r="I108" s="52"/>
      <c r="J108" s="52"/>
      <c r="K108" s="52"/>
      <c r="L108" s="52"/>
      <c r="M108" s="182"/>
      <c r="N108" s="26"/>
      <c r="O108" s="26"/>
      <c r="P108" s="26"/>
      <c r="Q108" s="26"/>
      <c r="R108" s="26"/>
      <c r="S108" s="26"/>
      <c r="T108" s="26"/>
      <c r="U108" s="26"/>
      <c r="V108" s="26"/>
      <c r="W108" s="26"/>
      <c r="X108" s="26"/>
      <c r="Y108" s="26"/>
      <c r="Z108" s="26"/>
    </row>
    <row r="109" spans="1:26" ht="12.75" customHeight="1" x14ac:dyDescent="0.25">
      <c r="A109" s="26"/>
      <c r="B109" s="83" t="s">
        <v>133</v>
      </c>
      <c r="C109" s="56">
        <v>1281872</v>
      </c>
      <c r="D109" s="56">
        <v>947969</v>
      </c>
      <c r="E109" s="52"/>
      <c r="F109" s="52"/>
      <c r="G109" s="52"/>
      <c r="H109" s="52"/>
      <c r="I109" s="52"/>
      <c r="J109" s="52"/>
      <c r="K109" s="52"/>
      <c r="L109" s="52"/>
      <c r="M109" s="182"/>
      <c r="N109" s="26"/>
      <c r="O109" s="26"/>
      <c r="P109" s="26"/>
      <c r="Q109" s="26"/>
      <c r="R109" s="26"/>
      <c r="S109" s="26"/>
      <c r="T109" s="26"/>
      <c r="U109" s="26"/>
      <c r="V109" s="26"/>
      <c r="W109" s="26"/>
      <c r="X109" s="26"/>
      <c r="Y109" s="26"/>
      <c r="Z109" s="26"/>
    </row>
    <row r="110" spans="1:26" ht="12.75" customHeight="1" x14ac:dyDescent="0.25">
      <c r="A110" s="26"/>
      <c r="B110" s="51" t="s">
        <v>134</v>
      </c>
      <c r="C110" s="56">
        <v>523639</v>
      </c>
      <c r="D110" s="56">
        <v>105177</v>
      </c>
      <c r="E110" s="52"/>
      <c r="F110" s="52"/>
      <c r="G110" s="52"/>
      <c r="H110" s="52"/>
      <c r="I110" s="52"/>
      <c r="J110" s="52"/>
      <c r="K110" s="52"/>
      <c r="L110" s="52"/>
      <c r="M110" s="182"/>
      <c r="N110" s="26"/>
      <c r="O110" s="26"/>
      <c r="P110" s="26"/>
      <c r="Q110" s="26"/>
      <c r="R110" s="26"/>
      <c r="S110" s="26"/>
      <c r="T110" s="26"/>
      <c r="U110" s="26"/>
      <c r="V110" s="26"/>
      <c r="W110" s="26"/>
      <c r="X110" s="26"/>
      <c r="Y110" s="26"/>
      <c r="Z110" s="26"/>
    </row>
    <row r="111" spans="1:26" ht="12.75" hidden="1" customHeight="1" x14ac:dyDescent="0.25">
      <c r="A111" s="26"/>
      <c r="B111" s="81" t="s">
        <v>135</v>
      </c>
      <c r="C111" s="52">
        <v>394759</v>
      </c>
      <c r="D111" s="52">
        <v>0</v>
      </c>
      <c r="E111" s="52"/>
      <c r="F111" s="52"/>
      <c r="G111" s="52"/>
      <c r="H111" s="52"/>
      <c r="I111" s="52"/>
      <c r="J111" s="52"/>
      <c r="K111" s="52"/>
      <c r="L111" s="52"/>
      <c r="M111" s="182"/>
      <c r="N111" s="26"/>
      <c r="O111" s="26"/>
      <c r="P111" s="26"/>
      <c r="Q111" s="26"/>
      <c r="R111" s="26"/>
      <c r="S111" s="26"/>
      <c r="T111" s="26"/>
      <c r="U111" s="26"/>
      <c r="V111" s="26"/>
      <c r="W111" s="26"/>
      <c r="X111" s="26"/>
      <c r="Y111" s="26"/>
      <c r="Z111" s="26"/>
    </row>
    <row r="112" spans="1:26" ht="12.75" customHeight="1" x14ac:dyDescent="0.25">
      <c r="A112" s="26"/>
      <c r="B112" s="81" t="s">
        <v>210</v>
      </c>
      <c r="C112" s="52">
        <v>75011</v>
      </c>
      <c r="D112" s="52">
        <v>105177</v>
      </c>
      <c r="E112" s="84">
        <f>$D$112/$D$5</f>
        <v>8.4167052116560045E-2</v>
      </c>
      <c r="F112" s="84">
        <f t="shared" ref="F112:L112" si="27">$D$112/$D$5</f>
        <v>8.4167052116560045E-2</v>
      </c>
      <c r="G112" s="84">
        <f t="shared" si="27"/>
        <v>8.4167052116560045E-2</v>
      </c>
      <c r="H112" s="84">
        <f t="shared" si="27"/>
        <v>8.4167052116560045E-2</v>
      </c>
      <c r="I112" s="84">
        <f t="shared" si="27"/>
        <v>8.4167052116560045E-2</v>
      </c>
      <c r="J112" s="84">
        <f t="shared" si="27"/>
        <v>8.4167052116560045E-2</v>
      </c>
      <c r="K112" s="84">
        <f t="shared" si="27"/>
        <v>8.4167052116560045E-2</v>
      </c>
      <c r="L112" s="84">
        <f t="shared" si="27"/>
        <v>8.4167052116560045E-2</v>
      </c>
      <c r="M112" s="182"/>
      <c r="N112" s="26"/>
      <c r="O112" s="26"/>
      <c r="P112" s="26"/>
      <c r="Q112" s="26"/>
      <c r="R112" s="26"/>
      <c r="S112" s="26"/>
      <c r="T112" s="26"/>
      <c r="U112" s="26"/>
      <c r="V112" s="26"/>
      <c r="W112" s="26"/>
      <c r="X112" s="26"/>
      <c r="Y112" s="26"/>
      <c r="Z112" s="26"/>
    </row>
    <row r="113" spans="1:26" ht="12.75" hidden="1" customHeight="1" x14ac:dyDescent="0.25">
      <c r="A113" s="26"/>
      <c r="B113" s="81" t="s">
        <v>211</v>
      </c>
      <c r="C113" s="52">
        <v>53869</v>
      </c>
      <c r="D113" s="52">
        <v>0</v>
      </c>
      <c r="E113" s="52"/>
      <c r="F113" s="52"/>
      <c r="G113" s="52"/>
      <c r="H113" s="52"/>
      <c r="I113" s="52"/>
      <c r="J113" s="52"/>
      <c r="K113" s="52"/>
      <c r="L113" s="52"/>
      <c r="M113" s="182"/>
      <c r="N113" s="26"/>
      <c r="O113" s="26"/>
      <c r="P113" s="26"/>
      <c r="Q113" s="26"/>
      <c r="R113" s="26"/>
      <c r="S113" s="26"/>
      <c r="T113" s="26"/>
      <c r="U113" s="26"/>
      <c r="V113" s="26"/>
      <c r="W113" s="26"/>
      <c r="X113" s="26"/>
      <c r="Y113" s="26"/>
      <c r="Z113" s="26"/>
    </row>
    <row r="114" spans="1:26" ht="12.75" customHeight="1" x14ac:dyDescent="0.25">
      <c r="A114" s="26"/>
      <c r="B114" s="51" t="s">
        <v>137</v>
      </c>
      <c r="C114" s="56">
        <v>758233</v>
      </c>
      <c r="D114" s="56">
        <v>842791</v>
      </c>
      <c r="E114" s="52"/>
      <c r="F114" s="52"/>
      <c r="G114" s="52"/>
      <c r="H114" s="52"/>
      <c r="I114" s="52"/>
      <c r="J114" s="52"/>
      <c r="K114" s="52"/>
      <c r="L114" s="52"/>
      <c r="M114" s="182"/>
      <c r="N114" s="26"/>
      <c r="O114" s="26"/>
      <c r="P114" s="26"/>
      <c r="Q114" s="26"/>
      <c r="R114" s="26"/>
      <c r="S114" s="26"/>
      <c r="T114" s="26"/>
      <c r="U114" s="26"/>
      <c r="V114" s="26"/>
      <c r="W114" s="26"/>
      <c r="X114" s="26"/>
      <c r="Y114" s="26"/>
      <c r="Z114" s="26"/>
    </row>
    <row r="115" spans="1:26" ht="12.75" hidden="1" customHeight="1" x14ac:dyDescent="0.25">
      <c r="A115" s="26"/>
      <c r="B115" s="81" t="s">
        <v>138</v>
      </c>
      <c r="C115" s="52">
        <v>42556</v>
      </c>
      <c r="D115" s="52">
        <v>54738</v>
      </c>
      <c r="E115" s="52"/>
      <c r="F115" s="52"/>
      <c r="G115" s="52"/>
      <c r="H115" s="52"/>
      <c r="I115" s="52"/>
      <c r="J115" s="52"/>
      <c r="K115" s="52"/>
      <c r="L115" s="52"/>
      <c r="M115" s="182"/>
      <c r="N115" s="26"/>
      <c r="O115" s="26"/>
      <c r="P115" s="26"/>
      <c r="Q115" s="26"/>
      <c r="R115" s="26"/>
      <c r="S115" s="26"/>
      <c r="T115" s="26"/>
      <c r="U115" s="26"/>
      <c r="V115" s="26"/>
      <c r="W115" s="26"/>
      <c r="X115" s="26"/>
      <c r="Y115" s="26"/>
      <c r="Z115" s="26"/>
    </row>
    <row r="116" spans="1:26" ht="12.75" hidden="1" customHeight="1" x14ac:dyDescent="0.25">
      <c r="A116" s="26"/>
      <c r="B116" s="81" t="s">
        <v>135</v>
      </c>
      <c r="C116" s="52">
        <v>89784</v>
      </c>
      <c r="D116" s="52">
        <v>0</v>
      </c>
      <c r="E116" s="52"/>
      <c r="F116" s="52"/>
      <c r="G116" s="52"/>
      <c r="H116" s="52"/>
      <c r="I116" s="52"/>
      <c r="J116" s="52"/>
      <c r="K116" s="52"/>
      <c r="L116" s="52"/>
      <c r="M116" s="182"/>
      <c r="N116" s="26"/>
      <c r="O116" s="26"/>
      <c r="P116" s="26"/>
      <c r="Q116" s="26"/>
      <c r="R116" s="26"/>
      <c r="S116" s="26"/>
      <c r="T116" s="26"/>
      <c r="U116" s="26"/>
      <c r="V116" s="26"/>
      <c r="W116" s="26"/>
      <c r="X116" s="26"/>
      <c r="Y116" s="26"/>
      <c r="Z116" s="26"/>
    </row>
    <row r="117" spans="1:26" ht="12.75" customHeight="1" x14ac:dyDescent="0.25">
      <c r="A117" s="26"/>
      <c r="B117" s="81" t="s">
        <v>204</v>
      </c>
      <c r="C117" s="52">
        <v>267060</v>
      </c>
      <c r="D117" s="52">
        <v>391348</v>
      </c>
      <c r="E117" s="84">
        <f>$D$117/'Income Statement - FACTORY'!$E$7</f>
        <v>0.34881304024628723</v>
      </c>
      <c r="F117" s="84">
        <f>$D$117/'Income Statement - FACTORY'!$E$7</f>
        <v>0.34881304024628723</v>
      </c>
      <c r="G117" s="84">
        <f>$D$117/'Income Statement - FACTORY'!$E$7</f>
        <v>0.34881304024628723</v>
      </c>
      <c r="H117" s="84">
        <f>$D$117/'Income Statement - FACTORY'!$E$7</f>
        <v>0.34881304024628723</v>
      </c>
      <c r="I117" s="84">
        <f>$D$117/'Income Statement - FACTORY'!$E$7</f>
        <v>0.34881304024628723</v>
      </c>
      <c r="J117" s="84">
        <f>$D$117/'Income Statement - FACTORY'!$E$7</f>
        <v>0.34881304024628723</v>
      </c>
      <c r="K117" s="84">
        <f>$D$117/'Income Statement - FACTORY'!$E$7</f>
        <v>0.34881304024628723</v>
      </c>
      <c r="L117" s="84">
        <f>$D$117/'Income Statement - FACTORY'!$E$7</f>
        <v>0.34881304024628723</v>
      </c>
      <c r="M117" s="182"/>
      <c r="N117" s="26"/>
      <c r="O117" s="26"/>
      <c r="P117" s="26"/>
      <c r="Q117" s="26"/>
      <c r="R117" s="26"/>
      <c r="S117" s="26"/>
      <c r="T117" s="26"/>
      <c r="U117" s="26"/>
      <c r="V117" s="26"/>
      <c r="W117" s="26"/>
      <c r="X117" s="26"/>
      <c r="Y117" s="26"/>
      <c r="Z117" s="26"/>
    </row>
    <row r="118" spans="1:26" ht="12.75" customHeight="1" x14ac:dyDescent="0.25">
      <c r="A118" s="26"/>
      <c r="B118" s="81" t="s">
        <v>212</v>
      </c>
      <c r="C118" s="52">
        <v>358832</v>
      </c>
      <c r="D118" s="52">
        <v>396704</v>
      </c>
      <c r="E118" s="84">
        <f>$D$118/$D$20</f>
        <v>0.7627617580837126</v>
      </c>
      <c r="F118" s="84">
        <f t="shared" ref="F118:L118" si="28">$D$118/$D$20</f>
        <v>0.7627617580837126</v>
      </c>
      <c r="G118" s="84">
        <f t="shared" si="28"/>
        <v>0.7627617580837126</v>
      </c>
      <c r="H118" s="84">
        <f t="shared" si="28"/>
        <v>0.7627617580837126</v>
      </c>
      <c r="I118" s="84">
        <f t="shared" si="28"/>
        <v>0.7627617580837126</v>
      </c>
      <c r="J118" s="84">
        <f t="shared" si="28"/>
        <v>0.7627617580837126</v>
      </c>
      <c r="K118" s="84">
        <f t="shared" si="28"/>
        <v>0.7627617580837126</v>
      </c>
      <c r="L118" s="84">
        <f t="shared" si="28"/>
        <v>0.7627617580837126</v>
      </c>
      <c r="M118" s="182"/>
      <c r="N118" s="26"/>
      <c r="O118" s="26"/>
      <c r="P118" s="26"/>
      <c r="Q118" s="26"/>
      <c r="R118" s="26"/>
      <c r="S118" s="26"/>
      <c r="T118" s="26"/>
      <c r="U118" s="26"/>
      <c r="V118" s="26"/>
      <c r="W118" s="26"/>
      <c r="X118" s="26"/>
      <c r="Y118" s="26"/>
      <c r="Z118" s="26"/>
    </row>
    <row r="119" spans="1:26" ht="12.75" customHeight="1" x14ac:dyDescent="0.25">
      <c r="A119" s="26"/>
      <c r="B119" s="86" t="s">
        <v>140</v>
      </c>
      <c r="C119" s="55">
        <v>1738231.5801668209</v>
      </c>
      <c r="D119" s="55">
        <v>1769712.8280815571</v>
      </c>
      <c r="E119" s="52"/>
      <c r="F119" s="52"/>
      <c r="G119" s="52"/>
      <c r="H119" s="52"/>
      <c r="I119" s="52"/>
      <c r="J119" s="52"/>
      <c r="K119" s="52"/>
      <c r="L119" s="52"/>
      <c r="M119" s="26"/>
      <c r="N119" s="26"/>
      <c r="O119" s="26"/>
      <c r="P119" s="26"/>
      <c r="Q119" s="26"/>
      <c r="R119" s="26"/>
      <c r="S119" s="26"/>
      <c r="T119" s="26"/>
      <c r="U119" s="26"/>
      <c r="V119" s="26"/>
      <c r="W119" s="26"/>
      <c r="X119" s="26"/>
      <c r="Y119" s="26"/>
      <c r="Z119" s="26"/>
    </row>
    <row r="120" spans="1:26" ht="12.75" customHeight="1" x14ac:dyDescent="0.25">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25">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25">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25">
      <c r="A123" s="26"/>
      <c r="B123" s="26" t="s">
        <v>205</v>
      </c>
      <c r="D123" s="89">
        <v>2017</v>
      </c>
      <c r="E123" s="89">
        <v>2018</v>
      </c>
      <c r="F123" s="89">
        <v>2019</v>
      </c>
      <c r="G123" s="89">
        <v>2020</v>
      </c>
      <c r="H123" s="89">
        <v>2021</v>
      </c>
      <c r="I123" s="89">
        <v>2022</v>
      </c>
      <c r="J123" s="89">
        <v>2023</v>
      </c>
      <c r="K123" s="89">
        <v>2024</v>
      </c>
      <c r="L123" s="89">
        <v>2025</v>
      </c>
      <c r="M123" s="26" t="s">
        <v>197</v>
      </c>
      <c r="N123" s="26"/>
      <c r="O123" s="26"/>
      <c r="P123" s="26"/>
      <c r="Q123" s="26"/>
      <c r="R123" s="26"/>
      <c r="S123" s="26"/>
      <c r="T123" s="26"/>
      <c r="U123" s="26"/>
      <c r="V123" s="26"/>
      <c r="W123" s="26"/>
      <c r="X123" s="26"/>
      <c r="Y123" s="26"/>
      <c r="Z123" s="26"/>
    </row>
    <row r="124" spans="1:26" ht="12.75" customHeight="1" x14ac:dyDescent="0.25">
      <c r="A124" s="26"/>
      <c r="B124" s="26" t="s">
        <v>215</v>
      </c>
      <c r="D124" s="88"/>
      <c r="E124" s="74">
        <v>611309</v>
      </c>
      <c r="F124" s="74">
        <v>1467142</v>
      </c>
      <c r="G124" s="74">
        <v>1314314</v>
      </c>
      <c r="H124" s="74">
        <v>1161487</v>
      </c>
      <c r="I124" s="74">
        <v>1008660</v>
      </c>
      <c r="J124" s="74">
        <v>855832</v>
      </c>
      <c r="K124" s="74">
        <v>703005</v>
      </c>
      <c r="L124" s="74">
        <v>550178</v>
      </c>
      <c r="M124" s="74">
        <v>10</v>
      </c>
      <c r="N124" s="26"/>
      <c r="O124" s="26"/>
      <c r="P124" s="26"/>
      <c r="Q124" s="26"/>
      <c r="R124" s="26"/>
      <c r="S124" s="26"/>
      <c r="T124" s="26"/>
      <c r="U124" s="26"/>
      <c r="V124" s="26"/>
      <c r="W124" s="26"/>
      <c r="X124" s="26"/>
      <c r="Y124" s="26"/>
      <c r="Z124" s="26"/>
    </row>
    <row r="125" spans="1:26" ht="12.75" customHeight="1" x14ac:dyDescent="0.25">
      <c r="A125" s="26"/>
      <c r="B125" s="26" t="s">
        <v>186</v>
      </c>
      <c r="D125" s="88"/>
      <c r="E125" s="74"/>
      <c r="F125" s="74">
        <v>61130</v>
      </c>
      <c r="G125" s="74">
        <v>152827</v>
      </c>
      <c r="H125" s="74">
        <v>152827</v>
      </c>
      <c r="I125" s="74">
        <v>152827</v>
      </c>
      <c r="J125" s="74">
        <v>152827</v>
      </c>
      <c r="K125" s="74">
        <v>152827</v>
      </c>
      <c r="L125" s="74">
        <v>152827</v>
      </c>
      <c r="M125" s="74"/>
      <c r="N125" s="26"/>
      <c r="O125" s="26"/>
      <c r="P125" s="26"/>
      <c r="Q125" s="26"/>
      <c r="R125" s="26"/>
      <c r="S125" s="26"/>
      <c r="T125" s="26"/>
      <c r="U125" s="26"/>
      <c r="V125" s="26"/>
      <c r="W125" s="26"/>
      <c r="X125" s="26"/>
      <c r="Y125" s="26"/>
      <c r="Z125" s="26"/>
    </row>
    <row r="126" spans="1:26" ht="12.75" customHeight="1" x14ac:dyDescent="0.25">
      <c r="A126" s="26"/>
      <c r="B126" s="26"/>
      <c r="D126" s="88"/>
      <c r="E126" s="74"/>
      <c r="F126" s="74"/>
      <c r="G126" s="74"/>
      <c r="H126" s="74"/>
      <c r="I126" s="74"/>
      <c r="J126" s="74"/>
      <c r="K126" s="74"/>
      <c r="L126" s="74"/>
      <c r="M126" s="74"/>
      <c r="N126" s="26"/>
      <c r="O126" s="26"/>
      <c r="P126" s="26"/>
      <c r="Q126" s="26"/>
      <c r="R126" s="26"/>
      <c r="S126" s="26"/>
      <c r="T126" s="26"/>
      <c r="U126" s="26"/>
      <c r="V126" s="26"/>
      <c r="W126" s="26"/>
      <c r="X126" s="26"/>
      <c r="Y126" s="26"/>
      <c r="Z126" s="26"/>
    </row>
    <row r="127" spans="1:26" ht="12.75" customHeight="1" x14ac:dyDescent="0.25">
      <c r="A127" s="26"/>
      <c r="B127" s="26" t="s">
        <v>187</v>
      </c>
      <c r="D127" s="88"/>
      <c r="E127" s="74"/>
      <c r="F127" s="74">
        <v>3000000</v>
      </c>
      <c r="G127" s="74">
        <v>2900000</v>
      </c>
      <c r="H127" s="74">
        <v>2800000</v>
      </c>
      <c r="I127" s="74">
        <v>2700000</v>
      </c>
      <c r="J127" s="74">
        <v>2600000</v>
      </c>
      <c r="K127" s="74">
        <v>2500000</v>
      </c>
      <c r="L127" s="74">
        <v>2400000</v>
      </c>
      <c r="M127" s="74">
        <v>30</v>
      </c>
      <c r="N127" s="26"/>
      <c r="O127" s="26"/>
      <c r="P127" s="26"/>
      <c r="Q127" s="26"/>
      <c r="R127" s="26"/>
      <c r="S127" s="26"/>
      <c r="T127" s="26"/>
      <c r="U127" s="26"/>
      <c r="V127" s="26"/>
      <c r="W127" s="26"/>
      <c r="X127" s="26"/>
      <c r="Y127" s="26"/>
      <c r="Z127" s="26"/>
    </row>
    <row r="128" spans="1:26" ht="12.75" customHeight="1" x14ac:dyDescent="0.25">
      <c r="A128" s="26"/>
      <c r="B128" s="26" t="s">
        <v>188</v>
      </c>
      <c r="D128" s="88"/>
      <c r="E128" s="74"/>
      <c r="F128" s="74"/>
      <c r="G128" s="74">
        <v>100000</v>
      </c>
      <c r="H128" s="74">
        <v>100000</v>
      </c>
      <c r="I128" s="74">
        <v>100000</v>
      </c>
      <c r="J128" s="74">
        <v>100000</v>
      </c>
      <c r="K128" s="74">
        <v>100000</v>
      </c>
      <c r="L128" s="74">
        <v>100000</v>
      </c>
      <c r="M128" s="74"/>
      <c r="N128" s="26"/>
      <c r="O128" s="26"/>
      <c r="P128" s="26"/>
      <c r="Q128" s="26"/>
      <c r="R128" s="26"/>
      <c r="S128" s="26"/>
      <c r="T128" s="26"/>
      <c r="U128" s="26"/>
      <c r="V128" s="26"/>
      <c r="W128" s="26"/>
      <c r="X128" s="26"/>
      <c r="Y128" s="26"/>
      <c r="Z128" s="26"/>
    </row>
    <row r="129" spans="1:26" ht="12.75" customHeight="1" x14ac:dyDescent="0.25">
      <c r="A129" s="26"/>
      <c r="B129" s="26"/>
      <c r="D129" s="74"/>
      <c r="E129" s="74"/>
      <c r="F129" s="74"/>
      <c r="G129" s="74"/>
      <c r="H129" s="74"/>
      <c r="I129" s="74"/>
      <c r="J129" s="74"/>
      <c r="K129" s="74"/>
      <c r="L129" s="74"/>
      <c r="M129" s="74"/>
      <c r="N129" s="26"/>
      <c r="O129" s="26"/>
      <c r="P129" s="26"/>
      <c r="Q129" s="26"/>
      <c r="R129" s="26"/>
      <c r="S129" s="26"/>
      <c r="T129" s="26"/>
      <c r="U129" s="26"/>
      <c r="V129" s="26"/>
      <c r="W129" s="26"/>
      <c r="X129" s="26"/>
      <c r="Y129" s="26"/>
      <c r="Z129" s="26"/>
    </row>
    <row r="130" spans="1:26" ht="12.75" customHeight="1" x14ac:dyDescent="0.25">
      <c r="A130" s="26"/>
      <c r="B130" s="26" t="s">
        <v>189</v>
      </c>
      <c r="D130" s="74">
        <f>D13</f>
        <v>222930</v>
      </c>
      <c r="E130" s="74">
        <f>D130-E131</f>
        <v>178344</v>
      </c>
      <c r="F130" s="74">
        <f>E130-F131</f>
        <v>133758</v>
      </c>
      <c r="G130" s="74">
        <f t="shared" ref="G130:H130" si="29">F130-G131</f>
        <v>89172</v>
      </c>
      <c r="H130" s="74">
        <f t="shared" si="29"/>
        <v>44586</v>
      </c>
      <c r="I130" s="74">
        <v>0</v>
      </c>
      <c r="J130" s="74"/>
      <c r="K130" s="74"/>
      <c r="L130" s="74"/>
      <c r="M130" s="74">
        <v>5</v>
      </c>
      <c r="N130" s="26"/>
      <c r="O130" s="26"/>
      <c r="P130" s="26"/>
      <c r="Q130" s="26"/>
      <c r="R130" s="26"/>
      <c r="S130" s="26"/>
      <c r="T130" s="26"/>
      <c r="U130" s="26"/>
      <c r="V130" s="26"/>
      <c r="W130" s="26"/>
      <c r="X130" s="26"/>
      <c r="Y130" s="26"/>
      <c r="Z130" s="26"/>
    </row>
    <row r="131" spans="1:26" ht="12.75" customHeight="1" x14ac:dyDescent="0.25">
      <c r="A131" s="26"/>
      <c r="B131" s="26" t="s">
        <v>190</v>
      </c>
      <c r="D131" s="88"/>
      <c r="E131" s="74">
        <f>$D$130/$M$130</f>
        <v>44586</v>
      </c>
      <c r="F131" s="74">
        <f>$D$130/$M$130</f>
        <v>44586</v>
      </c>
      <c r="G131" s="74">
        <f>$D$130/$M$130</f>
        <v>44586</v>
      </c>
      <c r="H131" s="74">
        <f>$D$130/$M$130</f>
        <v>44586</v>
      </c>
      <c r="I131" s="74"/>
      <c r="J131" s="74"/>
      <c r="K131" s="74"/>
      <c r="L131" s="74"/>
      <c r="M131" s="74"/>
      <c r="N131" s="26"/>
      <c r="O131" s="26"/>
      <c r="P131" s="26"/>
      <c r="Q131" s="26"/>
      <c r="R131" s="26"/>
      <c r="S131" s="26"/>
      <c r="T131" s="26"/>
      <c r="U131" s="26"/>
      <c r="V131" s="26"/>
      <c r="W131" s="26"/>
      <c r="X131" s="26"/>
      <c r="Y131" s="26"/>
      <c r="Z131" s="26"/>
    </row>
    <row r="132" spans="1:26" ht="12.75" customHeight="1" x14ac:dyDescent="0.25">
      <c r="A132" s="26"/>
      <c r="B132" s="26" t="s">
        <v>191</v>
      </c>
      <c r="D132" s="74">
        <f>D12</f>
        <v>585547</v>
      </c>
      <c r="E132" s="74">
        <f>D132-E133</f>
        <v>556269.65</v>
      </c>
      <c r="F132" s="74">
        <f>E132-F133</f>
        <v>526992.30000000005</v>
      </c>
      <c r="G132" s="74">
        <f t="shared" ref="G132:L132" si="30">F132-G133</f>
        <v>497714.95000000007</v>
      </c>
      <c r="H132" s="74">
        <f t="shared" si="30"/>
        <v>468437.60000000009</v>
      </c>
      <c r="I132" s="74">
        <f t="shared" si="30"/>
        <v>439160.25000000012</v>
      </c>
      <c r="J132" s="74">
        <f t="shared" si="30"/>
        <v>409882.90000000014</v>
      </c>
      <c r="K132" s="74">
        <f t="shared" si="30"/>
        <v>380605.55000000016</v>
      </c>
      <c r="L132" s="74">
        <f t="shared" si="30"/>
        <v>351328.20000000019</v>
      </c>
      <c r="M132" s="74">
        <v>20</v>
      </c>
      <c r="N132" s="26"/>
      <c r="O132" s="26"/>
      <c r="P132" s="26"/>
      <c r="Q132" s="26"/>
      <c r="R132" s="26"/>
      <c r="S132" s="26"/>
      <c r="T132" s="26"/>
      <c r="U132" s="26"/>
      <c r="V132" s="26"/>
      <c r="W132" s="26"/>
      <c r="X132" s="26"/>
      <c r="Y132" s="26"/>
      <c r="Z132" s="26"/>
    </row>
    <row r="133" spans="1:26" ht="12.75" customHeight="1" x14ac:dyDescent="0.25">
      <c r="A133" s="26"/>
      <c r="B133" s="26" t="s">
        <v>194</v>
      </c>
      <c r="D133" s="74"/>
      <c r="E133" s="74">
        <f t="shared" ref="E133:L133" si="31">$D$132/$M$132</f>
        <v>29277.35</v>
      </c>
      <c r="F133" s="74">
        <f t="shared" si="31"/>
        <v>29277.35</v>
      </c>
      <c r="G133" s="74">
        <f t="shared" si="31"/>
        <v>29277.35</v>
      </c>
      <c r="H133" s="74">
        <f t="shared" si="31"/>
        <v>29277.35</v>
      </c>
      <c r="I133" s="74">
        <f t="shared" si="31"/>
        <v>29277.35</v>
      </c>
      <c r="J133" s="74">
        <f t="shared" si="31"/>
        <v>29277.35</v>
      </c>
      <c r="K133" s="74">
        <f t="shared" si="31"/>
        <v>29277.35</v>
      </c>
      <c r="L133" s="74">
        <f t="shared" si="31"/>
        <v>29277.35</v>
      </c>
      <c r="M133" s="74"/>
      <c r="N133" s="26"/>
      <c r="O133" s="26"/>
      <c r="P133" s="26"/>
      <c r="Q133" s="26"/>
      <c r="R133" s="26"/>
      <c r="S133" s="26"/>
      <c r="T133" s="26"/>
      <c r="U133" s="26"/>
      <c r="V133" s="26"/>
      <c r="W133" s="26"/>
      <c r="X133" s="26"/>
      <c r="Y133" s="26"/>
      <c r="Z133" s="26"/>
    </row>
    <row r="134" spans="1:26" ht="12.75" customHeight="1" x14ac:dyDescent="0.25">
      <c r="A134" s="26"/>
      <c r="B134" s="26" t="s">
        <v>192</v>
      </c>
      <c r="D134" s="74">
        <f>D14</f>
        <v>249225</v>
      </c>
      <c r="E134" s="74">
        <f>D134-E135</f>
        <v>199380</v>
      </c>
      <c r="F134" s="74">
        <f>E134-F135</f>
        <v>149535</v>
      </c>
      <c r="G134" s="74">
        <f t="shared" ref="G134:H134" si="32">F134-G135</f>
        <v>99690</v>
      </c>
      <c r="H134" s="74">
        <f t="shared" si="32"/>
        <v>49845</v>
      </c>
      <c r="I134" s="74">
        <v>0</v>
      </c>
      <c r="J134" s="74"/>
      <c r="K134" s="74"/>
      <c r="L134" s="74"/>
      <c r="M134" s="74">
        <v>5</v>
      </c>
      <c r="N134" s="26"/>
      <c r="O134" s="26"/>
      <c r="P134" s="26"/>
      <c r="Q134" s="26"/>
      <c r="R134" s="26"/>
      <c r="S134" s="26"/>
      <c r="T134" s="26"/>
      <c r="U134" s="26"/>
      <c r="V134" s="26"/>
      <c r="W134" s="26"/>
      <c r="X134" s="26"/>
      <c r="Y134" s="26"/>
      <c r="Z134" s="26"/>
    </row>
    <row r="135" spans="1:26" ht="12.75" customHeight="1" x14ac:dyDescent="0.25">
      <c r="A135" s="26"/>
      <c r="B135" s="26" t="s">
        <v>195</v>
      </c>
      <c r="D135" s="88"/>
      <c r="E135" s="74">
        <f>$D$134/$M$134</f>
        <v>49845</v>
      </c>
      <c r="F135" s="74">
        <f>$D$134/$M$134</f>
        <v>49845</v>
      </c>
      <c r="G135" s="74">
        <f>$D$134/$M$134</f>
        <v>49845</v>
      </c>
      <c r="H135" s="74">
        <f>$D$134/$M$134</f>
        <v>49845</v>
      </c>
      <c r="I135" s="74"/>
      <c r="J135" s="74"/>
      <c r="K135" s="74"/>
      <c r="L135" s="74"/>
      <c r="M135" s="74"/>
      <c r="N135" s="26"/>
      <c r="O135" s="26"/>
      <c r="P135" s="26"/>
      <c r="Q135" s="26"/>
      <c r="R135" s="26"/>
      <c r="S135" s="26"/>
      <c r="T135" s="26"/>
      <c r="U135" s="26"/>
      <c r="V135" s="26"/>
      <c r="W135" s="26"/>
      <c r="X135" s="26"/>
      <c r="Y135" s="26"/>
      <c r="Z135" s="26"/>
    </row>
    <row r="136" spans="1:26" ht="12.75" customHeight="1" x14ac:dyDescent="0.25">
      <c r="A136" s="26"/>
      <c r="B136" s="26" t="s">
        <v>193</v>
      </c>
      <c r="D136" s="74">
        <f>D15</f>
        <v>41066</v>
      </c>
      <c r="E136" s="74">
        <f>D136-E137</f>
        <v>32852.800000000003</v>
      </c>
      <c r="F136" s="74">
        <f t="shared" ref="F136:H136" si="33">E136-F137</f>
        <v>24639.600000000002</v>
      </c>
      <c r="G136" s="74">
        <f t="shared" si="33"/>
        <v>16426.400000000001</v>
      </c>
      <c r="H136" s="74">
        <f t="shared" si="33"/>
        <v>8213.2000000000007</v>
      </c>
      <c r="I136" s="74">
        <v>0</v>
      </c>
      <c r="J136" s="74"/>
      <c r="K136" s="74"/>
      <c r="L136" s="74"/>
      <c r="M136" s="74">
        <v>5</v>
      </c>
      <c r="N136" s="26"/>
      <c r="O136" s="26"/>
      <c r="P136" s="26"/>
      <c r="Q136" s="26"/>
      <c r="R136" s="26"/>
      <c r="S136" s="26"/>
      <c r="T136" s="26"/>
      <c r="U136" s="26"/>
      <c r="V136" s="26"/>
      <c r="W136" s="26"/>
      <c r="X136" s="26"/>
      <c r="Y136" s="26"/>
      <c r="Z136" s="26"/>
    </row>
    <row r="137" spans="1:26" ht="12.75" customHeight="1" x14ac:dyDescent="0.25">
      <c r="A137" s="26"/>
      <c r="B137" s="26" t="s">
        <v>196</v>
      </c>
      <c r="D137" s="74"/>
      <c r="E137" s="74">
        <f>$D$136/$M$136</f>
        <v>8213.2000000000007</v>
      </c>
      <c r="F137" s="74">
        <f>$D$136/$M$136</f>
        <v>8213.2000000000007</v>
      </c>
      <c r="G137" s="74">
        <f>$D$136/$M$136</f>
        <v>8213.2000000000007</v>
      </c>
      <c r="H137" s="74">
        <f>$D$136/$M$136</f>
        <v>8213.2000000000007</v>
      </c>
      <c r="I137" s="74"/>
      <c r="J137" s="74"/>
      <c r="K137" s="74"/>
      <c r="L137" s="74"/>
      <c r="M137" s="74"/>
      <c r="N137" s="26"/>
      <c r="O137" s="26"/>
      <c r="P137" s="26"/>
      <c r="Q137" s="26"/>
      <c r="R137" s="26"/>
      <c r="S137" s="26"/>
      <c r="T137" s="26"/>
      <c r="U137" s="26"/>
      <c r="V137" s="26"/>
      <c r="W137" s="26"/>
      <c r="X137" s="26"/>
      <c r="Y137" s="26"/>
      <c r="Z137" s="26"/>
    </row>
    <row r="138" spans="1:26" ht="12.75" customHeight="1" x14ac:dyDescent="0.25">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25">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25">
      <c r="A140" s="26"/>
      <c r="B140" s="26" t="s">
        <v>206</v>
      </c>
      <c r="C140" s="26"/>
      <c r="D140" s="89">
        <v>2017</v>
      </c>
      <c r="E140" s="89">
        <v>2018</v>
      </c>
      <c r="F140" s="89">
        <v>2019</v>
      </c>
      <c r="G140" s="89">
        <v>2020</v>
      </c>
      <c r="H140" s="89">
        <v>2021</v>
      </c>
      <c r="I140" s="89">
        <v>2022</v>
      </c>
      <c r="J140" s="89">
        <v>2023</v>
      </c>
      <c r="K140" s="89">
        <v>2024</v>
      </c>
      <c r="L140" s="89">
        <v>2025</v>
      </c>
      <c r="M140" s="26"/>
      <c r="N140" s="26"/>
      <c r="O140" s="26"/>
      <c r="P140" s="26"/>
      <c r="Q140" s="26"/>
      <c r="R140" s="26"/>
      <c r="S140" s="26"/>
      <c r="T140" s="26"/>
      <c r="U140" s="26"/>
      <c r="V140" s="26"/>
      <c r="W140" s="26"/>
      <c r="X140" s="26"/>
      <c r="Y140" s="26"/>
      <c r="Z140" s="26"/>
    </row>
    <row r="141" spans="1:26" ht="12.75" customHeight="1" x14ac:dyDescent="0.25">
      <c r="A141" s="26"/>
      <c r="B141" s="34" t="s">
        <v>134</v>
      </c>
      <c r="C141" s="35"/>
      <c r="D141" s="35"/>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25">
      <c r="A142" s="26"/>
      <c r="B142" s="45" t="s">
        <v>135</v>
      </c>
      <c r="C142" s="35"/>
      <c r="D142" s="35">
        <v>0</v>
      </c>
      <c r="E142" s="91">
        <f>E150+E151</f>
        <v>950000</v>
      </c>
      <c r="F142" s="91">
        <f>F150+F151</f>
        <v>2700000</v>
      </c>
      <c r="G142" s="91">
        <f>G150+G151</f>
        <v>2550000</v>
      </c>
      <c r="H142" s="91">
        <f t="shared" ref="H142:L142" si="34">H150+H151</f>
        <v>2050000</v>
      </c>
      <c r="I142" s="91">
        <f t="shared" si="34"/>
        <v>1550000</v>
      </c>
      <c r="J142" s="91">
        <f t="shared" si="34"/>
        <v>700000</v>
      </c>
      <c r="K142" s="91">
        <f t="shared" si="34"/>
        <v>0</v>
      </c>
      <c r="L142" s="91">
        <f t="shared" si="34"/>
        <v>0</v>
      </c>
      <c r="M142" s="26"/>
      <c r="N142" s="26"/>
      <c r="O142" s="26"/>
      <c r="P142" s="26"/>
      <c r="Q142" s="26"/>
      <c r="R142" s="26"/>
      <c r="S142" s="26"/>
      <c r="T142" s="26"/>
      <c r="U142" s="26"/>
      <c r="V142" s="26"/>
      <c r="W142" s="26"/>
      <c r="X142" s="26"/>
      <c r="Y142" s="26"/>
      <c r="Z142" s="26"/>
    </row>
    <row r="143" spans="1:26" ht="12.75" customHeight="1" x14ac:dyDescent="0.25">
      <c r="A143" s="26"/>
      <c r="B143" s="34" t="s">
        <v>137</v>
      </c>
      <c r="C143" s="35"/>
      <c r="D143" s="35"/>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25">
      <c r="A144" s="26"/>
      <c r="B144" s="45" t="s">
        <v>138</v>
      </c>
      <c r="C144" s="35"/>
      <c r="D144" s="35">
        <v>54738</v>
      </c>
      <c r="E144" s="91">
        <f>E152</f>
        <v>0</v>
      </c>
      <c r="F144" s="91">
        <f>F152</f>
        <v>150000</v>
      </c>
      <c r="G144" s="91">
        <f>G152</f>
        <v>500000</v>
      </c>
      <c r="H144" s="91">
        <f t="shared" ref="H144:L144" si="35">H152</f>
        <v>500000</v>
      </c>
      <c r="I144" s="91">
        <f t="shared" si="35"/>
        <v>850000</v>
      </c>
      <c r="J144" s="91">
        <f t="shared" si="35"/>
        <v>700000</v>
      </c>
      <c r="K144" s="91">
        <f t="shared" si="35"/>
        <v>0</v>
      </c>
      <c r="L144" s="91">
        <f t="shared" si="35"/>
        <v>0</v>
      </c>
      <c r="M144" s="26"/>
      <c r="N144" s="26"/>
      <c r="O144" s="26"/>
      <c r="P144" s="26"/>
      <c r="Q144" s="26"/>
      <c r="R144" s="26"/>
      <c r="S144" s="26"/>
      <c r="T144" s="26"/>
      <c r="U144" s="26"/>
      <c r="V144" s="26"/>
      <c r="W144" s="26"/>
      <c r="X144" s="26"/>
      <c r="Y144" s="26"/>
      <c r="Z144" s="26"/>
    </row>
    <row r="145" spans="1:26" ht="12.75" customHeight="1" x14ac:dyDescent="0.25">
      <c r="A145" s="26"/>
      <c r="B145" s="45" t="s">
        <v>135</v>
      </c>
      <c r="C145" s="35"/>
      <c r="D145" s="35">
        <v>0</v>
      </c>
      <c r="E145" s="35">
        <v>0</v>
      </c>
      <c r="F145" s="35">
        <v>0</v>
      </c>
      <c r="G145" s="35">
        <v>0</v>
      </c>
      <c r="H145" s="35">
        <v>0</v>
      </c>
      <c r="I145" s="35">
        <v>0</v>
      </c>
      <c r="J145" s="35">
        <v>0</v>
      </c>
      <c r="K145" s="35">
        <v>0</v>
      </c>
      <c r="L145" s="35">
        <v>0</v>
      </c>
      <c r="M145" s="26"/>
      <c r="N145" s="26"/>
      <c r="O145" s="26"/>
      <c r="P145" s="26"/>
      <c r="Q145" s="26"/>
      <c r="R145" s="26"/>
      <c r="S145" s="26"/>
      <c r="T145" s="26"/>
      <c r="U145" s="26"/>
      <c r="V145" s="26"/>
      <c r="W145" s="26"/>
      <c r="X145" s="26"/>
      <c r="Y145" s="26"/>
      <c r="Z145" s="26"/>
    </row>
    <row r="146" spans="1:26" ht="12.75" customHeight="1" x14ac:dyDescent="0.25">
      <c r="A146" s="26"/>
      <c r="B146" s="45"/>
      <c r="C146" s="35"/>
      <c r="D146" s="35"/>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25">
      <c r="A147" s="26"/>
      <c r="B147" s="45"/>
      <c r="C147" s="35"/>
      <c r="D147" s="35"/>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25">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25">
      <c r="A149" s="26"/>
      <c r="B149" s="26" t="s">
        <v>207</v>
      </c>
      <c r="C149" s="26"/>
      <c r="D149" s="89">
        <v>2017</v>
      </c>
      <c r="E149" s="89">
        <v>2018</v>
      </c>
      <c r="F149" s="89">
        <v>2019</v>
      </c>
      <c r="G149" s="89">
        <v>2020</v>
      </c>
      <c r="H149" s="89">
        <v>2021</v>
      </c>
      <c r="I149" s="89">
        <v>2022</v>
      </c>
      <c r="J149" s="89">
        <v>2023</v>
      </c>
      <c r="K149" s="89">
        <v>2024</v>
      </c>
      <c r="L149" s="89">
        <v>2025</v>
      </c>
      <c r="M149" s="26"/>
      <c r="N149" s="26"/>
      <c r="O149" s="26"/>
      <c r="P149" s="26"/>
      <c r="Q149" s="26"/>
      <c r="R149" s="26"/>
      <c r="S149" s="26"/>
      <c r="T149" s="26"/>
      <c r="U149" s="26"/>
      <c r="V149" s="26"/>
      <c r="W149" s="26"/>
      <c r="X149" s="26"/>
      <c r="Y149" s="26"/>
      <c r="Z149" s="26"/>
    </row>
    <row r="150" spans="1:26" ht="12.75" customHeight="1" x14ac:dyDescent="0.25">
      <c r="A150" s="26"/>
      <c r="B150" s="26" t="s">
        <v>208</v>
      </c>
      <c r="C150" s="26"/>
      <c r="D150" s="26">
        <v>0</v>
      </c>
      <c r="E150" s="74">
        <f>Invesment!D11</f>
        <v>500000</v>
      </c>
      <c r="F150" s="74">
        <f>E150+Invesment!E11</f>
        <v>1200000</v>
      </c>
      <c r="G150" s="74">
        <f>F150</f>
        <v>1200000</v>
      </c>
      <c r="H150" s="74">
        <f>G150</f>
        <v>1200000</v>
      </c>
      <c r="I150" s="74">
        <f>H150</f>
        <v>1200000</v>
      </c>
      <c r="J150" s="74">
        <f>I150-Invesment!D11</f>
        <v>700000</v>
      </c>
      <c r="K150" s="74">
        <f>J150-Invesment!E11</f>
        <v>0</v>
      </c>
      <c r="L150" s="74"/>
      <c r="M150" s="26">
        <v>5</v>
      </c>
      <c r="N150" s="26"/>
      <c r="O150" s="26"/>
      <c r="P150" s="26"/>
      <c r="Q150" s="26"/>
      <c r="R150" s="26"/>
      <c r="S150" s="26"/>
      <c r="T150" s="26"/>
      <c r="U150" s="26"/>
      <c r="V150" s="26"/>
      <c r="W150" s="26"/>
      <c r="X150" s="26"/>
      <c r="Y150" s="26"/>
      <c r="Z150" s="26"/>
    </row>
    <row r="151" spans="1:26" ht="12.75" customHeight="1" x14ac:dyDescent="0.25">
      <c r="A151" s="26"/>
      <c r="B151" s="26" t="s">
        <v>209</v>
      </c>
      <c r="C151" s="26"/>
      <c r="D151" s="26">
        <v>0</v>
      </c>
      <c r="E151" s="74">
        <f>Invesment!D13</f>
        <v>450000</v>
      </c>
      <c r="F151" s="74">
        <f>E151+Invesment!E13</f>
        <v>1500000</v>
      </c>
      <c r="G151" s="74">
        <f>F151-F152</f>
        <v>1350000</v>
      </c>
      <c r="H151" s="74">
        <f>G151-G152</f>
        <v>850000</v>
      </c>
      <c r="I151" s="74">
        <f>H151-H152</f>
        <v>350000</v>
      </c>
      <c r="J151" s="74">
        <f>I151-Invesment!E13*(1/3)</f>
        <v>0</v>
      </c>
      <c r="K151" s="74"/>
      <c r="L151" s="74"/>
      <c r="M151" s="26">
        <v>3</v>
      </c>
      <c r="N151" s="26"/>
      <c r="O151" s="26"/>
      <c r="P151" s="26"/>
      <c r="Q151" s="26"/>
      <c r="R151" s="26"/>
      <c r="S151" s="26"/>
      <c r="T151" s="26"/>
      <c r="U151" s="26"/>
      <c r="V151" s="26"/>
      <c r="W151" s="26"/>
      <c r="X151" s="26"/>
      <c r="Y151" s="26"/>
      <c r="Z151" s="26"/>
    </row>
    <row r="152" spans="1:26" ht="12.75" customHeight="1" x14ac:dyDescent="0.25">
      <c r="A152" s="26"/>
      <c r="B152" s="26" t="s">
        <v>214</v>
      </c>
      <c r="C152" s="26"/>
      <c r="D152" s="26">
        <v>0</v>
      </c>
      <c r="E152" s="74"/>
      <c r="F152" s="74">
        <f>$E$151*(1/3)</f>
        <v>150000</v>
      </c>
      <c r="G152" s="74">
        <f>$E$151*(1/3)+Invesment!$E$13*(1/3)</f>
        <v>500000</v>
      </c>
      <c r="H152" s="74">
        <f>$E$151*(1/3)+Invesment!$E$13*(1/3)</f>
        <v>500000</v>
      </c>
      <c r="I152" s="74">
        <f>Invesment!D11+Invesment!E13*(1/3)</f>
        <v>850000</v>
      </c>
      <c r="J152" s="74">
        <f>Invesment!E11</f>
        <v>700000</v>
      </c>
      <c r="K152" s="74"/>
      <c r="L152" s="74"/>
      <c r="M152" s="26"/>
      <c r="N152" s="26"/>
      <c r="O152" s="26"/>
      <c r="P152" s="26"/>
      <c r="Q152" s="26"/>
      <c r="R152" s="26"/>
      <c r="S152" s="26"/>
      <c r="T152" s="26"/>
      <c r="U152" s="26"/>
      <c r="V152" s="26"/>
      <c r="W152" s="26"/>
      <c r="X152" s="26"/>
      <c r="Y152" s="26"/>
      <c r="Z152" s="26"/>
    </row>
    <row r="153" spans="1:26" ht="12.75" customHeight="1" x14ac:dyDescent="0.25">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2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25">
      <c r="A155" s="26"/>
      <c r="B155" s="26"/>
      <c r="C155" s="26"/>
      <c r="D155" s="26"/>
      <c r="E155" s="26"/>
      <c r="G155" s="91"/>
      <c r="H155" s="91"/>
      <c r="I155" s="91"/>
      <c r="J155" s="26"/>
      <c r="K155" s="26"/>
      <c r="L155" s="26"/>
      <c r="M155" s="26"/>
      <c r="N155" s="26"/>
      <c r="O155" s="26"/>
      <c r="P155" s="26"/>
      <c r="Q155" s="26"/>
      <c r="R155" s="26"/>
      <c r="S155" s="26"/>
      <c r="T155" s="26"/>
      <c r="U155" s="26"/>
      <c r="V155" s="26"/>
      <c r="W155" s="26"/>
      <c r="X155" s="26"/>
      <c r="Y155" s="26"/>
      <c r="Z155" s="26"/>
    </row>
    <row r="156" spans="1:26" ht="12.75" customHeight="1" x14ac:dyDescent="0.25">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25">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25">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25">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25">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25">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25">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25">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25">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2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25">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25">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25">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25">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25">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25">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25">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25">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25">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2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25">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25">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25">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25">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25">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25">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25">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25">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25">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2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25">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25">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25">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25">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25">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25">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25">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25">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25">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2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25">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25">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25">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25">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25">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25">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25">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25">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25">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2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25">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25">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25">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25">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25">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25">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25">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25">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25">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2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25">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25">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25">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25">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25">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25">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25">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25">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25">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2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25">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25">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25">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25">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25">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25">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25">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25">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25">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2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25">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25">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25">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25">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25">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25">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25">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25">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25">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2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25">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25">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25">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25">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25">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25">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25">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25">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25">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x14ac:dyDescent="0.25">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x14ac:dyDescent="0.25">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x14ac:dyDescent="0.25">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x14ac:dyDescent="0.25">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x14ac:dyDescent="0.25">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x14ac:dyDescent="0.25">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x14ac:dyDescent="0.25">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x14ac:dyDescent="0.25">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x14ac:dyDescent="0.25">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x14ac:dyDescent="0.25">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x14ac:dyDescent="0.25">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x14ac:dyDescent="0.25">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x14ac:dyDescent="0.25">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x14ac:dyDescent="0.25">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x14ac:dyDescent="0.25">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x14ac:dyDescent="0.25">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x14ac:dyDescent="0.25">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x14ac:dyDescent="0.25">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x14ac:dyDescent="0.25">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x14ac:dyDescent="0.25">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x14ac:dyDescent="0.2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x14ac:dyDescent="0.25">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x14ac:dyDescent="0.25">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x14ac:dyDescent="0.25">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x14ac:dyDescent="0.25">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x14ac:dyDescent="0.25">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x14ac:dyDescent="0.25">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x14ac:dyDescent="0.25">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x14ac:dyDescent="0.25">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x14ac:dyDescent="0.25">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x14ac:dyDescent="0.25">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x14ac:dyDescent="0.25">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x14ac:dyDescent="0.25">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x14ac:dyDescent="0.25">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x14ac:dyDescent="0.25">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x14ac:dyDescent="0.25">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x14ac:dyDescent="0.25">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x14ac:dyDescent="0.25">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x14ac:dyDescent="0.25">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x14ac:dyDescent="0.25">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x14ac:dyDescent="0.25">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x14ac:dyDescent="0.25">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x14ac:dyDescent="0.25">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x14ac:dyDescent="0.25">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x14ac:dyDescent="0.25">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x14ac:dyDescent="0.25">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x14ac:dyDescent="0.25">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x14ac:dyDescent="0.25">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x14ac:dyDescent="0.25">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x14ac:dyDescent="0.25">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x14ac:dyDescent="0.25">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x14ac:dyDescent="0.25">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x14ac:dyDescent="0.25">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x14ac:dyDescent="0.25">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x14ac:dyDescent="0.25">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x14ac:dyDescent="0.25">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x14ac:dyDescent="0.25">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x14ac:dyDescent="0.25">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x14ac:dyDescent="0.25">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x14ac:dyDescent="0.25">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x14ac:dyDescent="0.25">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x14ac:dyDescent="0.25">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x14ac:dyDescent="0.25">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x14ac:dyDescent="0.25">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x14ac:dyDescent="0.25">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x14ac:dyDescent="0.25">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x14ac:dyDescent="0.25">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x14ac:dyDescent="0.25">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x14ac:dyDescent="0.25">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x14ac:dyDescent="0.25">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x14ac:dyDescent="0.25">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x14ac:dyDescent="0.25">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x14ac:dyDescent="0.25">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x14ac:dyDescent="0.25">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x14ac:dyDescent="0.25">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x14ac:dyDescent="0.25">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x14ac:dyDescent="0.25">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x14ac:dyDescent="0.25">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x14ac:dyDescent="0.25">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x14ac:dyDescent="0.25">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x14ac:dyDescent="0.25">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x14ac:dyDescent="0.25">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x14ac:dyDescent="0.25">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x14ac:dyDescent="0.25">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x14ac:dyDescent="0.25">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x14ac:dyDescent="0.25">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x14ac:dyDescent="0.25">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x14ac:dyDescent="0.25">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x14ac:dyDescent="0.25">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x14ac:dyDescent="0.25">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x14ac:dyDescent="0.25">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x14ac:dyDescent="0.25">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x14ac:dyDescent="0.25">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x14ac:dyDescent="0.25">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x14ac:dyDescent="0.25">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x14ac:dyDescent="0.25">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x14ac:dyDescent="0.25">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x14ac:dyDescent="0.25">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x14ac:dyDescent="0.25">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x14ac:dyDescent="0.25">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x14ac:dyDescent="0.25">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x14ac:dyDescent="0.25">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x14ac:dyDescent="0.25">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x14ac:dyDescent="0.25">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x14ac:dyDescent="0.25">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x14ac:dyDescent="0.25">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x14ac:dyDescent="0.25">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x14ac:dyDescent="0.25">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x14ac:dyDescent="0.25">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x14ac:dyDescent="0.25">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x14ac:dyDescent="0.25">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x14ac:dyDescent="0.25">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x14ac:dyDescent="0.25">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x14ac:dyDescent="0.25">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x14ac:dyDescent="0.25">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x14ac:dyDescent="0.25">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x14ac:dyDescent="0.25">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x14ac:dyDescent="0.25">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x14ac:dyDescent="0.25">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x14ac:dyDescent="0.25">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x14ac:dyDescent="0.25">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x14ac:dyDescent="0.25">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x14ac:dyDescent="0.25">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x14ac:dyDescent="0.25">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x14ac:dyDescent="0.25">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x14ac:dyDescent="0.25">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x14ac:dyDescent="0.25">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x14ac:dyDescent="0.25">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x14ac:dyDescent="0.25">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x14ac:dyDescent="0.25">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x14ac:dyDescent="0.25">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x14ac:dyDescent="0.25">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x14ac:dyDescent="0.25">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x14ac:dyDescent="0.25">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x14ac:dyDescent="0.25">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x14ac:dyDescent="0.25">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x14ac:dyDescent="0.25">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x14ac:dyDescent="0.25">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x14ac:dyDescent="0.25">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x14ac:dyDescent="0.25">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x14ac:dyDescent="0.25">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x14ac:dyDescent="0.25">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x14ac:dyDescent="0.25">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x14ac:dyDescent="0.25">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x14ac:dyDescent="0.25">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x14ac:dyDescent="0.25">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x14ac:dyDescent="0.25">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x14ac:dyDescent="0.25">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x14ac:dyDescent="0.25">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x14ac:dyDescent="0.25">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x14ac:dyDescent="0.25">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x14ac:dyDescent="0.25">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x14ac:dyDescent="0.25">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x14ac:dyDescent="0.25">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x14ac:dyDescent="0.25">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x14ac:dyDescent="0.25">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x14ac:dyDescent="0.25">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x14ac:dyDescent="0.25">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x14ac:dyDescent="0.25">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x14ac:dyDescent="0.25">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x14ac:dyDescent="0.25">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x14ac:dyDescent="0.25">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x14ac:dyDescent="0.25">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x14ac:dyDescent="0.25">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x14ac:dyDescent="0.25">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x14ac:dyDescent="0.25">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x14ac:dyDescent="0.25">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x14ac:dyDescent="0.25">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x14ac:dyDescent="0.25">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x14ac:dyDescent="0.25">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x14ac:dyDescent="0.25">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x14ac:dyDescent="0.25">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x14ac:dyDescent="0.25">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x14ac:dyDescent="0.25">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x14ac:dyDescent="0.25">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x14ac:dyDescent="0.25">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x14ac:dyDescent="0.25">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x14ac:dyDescent="0.25">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x14ac:dyDescent="0.25">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x14ac:dyDescent="0.25">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x14ac:dyDescent="0.25">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x14ac:dyDescent="0.25">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x14ac:dyDescent="0.25">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x14ac:dyDescent="0.25">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x14ac:dyDescent="0.25">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x14ac:dyDescent="0.25">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x14ac:dyDescent="0.25">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x14ac:dyDescent="0.25">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x14ac:dyDescent="0.25">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x14ac:dyDescent="0.25">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x14ac:dyDescent="0.25">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x14ac:dyDescent="0.25">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x14ac:dyDescent="0.25">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x14ac:dyDescent="0.25">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x14ac:dyDescent="0.25">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x14ac:dyDescent="0.25">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x14ac:dyDescent="0.25">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x14ac:dyDescent="0.25">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x14ac:dyDescent="0.25">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x14ac:dyDescent="0.25">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x14ac:dyDescent="0.25">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x14ac:dyDescent="0.25">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x14ac:dyDescent="0.25">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x14ac:dyDescent="0.25">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x14ac:dyDescent="0.25">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x14ac:dyDescent="0.25">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x14ac:dyDescent="0.25">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x14ac:dyDescent="0.25">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x14ac:dyDescent="0.25">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x14ac:dyDescent="0.25">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x14ac:dyDescent="0.25">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x14ac:dyDescent="0.25">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x14ac:dyDescent="0.25">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x14ac:dyDescent="0.25">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x14ac:dyDescent="0.25">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x14ac:dyDescent="0.25">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x14ac:dyDescent="0.25">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x14ac:dyDescent="0.25">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x14ac:dyDescent="0.25">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x14ac:dyDescent="0.25">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x14ac:dyDescent="0.25">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x14ac:dyDescent="0.25">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x14ac:dyDescent="0.25">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x14ac:dyDescent="0.25">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x14ac:dyDescent="0.25">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x14ac:dyDescent="0.25">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x14ac:dyDescent="0.25">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x14ac:dyDescent="0.25">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x14ac:dyDescent="0.25">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x14ac:dyDescent="0.25">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x14ac:dyDescent="0.25">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x14ac:dyDescent="0.25">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x14ac:dyDescent="0.25">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x14ac:dyDescent="0.25">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x14ac:dyDescent="0.25">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x14ac:dyDescent="0.25">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x14ac:dyDescent="0.25">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x14ac:dyDescent="0.25">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x14ac:dyDescent="0.25">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x14ac:dyDescent="0.25">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x14ac:dyDescent="0.25">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x14ac:dyDescent="0.25">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x14ac:dyDescent="0.25">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x14ac:dyDescent="0.25">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x14ac:dyDescent="0.25">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x14ac:dyDescent="0.25">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x14ac:dyDescent="0.25">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x14ac:dyDescent="0.25">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x14ac:dyDescent="0.25">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x14ac:dyDescent="0.25">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x14ac:dyDescent="0.25">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x14ac:dyDescent="0.25">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x14ac:dyDescent="0.25">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x14ac:dyDescent="0.25">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x14ac:dyDescent="0.25">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x14ac:dyDescent="0.25">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x14ac:dyDescent="0.25">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x14ac:dyDescent="0.25">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x14ac:dyDescent="0.25">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x14ac:dyDescent="0.25">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x14ac:dyDescent="0.25">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x14ac:dyDescent="0.25">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x14ac:dyDescent="0.25">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x14ac:dyDescent="0.25">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x14ac:dyDescent="0.25">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x14ac:dyDescent="0.25">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x14ac:dyDescent="0.25">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x14ac:dyDescent="0.25">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x14ac:dyDescent="0.25">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x14ac:dyDescent="0.25">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x14ac:dyDescent="0.25">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x14ac:dyDescent="0.25">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x14ac:dyDescent="0.25">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x14ac:dyDescent="0.25">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x14ac:dyDescent="0.25">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x14ac:dyDescent="0.25">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x14ac:dyDescent="0.25">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x14ac:dyDescent="0.25">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x14ac:dyDescent="0.25">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x14ac:dyDescent="0.25">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x14ac:dyDescent="0.25">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x14ac:dyDescent="0.25">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x14ac:dyDescent="0.25">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x14ac:dyDescent="0.25">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x14ac:dyDescent="0.25">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x14ac:dyDescent="0.25">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x14ac:dyDescent="0.25">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x14ac:dyDescent="0.25">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x14ac:dyDescent="0.25">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x14ac:dyDescent="0.25">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x14ac:dyDescent="0.25">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x14ac:dyDescent="0.25">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x14ac:dyDescent="0.25">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x14ac:dyDescent="0.25">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x14ac:dyDescent="0.25">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x14ac:dyDescent="0.25">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x14ac:dyDescent="0.25">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x14ac:dyDescent="0.25">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x14ac:dyDescent="0.25">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x14ac:dyDescent="0.25">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x14ac:dyDescent="0.25">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x14ac:dyDescent="0.25">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x14ac:dyDescent="0.25">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x14ac:dyDescent="0.25">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x14ac:dyDescent="0.25">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x14ac:dyDescent="0.25">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x14ac:dyDescent="0.25">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x14ac:dyDescent="0.25">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x14ac:dyDescent="0.25">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x14ac:dyDescent="0.25">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x14ac:dyDescent="0.25">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x14ac:dyDescent="0.25">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x14ac:dyDescent="0.25">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x14ac:dyDescent="0.25">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x14ac:dyDescent="0.25">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x14ac:dyDescent="0.25">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x14ac:dyDescent="0.25">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x14ac:dyDescent="0.25">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x14ac:dyDescent="0.25">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x14ac:dyDescent="0.25">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x14ac:dyDescent="0.25">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x14ac:dyDescent="0.25">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x14ac:dyDescent="0.25">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x14ac:dyDescent="0.25">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x14ac:dyDescent="0.25">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x14ac:dyDescent="0.25">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x14ac:dyDescent="0.25">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x14ac:dyDescent="0.25">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x14ac:dyDescent="0.25">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x14ac:dyDescent="0.25">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x14ac:dyDescent="0.25">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x14ac:dyDescent="0.25">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x14ac:dyDescent="0.25">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x14ac:dyDescent="0.25">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x14ac:dyDescent="0.25">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x14ac:dyDescent="0.25">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x14ac:dyDescent="0.25">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x14ac:dyDescent="0.25">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x14ac:dyDescent="0.25">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x14ac:dyDescent="0.25">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x14ac:dyDescent="0.25">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x14ac:dyDescent="0.25">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x14ac:dyDescent="0.25">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x14ac:dyDescent="0.25">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x14ac:dyDescent="0.25">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x14ac:dyDescent="0.25">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x14ac:dyDescent="0.25">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x14ac:dyDescent="0.25">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x14ac:dyDescent="0.25">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x14ac:dyDescent="0.25">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x14ac:dyDescent="0.25">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x14ac:dyDescent="0.25">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x14ac:dyDescent="0.25">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x14ac:dyDescent="0.25">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x14ac:dyDescent="0.25">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x14ac:dyDescent="0.25">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x14ac:dyDescent="0.25">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x14ac:dyDescent="0.25">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x14ac:dyDescent="0.25">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x14ac:dyDescent="0.25">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x14ac:dyDescent="0.25">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x14ac:dyDescent="0.25">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x14ac:dyDescent="0.25">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x14ac:dyDescent="0.25">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x14ac:dyDescent="0.25">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x14ac:dyDescent="0.25">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x14ac:dyDescent="0.25">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x14ac:dyDescent="0.25">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x14ac:dyDescent="0.25">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x14ac:dyDescent="0.25">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x14ac:dyDescent="0.25">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x14ac:dyDescent="0.25">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x14ac:dyDescent="0.25">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x14ac:dyDescent="0.25">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x14ac:dyDescent="0.25">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x14ac:dyDescent="0.25">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x14ac:dyDescent="0.25">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x14ac:dyDescent="0.25">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x14ac:dyDescent="0.25">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x14ac:dyDescent="0.25">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x14ac:dyDescent="0.25">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x14ac:dyDescent="0.25">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x14ac:dyDescent="0.25">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x14ac:dyDescent="0.25">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x14ac:dyDescent="0.25">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x14ac:dyDescent="0.25">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x14ac:dyDescent="0.25">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x14ac:dyDescent="0.25">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x14ac:dyDescent="0.25">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x14ac:dyDescent="0.25">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x14ac:dyDescent="0.25">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x14ac:dyDescent="0.25">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x14ac:dyDescent="0.25">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x14ac:dyDescent="0.25">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x14ac:dyDescent="0.25">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x14ac:dyDescent="0.25">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x14ac:dyDescent="0.25">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x14ac:dyDescent="0.25">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x14ac:dyDescent="0.25">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x14ac:dyDescent="0.25">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x14ac:dyDescent="0.25">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x14ac:dyDescent="0.25">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x14ac:dyDescent="0.25">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x14ac:dyDescent="0.25">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x14ac:dyDescent="0.25">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x14ac:dyDescent="0.25">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x14ac:dyDescent="0.25">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x14ac:dyDescent="0.25">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x14ac:dyDescent="0.25">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x14ac:dyDescent="0.25">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x14ac:dyDescent="0.25">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x14ac:dyDescent="0.25">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x14ac:dyDescent="0.25">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x14ac:dyDescent="0.25">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x14ac:dyDescent="0.25">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x14ac:dyDescent="0.25">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x14ac:dyDescent="0.25">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x14ac:dyDescent="0.25">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x14ac:dyDescent="0.25">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x14ac:dyDescent="0.25">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x14ac:dyDescent="0.25">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x14ac:dyDescent="0.25">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x14ac:dyDescent="0.25">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x14ac:dyDescent="0.25">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x14ac:dyDescent="0.25">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x14ac:dyDescent="0.25">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x14ac:dyDescent="0.25">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x14ac:dyDescent="0.25">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x14ac:dyDescent="0.25">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x14ac:dyDescent="0.25">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x14ac:dyDescent="0.25">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x14ac:dyDescent="0.25">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x14ac:dyDescent="0.25">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x14ac:dyDescent="0.25">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x14ac:dyDescent="0.25">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x14ac:dyDescent="0.25">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x14ac:dyDescent="0.25">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x14ac:dyDescent="0.25">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x14ac:dyDescent="0.25">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x14ac:dyDescent="0.25">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x14ac:dyDescent="0.25">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x14ac:dyDescent="0.25">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x14ac:dyDescent="0.25">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x14ac:dyDescent="0.25">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x14ac:dyDescent="0.25">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x14ac:dyDescent="0.25">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x14ac:dyDescent="0.25">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x14ac:dyDescent="0.25">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x14ac:dyDescent="0.25">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x14ac:dyDescent="0.25">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x14ac:dyDescent="0.25">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x14ac:dyDescent="0.25">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x14ac:dyDescent="0.25">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x14ac:dyDescent="0.25">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x14ac:dyDescent="0.25">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x14ac:dyDescent="0.25">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x14ac:dyDescent="0.25">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x14ac:dyDescent="0.25">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x14ac:dyDescent="0.25">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x14ac:dyDescent="0.25">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x14ac:dyDescent="0.25">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x14ac:dyDescent="0.25">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x14ac:dyDescent="0.25">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x14ac:dyDescent="0.25">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x14ac:dyDescent="0.25">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x14ac:dyDescent="0.25">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x14ac:dyDescent="0.25">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x14ac:dyDescent="0.25">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x14ac:dyDescent="0.25">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x14ac:dyDescent="0.25">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x14ac:dyDescent="0.25">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x14ac:dyDescent="0.25">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x14ac:dyDescent="0.25">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x14ac:dyDescent="0.25">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x14ac:dyDescent="0.25">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x14ac:dyDescent="0.25">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x14ac:dyDescent="0.25">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x14ac:dyDescent="0.25">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x14ac:dyDescent="0.25">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x14ac:dyDescent="0.25">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x14ac:dyDescent="0.25">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x14ac:dyDescent="0.25">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x14ac:dyDescent="0.25">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x14ac:dyDescent="0.25">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x14ac:dyDescent="0.25">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x14ac:dyDescent="0.25">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x14ac:dyDescent="0.25">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x14ac:dyDescent="0.25">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x14ac:dyDescent="0.25">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x14ac:dyDescent="0.25">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x14ac:dyDescent="0.25">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x14ac:dyDescent="0.25">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x14ac:dyDescent="0.25">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x14ac:dyDescent="0.25">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x14ac:dyDescent="0.25">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x14ac:dyDescent="0.25">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x14ac:dyDescent="0.25">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x14ac:dyDescent="0.25">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x14ac:dyDescent="0.25">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x14ac:dyDescent="0.25">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x14ac:dyDescent="0.25">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x14ac:dyDescent="0.25">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x14ac:dyDescent="0.25">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x14ac:dyDescent="0.25">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x14ac:dyDescent="0.25">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x14ac:dyDescent="0.25">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x14ac:dyDescent="0.25">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x14ac:dyDescent="0.25">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x14ac:dyDescent="0.25">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x14ac:dyDescent="0.25">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x14ac:dyDescent="0.25">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x14ac:dyDescent="0.25">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x14ac:dyDescent="0.25">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x14ac:dyDescent="0.25">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x14ac:dyDescent="0.25">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x14ac:dyDescent="0.25">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x14ac:dyDescent="0.25">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x14ac:dyDescent="0.25">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x14ac:dyDescent="0.25">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x14ac:dyDescent="0.25">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x14ac:dyDescent="0.25">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x14ac:dyDescent="0.25">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x14ac:dyDescent="0.25">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x14ac:dyDescent="0.25">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x14ac:dyDescent="0.25">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x14ac:dyDescent="0.25">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x14ac:dyDescent="0.25">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x14ac:dyDescent="0.25">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x14ac:dyDescent="0.25">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x14ac:dyDescent="0.25">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x14ac:dyDescent="0.25">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x14ac:dyDescent="0.25">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x14ac:dyDescent="0.25">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x14ac:dyDescent="0.25">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x14ac:dyDescent="0.25">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x14ac:dyDescent="0.25">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x14ac:dyDescent="0.25">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x14ac:dyDescent="0.25">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x14ac:dyDescent="0.25">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x14ac:dyDescent="0.25">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x14ac:dyDescent="0.25">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x14ac:dyDescent="0.25">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x14ac:dyDescent="0.25">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x14ac:dyDescent="0.25">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x14ac:dyDescent="0.25">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x14ac:dyDescent="0.25">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x14ac:dyDescent="0.25">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x14ac:dyDescent="0.25">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x14ac:dyDescent="0.25">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x14ac:dyDescent="0.25">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x14ac:dyDescent="0.25">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x14ac:dyDescent="0.25">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x14ac:dyDescent="0.25">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x14ac:dyDescent="0.25">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x14ac:dyDescent="0.25">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x14ac:dyDescent="0.25">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x14ac:dyDescent="0.25">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x14ac:dyDescent="0.25">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x14ac:dyDescent="0.25">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x14ac:dyDescent="0.25">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x14ac:dyDescent="0.25">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x14ac:dyDescent="0.25">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x14ac:dyDescent="0.25">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x14ac:dyDescent="0.25">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x14ac:dyDescent="0.25">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x14ac:dyDescent="0.25">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x14ac:dyDescent="0.25">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x14ac:dyDescent="0.25">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x14ac:dyDescent="0.25">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x14ac:dyDescent="0.25">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x14ac:dyDescent="0.25">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x14ac:dyDescent="0.25">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x14ac:dyDescent="0.25">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x14ac:dyDescent="0.25">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x14ac:dyDescent="0.25">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x14ac:dyDescent="0.25">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x14ac:dyDescent="0.25">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x14ac:dyDescent="0.25">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x14ac:dyDescent="0.25">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x14ac:dyDescent="0.25">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x14ac:dyDescent="0.25">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x14ac:dyDescent="0.25">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x14ac:dyDescent="0.25">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x14ac:dyDescent="0.25">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x14ac:dyDescent="0.25">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x14ac:dyDescent="0.25">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x14ac:dyDescent="0.25">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x14ac:dyDescent="0.25">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x14ac:dyDescent="0.25">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x14ac:dyDescent="0.25">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x14ac:dyDescent="0.25">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x14ac:dyDescent="0.25">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x14ac:dyDescent="0.25">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x14ac:dyDescent="0.25">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x14ac:dyDescent="0.25">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x14ac:dyDescent="0.25">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x14ac:dyDescent="0.25">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x14ac:dyDescent="0.25">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x14ac:dyDescent="0.25">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x14ac:dyDescent="0.25">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x14ac:dyDescent="0.25">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x14ac:dyDescent="0.25">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x14ac:dyDescent="0.25">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x14ac:dyDescent="0.25">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x14ac:dyDescent="0.25">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x14ac:dyDescent="0.25">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x14ac:dyDescent="0.25">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x14ac:dyDescent="0.25">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x14ac:dyDescent="0.25">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x14ac:dyDescent="0.25">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x14ac:dyDescent="0.25">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x14ac:dyDescent="0.25">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x14ac:dyDescent="0.25">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x14ac:dyDescent="0.25">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x14ac:dyDescent="0.25">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x14ac:dyDescent="0.25">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x14ac:dyDescent="0.25">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x14ac:dyDescent="0.25">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x14ac:dyDescent="0.25">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x14ac:dyDescent="0.25">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x14ac:dyDescent="0.25">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x14ac:dyDescent="0.25">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x14ac:dyDescent="0.25">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x14ac:dyDescent="0.25">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x14ac:dyDescent="0.25">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x14ac:dyDescent="0.25">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x14ac:dyDescent="0.25">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x14ac:dyDescent="0.25">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x14ac:dyDescent="0.25">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x14ac:dyDescent="0.25">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x14ac:dyDescent="0.25">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x14ac:dyDescent="0.25">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x14ac:dyDescent="0.25">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x14ac:dyDescent="0.25">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x14ac:dyDescent="0.25">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x14ac:dyDescent="0.25">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x14ac:dyDescent="0.25">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x14ac:dyDescent="0.25">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x14ac:dyDescent="0.25">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x14ac:dyDescent="0.25">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x14ac:dyDescent="0.25">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x14ac:dyDescent="0.25">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x14ac:dyDescent="0.25">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x14ac:dyDescent="0.25">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x14ac:dyDescent="0.25">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x14ac:dyDescent="0.25">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x14ac:dyDescent="0.25">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x14ac:dyDescent="0.25">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x14ac:dyDescent="0.25">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x14ac:dyDescent="0.25">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x14ac:dyDescent="0.25">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x14ac:dyDescent="0.25">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x14ac:dyDescent="0.25">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x14ac:dyDescent="0.25">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x14ac:dyDescent="0.25">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x14ac:dyDescent="0.25">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x14ac:dyDescent="0.25">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x14ac:dyDescent="0.25">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x14ac:dyDescent="0.25">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x14ac:dyDescent="0.25">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x14ac:dyDescent="0.25">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x14ac:dyDescent="0.25">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x14ac:dyDescent="0.25">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x14ac:dyDescent="0.25">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x14ac:dyDescent="0.25">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x14ac:dyDescent="0.25">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x14ac:dyDescent="0.25">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x14ac:dyDescent="0.25">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x14ac:dyDescent="0.25">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x14ac:dyDescent="0.25">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x14ac:dyDescent="0.25">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x14ac:dyDescent="0.25">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x14ac:dyDescent="0.25">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x14ac:dyDescent="0.25">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x14ac:dyDescent="0.25">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x14ac:dyDescent="0.25">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x14ac:dyDescent="0.25">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x14ac:dyDescent="0.25">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x14ac:dyDescent="0.25">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x14ac:dyDescent="0.25">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x14ac:dyDescent="0.25">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x14ac:dyDescent="0.25">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x14ac:dyDescent="0.25">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x14ac:dyDescent="0.25">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x14ac:dyDescent="0.25">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x14ac:dyDescent="0.25">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x14ac:dyDescent="0.25">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x14ac:dyDescent="0.25">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x14ac:dyDescent="0.25">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x14ac:dyDescent="0.25">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x14ac:dyDescent="0.25">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x14ac:dyDescent="0.25">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x14ac:dyDescent="0.25">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x14ac:dyDescent="0.25">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x14ac:dyDescent="0.25">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x14ac:dyDescent="0.25">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x14ac:dyDescent="0.25">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x14ac:dyDescent="0.25">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x14ac:dyDescent="0.25">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x14ac:dyDescent="0.25">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x14ac:dyDescent="0.25">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x14ac:dyDescent="0.25">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x14ac:dyDescent="0.25">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x14ac:dyDescent="0.25">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x14ac:dyDescent="0.25">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x14ac:dyDescent="0.25">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x14ac:dyDescent="0.25">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x14ac:dyDescent="0.25">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x14ac:dyDescent="0.25">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x14ac:dyDescent="0.25">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x14ac:dyDescent="0.25">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x14ac:dyDescent="0.25">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x14ac:dyDescent="0.25">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x14ac:dyDescent="0.25">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x14ac:dyDescent="0.25">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x14ac:dyDescent="0.25">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x14ac:dyDescent="0.25">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x14ac:dyDescent="0.25">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x14ac:dyDescent="0.25">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x14ac:dyDescent="0.25">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x14ac:dyDescent="0.25">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x14ac:dyDescent="0.25">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x14ac:dyDescent="0.25">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x14ac:dyDescent="0.25">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x14ac:dyDescent="0.25">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x14ac:dyDescent="0.25">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x14ac:dyDescent="0.25">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x14ac:dyDescent="0.25">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x14ac:dyDescent="0.25">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x14ac:dyDescent="0.25">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x14ac:dyDescent="0.25">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x14ac:dyDescent="0.25">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x14ac:dyDescent="0.25">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x14ac:dyDescent="0.25">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x14ac:dyDescent="0.25">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x14ac:dyDescent="0.25">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x14ac:dyDescent="0.25">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x14ac:dyDescent="0.25">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x14ac:dyDescent="0.25">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spans="1:26" ht="15" customHeight="1" x14ac:dyDescent="0.25">
      <c r="A994" s="26"/>
      <c r="B994" s="26"/>
      <c r="C994" s="26"/>
      <c r="D994" s="26"/>
      <c r="E994" s="26"/>
      <c r="F994" s="26"/>
      <c r="G994" s="26"/>
      <c r="H994" s="26"/>
      <c r="I994" s="26"/>
      <c r="J994" s="26"/>
      <c r="K994" s="26"/>
    </row>
    <row r="995" spans="1:26" ht="15" customHeight="1" x14ac:dyDescent="0.25">
      <c r="A995" s="26"/>
      <c r="B995" s="26"/>
      <c r="C995" s="26"/>
      <c r="D995" s="26"/>
      <c r="E995" s="26"/>
      <c r="F995" s="26"/>
      <c r="G995" s="26"/>
      <c r="H995" s="26"/>
      <c r="I995" s="26"/>
      <c r="J995" s="26"/>
      <c r="K995" s="26"/>
    </row>
    <row r="996" spans="1:26" ht="15" customHeight="1" x14ac:dyDescent="0.25">
      <c r="A996" s="26"/>
      <c r="B996" s="26"/>
      <c r="C996" s="26"/>
      <c r="D996" s="26"/>
      <c r="E996" s="26"/>
      <c r="F996" s="26"/>
      <c r="G996" s="26"/>
      <c r="H996" s="26"/>
      <c r="I996" s="26"/>
      <c r="J996" s="26"/>
      <c r="K996" s="26"/>
    </row>
    <row r="997" spans="1:26" ht="15" customHeight="1" x14ac:dyDescent="0.25">
      <c r="A997" s="26"/>
      <c r="B997" s="26"/>
      <c r="C997" s="26"/>
      <c r="D997" s="26"/>
      <c r="E997" s="26"/>
      <c r="F997" s="26"/>
      <c r="G997" s="26"/>
      <c r="H997" s="26"/>
      <c r="I997" s="26"/>
      <c r="J997" s="26"/>
      <c r="K997" s="26"/>
    </row>
    <row r="998" spans="1:26" ht="15" customHeight="1" x14ac:dyDescent="0.25">
      <c r="B998" s="26"/>
    </row>
    <row r="999" spans="1:26" ht="15" customHeight="1" x14ac:dyDescent="0.25">
      <c r="B999" s="26"/>
    </row>
  </sheetData>
  <mergeCells count="15">
    <mergeCell ref="M82:M118"/>
    <mergeCell ref="B2:L2"/>
    <mergeCell ref="E3:L3"/>
    <mergeCell ref="C3:D3"/>
    <mergeCell ref="B64:B65"/>
    <mergeCell ref="C64:C65"/>
    <mergeCell ref="D64:D65"/>
    <mergeCell ref="E64:E65"/>
    <mergeCell ref="F64:F65"/>
    <mergeCell ref="G64:G65"/>
    <mergeCell ref="H64:H65"/>
    <mergeCell ref="I64:I65"/>
    <mergeCell ref="J64:J65"/>
    <mergeCell ref="K64:K65"/>
    <mergeCell ref="L64:L65"/>
  </mergeCells>
  <conditionalFormatting sqref="O5:O59 P5:P18 P20:P32 P34:P60">
    <cfRule type="expression" dxfId="2" priority="1">
      <formula>"&gt;0"</formula>
    </cfRule>
  </conditionalFormatting>
  <pageMargins left="0.7" right="0.7" top="0.75" bottom="0.75" header="0" footer="0"/>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1"/>
  <sheetViews>
    <sheetView workbookViewId="0">
      <selection activeCell="O13" sqref="O13"/>
    </sheetView>
  </sheetViews>
  <sheetFormatPr defaultColWidth="12.6640625" defaultRowHeight="15" customHeight="1" x14ac:dyDescent="0.25"/>
  <cols>
    <col min="1" max="1" width="1.88671875" style="59" customWidth="1"/>
    <col min="2" max="2" width="42.21875" style="59" customWidth="1"/>
    <col min="3" max="3" width="12" style="100" customWidth="1"/>
    <col min="4" max="4" width="10.21875" style="59" bestFit="1" customWidth="1"/>
    <col min="5" max="5" width="13.6640625" style="59" bestFit="1" customWidth="1"/>
    <col min="6" max="6" width="11.33203125" style="59" bestFit="1" customWidth="1"/>
    <col min="7" max="8" width="10.77734375" style="59" bestFit="1" customWidth="1"/>
    <col min="9" max="12" width="11.44140625" style="59" bestFit="1" customWidth="1"/>
    <col min="13" max="26" width="8.6640625" style="59" customWidth="1"/>
    <col min="27" max="16384" width="12.6640625" style="59"/>
  </cols>
  <sheetData>
    <row r="1" spans="1:26" ht="13.5" customHeight="1" x14ac:dyDescent="0.3">
      <c r="B1" s="38" t="s">
        <v>164</v>
      </c>
      <c r="C1" s="38"/>
      <c r="D1" s="38"/>
      <c r="E1" s="38"/>
      <c r="F1" s="38"/>
      <c r="G1" s="38"/>
      <c r="H1" s="38"/>
      <c r="I1" s="38"/>
      <c r="J1" s="38"/>
      <c r="K1" s="38"/>
      <c r="L1" s="38"/>
      <c r="N1" s="26"/>
      <c r="O1" s="26"/>
      <c r="P1" s="26"/>
      <c r="Q1" s="26"/>
      <c r="R1" s="26"/>
      <c r="S1" s="26"/>
      <c r="T1" s="26"/>
      <c r="U1" s="26"/>
      <c r="V1" s="26"/>
      <c r="W1" s="26"/>
      <c r="X1" s="26"/>
      <c r="Y1" s="26"/>
      <c r="Z1" s="26"/>
    </row>
    <row r="2" spans="1:26" ht="12.75" customHeight="1" x14ac:dyDescent="0.25">
      <c r="B2" s="180" t="s">
        <v>165</v>
      </c>
      <c r="C2" s="180"/>
      <c r="D2" s="180"/>
      <c r="E2" s="180"/>
      <c r="F2" s="180"/>
      <c r="G2" s="180"/>
      <c r="H2" s="180"/>
      <c r="I2" s="180"/>
      <c r="J2" s="180"/>
      <c r="K2" s="180"/>
      <c r="L2" s="180"/>
      <c r="N2" s="26"/>
      <c r="O2" s="26"/>
      <c r="P2" s="26"/>
      <c r="Q2" s="26"/>
      <c r="R2" s="26"/>
      <c r="S2" s="26"/>
      <c r="T2" s="26"/>
      <c r="U2" s="26"/>
      <c r="V2" s="26"/>
      <c r="W2" s="26"/>
      <c r="X2" s="26"/>
      <c r="Y2" s="26"/>
      <c r="Z2" s="26"/>
    </row>
    <row r="3" spans="1:26" ht="12.75" customHeight="1" x14ac:dyDescent="0.25">
      <c r="B3" s="37"/>
      <c r="C3" s="184" t="s">
        <v>95</v>
      </c>
      <c r="D3" s="184"/>
      <c r="E3" s="181" t="s">
        <v>163</v>
      </c>
      <c r="F3" s="181"/>
      <c r="G3" s="181"/>
      <c r="H3" s="181"/>
      <c r="I3" s="181"/>
      <c r="J3" s="181"/>
      <c r="K3" s="181"/>
      <c r="L3" s="181"/>
      <c r="N3" s="26"/>
      <c r="O3" s="26"/>
      <c r="P3" s="26"/>
      <c r="Q3" s="26"/>
      <c r="R3" s="26"/>
      <c r="S3" s="26"/>
      <c r="T3" s="26"/>
      <c r="U3" s="26"/>
      <c r="V3" s="26"/>
      <c r="W3" s="26"/>
      <c r="X3" s="26"/>
      <c r="Y3" s="26"/>
      <c r="Z3" s="26"/>
    </row>
    <row r="4" spans="1:26" ht="36.6" customHeight="1" x14ac:dyDescent="0.45">
      <c r="B4" s="42" t="s">
        <v>54</v>
      </c>
      <c r="C4" s="44">
        <v>2016</v>
      </c>
      <c r="D4" s="43">
        <v>2017</v>
      </c>
      <c r="E4" s="28">
        <v>2018</v>
      </c>
      <c r="F4" s="28">
        <v>2019</v>
      </c>
      <c r="G4" s="28">
        <v>2020</v>
      </c>
      <c r="H4" s="28">
        <v>2021</v>
      </c>
      <c r="I4" s="28">
        <v>2022</v>
      </c>
      <c r="J4" s="28">
        <v>2023</v>
      </c>
      <c r="K4" s="28">
        <v>2024</v>
      </c>
      <c r="L4" s="28">
        <v>2025</v>
      </c>
      <c r="N4" s="26"/>
      <c r="O4" s="101"/>
      <c r="P4" s="26"/>
      <c r="Q4" s="26"/>
      <c r="R4" s="26"/>
      <c r="S4" s="26"/>
      <c r="T4" s="26"/>
      <c r="U4" s="26"/>
      <c r="V4" s="26"/>
      <c r="W4" s="26"/>
      <c r="X4" s="26"/>
      <c r="Y4" s="26"/>
      <c r="Z4" s="26"/>
    </row>
    <row r="5" spans="1:26" ht="17.25" customHeight="1" x14ac:dyDescent="0.25">
      <c r="A5" s="26"/>
      <c r="B5" s="39" t="s">
        <v>141</v>
      </c>
      <c r="C5" s="94">
        <f>SUM(C6:C7)</f>
        <v>3418804.17</v>
      </c>
      <c r="D5" s="32">
        <f>SUM(D6:D7)</f>
        <v>5477915.8799999999</v>
      </c>
      <c r="E5" s="32">
        <f>SUM(E6:E7)</f>
        <v>8625400.3967617489</v>
      </c>
      <c r="F5" s="32">
        <f t="shared" ref="F5:L5" si="0">SUM(F6:F7)</f>
        <v>11277136.042910824</v>
      </c>
      <c r="G5" s="32">
        <f t="shared" si="0"/>
        <v>16915704.064366236</v>
      </c>
      <c r="H5" s="32">
        <f t="shared" si="0"/>
        <v>18607274.470802862</v>
      </c>
      <c r="I5" s="32">
        <f t="shared" si="0"/>
        <v>20468001.91788315</v>
      </c>
      <c r="J5" s="32">
        <f t="shared" si="0"/>
        <v>22514802.109671466</v>
      </c>
      <c r="K5" s="32">
        <f t="shared" si="0"/>
        <v>24766282.320638616</v>
      </c>
      <c r="L5" s="32">
        <f t="shared" si="0"/>
        <v>27242910.552702479</v>
      </c>
      <c r="M5" s="26"/>
      <c r="N5" s="26"/>
      <c r="O5" s="26"/>
      <c r="P5" s="26"/>
      <c r="Q5" s="26"/>
      <c r="R5" s="26"/>
      <c r="S5" s="26"/>
      <c r="T5" s="26"/>
      <c r="U5" s="26"/>
      <c r="V5" s="26"/>
      <c r="W5" s="26"/>
      <c r="X5" s="26"/>
      <c r="Y5" s="26"/>
      <c r="Z5" s="26"/>
    </row>
    <row r="6" spans="1:26" ht="17.25" customHeight="1" x14ac:dyDescent="0.25">
      <c r="A6" s="26"/>
      <c r="B6" s="46" t="s">
        <v>142</v>
      </c>
      <c r="C6" s="92">
        <f>'Income Statement - FACTORY'!D6*1.21</f>
        <v>3284154.17</v>
      </c>
      <c r="D6" s="93">
        <f>'Income Statement - FACTORY'!E6*1.21</f>
        <v>5341246.13</v>
      </c>
      <c r="E6" s="93">
        <f>'Income Statement - FACTORY'!F6*1.21</f>
        <v>8625400.3967617489</v>
      </c>
      <c r="F6" s="93">
        <f>'Income Statement - FACTORY'!G6*1.21</f>
        <v>11277136.042910824</v>
      </c>
      <c r="G6" s="93">
        <f>'Income Statement - FACTORY'!H6*1.21</f>
        <v>16915704.064366236</v>
      </c>
      <c r="H6" s="93">
        <f>'Income Statement - FACTORY'!I6*1.21</f>
        <v>18607274.470802862</v>
      </c>
      <c r="I6" s="93">
        <f>'Income Statement - FACTORY'!J6*1.21</f>
        <v>20468001.91788315</v>
      </c>
      <c r="J6" s="93">
        <f>'Income Statement - FACTORY'!K6*1.21</f>
        <v>22514802.109671466</v>
      </c>
      <c r="K6" s="93">
        <f>'Income Statement - FACTORY'!L6*1.21</f>
        <v>24766282.320638616</v>
      </c>
      <c r="L6" s="93">
        <f>'Income Statement - FACTORY'!M6*1.21</f>
        <v>27242910.552702479</v>
      </c>
      <c r="M6" s="26"/>
      <c r="N6" s="26"/>
      <c r="O6" s="26"/>
      <c r="P6" s="26"/>
      <c r="Q6" s="26"/>
      <c r="R6" s="26"/>
      <c r="S6" s="26"/>
      <c r="T6" s="26"/>
      <c r="U6" s="26"/>
      <c r="V6" s="26"/>
      <c r="W6" s="26"/>
      <c r="X6" s="26"/>
      <c r="Y6" s="26"/>
      <c r="Z6" s="26"/>
    </row>
    <row r="7" spans="1:26" ht="17.25" customHeight="1" x14ac:dyDescent="0.25">
      <c r="A7" s="26"/>
      <c r="B7" s="46" t="s">
        <v>63</v>
      </c>
      <c r="C7" s="92">
        <v>134650</v>
      </c>
      <c r="D7" s="93">
        <f>C7*1.015</f>
        <v>136669.75</v>
      </c>
      <c r="E7" s="93">
        <v>0</v>
      </c>
      <c r="F7" s="93">
        <f t="shared" ref="F7:L7" si="1">E7*1.015</f>
        <v>0</v>
      </c>
      <c r="G7" s="93">
        <f t="shared" si="1"/>
        <v>0</v>
      </c>
      <c r="H7" s="93">
        <f t="shared" si="1"/>
        <v>0</v>
      </c>
      <c r="I7" s="93">
        <f t="shared" si="1"/>
        <v>0</v>
      </c>
      <c r="J7" s="93">
        <f t="shared" si="1"/>
        <v>0</v>
      </c>
      <c r="K7" s="93">
        <f t="shared" si="1"/>
        <v>0</v>
      </c>
      <c r="L7" s="93">
        <f t="shared" si="1"/>
        <v>0</v>
      </c>
      <c r="M7" s="26" t="s">
        <v>213</v>
      </c>
      <c r="N7" s="35"/>
      <c r="O7" s="26"/>
      <c r="P7" s="26"/>
      <c r="Q7" s="26"/>
      <c r="R7" s="26"/>
      <c r="S7" s="26"/>
      <c r="T7" s="26"/>
      <c r="U7" s="26"/>
      <c r="V7" s="26"/>
      <c r="W7" s="26"/>
      <c r="X7" s="26"/>
      <c r="Y7" s="26"/>
      <c r="Z7" s="26"/>
    </row>
    <row r="8" spans="1:26" ht="17.25" customHeight="1" x14ac:dyDescent="0.25">
      <c r="A8" s="26"/>
      <c r="B8" s="39" t="s">
        <v>143</v>
      </c>
      <c r="C8" s="94">
        <f>SUM(C9:C12)</f>
        <v>-2865266</v>
      </c>
      <c r="D8" s="32">
        <f>SUM(D9:D12)</f>
        <v>-4917990</v>
      </c>
      <c r="E8" s="32">
        <f>SUM(E9:E12)</f>
        <v>-7933264.1767966114</v>
      </c>
      <c r="F8" s="32">
        <f t="shared" ref="F8:L8" si="2">SUM(F9:F12)</f>
        <v>-10357535.645531118</v>
      </c>
      <c r="G8" s="32">
        <f t="shared" si="2"/>
        <v>-12965882.280664926</v>
      </c>
      <c r="H8" s="32">
        <f t="shared" si="2"/>
        <v>-14549375.612952219</v>
      </c>
      <c r="I8" s="32">
        <f t="shared" si="2"/>
        <v>-15985301.861002868</v>
      </c>
      <c r="J8" s="32">
        <f t="shared" si="2"/>
        <v>-17566741.693471428</v>
      </c>
      <c r="K8" s="32">
        <f t="shared" si="2"/>
        <v>-19307397.426331885</v>
      </c>
      <c r="L8" s="32">
        <f t="shared" si="2"/>
        <v>-21202479.614902183</v>
      </c>
      <c r="M8" s="26"/>
      <c r="N8" s="26"/>
      <c r="O8" s="26"/>
      <c r="P8" s="26"/>
      <c r="Q8" s="26"/>
      <c r="R8" s="26"/>
      <c r="S8" s="26"/>
      <c r="T8" s="26"/>
      <c r="U8" s="26"/>
      <c r="V8" s="26"/>
      <c r="W8" s="26"/>
      <c r="X8" s="26"/>
      <c r="Y8" s="26"/>
      <c r="Z8" s="26"/>
    </row>
    <row r="9" spans="1:26" ht="17.25" customHeight="1" x14ac:dyDescent="0.25">
      <c r="A9" s="26"/>
      <c r="B9" s="46" t="s">
        <v>144</v>
      </c>
      <c r="C9" s="92">
        <v>-2232103</v>
      </c>
      <c r="D9" s="93">
        <v>-3598006</v>
      </c>
      <c r="E9" s="102">
        <f>-('Income Statement - FACTORY'!F7-'Income Statement - FACTORY'!F10+'Income Statement - FACTORY'!F14-'Income Statement - FACTORY'!F22)-('Balance sheet - FACTORY'!E21-'Balance sheet - FACTORY'!D21+'Balance sheet - FACTORY'!E27-'Balance sheet - FACTORY'!D27)+'Balance sheet - FACTORY'!E57-'Balance sheet - FACTORY'!D57+'Balance sheet - FACTORY'!E58-'Balance sheet - FACTORY'!D58</f>
        <v>-4270517.1438406082</v>
      </c>
      <c r="F9" s="102">
        <f>-('Income Statement - FACTORY'!G7-'Income Statement - FACTORY'!G10+'Income Statement - FACTORY'!G14-'Income Statement - FACTORY'!G22)-('Balance sheet - FACTORY'!F21-'Balance sheet - FACTORY'!E21+'Balance sheet - FACTORY'!F27-'Balance sheet - FACTORY'!E27)+'Balance sheet - FACTORY'!F57-'Balance sheet - FACTORY'!E57+'Balance sheet - FACTORY'!F58-'Balance sheet - FACTORY'!E58</f>
        <v>-5584903.3678450687</v>
      </c>
      <c r="G9" s="102">
        <f>-('Income Statement - FACTORY'!H7-'Income Statement - FACTORY'!H10+'Income Statement - FACTORY'!H14-'Income Statement - FACTORY'!H22)-('Balance sheet - FACTORY'!G21-'Balance sheet - FACTORY'!F21+'Balance sheet - FACTORY'!G27-'Balance sheet - FACTORY'!F27)+'Balance sheet - FACTORY'!G57-'Balance sheet - FACTORY'!F57+'Balance sheet - FACTORY'!G58-'Balance sheet - FACTORY'!F58</f>
        <v>-6908291.7241217438</v>
      </c>
      <c r="H9" s="102">
        <f>-('Income Statement - FACTORY'!I7-'Income Statement - FACTORY'!I10+'Income Statement - FACTORY'!I14-'Income Statement - FACTORY'!I22)-('Balance sheet - FACTORY'!H21-'Balance sheet - FACTORY'!G21+'Balance sheet - FACTORY'!H27-'Balance sheet - FACTORY'!G27)+'Balance sheet - FACTORY'!H57-'Balance sheet - FACTORY'!G57+'Balance sheet - FACTORY'!H58-'Balance sheet - FACTORY'!G58</f>
        <v>-7878872.471026212</v>
      </c>
      <c r="I9" s="102">
        <f>-('Income Statement - FACTORY'!J7-'Income Statement - FACTORY'!J10+'Income Statement - FACTORY'!J14-'Income Statement - FACTORY'!J22)-('Balance sheet - FACTORY'!I21-'Balance sheet - FACTORY'!H21+'Balance sheet - FACTORY'!I27-'Balance sheet - FACTORY'!H27)+'Balance sheet - FACTORY'!I57-'Balance sheet - FACTORY'!H57+'Balance sheet - FACTORY'!I58-'Balance sheet - FACTORY'!H58</f>
        <v>-8641484.3111915588</v>
      </c>
      <c r="J9" s="102">
        <f>-('Income Statement - FACTORY'!K7-'Income Statement - FACTORY'!K10+'Income Statement - FACTORY'!K14-'Income Statement - FACTORY'!K22)-('Balance sheet - FACTORY'!J21-'Balance sheet - FACTORY'!I21+'Balance sheet - FACTORY'!J27-'Balance sheet - FACTORY'!I27)+'Balance sheet - FACTORY'!J57-'Balance sheet - FACTORY'!I57+'Balance sheet - FACTORY'!J58-'Balance sheet - FACTORY'!I58</f>
        <v>-9480367.4509516042</v>
      </c>
      <c r="K9" s="102">
        <f>-('Income Statement - FACTORY'!L7-'Income Statement - FACTORY'!L10+'Income Statement - FACTORY'!L14-'Income Statement - FACTORY'!L22)-('Balance sheet - FACTORY'!K21-'Balance sheet - FACTORY'!J21+'Balance sheet - FACTORY'!K27-'Balance sheet - FACTORY'!J27)+'Balance sheet - FACTORY'!K57-'Balance sheet - FACTORY'!J57+'Balance sheet - FACTORY'!K58-'Balance sheet - FACTORY'!J58</f>
        <v>-10403121.464035647</v>
      </c>
      <c r="L9" s="102">
        <f>-('Income Statement - FACTORY'!M7-'Income Statement - FACTORY'!M10+'Income Statement - FACTORY'!M14-'Income Statement - FACTORY'!M22)-('Balance sheet - FACTORY'!L21-'Balance sheet - FACTORY'!K21+'Balance sheet - FACTORY'!L27-'Balance sheet - FACTORY'!K27)+'Balance sheet - FACTORY'!L57-'Balance sheet - FACTORY'!K57+'Balance sheet - FACTORY'!L58-'Balance sheet - FACTORY'!K58</f>
        <v>-11404103.797543393</v>
      </c>
      <c r="M9" s="26"/>
      <c r="N9" s="26"/>
      <c r="O9" s="26"/>
      <c r="P9" s="26"/>
      <c r="Q9" s="26"/>
      <c r="R9" s="26"/>
      <c r="S9" s="26"/>
      <c r="T9" s="26"/>
      <c r="U9" s="26"/>
      <c r="V9" s="26"/>
      <c r="W9" s="26"/>
      <c r="X9" s="26"/>
      <c r="Y9" s="26"/>
      <c r="Z9" s="26"/>
    </row>
    <row r="10" spans="1:26" ht="17.25" customHeight="1" x14ac:dyDescent="0.25">
      <c r="A10" s="26"/>
      <c r="B10" s="46" t="s">
        <v>145</v>
      </c>
      <c r="C10" s="92">
        <v>-499966</v>
      </c>
      <c r="D10" s="93">
        <v>-1368507</v>
      </c>
      <c r="E10" s="90">
        <f>-('Income Statement - FACTORY'!F10+'Income Statement - FACTORY'!F22)</f>
        <v>-2209956.042727659</v>
      </c>
      <c r="F10" s="90">
        <f>-('Income Statement - FACTORY'!G10+'Income Statement - FACTORY'!G22)</f>
        <v>-2889370.2084890064</v>
      </c>
      <c r="G10" s="90">
        <f>-('Income Statement - FACTORY'!H10+'Income Statement - FACTORY'!H22)</f>
        <v>-2810374.1428704523</v>
      </c>
      <c r="H10" s="90">
        <f>-('Income Statement - FACTORY'!I10+'Income Statement - FACTORY'!I22)</f>
        <v>-3091482.5571574979</v>
      </c>
      <c r="I10" s="90">
        <f>-('Income Statement - FACTORY'!J10+'Income Statement - FACTORY'!J22)</f>
        <v>-3400680.812873248</v>
      </c>
      <c r="J10" s="90">
        <f>-('Income Statement - FACTORY'!K10+'Income Statement - FACTORY'!K22)</f>
        <v>-3740748.8941605734</v>
      </c>
      <c r="K10" s="90">
        <f>-('Income Statement - FACTORY'!L10+'Income Statement - FACTORY'!L22)</f>
        <v>-4114823.783576631</v>
      </c>
      <c r="L10" s="90">
        <f>-('Income Statement - FACTORY'!M10+'Income Statement - FACTORY'!M22)</f>
        <v>-4526306.1619342947</v>
      </c>
      <c r="M10" s="26"/>
      <c r="N10" s="26"/>
      <c r="O10" s="26"/>
      <c r="P10" s="26"/>
      <c r="Q10" s="26"/>
      <c r="R10" s="26"/>
      <c r="S10" s="26"/>
      <c r="T10" s="26"/>
      <c r="U10" s="26"/>
      <c r="V10" s="26"/>
      <c r="W10" s="26"/>
      <c r="X10" s="26"/>
      <c r="Y10" s="26"/>
      <c r="Z10" s="26"/>
    </row>
    <row r="11" spans="1:26" ht="17.25" customHeight="1" x14ac:dyDescent="0.25">
      <c r="A11" s="26"/>
      <c r="B11" s="46" t="s">
        <v>146</v>
      </c>
      <c r="C11" s="92">
        <v>-238</v>
      </c>
      <c r="D11" s="93">
        <v>70322</v>
      </c>
      <c r="E11" s="90">
        <f>-('Income Statement - FACTORY'!F36+E5-'Income Statement - FACTORY'!F6)</f>
        <v>-1597399.3615823826</v>
      </c>
      <c r="F11" s="90">
        <f>-('Income Statement - FACTORY'!G36+F5-'Income Statement - FACTORY'!G6)</f>
        <v>-2072327.8750366792</v>
      </c>
      <c r="G11" s="90">
        <f>-('Income Statement - FACTORY'!H36+G5-'Income Statement - FACTORY'!H6)</f>
        <v>-3530815.1224321835</v>
      </c>
      <c r="H11" s="90">
        <f>-('Income Statement - FACTORY'!I36+H5-'Income Statement - FACTORY'!I6)</f>
        <v>-3890979.164403908</v>
      </c>
      <c r="I11" s="90">
        <f>-('Income Statement - FACTORY'!J36+I5-'Income Statement - FACTORY'!J6)</f>
        <v>-4286291.1745369993</v>
      </c>
      <c r="J11" s="90">
        <f>-('Income Statement - FACTORY'!K36+J5-'Income Statement - FACTORY'!K6)</f>
        <v>-4723095.2297180817</v>
      </c>
      <c r="K11" s="90">
        <f>-('Income Statement - FACTORY'!L36+K5-'Income Statement - FACTORY'!L6)</f>
        <v>-5204669.0482143201</v>
      </c>
      <c r="L11" s="90">
        <f>-('Income Statement - FACTORY'!M36+L5-'Income Statement - FACTORY'!M6)</f>
        <v>-5728808.211868681</v>
      </c>
      <c r="M11" s="26"/>
      <c r="N11" s="26"/>
      <c r="O11" s="26"/>
      <c r="P11" s="26"/>
      <c r="Q11" s="26"/>
      <c r="R11" s="26"/>
      <c r="S11" s="26"/>
      <c r="T11" s="26"/>
      <c r="U11" s="26"/>
      <c r="V11" s="26"/>
      <c r="W11" s="26"/>
      <c r="X11" s="26"/>
      <c r="Y11" s="26"/>
      <c r="Z11" s="26"/>
    </row>
    <row r="12" spans="1:26" ht="17.25" customHeight="1" x14ac:dyDescent="0.25">
      <c r="A12" s="26"/>
      <c r="B12" s="46" t="s">
        <v>147</v>
      </c>
      <c r="C12" s="92">
        <v>-132959</v>
      </c>
      <c r="D12" s="93">
        <v>-21799</v>
      </c>
      <c r="E12" s="90">
        <f>'Income Statement - FACTORY'!F26</f>
        <v>144608.37135403921</v>
      </c>
      <c r="F12" s="90">
        <f>'Income Statement - FACTORY'!G26</f>
        <v>189065.80583963511</v>
      </c>
      <c r="G12" s="90">
        <f>'Income Statement - FACTORY'!H26</f>
        <v>283598.70875945268</v>
      </c>
      <c r="H12" s="90">
        <f>'Income Statement - FACTORY'!I26</f>
        <v>311958.57963539794</v>
      </c>
      <c r="I12" s="90">
        <f>'Income Statement - FACTORY'!J26</f>
        <v>343154.43759893777</v>
      </c>
      <c r="J12" s="90">
        <f>'Income Statement - FACTORY'!K26</f>
        <v>377469.8813588316</v>
      </c>
      <c r="K12" s="90">
        <f>'Income Statement - FACTORY'!L26</f>
        <v>415216.86949471477</v>
      </c>
      <c r="L12" s="90">
        <f>'Income Statement - FACTORY'!M26</f>
        <v>456738.55644418631</v>
      </c>
      <c r="M12" s="26"/>
      <c r="N12" s="26"/>
      <c r="O12" s="26"/>
      <c r="P12" s="26"/>
      <c r="Q12" s="26"/>
      <c r="R12" s="26"/>
      <c r="S12" s="26"/>
      <c r="T12" s="26"/>
      <c r="U12" s="26"/>
      <c r="V12" s="26"/>
      <c r="W12" s="26"/>
      <c r="X12" s="26"/>
      <c r="Y12" s="26"/>
      <c r="Z12" s="26"/>
    </row>
    <row r="13" spans="1:26" ht="17.25" customHeight="1" x14ac:dyDescent="0.25">
      <c r="A13" s="26"/>
      <c r="B13" s="41" t="s">
        <v>148</v>
      </c>
      <c r="C13" s="95">
        <f t="shared" ref="C13" si="3">C5+C8</f>
        <v>553538.16999999993</v>
      </c>
      <c r="D13" s="96">
        <f>D5+D8</f>
        <v>559925.87999999989</v>
      </c>
      <c r="E13" s="96">
        <f>E5+E8</f>
        <v>692136.21996513754</v>
      </c>
      <c r="F13" s="96">
        <f t="shared" ref="F13:L13" si="4">F5+F8</f>
        <v>919600.39737970568</v>
      </c>
      <c r="G13" s="96">
        <f t="shared" si="4"/>
        <v>3949821.7837013099</v>
      </c>
      <c r="H13" s="96">
        <f t="shared" si="4"/>
        <v>4057898.8578506429</v>
      </c>
      <c r="I13" s="96">
        <f t="shared" si="4"/>
        <v>4482700.0568802822</v>
      </c>
      <c r="J13" s="96">
        <f t="shared" si="4"/>
        <v>4948060.416200038</v>
      </c>
      <c r="K13" s="96">
        <f t="shared" si="4"/>
        <v>5458884.8943067305</v>
      </c>
      <c r="L13" s="96">
        <f t="shared" si="4"/>
        <v>6040430.9378002957</v>
      </c>
      <c r="M13" s="26"/>
      <c r="N13" s="26"/>
      <c r="O13" s="26"/>
      <c r="P13" s="26"/>
      <c r="Q13" s="26"/>
      <c r="R13" s="26"/>
      <c r="S13" s="26"/>
      <c r="T13" s="26"/>
      <c r="U13" s="26"/>
      <c r="V13" s="26"/>
      <c r="W13" s="26"/>
      <c r="X13" s="26"/>
      <c r="Y13" s="26"/>
      <c r="Z13" s="26"/>
    </row>
    <row r="14" spans="1:26" ht="17.25" customHeight="1" x14ac:dyDescent="0.25">
      <c r="A14" s="26"/>
      <c r="B14" s="97"/>
      <c r="C14" s="94"/>
      <c r="D14" s="32"/>
      <c r="E14" s="74"/>
      <c r="F14" s="26"/>
      <c r="G14" s="26"/>
      <c r="H14" s="26"/>
      <c r="I14" s="26"/>
      <c r="J14" s="26"/>
      <c r="K14" s="26"/>
      <c r="L14" s="26"/>
      <c r="M14" s="26"/>
      <c r="N14" s="26"/>
      <c r="O14" s="26"/>
      <c r="P14" s="26"/>
      <c r="Q14" s="26"/>
      <c r="R14" s="26"/>
      <c r="S14" s="26"/>
      <c r="T14" s="26"/>
      <c r="U14" s="26"/>
      <c r="V14" s="26"/>
      <c r="W14" s="26"/>
      <c r="X14" s="26"/>
      <c r="Y14" s="26"/>
      <c r="Z14" s="26"/>
    </row>
    <row r="15" spans="1:26" ht="17.25" customHeight="1" x14ac:dyDescent="0.25">
      <c r="A15" s="26"/>
      <c r="B15" s="46" t="s">
        <v>149</v>
      </c>
      <c r="C15" s="92">
        <v>-351467</v>
      </c>
      <c r="D15" s="93">
        <v>-243493</v>
      </c>
      <c r="E15" s="35">
        <f>-('Balance sheet - FACTORY'!E6-'Balance sheet - FACTORY'!D6+'Balance sheet - FACTORY'!E10-'Balance sheet - FACTORY'!D10)</f>
        <v>-479613.44999999995</v>
      </c>
      <c r="F15" s="35">
        <f>-('Balance sheet - FACTORY'!F6-'Balance sheet - FACTORY'!E6+'Balance sheet - FACTORY'!F10-'Balance sheet - FACTORY'!E10)</f>
        <v>-3724138.4499999993</v>
      </c>
      <c r="G15" s="35">
        <f>-('Balance sheet - FACTORY'!G6-'Balance sheet - FACTORY'!F6+'Balance sheet - FACTORY'!G10-'Balance sheet - FACTORY'!F10)</f>
        <v>384522.54999999888</v>
      </c>
      <c r="H15" s="35">
        <f>-('Balance sheet - FACTORY'!H6-'Balance sheet - FACTORY'!G6+'Balance sheet - FACTORY'!H10-'Balance sheet - FACTORY'!G10)</f>
        <v>384521.55000000075</v>
      </c>
      <c r="I15" s="35">
        <f>-('Balance sheet - FACTORY'!I6-'Balance sheet - FACTORY'!H6+'Balance sheet - FACTORY'!I10-'Balance sheet - FACTORY'!H10)</f>
        <v>384521.54999999981</v>
      </c>
      <c r="J15" s="35">
        <f>-('Balance sheet - FACTORY'!J6-'Balance sheet - FACTORY'!I6+'Balance sheet - FACTORY'!J10-'Balance sheet - FACTORY'!I10)</f>
        <v>281878.34999999963</v>
      </c>
      <c r="K15" s="35">
        <f>-('Balance sheet - FACTORY'!K6-'Balance sheet - FACTORY'!J6+'Balance sheet - FACTORY'!K10-'Balance sheet - FACTORY'!J10)</f>
        <v>281877.35000000009</v>
      </c>
      <c r="L15" s="35">
        <f>-('Balance sheet - FACTORY'!L6-'Balance sheet - FACTORY'!K6+'Balance sheet - FACTORY'!L10-'Balance sheet - FACTORY'!K10)</f>
        <v>281877.35000000009</v>
      </c>
      <c r="M15" s="26"/>
      <c r="N15" s="26"/>
      <c r="O15" s="26"/>
      <c r="P15" s="26"/>
      <c r="Q15" s="26"/>
      <c r="R15" s="26"/>
      <c r="S15" s="26"/>
      <c r="T15" s="26"/>
      <c r="U15" s="26"/>
      <c r="V15" s="26"/>
      <c r="W15" s="26"/>
      <c r="X15" s="26"/>
      <c r="Y15" s="26"/>
      <c r="Z15" s="26"/>
    </row>
    <row r="16" spans="1:26" ht="17.25" customHeight="1" x14ac:dyDescent="0.25">
      <c r="A16" s="26"/>
      <c r="B16" s="46" t="s">
        <v>150</v>
      </c>
      <c r="C16" s="92">
        <v>0</v>
      </c>
      <c r="D16" s="93">
        <v>291013</v>
      </c>
      <c r="E16" s="35">
        <v>0</v>
      </c>
      <c r="F16" s="35">
        <v>0</v>
      </c>
      <c r="G16" s="35">
        <v>0</v>
      </c>
      <c r="H16" s="35">
        <v>0</v>
      </c>
      <c r="I16" s="35">
        <v>0</v>
      </c>
      <c r="J16" s="35">
        <v>0</v>
      </c>
      <c r="K16" s="35">
        <v>0</v>
      </c>
      <c r="L16" s="35">
        <v>0</v>
      </c>
      <c r="M16" s="26"/>
      <c r="N16" s="26"/>
      <c r="O16" s="26"/>
      <c r="P16" s="26"/>
      <c r="Q16" s="26"/>
      <c r="R16" s="26"/>
      <c r="S16" s="26"/>
      <c r="T16" s="26"/>
      <c r="U16" s="26"/>
      <c r="V16" s="26"/>
      <c r="W16" s="26"/>
      <c r="X16" s="26"/>
      <c r="Y16" s="26"/>
      <c r="Z16" s="26"/>
    </row>
    <row r="17" spans="1:26" ht="17.25" customHeight="1" x14ac:dyDescent="0.25">
      <c r="A17" s="26"/>
      <c r="B17" s="46" t="s">
        <v>151</v>
      </c>
      <c r="C17" s="92">
        <v>-131719</v>
      </c>
      <c r="D17" s="93">
        <v>-14027</v>
      </c>
      <c r="E17" s="35">
        <f>-('Balance sheet - FACTORY'!E17-'Balance sheet - FACTORY'!D17)</f>
        <v>-15482.949161565077</v>
      </c>
      <c r="F17" s="35">
        <f>-('Balance sheet - FACTORY'!F17-'Balance sheet - FACTORY'!E17)</f>
        <v>-17088.80202021735</v>
      </c>
      <c r="G17" s="35">
        <f>-('Balance sheet - FACTORY'!G17-'Balance sheet - FACTORY'!F17)</f>
        <v>-18861.209930929268</v>
      </c>
      <c r="H17" s="35">
        <f>-('Balance sheet - FACTORY'!H17-'Balance sheet - FACTORY'!G17)</f>
        <v>-20817.447568162548</v>
      </c>
      <c r="I17" s="35">
        <f>-('Balance sheet - FACTORY'!I17-'Balance sheet - FACTORY'!H17)</f>
        <v>-22976.581292515475</v>
      </c>
      <c r="J17" s="35">
        <f>-('Balance sheet - FACTORY'!J17-'Balance sheet - FACTORY'!I17)</f>
        <v>-25359.65497993899</v>
      </c>
      <c r="K17" s="35">
        <f>-('Balance sheet - FACTORY'!K17-'Balance sheet - FACTORY'!J17)</f>
        <v>-27989.89512469538</v>
      </c>
      <c r="L17" s="35">
        <f>-('Balance sheet - FACTORY'!L17-'Balance sheet - FACTORY'!K17)</f>
        <v>-30892.937215083861</v>
      </c>
      <c r="M17" s="26"/>
      <c r="N17" s="26"/>
      <c r="O17" s="26"/>
      <c r="P17" s="26"/>
      <c r="Q17" s="26"/>
      <c r="R17" s="26"/>
      <c r="S17" s="26"/>
      <c r="T17" s="26"/>
      <c r="U17" s="26"/>
      <c r="V17" s="26"/>
      <c r="W17" s="26"/>
      <c r="X17" s="26"/>
      <c r="Y17" s="26"/>
      <c r="Z17" s="26"/>
    </row>
    <row r="18" spans="1:26" ht="17.25" customHeight="1" x14ac:dyDescent="0.25">
      <c r="A18" s="26"/>
      <c r="B18" s="41" t="s">
        <v>152</v>
      </c>
      <c r="C18" s="95">
        <f t="shared" ref="C18" si="5">SUM(C15:C17)</f>
        <v>-483186</v>
      </c>
      <c r="D18" s="96">
        <f>SUM(D15:D17)</f>
        <v>33493</v>
      </c>
      <c r="E18" s="96">
        <f t="shared" ref="E18:L18" si="6">SUM(E15:E17)</f>
        <v>-495096.399161565</v>
      </c>
      <c r="F18" s="96">
        <f t="shared" si="6"/>
        <v>-3741227.2520202165</v>
      </c>
      <c r="G18" s="96">
        <f t="shared" si="6"/>
        <v>365661.34006906964</v>
      </c>
      <c r="H18" s="96">
        <f t="shared" si="6"/>
        <v>363704.10243183817</v>
      </c>
      <c r="I18" s="96">
        <f t="shared" si="6"/>
        <v>361544.96870748431</v>
      </c>
      <c r="J18" s="96">
        <f t="shared" si="6"/>
        <v>256518.69502006064</v>
      </c>
      <c r="K18" s="96">
        <f t="shared" si="6"/>
        <v>253887.45487530471</v>
      </c>
      <c r="L18" s="96">
        <f t="shared" si="6"/>
        <v>250984.41278491623</v>
      </c>
      <c r="M18" s="26"/>
      <c r="N18" s="26"/>
      <c r="O18" s="26"/>
      <c r="P18" s="26"/>
      <c r="Q18" s="26"/>
      <c r="R18" s="26"/>
      <c r="S18" s="26"/>
      <c r="T18" s="26"/>
      <c r="U18" s="26"/>
      <c r="V18" s="26"/>
      <c r="W18" s="26"/>
      <c r="X18" s="26"/>
      <c r="Y18" s="26"/>
      <c r="Z18" s="26"/>
    </row>
    <row r="19" spans="1:26" ht="17.25" customHeight="1" x14ac:dyDescent="0.25">
      <c r="A19" s="26"/>
      <c r="B19" s="97"/>
      <c r="C19" s="94"/>
      <c r="D19" s="32"/>
      <c r="E19" s="26"/>
      <c r="F19" s="26"/>
      <c r="G19" s="26"/>
      <c r="H19" s="26"/>
      <c r="I19" s="26"/>
      <c r="J19" s="26"/>
      <c r="K19" s="26"/>
      <c r="L19" s="26"/>
      <c r="M19" s="26"/>
      <c r="N19" s="26"/>
      <c r="O19" s="26"/>
      <c r="P19" s="26"/>
      <c r="Q19" s="26"/>
      <c r="R19" s="26"/>
      <c r="S19" s="26"/>
      <c r="T19" s="26"/>
      <c r="U19" s="26"/>
      <c r="V19" s="26"/>
      <c r="W19" s="26"/>
      <c r="X19" s="26"/>
      <c r="Y19" s="26"/>
      <c r="Z19" s="26"/>
    </row>
    <row r="20" spans="1:26" ht="17.25" customHeight="1" x14ac:dyDescent="0.25">
      <c r="A20" s="26"/>
      <c r="B20" s="46" t="s">
        <v>153</v>
      </c>
      <c r="C20" s="92"/>
      <c r="D20" s="93"/>
      <c r="E20" s="26"/>
      <c r="F20" s="26"/>
      <c r="G20" s="26"/>
      <c r="H20" s="26"/>
      <c r="I20" s="26"/>
      <c r="J20" s="26"/>
      <c r="K20" s="26"/>
      <c r="L20" s="26"/>
      <c r="M20" s="26"/>
      <c r="N20" s="26"/>
      <c r="O20" s="26"/>
      <c r="P20" s="26"/>
      <c r="Q20" s="26"/>
      <c r="R20" s="26"/>
      <c r="S20" s="26"/>
      <c r="T20" s="26"/>
      <c r="U20" s="26"/>
      <c r="V20" s="26"/>
      <c r="W20" s="26"/>
      <c r="X20" s="26"/>
      <c r="Y20" s="26"/>
      <c r="Z20" s="26"/>
    </row>
    <row r="21" spans="1:26" ht="17.25" customHeight="1" x14ac:dyDescent="0.25">
      <c r="A21" s="26"/>
      <c r="B21" s="46" t="s">
        <v>154</v>
      </c>
      <c r="C21" s="92"/>
      <c r="D21" s="93"/>
      <c r="E21" s="26"/>
      <c r="F21" s="26"/>
      <c r="G21" s="26"/>
      <c r="H21" s="26"/>
      <c r="I21" s="26"/>
      <c r="J21" s="26"/>
      <c r="K21" s="26"/>
      <c r="L21" s="26"/>
      <c r="M21" s="26"/>
      <c r="N21" s="26"/>
      <c r="O21" s="26"/>
      <c r="P21" s="26"/>
      <c r="Q21" s="26"/>
      <c r="R21" s="26"/>
      <c r="S21" s="26"/>
      <c r="T21" s="26"/>
      <c r="U21" s="26"/>
      <c r="V21" s="26"/>
      <c r="W21" s="26"/>
      <c r="X21" s="26"/>
      <c r="Y21" s="26"/>
      <c r="Z21" s="26"/>
    </row>
    <row r="22" spans="1:26" ht="17.25" customHeight="1" x14ac:dyDescent="0.25">
      <c r="A22" s="26"/>
      <c r="B22" s="46" t="s">
        <v>155</v>
      </c>
      <c r="C22" s="92">
        <v>53869</v>
      </c>
      <c r="D22" s="93">
        <v>0</v>
      </c>
      <c r="E22" s="35">
        <f>'Balance sheet - FACTORY'!E51-'Balance sheet - FACTORY'!D51+'Balance sheet - FACTORY'!E52-'Balance sheet - FACTORY'!D52+'Balance sheet - FACTORY'!E55-'Balance sheet - FACTORY'!D55</f>
        <v>1013357.7039752193</v>
      </c>
      <c r="F22" s="35">
        <f>'Balance sheet - FACTORY'!F51-'Balance sheet - FACTORY'!E51+'Balance sheet - FACTORY'!F52-'Balance sheet - FACTORY'!E52+'Balance sheet - FACTORY'!F55-'Balance sheet - FACTORY'!E55</f>
        <v>2378767.4640865903</v>
      </c>
      <c r="G22" s="35">
        <f>'Balance sheet - FACTORY'!G51-'Balance sheet - FACTORY'!F51+'Balance sheet - FACTORY'!G52-'Balance sheet - FACTORY'!F52+'Balance sheet - FACTORY'!G55-'Balance sheet - FACTORY'!F55</f>
        <v>153206.06295572163</v>
      </c>
      <c r="M22" s="26"/>
      <c r="N22" s="26"/>
      <c r="O22" s="26"/>
      <c r="P22" s="26"/>
      <c r="Q22" s="26"/>
      <c r="R22" s="26"/>
      <c r="S22" s="26"/>
      <c r="T22" s="26"/>
      <c r="U22" s="26"/>
      <c r="V22" s="26"/>
      <c r="W22" s="26"/>
      <c r="X22" s="26"/>
      <c r="Y22" s="26"/>
      <c r="Z22" s="26"/>
    </row>
    <row r="23" spans="1:26" ht="17.25" customHeight="1" x14ac:dyDescent="0.25">
      <c r="A23" s="26"/>
      <c r="B23" s="46" t="s">
        <v>156</v>
      </c>
      <c r="C23" s="92">
        <v>-56671</v>
      </c>
      <c r="D23" s="93">
        <v>-576913</v>
      </c>
      <c r="E23" s="26"/>
      <c r="F23" s="26"/>
      <c r="H23" s="35">
        <f>'Balance sheet - FACTORY'!H51-'Balance sheet - FACTORY'!G51+'Balance sheet - FACTORY'!H52-'Balance sheet - FACTORY'!G52+'Balance sheet - FACTORY'!H55-'Balance sheet - FACTORY'!G55</f>
        <v>-546543.46797702613</v>
      </c>
      <c r="I23" s="35">
        <f>'Balance sheet - FACTORY'!I51-'Balance sheet - FACTORY'!H51+'Balance sheet - FACTORY'!I52-'Balance sheet - FACTORY'!H52+'Balance sheet - FACTORY'!I55-'Balance sheet - FACTORY'!H55</f>
        <v>-196267.16212651285</v>
      </c>
      <c r="J23" s="35">
        <f>'Balance sheet - FACTORY'!J51-'Balance sheet - FACTORY'!I51+'Balance sheet - FACTORY'!J52-'Balance sheet - FACTORY'!I52+'Balance sheet - FACTORY'!J55-'Balance sheet - FACTORY'!I55</f>
        <v>-1032826.8765387718</v>
      </c>
      <c r="K23" s="35">
        <f>'Balance sheet - FACTORY'!K51-'Balance sheet - FACTORY'!J51+'Balance sheet - FACTORY'!K52-'Balance sheet - FACTORY'!J52+'Balance sheet - FACTORY'!K55-'Balance sheet - FACTORY'!J55</f>
        <v>-1432490.1548999492</v>
      </c>
      <c r="L23" s="35">
        <f>'Balance sheet - FACTORY'!L51-'Balance sheet - FACTORY'!K51+'Balance sheet - FACTORY'!L52-'Balance sheet - FACTORY'!K52+'Balance sheet - FACTORY'!L55-'Balance sheet - FACTORY'!K55</f>
        <v>-32118.650576334127</v>
      </c>
      <c r="M23" s="26"/>
      <c r="N23" s="26"/>
      <c r="O23" s="26"/>
      <c r="P23" s="26"/>
      <c r="Q23" s="26"/>
      <c r="R23" s="26"/>
      <c r="S23" s="26"/>
      <c r="T23" s="26"/>
      <c r="U23" s="26"/>
      <c r="V23" s="26"/>
      <c r="W23" s="26"/>
      <c r="X23" s="26"/>
      <c r="Y23" s="26"/>
      <c r="Z23" s="26"/>
    </row>
    <row r="24" spans="1:26" ht="17.25" customHeight="1" x14ac:dyDescent="0.25">
      <c r="A24" s="26"/>
      <c r="B24" s="46" t="s">
        <v>157</v>
      </c>
      <c r="C24" s="92">
        <v>-11716</v>
      </c>
      <c r="D24" s="93">
        <v>-13756</v>
      </c>
      <c r="E24" s="74">
        <f>-'Income Statement - FACTORY'!F31</f>
        <v>-38500</v>
      </c>
      <c r="F24" s="74">
        <f>-'Income Statement - FACTORY'!G31</f>
        <v>-100500</v>
      </c>
      <c r="G24" s="74">
        <f>-'Income Statement - FACTORY'!H31</f>
        <v>-85500</v>
      </c>
      <c r="H24" s="74">
        <f>-'Income Statement - FACTORY'!I31</f>
        <v>-70500</v>
      </c>
      <c r="I24" s="74">
        <f>-'Income Statement - FACTORY'!J31</f>
        <v>-60000</v>
      </c>
      <c r="J24" s="74">
        <f>-'Income Statement - FACTORY'!K31</f>
        <v>-35000</v>
      </c>
      <c r="K24" s="74">
        <f>-'Income Statement - FACTORY'!L31</f>
        <v>0</v>
      </c>
      <c r="L24" s="74">
        <f>-'Income Statement - FACTORY'!M31</f>
        <v>0</v>
      </c>
      <c r="M24" s="26"/>
      <c r="N24" s="26"/>
      <c r="O24" s="26"/>
      <c r="P24" s="26"/>
      <c r="Q24" s="26"/>
      <c r="R24" s="26"/>
      <c r="S24" s="26"/>
      <c r="T24" s="26"/>
      <c r="U24" s="26"/>
      <c r="V24" s="26"/>
      <c r="W24" s="26"/>
      <c r="X24" s="26"/>
      <c r="Y24" s="26"/>
      <c r="Z24" s="26"/>
    </row>
    <row r="25" spans="1:26" ht="17.25" customHeight="1" x14ac:dyDescent="0.25">
      <c r="A25" s="26"/>
      <c r="B25" s="46" t="s">
        <v>158</v>
      </c>
      <c r="C25" s="92">
        <v>2253</v>
      </c>
      <c r="D25" s="93">
        <v>-7818</v>
      </c>
      <c r="E25" s="88">
        <f>'Income Statement - FACTORY'!F30</f>
        <v>4416.9365930151698</v>
      </c>
      <c r="F25" s="88">
        <f>'Income Statement - FACTORY'!G30</f>
        <v>5774.8501589611442</v>
      </c>
      <c r="G25" s="88">
        <f>'Income Statement - FACTORY'!H30</f>
        <v>8662.2752384417163</v>
      </c>
      <c r="H25" s="88">
        <f>'Income Statement - FACTORY'!I30</f>
        <v>9528.5027622858888</v>
      </c>
      <c r="I25" s="88">
        <f>'Income Statement - FACTORY'!J30</f>
        <v>10481.353038514479</v>
      </c>
      <c r="J25" s="88">
        <f>'Income Statement - FACTORY'!K30</f>
        <v>11529.488342365928</v>
      </c>
      <c r="K25" s="88">
        <f>'Income Statement - FACTORY'!L30</f>
        <v>12682.437176602522</v>
      </c>
      <c r="L25" s="88">
        <f>'Income Statement - FACTORY'!M30</f>
        <v>13950.680894262774</v>
      </c>
      <c r="M25" s="26"/>
      <c r="N25" s="26"/>
      <c r="O25" s="26"/>
      <c r="P25" s="26"/>
      <c r="Q25" s="26"/>
      <c r="R25" s="26"/>
      <c r="S25" s="26"/>
      <c r="T25" s="26"/>
      <c r="U25" s="26"/>
      <c r="V25" s="26"/>
      <c r="W25" s="26"/>
      <c r="X25" s="26"/>
      <c r="Y25" s="26"/>
      <c r="Z25" s="26"/>
    </row>
    <row r="26" spans="1:26" ht="17.25" customHeight="1" x14ac:dyDescent="0.25">
      <c r="A26" s="26"/>
      <c r="B26" s="41" t="s">
        <v>159</v>
      </c>
      <c r="C26" s="95">
        <f t="shared" ref="C26:D26" si="7">SUM(C20:C25)</f>
        <v>-12265</v>
      </c>
      <c r="D26" s="96">
        <f t="shared" si="7"/>
        <v>-598487</v>
      </c>
      <c r="E26" s="33">
        <f>SUM(E22:E25)</f>
        <v>979274.64056823449</v>
      </c>
      <c r="F26" s="33">
        <f t="shared" ref="F26:L26" si="8">SUM(F22:F25)</f>
        <v>2284042.3142455514</v>
      </c>
      <c r="G26" s="33">
        <f t="shared" si="8"/>
        <v>76368.338194163342</v>
      </c>
      <c r="H26" s="33">
        <f t="shared" si="8"/>
        <v>-607514.96521474025</v>
      </c>
      <c r="I26" s="33">
        <f t="shared" si="8"/>
        <v>-245785.80908799838</v>
      </c>
      <c r="J26" s="33">
        <f t="shared" si="8"/>
        <v>-1056297.3881964057</v>
      </c>
      <c r="K26" s="33">
        <f t="shared" si="8"/>
        <v>-1419807.7177233468</v>
      </c>
      <c r="L26" s="33">
        <f t="shared" si="8"/>
        <v>-18167.969682071351</v>
      </c>
      <c r="M26" s="26"/>
      <c r="N26" s="26"/>
      <c r="O26" s="26"/>
      <c r="P26" s="26"/>
      <c r="Q26" s="26"/>
      <c r="R26" s="26"/>
      <c r="S26" s="26"/>
      <c r="T26" s="26"/>
      <c r="U26" s="26"/>
      <c r="V26" s="26"/>
      <c r="W26" s="26"/>
      <c r="X26" s="26"/>
      <c r="Y26" s="26"/>
      <c r="Z26" s="26"/>
    </row>
    <row r="27" spans="1:26" ht="17.25" customHeight="1" x14ac:dyDescent="0.25">
      <c r="A27" s="26"/>
      <c r="B27" s="97"/>
      <c r="C27" s="94"/>
      <c r="D27" s="32"/>
      <c r="E27" s="26"/>
      <c r="F27" s="26"/>
      <c r="G27" s="26"/>
      <c r="H27" s="26"/>
      <c r="I27" s="26"/>
      <c r="J27" s="26"/>
      <c r="K27" s="26"/>
      <c r="L27" s="26"/>
      <c r="M27" s="26"/>
      <c r="N27" s="26"/>
      <c r="O27" s="26"/>
      <c r="P27" s="26"/>
      <c r="Q27" s="26"/>
      <c r="R27" s="26"/>
      <c r="S27" s="26"/>
      <c r="T27" s="26"/>
      <c r="U27" s="26"/>
      <c r="V27" s="26"/>
      <c r="W27" s="26"/>
      <c r="X27" s="26"/>
      <c r="Y27" s="26"/>
      <c r="Z27" s="26"/>
    </row>
    <row r="28" spans="1:26" ht="17.25" customHeight="1" x14ac:dyDescent="0.25">
      <c r="A28" s="26"/>
      <c r="B28" s="41" t="s">
        <v>160</v>
      </c>
      <c r="C28" s="95">
        <f t="shared" ref="C28" si="9">SUM(C26,C18,C13)</f>
        <v>58087.169999999925</v>
      </c>
      <c r="D28" s="96">
        <f>SUM(D26,D18,D13)</f>
        <v>-5068.1200000001118</v>
      </c>
      <c r="E28" s="33">
        <f>E13+E18+E26-2</f>
        <v>1176312.4613718069</v>
      </c>
      <c r="F28" s="33">
        <f t="shared" ref="F28:L28" si="10">F13+F18+F26</f>
        <v>-537584.54039495951</v>
      </c>
      <c r="G28" s="33">
        <f t="shared" si="10"/>
        <v>4391851.461964543</v>
      </c>
      <c r="H28" s="33">
        <f t="shared" si="10"/>
        <v>3814087.9950677408</v>
      </c>
      <c r="I28" s="33">
        <f t="shared" si="10"/>
        <v>4598459.2164997682</v>
      </c>
      <c r="J28" s="33">
        <f t="shared" si="10"/>
        <v>4148281.7230236931</v>
      </c>
      <c r="K28" s="33">
        <f t="shared" si="10"/>
        <v>4292964.6314586885</v>
      </c>
      <c r="L28" s="33">
        <f t="shared" si="10"/>
        <v>6273247.3809031406</v>
      </c>
      <c r="M28" s="26"/>
      <c r="N28" s="26"/>
      <c r="O28" s="26"/>
      <c r="P28" s="26"/>
      <c r="Q28" s="26"/>
      <c r="R28" s="26"/>
      <c r="S28" s="26"/>
      <c r="T28" s="26"/>
      <c r="U28" s="26"/>
      <c r="V28" s="26"/>
      <c r="W28" s="26"/>
      <c r="X28" s="26"/>
      <c r="Y28" s="26"/>
      <c r="Z28" s="26"/>
    </row>
    <row r="29" spans="1:26" ht="17.25" customHeight="1" x14ac:dyDescent="0.25">
      <c r="A29" s="26"/>
      <c r="B29" s="40" t="s">
        <v>161</v>
      </c>
      <c r="C29" s="94">
        <v>127541</v>
      </c>
      <c r="D29" s="32">
        <f>C30</f>
        <v>185628.16999999993</v>
      </c>
      <c r="E29" s="35">
        <f>D30</f>
        <v>180560.04999999981</v>
      </c>
      <c r="F29" s="35">
        <f>E30</f>
        <v>1356872.5113718067</v>
      </c>
      <c r="G29" s="35">
        <f t="shared" ref="G29:L29" si="11">F30</f>
        <v>819287.97097684722</v>
      </c>
      <c r="H29" s="35">
        <f t="shared" si="11"/>
        <v>5211139.4329413902</v>
      </c>
      <c r="I29" s="35">
        <f t="shared" si="11"/>
        <v>9025227.4280091301</v>
      </c>
      <c r="J29" s="35">
        <f t="shared" si="11"/>
        <v>13623686.644508898</v>
      </c>
      <c r="K29" s="35">
        <f t="shared" si="11"/>
        <v>17771968.367532592</v>
      </c>
      <c r="L29" s="35">
        <f t="shared" si="11"/>
        <v>22064932.998991281</v>
      </c>
      <c r="M29" s="26"/>
      <c r="N29" s="26"/>
      <c r="O29" s="26"/>
      <c r="P29" s="26"/>
      <c r="Q29" s="26"/>
      <c r="R29" s="26"/>
      <c r="S29" s="26"/>
      <c r="T29" s="26"/>
      <c r="U29" s="26"/>
      <c r="V29" s="26"/>
      <c r="W29" s="26"/>
      <c r="X29" s="26"/>
      <c r="Y29" s="26"/>
      <c r="Z29" s="26"/>
    </row>
    <row r="30" spans="1:26" ht="17.25" customHeight="1" x14ac:dyDescent="0.25">
      <c r="A30" s="26"/>
      <c r="B30" s="40" t="s">
        <v>162</v>
      </c>
      <c r="C30" s="95">
        <f t="shared" ref="C30" si="12">C29+C28</f>
        <v>185628.16999999993</v>
      </c>
      <c r="D30" s="96">
        <f>D29+D28</f>
        <v>180560.04999999981</v>
      </c>
      <c r="E30" s="33">
        <f>E28+E29</f>
        <v>1356872.5113718067</v>
      </c>
      <c r="F30" s="33">
        <f t="shared" ref="F30:L30" si="13">F28+F29</f>
        <v>819287.97097684722</v>
      </c>
      <c r="G30" s="33">
        <f t="shared" si="13"/>
        <v>5211139.4329413902</v>
      </c>
      <c r="H30" s="33">
        <f t="shared" si="13"/>
        <v>9025227.4280091301</v>
      </c>
      <c r="I30" s="33">
        <f t="shared" si="13"/>
        <v>13623686.644508898</v>
      </c>
      <c r="J30" s="33">
        <f t="shared" si="13"/>
        <v>17771968.367532592</v>
      </c>
      <c r="K30" s="33">
        <f t="shared" si="13"/>
        <v>22064932.998991281</v>
      </c>
      <c r="L30" s="33">
        <f t="shared" si="13"/>
        <v>28338180.379894421</v>
      </c>
      <c r="M30" s="26"/>
      <c r="N30" s="26"/>
      <c r="O30" s="26"/>
      <c r="P30" s="26"/>
      <c r="Q30" s="26"/>
      <c r="R30" s="26"/>
      <c r="S30" s="26"/>
      <c r="T30" s="26"/>
      <c r="U30" s="26"/>
      <c r="V30" s="26"/>
      <c r="W30" s="26"/>
      <c r="X30" s="26"/>
      <c r="Y30" s="26"/>
      <c r="Z30" s="26"/>
    </row>
    <row r="31" spans="1:26" ht="17.25" customHeight="1" x14ac:dyDescent="0.25">
      <c r="A31" s="26"/>
      <c r="B31" s="26"/>
      <c r="C31" s="98"/>
      <c r="D31" s="26"/>
      <c r="E31" s="105"/>
      <c r="F31" s="105"/>
      <c r="G31" s="105"/>
      <c r="H31" s="105"/>
      <c r="I31" s="105"/>
      <c r="J31" s="105"/>
      <c r="K31" s="105"/>
      <c r="L31" s="105"/>
      <c r="M31" s="26"/>
      <c r="N31" s="26"/>
      <c r="O31" s="26"/>
      <c r="P31" s="26"/>
      <c r="Q31" s="26"/>
      <c r="R31" s="26"/>
      <c r="S31" s="26"/>
      <c r="T31" s="26"/>
      <c r="U31" s="26"/>
      <c r="V31" s="26"/>
      <c r="W31" s="26"/>
      <c r="X31" s="26"/>
      <c r="Y31" s="26"/>
      <c r="Z31" s="26"/>
    </row>
    <row r="32" spans="1:26" ht="17.25" customHeight="1" x14ac:dyDescent="0.25">
      <c r="A32" s="26"/>
      <c r="B32" s="26"/>
      <c r="C32" s="99"/>
      <c r="D32" s="35"/>
      <c r="E32" s="26"/>
      <c r="F32" s="26"/>
      <c r="G32" s="26"/>
      <c r="H32" s="26"/>
      <c r="I32" s="26"/>
      <c r="J32" s="26"/>
      <c r="K32" s="26"/>
      <c r="L32" s="26"/>
      <c r="M32" s="26"/>
      <c r="N32" s="26"/>
      <c r="O32" s="26"/>
      <c r="P32" s="26"/>
      <c r="Q32" s="26"/>
      <c r="R32" s="26"/>
      <c r="S32" s="26"/>
      <c r="T32" s="26"/>
      <c r="U32" s="26"/>
      <c r="V32" s="26"/>
      <c r="W32" s="26"/>
      <c r="X32" s="26"/>
      <c r="Y32" s="26"/>
      <c r="Z32" s="26"/>
    </row>
    <row r="33" spans="1:26" ht="17.25" customHeight="1" x14ac:dyDescent="0.25">
      <c r="A33" s="26"/>
      <c r="B33" s="26"/>
      <c r="C33" s="99"/>
      <c r="D33" s="35"/>
      <c r="E33" s="35"/>
      <c r="F33" s="35"/>
      <c r="G33" s="35"/>
      <c r="H33" s="35"/>
      <c r="I33" s="35"/>
      <c r="J33" s="35"/>
      <c r="K33" s="35"/>
      <c r="L33" s="35"/>
      <c r="M33" s="26"/>
      <c r="N33" s="26"/>
      <c r="O33" s="26"/>
      <c r="P33" s="26"/>
      <c r="Q33" s="26"/>
      <c r="R33" s="26"/>
      <c r="S33" s="26"/>
      <c r="T33" s="26"/>
      <c r="U33" s="26"/>
      <c r="V33" s="26"/>
      <c r="W33" s="26"/>
      <c r="X33" s="26"/>
      <c r="Y33" s="26"/>
      <c r="Z33" s="26"/>
    </row>
    <row r="34" spans="1:26" ht="12.75" customHeight="1" x14ac:dyDescent="0.25">
      <c r="A34" s="26"/>
      <c r="B34" s="26"/>
      <c r="C34" s="98"/>
      <c r="D34" s="26"/>
      <c r="E34" s="26"/>
      <c r="F34" s="26"/>
      <c r="G34" s="26"/>
      <c r="H34" s="26"/>
      <c r="I34" s="26"/>
      <c r="J34" s="26"/>
      <c r="K34" s="26"/>
      <c r="L34" s="26"/>
      <c r="M34" s="26"/>
      <c r="N34" s="26"/>
      <c r="O34" s="26"/>
      <c r="P34" s="26"/>
      <c r="Q34" s="26"/>
      <c r="R34" s="26"/>
      <c r="S34" s="26"/>
      <c r="T34" s="26"/>
      <c r="U34" s="26"/>
      <c r="V34" s="26"/>
      <c r="W34" s="26"/>
      <c r="X34" s="26"/>
      <c r="Y34" s="26"/>
      <c r="Z34" s="26"/>
    </row>
    <row r="35" spans="1:26" ht="12.75" customHeight="1" x14ac:dyDescent="0.25">
      <c r="A35" s="26"/>
      <c r="B35" s="26"/>
      <c r="C35" s="98"/>
      <c r="D35" s="26"/>
      <c r="E35" s="35"/>
      <c r="F35" s="26"/>
      <c r="G35" s="26"/>
      <c r="H35" s="26"/>
      <c r="I35" s="26"/>
      <c r="J35" s="26"/>
      <c r="K35" s="26"/>
      <c r="L35" s="26"/>
      <c r="M35" s="26"/>
      <c r="N35" s="26"/>
      <c r="O35" s="26"/>
      <c r="P35" s="26"/>
      <c r="Q35" s="26"/>
      <c r="R35" s="26"/>
      <c r="S35" s="26"/>
      <c r="T35" s="26"/>
      <c r="U35" s="26"/>
      <c r="V35" s="26"/>
      <c r="W35" s="26"/>
      <c r="X35" s="26"/>
      <c r="Y35" s="26"/>
      <c r="Z35" s="26"/>
    </row>
    <row r="36" spans="1:26" ht="12.75" customHeight="1" x14ac:dyDescent="0.25">
      <c r="A36" s="26"/>
      <c r="B36" s="26"/>
      <c r="C36" s="98"/>
      <c r="D36" s="26"/>
      <c r="E36" s="26"/>
      <c r="F36" s="26"/>
      <c r="G36" s="26"/>
      <c r="H36" s="26"/>
      <c r="I36" s="26"/>
      <c r="J36" s="26"/>
      <c r="K36" s="26"/>
      <c r="L36" s="26"/>
      <c r="M36" s="26"/>
      <c r="N36" s="26"/>
      <c r="O36" s="26"/>
      <c r="P36" s="26"/>
      <c r="Q36" s="26"/>
      <c r="R36" s="26"/>
      <c r="S36" s="26"/>
      <c r="T36" s="26"/>
      <c r="U36" s="26"/>
      <c r="V36" s="26"/>
      <c r="W36" s="26"/>
      <c r="X36" s="26"/>
      <c r="Y36" s="26"/>
      <c r="Z36" s="26"/>
    </row>
    <row r="37" spans="1:26" ht="12.75" customHeight="1" x14ac:dyDescent="0.25">
      <c r="A37" s="26"/>
      <c r="B37" s="26"/>
      <c r="C37" s="98"/>
      <c r="D37" s="26"/>
      <c r="E37" s="26"/>
      <c r="F37" s="26"/>
      <c r="G37" s="26"/>
      <c r="H37" s="26"/>
      <c r="I37" s="26"/>
      <c r="J37" s="26"/>
      <c r="K37" s="26"/>
      <c r="L37" s="26"/>
      <c r="M37" s="26"/>
      <c r="N37" s="26"/>
      <c r="O37" s="26"/>
      <c r="P37" s="26"/>
      <c r="Q37" s="26"/>
      <c r="R37" s="26"/>
      <c r="S37" s="26"/>
      <c r="T37" s="26"/>
      <c r="U37" s="26"/>
      <c r="V37" s="26"/>
      <c r="W37" s="26"/>
      <c r="X37" s="26"/>
      <c r="Y37" s="26"/>
      <c r="Z37" s="26"/>
    </row>
    <row r="38" spans="1:26" ht="12.75" customHeight="1" x14ac:dyDescent="0.25">
      <c r="A38" s="26"/>
      <c r="B38" s="26"/>
      <c r="C38" s="98"/>
      <c r="D38" s="26"/>
      <c r="E38" s="26"/>
      <c r="F38" s="26"/>
      <c r="G38" s="26"/>
      <c r="H38" s="26"/>
      <c r="I38" s="26"/>
      <c r="J38" s="26"/>
      <c r="K38" s="26"/>
      <c r="L38" s="26"/>
      <c r="M38" s="26"/>
      <c r="N38" s="26"/>
      <c r="O38" s="26"/>
      <c r="P38" s="26"/>
      <c r="Q38" s="26"/>
      <c r="R38" s="26"/>
      <c r="S38" s="26"/>
      <c r="T38" s="26"/>
      <c r="U38" s="26"/>
      <c r="V38" s="26"/>
      <c r="W38" s="26"/>
      <c r="X38" s="26"/>
      <c r="Y38" s="26"/>
      <c r="Z38" s="26"/>
    </row>
    <row r="39" spans="1:26" ht="12.75" customHeight="1" x14ac:dyDescent="0.25">
      <c r="A39" s="26"/>
      <c r="B39" s="26"/>
      <c r="C39" s="98"/>
      <c r="D39" s="26"/>
      <c r="E39" s="26"/>
      <c r="F39" s="26"/>
      <c r="G39" s="26"/>
      <c r="H39" s="26"/>
      <c r="I39" s="26"/>
      <c r="J39" s="26"/>
      <c r="K39" s="26"/>
      <c r="L39" s="26"/>
      <c r="M39" s="26"/>
      <c r="N39" s="26"/>
      <c r="O39" s="26"/>
      <c r="P39" s="26"/>
      <c r="Q39" s="26"/>
      <c r="R39" s="26"/>
      <c r="S39" s="26"/>
      <c r="T39" s="26"/>
      <c r="U39" s="26"/>
      <c r="V39" s="26"/>
      <c r="W39" s="26"/>
      <c r="X39" s="26"/>
      <c r="Y39" s="26"/>
      <c r="Z39" s="26"/>
    </row>
    <row r="40" spans="1:26" ht="12.75" customHeight="1" x14ac:dyDescent="0.25">
      <c r="A40" s="26"/>
      <c r="B40" s="26"/>
      <c r="C40" s="98"/>
      <c r="D40" s="26"/>
      <c r="E40" s="26"/>
      <c r="F40" s="26"/>
      <c r="G40" s="26"/>
      <c r="H40" s="26"/>
      <c r="I40" s="26"/>
      <c r="J40" s="26"/>
      <c r="K40" s="26"/>
      <c r="L40" s="26"/>
      <c r="M40" s="26"/>
      <c r="N40" s="26"/>
      <c r="O40" s="26"/>
      <c r="P40" s="26"/>
      <c r="Q40" s="26"/>
      <c r="R40" s="26"/>
      <c r="S40" s="26"/>
      <c r="T40" s="26"/>
      <c r="U40" s="26"/>
      <c r="V40" s="26"/>
      <c r="W40" s="26"/>
      <c r="X40" s="26"/>
      <c r="Y40" s="26"/>
      <c r="Z40" s="26"/>
    </row>
    <row r="41" spans="1:26" ht="12.75" customHeight="1" x14ac:dyDescent="0.25">
      <c r="A41" s="26"/>
      <c r="B41" s="26"/>
      <c r="C41" s="98"/>
      <c r="D41" s="26"/>
      <c r="E41" s="26"/>
      <c r="F41" s="26"/>
      <c r="G41" s="26"/>
      <c r="H41" s="26"/>
      <c r="I41" s="26"/>
      <c r="J41" s="26"/>
      <c r="K41" s="26"/>
      <c r="L41" s="26"/>
      <c r="M41" s="26"/>
      <c r="N41" s="26"/>
      <c r="O41" s="26"/>
      <c r="P41" s="26"/>
      <c r="Q41" s="26"/>
      <c r="R41" s="26"/>
      <c r="S41" s="26"/>
      <c r="T41" s="26"/>
      <c r="U41" s="26"/>
      <c r="V41" s="26"/>
      <c r="W41" s="26"/>
      <c r="X41" s="26"/>
      <c r="Y41" s="26"/>
      <c r="Z41" s="26"/>
    </row>
    <row r="42" spans="1:26" ht="12.75" customHeight="1" x14ac:dyDescent="0.25">
      <c r="A42" s="26"/>
      <c r="B42" s="26"/>
      <c r="C42" s="98"/>
      <c r="D42" s="26"/>
      <c r="E42" s="26"/>
      <c r="F42" s="26"/>
      <c r="G42" s="26"/>
      <c r="H42" s="26"/>
      <c r="I42" s="26"/>
      <c r="J42" s="26"/>
      <c r="K42" s="26"/>
      <c r="L42" s="26"/>
      <c r="M42" s="26"/>
      <c r="N42" s="26"/>
      <c r="O42" s="26"/>
      <c r="P42" s="26"/>
      <c r="Q42" s="26"/>
      <c r="R42" s="26"/>
      <c r="S42" s="26"/>
      <c r="T42" s="26"/>
      <c r="U42" s="26"/>
      <c r="V42" s="26"/>
      <c r="W42" s="26"/>
      <c r="X42" s="26"/>
      <c r="Y42" s="26"/>
      <c r="Z42" s="26"/>
    </row>
    <row r="43" spans="1:26" ht="12.75" customHeight="1" x14ac:dyDescent="0.25">
      <c r="A43" s="26"/>
      <c r="B43" s="26"/>
      <c r="C43" s="98"/>
      <c r="D43" s="26"/>
      <c r="E43" s="26"/>
      <c r="F43" s="26"/>
      <c r="G43" s="26"/>
      <c r="H43" s="26"/>
      <c r="I43" s="26"/>
      <c r="J43" s="26"/>
      <c r="K43" s="26"/>
      <c r="L43" s="26"/>
      <c r="M43" s="26"/>
      <c r="N43" s="26"/>
      <c r="O43" s="26"/>
      <c r="P43" s="26"/>
      <c r="Q43" s="26"/>
      <c r="R43" s="26"/>
      <c r="S43" s="26"/>
      <c r="T43" s="26"/>
      <c r="U43" s="26"/>
      <c r="V43" s="26"/>
      <c r="W43" s="26"/>
      <c r="X43" s="26"/>
      <c r="Y43" s="26"/>
      <c r="Z43" s="26"/>
    </row>
    <row r="44" spans="1:26" ht="12.75" customHeight="1" x14ac:dyDescent="0.25">
      <c r="A44" s="26"/>
      <c r="B44" s="26"/>
      <c r="C44" s="98"/>
      <c r="D44" s="26"/>
      <c r="E44" s="26"/>
      <c r="F44" s="26"/>
      <c r="G44" s="26"/>
      <c r="H44" s="26"/>
      <c r="I44" s="26"/>
      <c r="J44" s="26"/>
      <c r="K44" s="26"/>
      <c r="L44" s="26"/>
      <c r="M44" s="26"/>
      <c r="N44" s="26"/>
      <c r="O44" s="26"/>
      <c r="P44" s="26"/>
      <c r="Q44" s="26"/>
      <c r="R44" s="26"/>
      <c r="S44" s="26"/>
      <c r="T44" s="26"/>
      <c r="U44" s="26"/>
      <c r="V44" s="26"/>
      <c r="W44" s="26"/>
      <c r="X44" s="26"/>
      <c r="Y44" s="26"/>
      <c r="Z44" s="26"/>
    </row>
    <row r="45" spans="1:26" ht="12.75" customHeight="1" x14ac:dyDescent="0.25">
      <c r="A45" s="26"/>
      <c r="B45" s="26"/>
      <c r="C45" s="98"/>
      <c r="D45" s="26"/>
      <c r="E45" s="26"/>
      <c r="F45" s="26"/>
      <c r="G45" s="26"/>
      <c r="H45" s="26"/>
      <c r="I45" s="26"/>
      <c r="J45" s="26"/>
      <c r="K45" s="26"/>
      <c r="L45" s="26"/>
      <c r="M45" s="26"/>
      <c r="N45" s="26"/>
      <c r="O45" s="26"/>
      <c r="P45" s="26"/>
      <c r="Q45" s="26"/>
      <c r="R45" s="26"/>
      <c r="S45" s="26"/>
      <c r="T45" s="26"/>
      <c r="U45" s="26"/>
      <c r="V45" s="26"/>
      <c r="W45" s="26"/>
      <c r="X45" s="26"/>
      <c r="Y45" s="26"/>
      <c r="Z45" s="26"/>
    </row>
    <row r="46" spans="1:26" ht="12.75" customHeight="1" x14ac:dyDescent="0.25">
      <c r="A46" s="26"/>
      <c r="B46" s="26"/>
      <c r="C46" s="98"/>
      <c r="D46" s="26"/>
      <c r="E46" s="26"/>
      <c r="F46" s="26"/>
      <c r="G46" s="26"/>
      <c r="H46" s="26"/>
      <c r="I46" s="26"/>
      <c r="J46" s="26"/>
      <c r="K46" s="26"/>
      <c r="L46" s="26"/>
      <c r="M46" s="26"/>
      <c r="N46" s="26"/>
      <c r="O46" s="26"/>
      <c r="P46" s="26"/>
      <c r="Q46" s="26"/>
      <c r="R46" s="26"/>
      <c r="S46" s="26"/>
      <c r="T46" s="26"/>
      <c r="U46" s="26"/>
      <c r="V46" s="26"/>
      <c r="W46" s="26"/>
      <c r="X46" s="26"/>
      <c r="Y46" s="26"/>
      <c r="Z46" s="26"/>
    </row>
    <row r="47" spans="1:26" ht="12.75" customHeight="1" x14ac:dyDescent="0.25">
      <c r="A47" s="26"/>
      <c r="B47" s="26"/>
      <c r="C47" s="98"/>
      <c r="D47" s="26"/>
      <c r="E47" s="26"/>
      <c r="F47" s="26"/>
      <c r="G47" s="26"/>
      <c r="H47" s="26"/>
      <c r="I47" s="26"/>
      <c r="J47" s="26"/>
      <c r="K47" s="26"/>
      <c r="L47" s="26"/>
      <c r="M47" s="26"/>
      <c r="N47" s="26"/>
      <c r="O47" s="26"/>
      <c r="P47" s="26"/>
      <c r="Q47" s="26"/>
      <c r="R47" s="26"/>
      <c r="S47" s="26"/>
      <c r="T47" s="26"/>
      <c r="U47" s="26"/>
      <c r="V47" s="26"/>
      <c r="W47" s="26"/>
      <c r="X47" s="26"/>
      <c r="Y47" s="26"/>
      <c r="Z47" s="26"/>
    </row>
    <row r="48" spans="1:26" ht="12.75" customHeight="1" x14ac:dyDescent="0.25">
      <c r="A48" s="26"/>
      <c r="B48" s="26"/>
      <c r="C48" s="98"/>
      <c r="D48" s="26"/>
      <c r="E48" s="26"/>
      <c r="F48" s="26"/>
      <c r="G48" s="26"/>
      <c r="H48" s="26"/>
      <c r="I48" s="26"/>
      <c r="J48" s="26"/>
      <c r="K48" s="26"/>
      <c r="L48" s="26"/>
      <c r="M48" s="26"/>
      <c r="N48" s="26"/>
      <c r="O48" s="26"/>
      <c r="P48" s="26"/>
      <c r="Q48" s="26"/>
      <c r="R48" s="26"/>
      <c r="S48" s="26"/>
      <c r="T48" s="26"/>
      <c r="U48" s="26"/>
      <c r="V48" s="26"/>
      <c r="W48" s="26"/>
      <c r="X48" s="26"/>
      <c r="Y48" s="26"/>
      <c r="Z48" s="26"/>
    </row>
    <row r="49" spans="1:26" ht="12.75" customHeight="1" x14ac:dyDescent="0.25">
      <c r="A49" s="26"/>
      <c r="B49" s="26"/>
      <c r="C49" s="98"/>
      <c r="D49" s="26"/>
      <c r="E49" s="26"/>
      <c r="F49" s="26"/>
      <c r="G49" s="26"/>
      <c r="H49" s="26"/>
      <c r="I49" s="26"/>
      <c r="J49" s="26"/>
      <c r="K49" s="26"/>
      <c r="L49" s="26"/>
      <c r="M49" s="26"/>
      <c r="N49" s="26"/>
      <c r="O49" s="26"/>
      <c r="P49" s="26"/>
      <c r="Q49" s="26"/>
      <c r="R49" s="26"/>
      <c r="S49" s="26"/>
      <c r="T49" s="26"/>
      <c r="U49" s="26"/>
      <c r="V49" s="26"/>
      <c r="W49" s="26"/>
      <c r="X49" s="26"/>
      <c r="Y49" s="26"/>
      <c r="Z49" s="26"/>
    </row>
    <row r="50" spans="1:26" ht="12.75" customHeight="1" x14ac:dyDescent="0.25">
      <c r="A50" s="26"/>
      <c r="B50" s="26"/>
      <c r="C50" s="98"/>
      <c r="D50" s="26"/>
      <c r="E50" s="26"/>
      <c r="F50" s="26"/>
      <c r="G50" s="26"/>
      <c r="H50" s="26"/>
      <c r="I50" s="26"/>
      <c r="J50" s="26"/>
      <c r="K50" s="26"/>
      <c r="L50" s="26"/>
      <c r="M50" s="26"/>
      <c r="N50" s="26"/>
      <c r="O50" s="26"/>
      <c r="P50" s="26"/>
      <c r="Q50" s="26"/>
      <c r="R50" s="26"/>
      <c r="S50" s="26"/>
      <c r="T50" s="26"/>
      <c r="U50" s="26"/>
      <c r="V50" s="26"/>
      <c r="W50" s="26"/>
      <c r="X50" s="26"/>
      <c r="Y50" s="26"/>
      <c r="Z50" s="26"/>
    </row>
    <row r="51" spans="1:26" ht="12.75" customHeight="1" x14ac:dyDescent="0.25">
      <c r="A51" s="26"/>
      <c r="B51" s="26"/>
      <c r="C51" s="98"/>
      <c r="D51" s="26"/>
      <c r="E51" s="26"/>
      <c r="F51" s="26"/>
      <c r="G51" s="26"/>
      <c r="H51" s="26"/>
      <c r="I51" s="26"/>
      <c r="J51" s="26"/>
      <c r="K51" s="26"/>
      <c r="L51" s="26"/>
      <c r="M51" s="26"/>
      <c r="N51" s="26"/>
      <c r="O51" s="26"/>
      <c r="P51" s="26"/>
      <c r="Q51" s="26"/>
      <c r="R51" s="26"/>
      <c r="S51" s="26"/>
      <c r="T51" s="26"/>
      <c r="U51" s="26"/>
      <c r="V51" s="26"/>
      <c r="W51" s="26"/>
      <c r="X51" s="26"/>
      <c r="Y51" s="26"/>
      <c r="Z51" s="26"/>
    </row>
    <row r="52" spans="1:26" ht="12.75" customHeight="1" x14ac:dyDescent="0.25">
      <c r="A52" s="26"/>
      <c r="B52" s="26"/>
      <c r="C52" s="98"/>
      <c r="D52" s="26"/>
      <c r="E52" s="26"/>
      <c r="F52" s="26"/>
      <c r="G52" s="26"/>
      <c r="H52" s="26"/>
      <c r="I52" s="26"/>
      <c r="J52" s="26"/>
      <c r="K52" s="26"/>
      <c r="L52" s="26"/>
      <c r="M52" s="26"/>
      <c r="N52" s="26"/>
      <c r="O52" s="26"/>
      <c r="P52" s="26"/>
      <c r="Q52" s="26"/>
      <c r="R52" s="26"/>
      <c r="S52" s="26"/>
      <c r="T52" s="26"/>
      <c r="U52" s="26"/>
      <c r="V52" s="26"/>
      <c r="W52" s="26"/>
      <c r="X52" s="26"/>
      <c r="Y52" s="26"/>
      <c r="Z52" s="26"/>
    </row>
    <row r="53" spans="1:26" ht="12.75" customHeight="1" x14ac:dyDescent="0.25">
      <c r="A53" s="26"/>
      <c r="B53" s="26"/>
      <c r="C53" s="98"/>
      <c r="D53" s="26"/>
      <c r="E53" s="26"/>
      <c r="F53" s="26"/>
      <c r="G53" s="26"/>
      <c r="H53" s="26"/>
      <c r="I53" s="26"/>
      <c r="J53" s="26"/>
      <c r="K53" s="26"/>
      <c r="L53" s="26"/>
      <c r="M53" s="26"/>
      <c r="N53" s="26"/>
      <c r="O53" s="26"/>
      <c r="P53" s="26"/>
      <c r="Q53" s="26"/>
      <c r="R53" s="26"/>
      <c r="S53" s="26"/>
      <c r="T53" s="26"/>
      <c r="U53" s="26"/>
      <c r="V53" s="26"/>
      <c r="W53" s="26"/>
      <c r="X53" s="26"/>
      <c r="Y53" s="26"/>
      <c r="Z53" s="26"/>
    </row>
    <row r="54" spans="1:26" ht="12.75" customHeight="1" x14ac:dyDescent="0.25">
      <c r="A54" s="26"/>
      <c r="B54" s="26"/>
      <c r="C54" s="98"/>
      <c r="D54" s="26"/>
      <c r="E54" s="26"/>
      <c r="F54" s="26"/>
      <c r="G54" s="26"/>
      <c r="H54" s="26"/>
      <c r="I54" s="26"/>
      <c r="J54" s="26"/>
      <c r="K54" s="26"/>
      <c r="L54" s="26"/>
      <c r="M54" s="26"/>
      <c r="N54" s="26"/>
      <c r="O54" s="26"/>
      <c r="P54" s="26"/>
      <c r="Q54" s="26"/>
      <c r="R54" s="26"/>
      <c r="S54" s="26"/>
      <c r="T54" s="26"/>
      <c r="U54" s="26"/>
      <c r="V54" s="26"/>
      <c r="W54" s="26"/>
      <c r="X54" s="26"/>
      <c r="Y54" s="26"/>
      <c r="Z54" s="26"/>
    </row>
    <row r="55" spans="1:26" ht="12.75" customHeight="1" x14ac:dyDescent="0.25">
      <c r="A55" s="26"/>
      <c r="B55" s="26"/>
      <c r="C55" s="98"/>
      <c r="D55" s="26"/>
      <c r="E55" s="26"/>
      <c r="F55" s="26"/>
      <c r="G55" s="26"/>
      <c r="H55" s="26"/>
      <c r="I55" s="26"/>
      <c r="J55" s="26"/>
      <c r="K55" s="26"/>
      <c r="L55" s="26"/>
      <c r="M55" s="26"/>
      <c r="N55" s="26"/>
      <c r="O55" s="26"/>
      <c r="P55" s="26"/>
      <c r="Q55" s="26"/>
      <c r="R55" s="26"/>
      <c r="S55" s="26"/>
      <c r="T55" s="26"/>
      <c r="U55" s="26"/>
      <c r="V55" s="26"/>
      <c r="W55" s="26"/>
      <c r="X55" s="26"/>
      <c r="Y55" s="26"/>
      <c r="Z55" s="26"/>
    </row>
    <row r="56" spans="1:26" ht="12.75" customHeight="1" x14ac:dyDescent="0.25">
      <c r="A56" s="26"/>
      <c r="B56" s="26"/>
      <c r="C56" s="98"/>
      <c r="D56" s="26"/>
      <c r="E56" s="26"/>
      <c r="F56" s="26"/>
      <c r="G56" s="26"/>
      <c r="H56" s="26"/>
      <c r="I56" s="26"/>
      <c r="J56" s="26"/>
      <c r="K56" s="26"/>
      <c r="L56" s="26"/>
      <c r="M56" s="26"/>
      <c r="N56" s="26"/>
      <c r="O56" s="26"/>
      <c r="P56" s="26"/>
      <c r="Q56" s="26"/>
      <c r="R56" s="26"/>
      <c r="S56" s="26"/>
      <c r="T56" s="26"/>
      <c r="U56" s="26"/>
      <c r="V56" s="26"/>
      <c r="W56" s="26"/>
      <c r="X56" s="26"/>
      <c r="Y56" s="26"/>
      <c r="Z56" s="26"/>
    </row>
    <row r="57" spans="1:26" ht="12.75" customHeight="1" x14ac:dyDescent="0.25">
      <c r="A57" s="26"/>
      <c r="B57" s="26"/>
      <c r="C57" s="98"/>
      <c r="D57" s="26"/>
      <c r="E57" s="26"/>
      <c r="F57" s="26"/>
      <c r="G57" s="26"/>
      <c r="H57" s="26"/>
      <c r="I57" s="26"/>
      <c r="J57" s="26"/>
      <c r="K57" s="26"/>
      <c r="L57" s="26"/>
      <c r="M57" s="26"/>
      <c r="N57" s="26"/>
      <c r="O57" s="26"/>
      <c r="P57" s="26"/>
      <c r="Q57" s="26"/>
      <c r="R57" s="26"/>
      <c r="S57" s="26"/>
      <c r="T57" s="26"/>
      <c r="U57" s="26"/>
      <c r="V57" s="26"/>
      <c r="W57" s="26"/>
      <c r="X57" s="26"/>
      <c r="Y57" s="26"/>
      <c r="Z57" s="26"/>
    </row>
    <row r="58" spans="1:26" ht="12.75" customHeight="1" x14ac:dyDescent="0.25">
      <c r="A58" s="26"/>
      <c r="B58" s="26"/>
      <c r="C58" s="98"/>
      <c r="D58" s="26"/>
      <c r="E58" s="26"/>
      <c r="F58" s="26"/>
      <c r="G58" s="26"/>
      <c r="H58" s="26"/>
      <c r="I58" s="26"/>
      <c r="J58" s="26"/>
      <c r="K58" s="26"/>
      <c r="L58" s="26"/>
      <c r="M58" s="26"/>
      <c r="N58" s="26"/>
      <c r="O58" s="26"/>
      <c r="P58" s="26"/>
      <c r="Q58" s="26"/>
      <c r="R58" s="26"/>
      <c r="S58" s="26"/>
      <c r="T58" s="26"/>
      <c r="U58" s="26"/>
      <c r="V58" s="26"/>
      <c r="W58" s="26"/>
      <c r="X58" s="26"/>
      <c r="Y58" s="26"/>
      <c r="Z58" s="26"/>
    </row>
    <row r="59" spans="1:26" ht="12.75" customHeight="1" x14ac:dyDescent="0.25">
      <c r="A59" s="26"/>
      <c r="B59" s="26"/>
      <c r="C59" s="98"/>
      <c r="D59" s="26"/>
      <c r="E59" s="26"/>
      <c r="F59" s="26"/>
      <c r="G59" s="26"/>
      <c r="H59" s="26"/>
      <c r="I59" s="26"/>
      <c r="J59" s="26"/>
      <c r="K59" s="26"/>
      <c r="L59" s="26"/>
      <c r="M59" s="26"/>
      <c r="N59" s="26"/>
      <c r="O59" s="26"/>
      <c r="P59" s="26"/>
      <c r="Q59" s="26"/>
      <c r="R59" s="26"/>
      <c r="S59" s="26"/>
      <c r="T59" s="26"/>
      <c r="U59" s="26"/>
      <c r="V59" s="26"/>
      <c r="W59" s="26"/>
      <c r="X59" s="26"/>
      <c r="Y59" s="26"/>
      <c r="Z59" s="26"/>
    </row>
    <row r="60" spans="1:26" ht="12.75" customHeight="1" x14ac:dyDescent="0.25">
      <c r="A60" s="26"/>
      <c r="B60" s="26"/>
      <c r="C60" s="98"/>
      <c r="D60" s="26"/>
      <c r="E60" s="26"/>
      <c r="F60" s="26"/>
      <c r="G60" s="26"/>
      <c r="H60" s="26"/>
      <c r="I60" s="26"/>
      <c r="J60" s="26"/>
      <c r="K60" s="26"/>
      <c r="L60" s="26"/>
      <c r="M60" s="26"/>
      <c r="N60" s="26"/>
      <c r="O60" s="26"/>
      <c r="P60" s="26"/>
      <c r="Q60" s="26"/>
      <c r="R60" s="26"/>
      <c r="S60" s="26"/>
      <c r="T60" s="26"/>
      <c r="U60" s="26"/>
      <c r="V60" s="26"/>
      <c r="W60" s="26"/>
      <c r="X60" s="26"/>
      <c r="Y60" s="26"/>
      <c r="Z60" s="26"/>
    </row>
    <row r="61" spans="1:26" ht="12.75" customHeight="1" x14ac:dyDescent="0.25">
      <c r="A61" s="26"/>
      <c r="B61" s="26"/>
      <c r="C61" s="98"/>
      <c r="D61" s="26"/>
      <c r="E61" s="26"/>
      <c r="F61" s="26"/>
      <c r="G61" s="26"/>
      <c r="H61" s="26"/>
      <c r="I61" s="26"/>
      <c r="J61" s="26"/>
      <c r="K61" s="26"/>
      <c r="L61" s="26"/>
      <c r="M61" s="26"/>
      <c r="N61" s="26"/>
      <c r="O61" s="26"/>
      <c r="P61" s="26"/>
      <c r="Q61" s="26"/>
      <c r="R61" s="26"/>
      <c r="S61" s="26"/>
      <c r="T61" s="26"/>
      <c r="U61" s="26"/>
      <c r="V61" s="26"/>
      <c r="W61" s="26"/>
      <c r="X61" s="26"/>
      <c r="Y61" s="26"/>
      <c r="Z61" s="26"/>
    </row>
    <row r="62" spans="1:26" ht="12.75" customHeight="1" x14ac:dyDescent="0.25">
      <c r="A62" s="26"/>
      <c r="B62" s="26"/>
      <c r="C62" s="98"/>
      <c r="D62" s="26"/>
      <c r="E62" s="26"/>
      <c r="F62" s="26"/>
      <c r="G62" s="26"/>
      <c r="H62" s="26"/>
      <c r="I62" s="26"/>
      <c r="J62" s="26"/>
      <c r="K62" s="26"/>
      <c r="L62" s="26"/>
      <c r="M62" s="26"/>
      <c r="N62" s="26"/>
      <c r="O62" s="26"/>
      <c r="P62" s="26"/>
      <c r="Q62" s="26"/>
      <c r="R62" s="26"/>
      <c r="S62" s="26"/>
      <c r="T62" s="26"/>
      <c r="U62" s="26"/>
      <c r="V62" s="26"/>
      <c r="W62" s="26"/>
      <c r="X62" s="26"/>
      <c r="Y62" s="26"/>
      <c r="Z62" s="26"/>
    </row>
    <row r="63" spans="1:26" ht="12.75" customHeight="1" x14ac:dyDescent="0.25">
      <c r="A63" s="26"/>
      <c r="B63" s="26"/>
      <c r="C63" s="98"/>
      <c r="D63" s="26"/>
      <c r="E63" s="26"/>
      <c r="F63" s="26"/>
      <c r="G63" s="26"/>
      <c r="H63" s="26"/>
      <c r="I63" s="26"/>
      <c r="J63" s="26"/>
      <c r="K63" s="26"/>
      <c r="L63" s="26"/>
      <c r="M63" s="26"/>
      <c r="N63" s="26"/>
      <c r="O63" s="26"/>
      <c r="P63" s="26"/>
      <c r="Q63" s="26"/>
      <c r="R63" s="26"/>
      <c r="S63" s="26"/>
      <c r="T63" s="26"/>
      <c r="U63" s="26"/>
      <c r="V63" s="26"/>
      <c r="W63" s="26"/>
      <c r="X63" s="26"/>
      <c r="Y63" s="26"/>
      <c r="Z63" s="26"/>
    </row>
    <row r="64" spans="1:26" ht="12.75" customHeight="1" x14ac:dyDescent="0.25">
      <c r="A64" s="26"/>
      <c r="B64" s="26"/>
      <c r="C64" s="98"/>
      <c r="D64" s="26"/>
      <c r="E64" s="26"/>
      <c r="F64" s="26"/>
      <c r="G64" s="26"/>
      <c r="H64" s="26"/>
      <c r="I64" s="26"/>
      <c r="J64" s="26"/>
      <c r="K64" s="26"/>
      <c r="L64" s="26"/>
      <c r="M64" s="26"/>
      <c r="N64" s="26"/>
      <c r="O64" s="26"/>
      <c r="P64" s="26"/>
      <c r="Q64" s="26"/>
      <c r="R64" s="26"/>
      <c r="S64" s="26"/>
      <c r="T64" s="26"/>
      <c r="U64" s="26"/>
      <c r="V64" s="26"/>
      <c r="W64" s="26"/>
      <c r="X64" s="26"/>
      <c r="Y64" s="26"/>
      <c r="Z64" s="26"/>
    </row>
    <row r="65" spans="1:26" ht="12.75" customHeight="1" x14ac:dyDescent="0.25">
      <c r="A65" s="26"/>
      <c r="B65" s="26"/>
      <c r="C65" s="98"/>
      <c r="D65" s="26"/>
      <c r="E65" s="26"/>
      <c r="F65" s="26"/>
      <c r="G65" s="26"/>
      <c r="H65" s="26"/>
      <c r="I65" s="26"/>
      <c r="J65" s="26"/>
      <c r="K65" s="26"/>
      <c r="L65" s="26"/>
      <c r="M65" s="26"/>
      <c r="N65" s="26"/>
      <c r="O65" s="26"/>
      <c r="P65" s="26"/>
      <c r="Q65" s="26"/>
      <c r="R65" s="26"/>
      <c r="S65" s="26"/>
      <c r="T65" s="26"/>
      <c r="U65" s="26"/>
      <c r="V65" s="26"/>
      <c r="W65" s="26"/>
      <c r="X65" s="26"/>
      <c r="Y65" s="26"/>
      <c r="Z65" s="26"/>
    </row>
    <row r="66" spans="1:26" ht="12.75" customHeight="1" x14ac:dyDescent="0.25">
      <c r="A66" s="26"/>
      <c r="B66" s="26"/>
      <c r="C66" s="98"/>
      <c r="D66" s="26"/>
      <c r="E66" s="26"/>
      <c r="F66" s="26"/>
      <c r="G66" s="26"/>
      <c r="H66" s="26"/>
      <c r="I66" s="26"/>
      <c r="J66" s="26"/>
      <c r="K66" s="26"/>
      <c r="L66" s="26"/>
      <c r="M66" s="26"/>
      <c r="N66" s="26"/>
      <c r="O66" s="26"/>
      <c r="P66" s="26"/>
      <c r="Q66" s="26"/>
      <c r="R66" s="26"/>
      <c r="S66" s="26"/>
      <c r="T66" s="26"/>
      <c r="U66" s="26"/>
      <c r="V66" s="26"/>
      <c r="W66" s="26"/>
      <c r="X66" s="26"/>
      <c r="Y66" s="26"/>
      <c r="Z66" s="26"/>
    </row>
    <row r="67" spans="1:26" ht="12.75" customHeight="1" x14ac:dyDescent="0.25">
      <c r="A67" s="26"/>
      <c r="B67" s="26"/>
      <c r="C67" s="98"/>
      <c r="D67" s="26"/>
      <c r="E67" s="26"/>
      <c r="F67" s="26"/>
      <c r="G67" s="26"/>
      <c r="H67" s="26"/>
      <c r="I67" s="26"/>
      <c r="J67" s="26"/>
      <c r="K67" s="26"/>
      <c r="L67" s="26"/>
      <c r="M67" s="26"/>
      <c r="N67" s="26"/>
      <c r="O67" s="26"/>
      <c r="P67" s="26"/>
      <c r="Q67" s="26"/>
      <c r="R67" s="26"/>
      <c r="S67" s="26"/>
      <c r="T67" s="26"/>
      <c r="U67" s="26"/>
      <c r="V67" s="26"/>
      <c r="W67" s="26"/>
      <c r="X67" s="26"/>
      <c r="Y67" s="26"/>
      <c r="Z67" s="26"/>
    </row>
    <row r="68" spans="1:26" ht="12.75" customHeight="1" x14ac:dyDescent="0.25">
      <c r="A68" s="26"/>
      <c r="B68" s="26"/>
      <c r="C68" s="98"/>
      <c r="D68" s="26"/>
      <c r="E68" s="26"/>
      <c r="F68" s="26"/>
      <c r="G68" s="26"/>
      <c r="H68" s="26"/>
      <c r="I68" s="26"/>
      <c r="J68" s="26"/>
      <c r="K68" s="26"/>
      <c r="L68" s="26"/>
      <c r="M68" s="26"/>
      <c r="N68" s="26"/>
      <c r="O68" s="26"/>
      <c r="P68" s="26"/>
      <c r="Q68" s="26"/>
      <c r="R68" s="26"/>
      <c r="S68" s="26"/>
      <c r="T68" s="26"/>
      <c r="U68" s="26"/>
      <c r="V68" s="26"/>
      <c r="W68" s="26"/>
      <c r="X68" s="26"/>
      <c r="Y68" s="26"/>
      <c r="Z68" s="26"/>
    </row>
    <row r="69" spans="1:26" ht="12.75" customHeight="1" x14ac:dyDescent="0.25">
      <c r="A69" s="26"/>
      <c r="B69" s="26"/>
      <c r="C69" s="98"/>
      <c r="D69" s="26"/>
      <c r="E69" s="26"/>
      <c r="F69" s="26"/>
      <c r="G69" s="26"/>
      <c r="H69" s="26"/>
      <c r="I69" s="26"/>
      <c r="J69" s="26"/>
      <c r="K69" s="26"/>
      <c r="L69" s="26"/>
      <c r="M69" s="26"/>
      <c r="N69" s="26"/>
      <c r="O69" s="26"/>
      <c r="P69" s="26"/>
      <c r="Q69" s="26"/>
      <c r="R69" s="26"/>
      <c r="S69" s="26"/>
      <c r="T69" s="26"/>
      <c r="U69" s="26"/>
      <c r="V69" s="26"/>
      <c r="W69" s="26"/>
      <c r="X69" s="26"/>
      <c r="Y69" s="26"/>
      <c r="Z69" s="26"/>
    </row>
    <row r="70" spans="1:26" ht="12.75" customHeight="1" x14ac:dyDescent="0.25">
      <c r="A70" s="26"/>
      <c r="B70" s="26"/>
      <c r="C70" s="98"/>
      <c r="D70" s="26"/>
      <c r="E70" s="26"/>
      <c r="F70" s="26"/>
      <c r="G70" s="26"/>
      <c r="H70" s="26"/>
      <c r="I70" s="26"/>
      <c r="J70" s="26"/>
      <c r="K70" s="26"/>
      <c r="L70" s="26"/>
      <c r="M70" s="26"/>
      <c r="N70" s="26"/>
      <c r="O70" s="26"/>
      <c r="P70" s="26"/>
      <c r="Q70" s="26"/>
      <c r="R70" s="26"/>
      <c r="S70" s="26"/>
      <c r="T70" s="26"/>
      <c r="U70" s="26"/>
      <c r="V70" s="26"/>
      <c r="W70" s="26"/>
      <c r="X70" s="26"/>
      <c r="Y70" s="26"/>
      <c r="Z70" s="26"/>
    </row>
    <row r="71" spans="1:26" ht="12.75" customHeight="1" x14ac:dyDescent="0.25">
      <c r="A71" s="26"/>
      <c r="B71" s="26"/>
      <c r="C71" s="98"/>
      <c r="D71" s="26"/>
      <c r="E71" s="26"/>
      <c r="F71" s="26"/>
      <c r="G71" s="26"/>
      <c r="H71" s="26"/>
      <c r="I71" s="26"/>
      <c r="J71" s="26"/>
      <c r="K71" s="26"/>
      <c r="L71" s="26"/>
      <c r="M71" s="26"/>
      <c r="N71" s="26"/>
      <c r="O71" s="26"/>
      <c r="P71" s="26"/>
      <c r="Q71" s="26"/>
      <c r="R71" s="26"/>
      <c r="S71" s="26"/>
      <c r="T71" s="26"/>
      <c r="U71" s="26"/>
      <c r="V71" s="26"/>
      <c r="W71" s="26"/>
      <c r="X71" s="26"/>
      <c r="Y71" s="26"/>
      <c r="Z71" s="26"/>
    </row>
    <row r="72" spans="1:26" ht="12.75" customHeight="1" x14ac:dyDescent="0.25">
      <c r="A72" s="26"/>
      <c r="B72" s="26"/>
      <c r="C72" s="98"/>
      <c r="D72" s="26"/>
      <c r="E72" s="26"/>
      <c r="F72" s="26"/>
      <c r="G72" s="26"/>
      <c r="H72" s="26"/>
      <c r="I72" s="26"/>
      <c r="J72" s="26"/>
      <c r="K72" s="26"/>
      <c r="L72" s="26"/>
      <c r="M72" s="26"/>
      <c r="N72" s="26"/>
      <c r="O72" s="26"/>
      <c r="P72" s="26"/>
      <c r="Q72" s="26"/>
      <c r="R72" s="26"/>
      <c r="S72" s="26"/>
      <c r="T72" s="26"/>
      <c r="U72" s="26"/>
      <c r="V72" s="26"/>
      <c r="W72" s="26"/>
      <c r="X72" s="26"/>
      <c r="Y72" s="26"/>
      <c r="Z72" s="26"/>
    </row>
    <row r="73" spans="1:26" ht="12.75" customHeight="1" x14ac:dyDescent="0.25">
      <c r="A73" s="26"/>
      <c r="B73" s="26"/>
      <c r="C73" s="98"/>
      <c r="D73" s="26"/>
      <c r="E73" s="26"/>
      <c r="F73" s="26"/>
      <c r="G73" s="26"/>
      <c r="H73" s="26"/>
      <c r="I73" s="26"/>
      <c r="J73" s="26"/>
      <c r="K73" s="26"/>
      <c r="L73" s="26"/>
      <c r="M73" s="26"/>
      <c r="N73" s="26"/>
      <c r="O73" s="26"/>
      <c r="P73" s="26"/>
      <c r="Q73" s="26"/>
      <c r="R73" s="26"/>
      <c r="S73" s="26"/>
      <c r="T73" s="26"/>
      <c r="U73" s="26"/>
      <c r="V73" s="26"/>
      <c r="W73" s="26"/>
      <c r="X73" s="26"/>
      <c r="Y73" s="26"/>
      <c r="Z73" s="26"/>
    </row>
    <row r="74" spans="1:26" ht="12.75" customHeight="1" x14ac:dyDescent="0.25">
      <c r="A74" s="26"/>
      <c r="B74" s="26"/>
      <c r="C74" s="98"/>
      <c r="D74" s="26"/>
      <c r="E74" s="26"/>
      <c r="F74" s="26"/>
      <c r="G74" s="26"/>
      <c r="H74" s="26"/>
      <c r="I74" s="26"/>
      <c r="J74" s="26"/>
      <c r="K74" s="26"/>
      <c r="L74" s="26"/>
      <c r="M74" s="26"/>
      <c r="N74" s="26"/>
      <c r="O74" s="26"/>
      <c r="P74" s="26"/>
      <c r="Q74" s="26"/>
      <c r="R74" s="26"/>
      <c r="S74" s="26"/>
      <c r="T74" s="26"/>
      <c r="U74" s="26"/>
      <c r="V74" s="26"/>
      <c r="W74" s="26"/>
      <c r="X74" s="26"/>
      <c r="Y74" s="26"/>
      <c r="Z74" s="26"/>
    </row>
    <row r="75" spans="1:26" ht="12.75" customHeight="1" x14ac:dyDescent="0.25">
      <c r="A75" s="26"/>
      <c r="B75" s="26"/>
      <c r="C75" s="98"/>
      <c r="D75" s="26"/>
      <c r="E75" s="26"/>
      <c r="F75" s="26"/>
      <c r="G75" s="26"/>
      <c r="H75" s="26"/>
      <c r="I75" s="26"/>
      <c r="J75" s="26"/>
      <c r="K75" s="26"/>
      <c r="L75" s="26"/>
      <c r="M75" s="26"/>
      <c r="N75" s="26"/>
      <c r="O75" s="26"/>
      <c r="P75" s="26"/>
      <c r="Q75" s="26"/>
      <c r="R75" s="26"/>
      <c r="S75" s="26"/>
      <c r="T75" s="26"/>
      <c r="U75" s="26"/>
      <c r="V75" s="26"/>
      <c r="W75" s="26"/>
      <c r="X75" s="26"/>
      <c r="Y75" s="26"/>
      <c r="Z75" s="26"/>
    </row>
    <row r="76" spans="1:26" ht="12.75" customHeight="1" x14ac:dyDescent="0.25">
      <c r="A76" s="26"/>
      <c r="B76" s="26"/>
      <c r="C76" s="98"/>
      <c r="D76" s="26"/>
      <c r="E76" s="26"/>
      <c r="F76" s="26"/>
      <c r="G76" s="26"/>
      <c r="H76" s="26"/>
      <c r="I76" s="26"/>
      <c r="J76" s="26"/>
      <c r="K76" s="26"/>
      <c r="L76" s="26"/>
      <c r="M76" s="26"/>
      <c r="N76" s="26"/>
      <c r="O76" s="26"/>
      <c r="P76" s="26"/>
      <c r="Q76" s="26"/>
      <c r="R76" s="26"/>
      <c r="S76" s="26"/>
      <c r="T76" s="26"/>
      <c r="U76" s="26"/>
      <c r="V76" s="26"/>
      <c r="W76" s="26"/>
      <c r="X76" s="26"/>
      <c r="Y76" s="26"/>
      <c r="Z76" s="26"/>
    </row>
    <row r="77" spans="1:26" ht="12.75" customHeight="1" x14ac:dyDescent="0.25">
      <c r="A77" s="26"/>
      <c r="B77" s="26"/>
      <c r="C77" s="98"/>
      <c r="D77" s="26"/>
      <c r="E77" s="26"/>
      <c r="F77" s="26"/>
      <c r="G77" s="26"/>
      <c r="H77" s="26"/>
      <c r="I77" s="26"/>
      <c r="J77" s="26"/>
      <c r="K77" s="26"/>
      <c r="L77" s="26"/>
      <c r="M77" s="26"/>
      <c r="N77" s="26"/>
      <c r="O77" s="26"/>
      <c r="P77" s="26"/>
      <c r="Q77" s="26"/>
      <c r="R77" s="26"/>
      <c r="S77" s="26"/>
      <c r="T77" s="26"/>
      <c r="U77" s="26"/>
      <c r="V77" s="26"/>
      <c r="W77" s="26"/>
      <c r="X77" s="26"/>
      <c r="Y77" s="26"/>
      <c r="Z77" s="26"/>
    </row>
    <row r="78" spans="1:26" ht="12.75" customHeight="1" x14ac:dyDescent="0.25">
      <c r="A78" s="26"/>
      <c r="B78" s="26"/>
      <c r="C78" s="98"/>
      <c r="D78" s="26"/>
      <c r="E78" s="26"/>
      <c r="F78" s="26"/>
      <c r="G78" s="26"/>
      <c r="H78" s="26"/>
      <c r="I78" s="26"/>
      <c r="J78" s="26"/>
      <c r="K78" s="26"/>
      <c r="L78" s="26"/>
      <c r="M78" s="26"/>
      <c r="N78" s="26"/>
      <c r="O78" s="26"/>
      <c r="P78" s="26"/>
      <c r="Q78" s="26"/>
      <c r="R78" s="26"/>
      <c r="S78" s="26"/>
      <c r="T78" s="26"/>
      <c r="U78" s="26"/>
      <c r="V78" s="26"/>
      <c r="W78" s="26"/>
      <c r="X78" s="26"/>
      <c r="Y78" s="26"/>
      <c r="Z78" s="26"/>
    </row>
    <row r="79" spans="1:26" ht="12.75" customHeight="1" x14ac:dyDescent="0.25">
      <c r="A79" s="26"/>
      <c r="B79" s="26"/>
      <c r="C79" s="98"/>
      <c r="D79" s="26"/>
      <c r="E79" s="26"/>
      <c r="F79" s="26"/>
      <c r="G79" s="26"/>
      <c r="H79" s="26"/>
      <c r="I79" s="26"/>
      <c r="J79" s="26"/>
      <c r="K79" s="26"/>
      <c r="L79" s="26"/>
      <c r="M79" s="26"/>
      <c r="N79" s="26"/>
      <c r="O79" s="26"/>
      <c r="P79" s="26"/>
      <c r="Q79" s="26"/>
      <c r="R79" s="26"/>
      <c r="S79" s="26"/>
      <c r="T79" s="26"/>
      <c r="U79" s="26"/>
      <c r="V79" s="26"/>
      <c r="W79" s="26"/>
      <c r="X79" s="26"/>
      <c r="Y79" s="26"/>
      <c r="Z79" s="26"/>
    </row>
    <row r="80" spans="1:26" ht="12.75" customHeight="1" x14ac:dyDescent="0.25">
      <c r="A80" s="26"/>
      <c r="B80" s="26"/>
      <c r="C80" s="98"/>
      <c r="D80" s="26"/>
      <c r="E80" s="26"/>
      <c r="F80" s="26"/>
      <c r="G80" s="26"/>
      <c r="H80" s="26"/>
      <c r="I80" s="26"/>
      <c r="J80" s="26"/>
      <c r="K80" s="26"/>
      <c r="L80" s="26"/>
      <c r="M80" s="26"/>
      <c r="N80" s="26"/>
      <c r="O80" s="26"/>
      <c r="P80" s="26"/>
      <c r="Q80" s="26"/>
      <c r="R80" s="26"/>
      <c r="S80" s="26"/>
      <c r="T80" s="26"/>
      <c r="U80" s="26"/>
      <c r="V80" s="26"/>
      <c r="W80" s="26"/>
      <c r="X80" s="26"/>
      <c r="Y80" s="26"/>
      <c r="Z80" s="26"/>
    </row>
    <row r="81" spans="1:26" ht="12.75" customHeight="1" x14ac:dyDescent="0.25">
      <c r="A81" s="26"/>
      <c r="B81" s="26"/>
      <c r="C81" s="98"/>
      <c r="D81" s="26"/>
      <c r="E81" s="26"/>
      <c r="F81" s="26"/>
      <c r="G81" s="26"/>
      <c r="H81" s="26"/>
      <c r="I81" s="26"/>
      <c r="J81" s="26"/>
      <c r="K81" s="26"/>
      <c r="L81" s="26"/>
      <c r="M81" s="26"/>
      <c r="N81" s="26"/>
      <c r="O81" s="26"/>
      <c r="P81" s="26"/>
      <c r="Q81" s="26"/>
      <c r="R81" s="26"/>
      <c r="S81" s="26"/>
      <c r="T81" s="26"/>
      <c r="U81" s="26"/>
      <c r="V81" s="26"/>
      <c r="W81" s="26"/>
      <c r="X81" s="26"/>
      <c r="Y81" s="26"/>
      <c r="Z81" s="26"/>
    </row>
    <row r="82" spans="1:26" ht="12.75" customHeight="1" x14ac:dyDescent="0.25">
      <c r="A82" s="26"/>
      <c r="B82" s="26"/>
      <c r="C82" s="98"/>
      <c r="D82" s="26"/>
      <c r="E82" s="26"/>
      <c r="F82" s="26"/>
      <c r="G82" s="26"/>
      <c r="H82" s="26"/>
      <c r="I82" s="26"/>
      <c r="J82" s="26"/>
      <c r="K82" s="26"/>
      <c r="L82" s="26"/>
      <c r="M82" s="26"/>
      <c r="N82" s="26"/>
      <c r="O82" s="26"/>
      <c r="P82" s="26"/>
      <c r="Q82" s="26"/>
      <c r="R82" s="26"/>
      <c r="S82" s="26"/>
      <c r="T82" s="26"/>
      <c r="U82" s="26"/>
      <c r="V82" s="26"/>
      <c r="W82" s="26"/>
      <c r="X82" s="26"/>
      <c r="Y82" s="26"/>
      <c r="Z82" s="26"/>
    </row>
    <row r="83" spans="1:26" ht="12.75" customHeight="1" x14ac:dyDescent="0.25">
      <c r="A83" s="26"/>
      <c r="B83" s="26"/>
      <c r="C83" s="98"/>
      <c r="D83" s="26"/>
      <c r="E83" s="26"/>
      <c r="F83" s="26"/>
      <c r="G83" s="26"/>
      <c r="H83" s="26"/>
      <c r="I83" s="26"/>
      <c r="J83" s="26"/>
      <c r="K83" s="26"/>
      <c r="L83" s="26"/>
      <c r="M83" s="26"/>
      <c r="N83" s="26"/>
      <c r="O83" s="26"/>
      <c r="P83" s="26"/>
      <c r="Q83" s="26"/>
      <c r="R83" s="26"/>
      <c r="S83" s="26"/>
      <c r="T83" s="26"/>
      <c r="U83" s="26"/>
      <c r="V83" s="26"/>
      <c r="W83" s="26"/>
      <c r="X83" s="26"/>
      <c r="Y83" s="26"/>
      <c r="Z83" s="26"/>
    </row>
    <row r="84" spans="1:26" ht="12.75" customHeight="1" x14ac:dyDescent="0.25">
      <c r="A84" s="26"/>
      <c r="B84" s="26"/>
      <c r="C84" s="98"/>
      <c r="D84" s="26"/>
      <c r="E84" s="26"/>
      <c r="F84" s="26"/>
      <c r="G84" s="26"/>
      <c r="H84" s="26"/>
      <c r="I84" s="26"/>
      <c r="J84" s="26"/>
      <c r="K84" s="26"/>
      <c r="L84" s="26"/>
      <c r="M84" s="26"/>
      <c r="N84" s="26"/>
      <c r="O84" s="26"/>
      <c r="P84" s="26"/>
      <c r="Q84" s="26"/>
      <c r="R84" s="26"/>
      <c r="S84" s="26"/>
      <c r="T84" s="26"/>
      <c r="U84" s="26"/>
      <c r="V84" s="26"/>
      <c r="W84" s="26"/>
      <c r="X84" s="26"/>
      <c r="Y84" s="26"/>
      <c r="Z84" s="26"/>
    </row>
    <row r="85" spans="1:26" ht="12.75" customHeight="1" x14ac:dyDescent="0.25">
      <c r="A85" s="26"/>
      <c r="B85" s="26"/>
      <c r="C85" s="98"/>
      <c r="D85" s="26"/>
      <c r="E85" s="26"/>
      <c r="F85" s="26"/>
      <c r="G85" s="26"/>
      <c r="H85" s="26"/>
      <c r="I85" s="26"/>
      <c r="J85" s="26"/>
      <c r="K85" s="26"/>
      <c r="L85" s="26"/>
      <c r="M85" s="26"/>
      <c r="N85" s="26"/>
      <c r="O85" s="26"/>
      <c r="P85" s="26"/>
      <c r="Q85" s="26"/>
      <c r="R85" s="26"/>
      <c r="S85" s="26"/>
      <c r="T85" s="26"/>
      <c r="U85" s="26"/>
      <c r="V85" s="26"/>
      <c r="W85" s="26"/>
      <c r="X85" s="26"/>
      <c r="Y85" s="26"/>
      <c r="Z85" s="26"/>
    </row>
    <row r="86" spans="1:26" ht="12.75" customHeight="1" x14ac:dyDescent="0.25">
      <c r="A86" s="26"/>
      <c r="B86" s="26"/>
      <c r="C86" s="98"/>
      <c r="D86" s="26"/>
      <c r="E86" s="26"/>
      <c r="F86" s="26"/>
      <c r="G86" s="26"/>
      <c r="H86" s="26"/>
      <c r="I86" s="26"/>
      <c r="J86" s="26"/>
      <c r="K86" s="26"/>
      <c r="L86" s="26"/>
      <c r="M86" s="26"/>
      <c r="N86" s="26"/>
      <c r="O86" s="26"/>
      <c r="P86" s="26"/>
      <c r="Q86" s="26"/>
      <c r="R86" s="26"/>
      <c r="S86" s="26"/>
      <c r="T86" s="26"/>
      <c r="U86" s="26"/>
      <c r="V86" s="26"/>
      <c r="W86" s="26"/>
      <c r="X86" s="26"/>
      <c r="Y86" s="26"/>
      <c r="Z86" s="26"/>
    </row>
    <row r="87" spans="1:26" ht="12.75" customHeight="1" x14ac:dyDescent="0.25">
      <c r="A87" s="26"/>
      <c r="B87" s="26"/>
      <c r="C87" s="98"/>
      <c r="D87" s="26"/>
      <c r="E87" s="26"/>
      <c r="F87" s="26"/>
      <c r="G87" s="26"/>
      <c r="H87" s="26"/>
      <c r="I87" s="26"/>
      <c r="J87" s="26"/>
      <c r="K87" s="26"/>
      <c r="L87" s="26"/>
      <c r="M87" s="26"/>
      <c r="N87" s="26"/>
      <c r="O87" s="26"/>
      <c r="P87" s="26"/>
      <c r="Q87" s="26"/>
      <c r="R87" s="26"/>
      <c r="S87" s="26"/>
      <c r="T87" s="26"/>
      <c r="U87" s="26"/>
      <c r="V87" s="26"/>
      <c r="W87" s="26"/>
      <c r="X87" s="26"/>
      <c r="Y87" s="26"/>
      <c r="Z87" s="26"/>
    </row>
    <row r="88" spans="1:26" ht="12.75" customHeight="1" x14ac:dyDescent="0.25">
      <c r="A88" s="26"/>
      <c r="B88" s="26"/>
      <c r="C88" s="98"/>
      <c r="D88" s="26"/>
      <c r="E88" s="26"/>
      <c r="F88" s="26"/>
      <c r="G88" s="26"/>
      <c r="H88" s="26"/>
      <c r="I88" s="26"/>
      <c r="J88" s="26"/>
      <c r="K88" s="26"/>
      <c r="L88" s="26"/>
      <c r="M88" s="26"/>
      <c r="N88" s="26"/>
      <c r="O88" s="26"/>
      <c r="P88" s="26"/>
      <c r="Q88" s="26"/>
      <c r="R88" s="26"/>
      <c r="S88" s="26"/>
      <c r="T88" s="26"/>
      <c r="U88" s="26"/>
      <c r="V88" s="26"/>
      <c r="W88" s="26"/>
      <c r="X88" s="26"/>
      <c r="Y88" s="26"/>
      <c r="Z88" s="26"/>
    </row>
    <row r="89" spans="1:26" ht="12.75" customHeight="1" x14ac:dyDescent="0.25">
      <c r="A89" s="26"/>
      <c r="B89" s="26"/>
      <c r="C89" s="98"/>
      <c r="D89" s="26"/>
      <c r="E89" s="26"/>
      <c r="F89" s="26"/>
      <c r="G89" s="26"/>
      <c r="H89" s="26"/>
      <c r="I89" s="26"/>
      <c r="J89" s="26"/>
      <c r="K89" s="26"/>
      <c r="L89" s="26"/>
      <c r="M89" s="26"/>
      <c r="N89" s="26"/>
      <c r="O89" s="26"/>
      <c r="P89" s="26"/>
      <c r="Q89" s="26"/>
      <c r="R89" s="26"/>
      <c r="S89" s="26"/>
      <c r="T89" s="26"/>
      <c r="U89" s="26"/>
      <c r="V89" s="26"/>
      <c r="W89" s="26"/>
      <c r="X89" s="26"/>
      <c r="Y89" s="26"/>
      <c r="Z89" s="26"/>
    </row>
    <row r="90" spans="1:26" ht="12.75" customHeight="1" x14ac:dyDescent="0.25">
      <c r="A90" s="26"/>
      <c r="B90" s="26"/>
      <c r="C90" s="98"/>
      <c r="D90" s="26"/>
      <c r="E90" s="26"/>
      <c r="F90" s="26"/>
      <c r="G90" s="26"/>
      <c r="H90" s="26"/>
      <c r="I90" s="26"/>
      <c r="J90" s="26"/>
      <c r="K90" s="26"/>
      <c r="L90" s="26"/>
      <c r="M90" s="26"/>
      <c r="N90" s="26"/>
      <c r="O90" s="26"/>
      <c r="P90" s="26"/>
      <c r="Q90" s="26"/>
      <c r="R90" s="26"/>
      <c r="S90" s="26"/>
      <c r="T90" s="26"/>
      <c r="U90" s="26"/>
      <c r="V90" s="26"/>
      <c r="W90" s="26"/>
      <c r="X90" s="26"/>
      <c r="Y90" s="26"/>
      <c r="Z90" s="26"/>
    </row>
    <row r="91" spans="1:26" ht="12.75" customHeight="1" x14ac:dyDescent="0.25">
      <c r="A91" s="26"/>
      <c r="B91" s="26"/>
      <c r="C91" s="98"/>
      <c r="D91" s="26"/>
      <c r="E91" s="26"/>
      <c r="F91" s="26"/>
      <c r="G91" s="26"/>
      <c r="H91" s="26"/>
      <c r="I91" s="26"/>
      <c r="J91" s="26"/>
      <c r="K91" s="26"/>
      <c r="L91" s="26"/>
      <c r="M91" s="26"/>
      <c r="N91" s="26"/>
      <c r="O91" s="26"/>
      <c r="P91" s="26"/>
      <c r="Q91" s="26"/>
      <c r="R91" s="26"/>
      <c r="S91" s="26"/>
      <c r="T91" s="26"/>
      <c r="U91" s="26"/>
      <c r="V91" s="26"/>
      <c r="W91" s="26"/>
      <c r="X91" s="26"/>
      <c r="Y91" s="26"/>
      <c r="Z91" s="26"/>
    </row>
    <row r="92" spans="1:26" ht="12.75" customHeight="1" x14ac:dyDescent="0.25">
      <c r="A92" s="26"/>
      <c r="B92" s="26"/>
      <c r="C92" s="98"/>
      <c r="D92" s="26"/>
      <c r="E92" s="26"/>
      <c r="F92" s="26"/>
      <c r="G92" s="26"/>
      <c r="H92" s="26"/>
      <c r="I92" s="26"/>
      <c r="J92" s="26"/>
      <c r="K92" s="26"/>
      <c r="L92" s="26"/>
      <c r="M92" s="26"/>
      <c r="N92" s="26"/>
      <c r="O92" s="26"/>
      <c r="P92" s="26"/>
      <c r="Q92" s="26"/>
      <c r="R92" s="26"/>
      <c r="S92" s="26"/>
      <c r="T92" s="26"/>
      <c r="U92" s="26"/>
      <c r="V92" s="26"/>
      <c r="W92" s="26"/>
      <c r="X92" s="26"/>
      <c r="Y92" s="26"/>
      <c r="Z92" s="26"/>
    </row>
    <row r="93" spans="1:26" ht="12.75" customHeight="1" x14ac:dyDescent="0.25">
      <c r="A93" s="26"/>
      <c r="B93" s="26"/>
      <c r="C93" s="98"/>
      <c r="D93" s="26"/>
      <c r="E93" s="26"/>
      <c r="F93" s="26"/>
      <c r="G93" s="26"/>
      <c r="H93" s="26"/>
      <c r="I93" s="26"/>
      <c r="J93" s="26"/>
      <c r="K93" s="26"/>
      <c r="L93" s="26"/>
      <c r="M93" s="26"/>
      <c r="N93" s="26"/>
      <c r="O93" s="26"/>
      <c r="P93" s="26"/>
      <c r="Q93" s="26"/>
      <c r="R93" s="26"/>
      <c r="S93" s="26"/>
      <c r="T93" s="26"/>
      <c r="U93" s="26"/>
      <c r="V93" s="26"/>
      <c r="W93" s="26"/>
      <c r="X93" s="26"/>
      <c r="Y93" s="26"/>
      <c r="Z93" s="26"/>
    </row>
    <row r="94" spans="1:26" ht="12.75" customHeight="1" x14ac:dyDescent="0.25">
      <c r="A94" s="26"/>
      <c r="B94" s="26"/>
      <c r="C94" s="98"/>
      <c r="D94" s="26"/>
      <c r="E94" s="26"/>
      <c r="F94" s="26"/>
      <c r="G94" s="26"/>
      <c r="H94" s="26"/>
      <c r="I94" s="26"/>
      <c r="J94" s="26"/>
      <c r="K94" s="26"/>
      <c r="L94" s="26"/>
      <c r="M94" s="26"/>
      <c r="N94" s="26"/>
      <c r="O94" s="26"/>
      <c r="P94" s="26"/>
      <c r="Q94" s="26"/>
      <c r="R94" s="26"/>
      <c r="S94" s="26"/>
      <c r="T94" s="26"/>
      <c r="U94" s="26"/>
      <c r="V94" s="26"/>
      <c r="W94" s="26"/>
      <c r="X94" s="26"/>
      <c r="Y94" s="26"/>
      <c r="Z94" s="26"/>
    </row>
    <row r="95" spans="1:26" ht="12.75" customHeight="1" x14ac:dyDescent="0.25">
      <c r="A95" s="26"/>
      <c r="B95" s="26"/>
      <c r="C95" s="98"/>
      <c r="D95" s="26"/>
      <c r="E95" s="26"/>
      <c r="F95" s="26"/>
      <c r="G95" s="26"/>
      <c r="H95" s="26"/>
      <c r="I95" s="26"/>
      <c r="J95" s="26"/>
      <c r="K95" s="26"/>
      <c r="L95" s="26"/>
      <c r="M95" s="26"/>
      <c r="N95" s="26"/>
      <c r="O95" s="26"/>
      <c r="P95" s="26"/>
      <c r="Q95" s="26"/>
      <c r="R95" s="26"/>
      <c r="S95" s="26"/>
      <c r="T95" s="26"/>
      <c r="U95" s="26"/>
      <c r="V95" s="26"/>
      <c r="W95" s="26"/>
      <c r="X95" s="26"/>
      <c r="Y95" s="26"/>
      <c r="Z95" s="26"/>
    </row>
    <row r="96" spans="1:26" ht="12.75" customHeight="1" x14ac:dyDescent="0.25">
      <c r="A96" s="26"/>
      <c r="B96" s="26"/>
      <c r="C96" s="98"/>
      <c r="D96" s="26"/>
      <c r="E96" s="26"/>
      <c r="F96" s="26"/>
      <c r="G96" s="26"/>
      <c r="H96" s="26"/>
      <c r="I96" s="26"/>
      <c r="J96" s="26"/>
      <c r="K96" s="26"/>
      <c r="L96" s="26"/>
      <c r="M96" s="26"/>
      <c r="N96" s="26"/>
      <c r="O96" s="26"/>
      <c r="P96" s="26"/>
      <c r="Q96" s="26"/>
      <c r="R96" s="26"/>
      <c r="S96" s="26"/>
      <c r="T96" s="26"/>
      <c r="U96" s="26"/>
      <c r="V96" s="26"/>
      <c r="W96" s="26"/>
      <c r="X96" s="26"/>
      <c r="Y96" s="26"/>
      <c r="Z96" s="26"/>
    </row>
    <row r="97" spans="1:26" ht="12.75" customHeight="1" x14ac:dyDescent="0.25">
      <c r="A97" s="26"/>
      <c r="B97" s="26"/>
      <c r="C97" s="98"/>
      <c r="D97" s="26"/>
      <c r="E97" s="26"/>
      <c r="F97" s="26"/>
      <c r="G97" s="26"/>
      <c r="H97" s="26"/>
      <c r="I97" s="26"/>
      <c r="J97" s="26"/>
      <c r="K97" s="26"/>
      <c r="L97" s="26"/>
      <c r="M97" s="26"/>
      <c r="N97" s="26"/>
      <c r="O97" s="26"/>
      <c r="P97" s="26"/>
      <c r="Q97" s="26"/>
      <c r="R97" s="26"/>
      <c r="S97" s="26"/>
      <c r="T97" s="26"/>
      <c r="U97" s="26"/>
      <c r="V97" s="26"/>
      <c r="W97" s="26"/>
      <c r="X97" s="26"/>
      <c r="Y97" s="26"/>
      <c r="Z97" s="26"/>
    </row>
    <row r="98" spans="1:26" ht="12.75" customHeight="1" x14ac:dyDescent="0.25">
      <c r="A98" s="26"/>
      <c r="B98" s="26"/>
      <c r="C98" s="98"/>
      <c r="D98" s="26"/>
      <c r="E98" s="26"/>
      <c r="F98" s="26"/>
      <c r="G98" s="26"/>
      <c r="H98" s="26"/>
      <c r="I98" s="26"/>
      <c r="J98" s="26"/>
      <c r="K98" s="26"/>
      <c r="L98" s="26"/>
      <c r="M98" s="26"/>
      <c r="N98" s="26"/>
      <c r="O98" s="26"/>
      <c r="P98" s="26"/>
      <c r="Q98" s="26"/>
      <c r="R98" s="26"/>
      <c r="S98" s="26"/>
      <c r="T98" s="26"/>
      <c r="U98" s="26"/>
      <c r="V98" s="26"/>
      <c r="W98" s="26"/>
      <c r="X98" s="26"/>
      <c r="Y98" s="26"/>
      <c r="Z98" s="26"/>
    </row>
    <row r="99" spans="1:26" ht="12.75" customHeight="1" x14ac:dyDescent="0.25">
      <c r="A99" s="26"/>
      <c r="B99" s="26"/>
      <c r="C99" s="98"/>
      <c r="D99" s="26"/>
      <c r="E99" s="26"/>
      <c r="F99" s="26"/>
      <c r="G99" s="26"/>
      <c r="H99" s="26"/>
      <c r="I99" s="26"/>
      <c r="J99" s="26"/>
      <c r="K99" s="26"/>
      <c r="L99" s="26"/>
      <c r="M99" s="26"/>
      <c r="N99" s="26"/>
      <c r="O99" s="26"/>
      <c r="P99" s="26"/>
      <c r="Q99" s="26"/>
      <c r="R99" s="26"/>
      <c r="S99" s="26"/>
      <c r="T99" s="26"/>
      <c r="U99" s="26"/>
      <c r="V99" s="26"/>
      <c r="W99" s="26"/>
      <c r="X99" s="26"/>
      <c r="Y99" s="26"/>
      <c r="Z99" s="26"/>
    </row>
    <row r="100" spans="1:26" ht="12.75" customHeight="1" x14ac:dyDescent="0.25">
      <c r="A100" s="26"/>
      <c r="B100" s="26"/>
      <c r="C100" s="98"/>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25">
      <c r="A101" s="26"/>
      <c r="B101" s="26"/>
      <c r="C101" s="98"/>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25">
      <c r="A102" s="26"/>
      <c r="B102" s="26"/>
      <c r="C102" s="98"/>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25">
      <c r="A103" s="26"/>
      <c r="B103" s="26"/>
      <c r="C103" s="98"/>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25">
      <c r="A104" s="26"/>
      <c r="B104" s="26"/>
      <c r="C104" s="98"/>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25">
      <c r="A105" s="26"/>
      <c r="B105" s="26"/>
      <c r="C105" s="98"/>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25">
      <c r="A106" s="26"/>
      <c r="B106" s="26"/>
      <c r="C106" s="98"/>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25">
      <c r="A107" s="26"/>
      <c r="B107" s="26"/>
      <c r="C107" s="98"/>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25">
      <c r="A108" s="26"/>
      <c r="B108" s="26"/>
      <c r="C108" s="98"/>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25">
      <c r="A109" s="26"/>
      <c r="B109" s="26"/>
      <c r="C109" s="98"/>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25">
      <c r="A110" s="26"/>
      <c r="B110" s="26"/>
      <c r="C110" s="98"/>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25">
      <c r="A111" s="26"/>
      <c r="B111" s="26"/>
      <c r="C111" s="98"/>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25">
      <c r="A112" s="26"/>
      <c r="B112" s="26"/>
      <c r="C112" s="98"/>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25">
      <c r="A113" s="26"/>
      <c r="B113" s="26"/>
      <c r="C113" s="98"/>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25">
      <c r="A114" s="26"/>
      <c r="B114" s="26"/>
      <c r="C114" s="98"/>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25">
      <c r="A115" s="26"/>
      <c r="B115" s="26"/>
      <c r="C115" s="98"/>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25">
      <c r="A116" s="26"/>
      <c r="B116" s="26"/>
      <c r="C116" s="98"/>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25">
      <c r="A117" s="26"/>
      <c r="B117" s="26"/>
      <c r="C117" s="98"/>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25">
      <c r="A118" s="26"/>
      <c r="B118" s="26"/>
      <c r="C118" s="98"/>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25">
      <c r="A119" s="26"/>
      <c r="B119" s="26"/>
      <c r="C119" s="98"/>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25">
      <c r="A120" s="26"/>
      <c r="B120" s="26"/>
      <c r="C120" s="98"/>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25">
      <c r="A121" s="26"/>
      <c r="B121" s="26"/>
      <c r="C121" s="98"/>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25">
      <c r="A122" s="26"/>
      <c r="B122" s="26"/>
      <c r="C122" s="98"/>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25">
      <c r="A123" s="26"/>
      <c r="B123" s="26"/>
      <c r="C123" s="98"/>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25">
      <c r="A124" s="26"/>
      <c r="B124" s="26"/>
      <c r="C124" s="98"/>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25">
      <c r="A125" s="26"/>
      <c r="B125" s="26"/>
      <c r="C125" s="98"/>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25">
      <c r="A126" s="26"/>
      <c r="B126" s="26"/>
      <c r="C126" s="98"/>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25">
      <c r="A127" s="26"/>
      <c r="B127" s="26"/>
      <c r="C127" s="98"/>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25">
      <c r="A128" s="26"/>
      <c r="B128" s="26"/>
      <c r="C128" s="98"/>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25">
      <c r="A129" s="26"/>
      <c r="B129" s="26"/>
      <c r="C129" s="98"/>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25">
      <c r="A130" s="26"/>
      <c r="B130" s="26"/>
      <c r="C130" s="98"/>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25">
      <c r="A131" s="26"/>
      <c r="B131" s="26"/>
      <c r="C131" s="98"/>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25">
      <c r="A132" s="26"/>
      <c r="B132" s="26"/>
      <c r="C132" s="98"/>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25">
      <c r="A133" s="26"/>
      <c r="B133" s="26"/>
      <c r="C133" s="98"/>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25">
      <c r="A134" s="26"/>
      <c r="B134" s="26"/>
      <c r="C134" s="98"/>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25">
      <c r="A135" s="26"/>
      <c r="B135" s="26"/>
      <c r="C135" s="98"/>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25">
      <c r="A136" s="26"/>
      <c r="B136" s="26"/>
      <c r="C136" s="98"/>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25">
      <c r="A137" s="26"/>
      <c r="B137" s="26"/>
      <c r="C137" s="98"/>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25">
      <c r="A138" s="26"/>
      <c r="B138" s="26"/>
      <c r="C138" s="98"/>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25">
      <c r="A139" s="26"/>
      <c r="B139" s="26"/>
      <c r="C139" s="98"/>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25">
      <c r="A140" s="26"/>
      <c r="B140" s="26"/>
      <c r="C140" s="98"/>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25">
      <c r="A141" s="26"/>
      <c r="B141" s="26"/>
      <c r="C141" s="98"/>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25">
      <c r="A142" s="26"/>
      <c r="B142" s="26"/>
      <c r="C142" s="98"/>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25">
      <c r="A143" s="26"/>
      <c r="B143" s="26"/>
      <c r="C143" s="98"/>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25">
      <c r="A144" s="26"/>
      <c r="B144" s="26"/>
      <c r="C144" s="98"/>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25">
      <c r="A145" s="26"/>
      <c r="B145" s="26"/>
      <c r="C145" s="98"/>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25">
      <c r="A146" s="26"/>
      <c r="B146" s="26"/>
      <c r="C146" s="98"/>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25">
      <c r="A147" s="26"/>
      <c r="B147" s="26"/>
      <c r="C147" s="98"/>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25">
      <c r="A148" s="26"/>
      <c r="B148" s="26"/>
      <c r="C148" s="98"/>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25">
      <c r="A149" s="26"/>
      <c r="B149" s="26"/>
      <c r="C149" s="98"/>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25">
      <c r="A150" s="26"/>
      <c r="B150" s="26"/>
      <c r="C150" s="98"/>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25">
      <c r="A151" s="26"/>
      <c r="B151" s="26"/>
      <c r="C151" s="98"/>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25">
      <c r="A152" s="26"/>
      <c r="B152" s="26"/>
      <c r="C152" s="98"/>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25">
      <c r="A153" s="26"/>
      <c r="B153" s="26"/>
      <c r="C153" s="98"/>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25">
      <c r="A154" s="26"/>
      <c r="B154" s="26"/>
      <c r="C154" s="98"/>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25">
      <c r="A155" s="26"/>
      <c r="B155" s="26"/>
      <c r="C155" s="98"/>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25">
      <c r="A156" s="26"/>
      <c r="B156" s="26"/>
      <c r="C156" s="98"/>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25">
      <c r="A157" s="26"/>
      <c r="B157" s="26"/>
      <c r="C157" s="98"/>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25">
      <c r="A158" s="26"/>
      <c r="B158" s="26"/>
      <c r="C158" s="98"/>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25">
      <c r="A159" s="26"/>
      <c r="B159" s="26"/>
      <c r="C159" s="98"/>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25">
      <c r="A160" s="26"/>
      <c r="B160" s="26"/>
      <c r="C160" s="98"/>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25">
      <c r="A161" s="26"/>
      <c r="B161" s="26"/>
      <c r="C161" s="98"/>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25">
      <c r="A162" s="26"/>
      <c r="B162" s="26"/>
      <c r="C162" s="98"/>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25">
      <c r="A163" s="26"/>
      <c r="B163" s="26"/>
      <c r="C163" s="98"/>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25">
      <c r="A164" s="26"/>
      <c r="B164" s="26"/>
      <c r="C164" s="98"/>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25">
      <c r="A165" s="26"/>
      <c r="B165" s="26"/>
      <c r="C165" s="98"/>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25">
      <c r="A166" s="26"/>
      <c r="B166" s="26"/>
      <c r="C166" s="98"/>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25">
      <c r="A167" s="26"/>
      <c r="B167" s="26"/>
      <c r="C167" s="98"/>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25">
      <c r="A168" s="26"/>
      <c r="B168" s="26"/>
      <c r="C168" s="98"/>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25">
      <c r="A169" s="26"/>
      <c r="B169" s="26"/>
      <c r="C169" s="98"/>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25">
      <c r="A170" s="26"/>
      <c r="B170" s="26"/>
      <c r="C170" s="98"/>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25">
      <c r="A171" s="26"/>
      <c r="B171" s="26"/>
      <c r="C171" s="98"/>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25">
      <c r="A172" s="26"/>
      <c r="B172" s="26"/>
      <c r="C172" s="98"/>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25">
      <c r="A173" s="26"/>
      <c r="B173" s="26"/>
      <c r="C173" s="98"/>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25">
      <c r="A174" s="26"/>
      <c r="B174" s="26"/>
      <c r="C174" s="98"/>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25">
      <c r="A175" s="26"/>
      <c r="B175" s="26"/>
      <c r="C175" s="98"/>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25">
      <c r="A176" s="26"/>
      <c r="B176" s="26"/>
      <c r="C176" s="98"/>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25">
      <c r="A177" s="26"/>
      <c r="B177" s="26"/>
      <c r="C177" s="98"/>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25">
      <c r="A178" s="26"/>
      <c r="B178" s="26"/>
      <c r="C178" s="98"/>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25">
      <c r="A179" s="26"/>
      <c r="B179" s="26"/>
      <c r="C179" s="98"/>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25">
      <c r="A180" s="26"/>
      <c r="B180" s="26"/>
      <c r="C180" s="98"/>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25">
      <c r="A181" s="26"/>
      <c r="B181" s="26"/>
      <c r="C181" s="98"/>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25">
      <c r="A182" s="26"/>
      <c r="B182" s="26"/>
      <c r="C182" s="98"/>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25">
      <c r="A183" s="26"/>
      <c r="B183" s="26"/>
      <c r="C183" s="98"/>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25">
      <c r="A184" s="26"/>
      <c r="B184" s="26"/>
      <c r="C184" s="98"/>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25">
      <c r="A185" s="26"/>
      <c r="B185" s="26"/>
      <c r="C185" s="98"/>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25">
      <c r="A186" s="26"/>
      <c r="B186" s="26"/>
      <c r="C186" s="98"/>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25">
      <c r="A187" s="26"/>
      <c r="B187" s="26"/>
      <c r="C187" s="98"/>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25">
      <c r="A188" s="26"/>
      <c r="B188" s="26"/>
      <c r="C188" s="98"/>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25">
      <c r="A189" s="26"/>
      <c r="B189" s="26"/>
      <c r="C189" s="98"/>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25">
      <c r="A190" s="26"/>
      <c r="B190" s="26"/>
      <c r="C190" s="98"/>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25">
      <c r="A191" s="26"/>
      <c r="B191" s="26"/>
      <c r="C191" s="98"/>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25">
      <c r="A192" s="26"/>
      <c r="B192" s="26"/>
      <c r="C192" s="98"/>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25">
      <c r="A193" s="26"/>
      <c r="B193" s="26"/>
      <c r="C193" s="98"/>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25">
      <c r="A194" s="26"/>
      <c r="B194" s="26"/>
      <c r="C194" s="98"/>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25">
      <c r="A195" s="26"/>
      <c r="B195" s="26"/>
      <c r="C195" s="98"/>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25">
      <c r="A196" s="26"/>
      <c r="B196" s="26"/>
      <c r="C196" s="98"/>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25">
      <c r="A197" s="26"/>
      <c r="B197" s="26"/>
      <c r="C197" s="98"/>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25">
      <c r="A198" s="26"/>
      <c r="B198" s="26"/>
      <c r="C198" s="98"/>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25">
      <c r="A199" s="26"/>
      <c r="B199" s="26"/>
      <c r="C199" s="98"/>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25">
      <c r="A200" s="26"/>
      <c r="B200" s="26"/>
      <c r="C200" s="98"/>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25">
      <c r="A201" s="26"/>
      <c r="B201" s="26"/>
      <c r="C201" s="98"/>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25">
      <c r="A202" s="26"/>
      <c r="B202" s="26"/>
      <c r="C202" s="98"/>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25">
      <c r="A203" s="26"/>
      <c r="B203" s="26"/>
      <c r="C203" s="98"/>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25">
      <c r="A204" s="26"/>
      <c r="B204" s="26"/>
      <c r="C204" s="98"/>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25">
      <c r="A205" s="26"/>
      <c r="B205" s="26"/>
      <c r="C205" s="98"/>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25">
      <c r="A206" s="26"/>
      <c r="B206" s="26"/>
      <c r="C206" s="98"/>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25">
      <c r="A207" s="26"/>
      <c r="B207" s="26"/>
      <c r="C207" s="98"/>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25">
      <c r="A208" s="26"/>
      <c r="B208" s="26"/>
      <c r="C208" s="98"/>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25">
      <c r="A209" s="26"/>
      <c r="B209" s="26"/>
      <c r="C209" s="98"/>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25">
      <c r="A210" s="26"/>
      <c r="B210" s="26"/>
      <c r="C210" s="98"/>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25">
      <c r="A211" s="26"/>
      <c r="B211" s="26"/>
      <c r="C211" s="98"/>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25">
      <c r="A212" s="26"/>
      <c r="B212" s="26"/>
      <c r="C212" s="98"/>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25">
      <c r="A213" s="26"/>
      <c r="B213" s="26"/>
      <c r="C213" s="98"/>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25">
      <c r="A214" s="26"/>
      <c r="B214" s="26"/>
      <c r="C214" s="98"/>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25">
      <c r="A215" s="26"/>
      <c r="B215" s="26"/>
      <c r="C215" s="98"/>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25">
      <c r="A216" s="26"/>
      <c r="B216" s="26"/>
      <c r="C216" s="98"/>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25">
      <c r="A217" s="26"/>
      <c r="B217" s="26"/>
      <c r="C217" s="98"/>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25">
      <c r="A218" s="26"/>
      <c r="B218" s="26"/>
      <c r="C218" s="98"/>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25">
      <c r="A219" s="26"/>
      <c r="B219" s="26"/>
      <c r="C219" s="98"/>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25">
      <c r="A220" s="26"/>
      <c r="B220" s="26"/>
      <c r="C220" s="98"/>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25">
      <c r="A221" s="26"/>
      <c r="B221" s="26"/>
      <c r="C221" s="98"/>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25">
      <c r="A222" s="26"/>
      <c r="B222" s="26"/>
      <c r="C222" s="98"/>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25">
      <c r="A223" s="26"/>
      <c r="B223" s="26"/>
      <c r="C223" s="98"/>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25">
      <c r="A224" s="26"/>
      <c r="B224" s="26"/>
      <c r="C224" s="98"/>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25">
      <c r="A225" s="26"/>
      <c r="B225" s="26"/>
      <c r="C225" s="98"/>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25">
      <c r="A226" s="26"/>
      <c r="B226" s="26"/>
      <c r="C226" s="98"/>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25">
      <c r="A227" s="26"/>
      <c r="B227" s="26"/>
      <c r="C227" s="98"/>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25">
      <c r="A228" s="26"/>
      <c r="B228" s="26"/>
      <c r="C228" s="98"/>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25">
      <c r="A229" s="26"/>
      <c r="B229" s="26"/>
      <c r="C229" s="98"/>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25">
      <c r="A230" s="26"/>
      <c r="B230" s="26"/>
      <c r="C230" s="98"/>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25">
      <c r="A231" s="26"/>
      <c r="B231" s="26"/>
      <c r="C231" s="98"/>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25">
      <c r="A232" s="26"/>
      <c r="B232" s="26"/>
      <c r="C232" s="98"/>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25">
      <c r="A233" s="26"/>
      <c r="B233" s="26"/>
      <c r="C233" s="98"/>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25">
      <c r="A234" s="26"/>
      <c r="B234" s="26"/>
      <c r="C234" s="98"/>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25">
      <c r="A235" s="26"/>
      <c r="B235" s="26"/>
      <c r="C235" s="98"/>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25">
      <c r="A236" s="26"/>
      <c r="B236" s="26"/>
      <c r="C236" s="98"/>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25">
      <c r="A237" s="26"/>
      <c r="B237" s="26"/>
      <c r="C237" s="98"/>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25">
      <c r="A238" s="26"/>
      <c r="B238" s="26"/>
      <c r="C238" s="98"/>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25">
      <c r="A239" s="26"/>
      <c r="B239" s="26"/>
      <c r="C239" s="98"/>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25">
      <c r="A240" s="26"/>
      <c r="B240" s="26"/>
      <c r="C240" s="98"/>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25">
      <c r="A241" s="26"/>
      <c r="B241" s="26"/>
      <c r="C241" s="98"/>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25">
      <c r="A242" s="26"/>
      <c r="B242" s="26"/>
      <c r="C242" s="98"/>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25">
      <c r="A243" s="26"/>
      <c r="B243" s="26"/>
      <c r="C243" s="98"/>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25">
      <c r="A244" s="26"/>
      <c r="B244" s="26"/>
      <c r="C244" s="98"/>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25">
      <c r="A245" s="26"/>
      <c r="B245" s="26"/>
      <c r="C245" s="98"/>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25">
      <c r="A246" s="26"/>
      <c r="B246" s="26"/>
      <c r="C246" s="98"/>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25">
      <c r="A247" s="26"/>
      <c r="B247" s="26"/>
      <c r="C247" s="98"/>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25">
      <c r="A248" s="26"/>
      <c r="B248" s="26"/>
      <c r="C248" s="98"/>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25">
      <c r="A249" s="26"/>
      <c r="B249" s="26"/>
      <c r="C249" s="98"/>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25">
      <c r="A250" s="26"/>
      <c r="B250" s="26"/>
      <c r="C250" s="98"/>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25">
      <c r="A251" s="26"/>
      <c r="B251" s="26"/>
      <c r="C251" s="98"/>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25">
      <c r="A252" s="26"/>
      <c r="B252" s="26"/>
      <c r="C252" s="98"/>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25">
      <c r="A253" s="26"/>
      <c r="B253" s="26"/>
      <c r="C253" s="98"/>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25">
      <c r="A254" s="26"/>
      <c r="B254" s="26"/>
      <c r="C254" s="98"/>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x14ac:dyDescent="0.25">
      <c r="A255" s="26"/>
      <c r="B255" s="26"/>
      <c r="C255" s="98"/>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x14ac:dyDescent="0.25">
      <c r="A256" s="26"/>
      <c r="B256" s="26"/>
      <c r="C256" s="98"/>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x14ac:dyDescent="0.25">
      <c r="A257" s="26"/>
      <c r="B257" s="26"/>
      <c r="C257" s="98"/>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x14ac:dyDescent="0.25">
      <c r="A258" s="26"/>
      <c r="B258" s="26"/>
      <c r="C258" s="98"/>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x14ac:dyDescent="0.25">
      <c r="A259" s="26"/>
      <c r="B259" s="26"/>
      <c r="C259" s="98"/>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x14ac:dyDescent="0.25">
      <c r="A260" s="26"/>
      <c r="B260" s="26"/>
      <c r="C260" s="98"/>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x14ac:dyDescent="0.25">
      <c r="A261" s="26"/>
      <c r="B261" s="26"/>
      <c r="C261" s="98"/>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x14ac:dyDescent="0.25">
      <c r="A262" s="26"/>
      <c r="B262" s="26"/>
      <c r="C262" s="98"/>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x14ac:dyDescent="0.25">
      <c r="A263" s="26"/>
      <c r="B263" s="26"/>
      <c r="C263" s="98"/>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x14ac:dyDescent="0.25">
      <c r="A264" s="26"/>
      <c r="B264" s="26"/>
      <c r="C264" s="98"/>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x14ac:dyDescent="0.25">
      <c r="A265" s="26"/>
      <c r="B265" s="26"/>
      <c r="C265" s="98"/>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x14ac:dyDescent="0.25">
      <c r="A266" s="26"/>
      <c r="B266" s="26"/>
      <c r="C266" s="98"/>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x14ac:dyDescent="0.25">
      <c r="A267" s="26"/>
      <c r="B267" s="26"/>
      <c r="C267" s="98"/>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x14ac:dyDescent="0.25">
      <c r="A268" s="26"/>
      <c r="B268" s="26"/>
      <c r="C268" s="98"/>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x14ac:dyDescent="0.25">
      <c r="A269" s="26"/>
      <c r="B269" s="26"/>
      <c r="C269" s="98"/>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x14ac:dyDescent="0.25">
      <c r="A270" s="26"/>
      <c r="B270" s="26"/>
      <c r="C270" s="98"/>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x14ac:dyDescent="0.25">
      <c r="A271" s="26"/>
      <c r="B271" s="26"/>
      <c r="C271" s="98"/>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x14ac:dyDescent="0.25">
      <c r="A272" s="26"/>
      <c r="B272" s="26"/>
      <c r="C272" s="98"/>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x14ac:dyDescent="0.25">
      <c r="A273" s="26"/>
      <c r="B273" s="26"/>
      <c r="C273" s="98"/>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x14ac:dyDescent="0.25">
      <c r="A274" s="26"/>
      <c r="B274" s="26"/>
      <c r="C274" s="98"/>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x14ac:dyDescent="0.25">
      <c r="A275" s="26"/>
      <c r="B275" s="26"/>
      <c r="C275" s="98"/>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x14ac:dyDescent="0.25">
      <c r="A276" s="26"/>
      <c r="B276" s="26"/>
      <c r="C276" s="98"/>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x14ac:dyDescent="0.25">
      <c r="A277" s="26"/>
      <c r="B277" s="26"/>
      <c r="C277" s="98"/>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x14ac:dyDescent="0.25">
      <c r="A278" s="26"/>
      <c r="B278" s="26"/>
      <c r="C278" s="98"/>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x14ac:dyDescent="0.25">
      <c r="A279" s="26"/>
      <c r="B279" s="26"/>
      <c r="C279" s="98"/>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x14ac:dyDescent="0.25">
      <c r="A280" s="26"/>
      <c r="B280" s="26"/>
      <c r="C280" s="98"/>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x14ac:dyDescent="0.25">
      <c r="A281" s="26"/>
      <c r="B281" s="26"/>
      <c r="C281" s="98"/>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x14ac:dyDescent="0.25">
      <c r="A282" s="26"/>
      <c r="B282" s="26"/>
      <c r="C282" s="98"/>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x14ac:dyDescent="0.25">
      <c r="A283" s="26"/>
      <c r="B283" s="26"/>
      <c r="C283" s="98"/>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x14ac:dyDescent="0.25">
      <c r="A284" s="26"/>
      <c r="B284" s="26"/>
      <c r="C284" s="98"/>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x14ac:dyDescent="0.25">
      <c r="A285" s="26"/>
      <c r="B285" s="26"/>
      <c r="C285" s="98"/>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x14ac:dyDescent="0.25">
      <c r="A286" s="26"/>
      <c r="B286" s="26"/>
      <c r="C286" s="98"/>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x14ac:dyDescent="0.25">
      <c r="A287" s="26"/>
      <c r="B287" s="26"/>
      <c r="C287" s="98"/>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x14ac:dyDescent="0.25">
      <c r="A288" s="26"/>
      <c r="B288" s="26"/>
      <c r="C288" s="98"/>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x14ac:dyDescent="0.25">
      <c r="A289" s="26"/>
      <c r="B289" s="26"/>
      <c r="C289" s="98"/>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x14ac:dyDescent="0.25">
      <c r="A290" s="26"/>
      <c r="B290" s="26"/>
      <c r="C290" s="98"/>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x14ac:dyDescent="0.25">
      <c r="A291" s="26"/>
      <c r="B291" s="26"/>
      <c r="C291" s="98"/>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x14ac:dyDescent="0.25">
      <c r="A292" s="26"/>
      <c r="B292" s="26"/>
      <c r="C292" s="98"/>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x14ac:dyDescent="0.25">
      <c r="A293" s="26"/>
      <c r="B293" s="26"/>
      <c r="C293" s="98"/>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x14ac:dyDescent="0.25">
      <c r="A294" s="26"/>
      <c r="B294" s="26"/>
      <c r="C294" s="98"/>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x14ac:dyDescent="0.25">
      <c r="A295" s="26"/>
      <c r="B295" s="26"/>
      <c r="C295" s="98"/>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x14ac:dyDescent="0.25">
      <c r="A296" s="26"/>
      <c r="B296" s="26"/>
      <c r="C296" s="98"/>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x14ac:dyDescent="0.25">
      <c r="A297" s="26"/>
      <c r="B297" s="26"/>
      <c r="C297" s="98"/>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x14ac:dyDescent="0.25">
      <c r="A298" s="26"/>
      <c r="B298" s="26"/>
      <c r="C298" s="98"/>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x14ac:dyDescent="0.25">
      <c r="A299" s="26"/>
      <c r="B299" s="26"/>
      <c r="C299" s="98"/>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x14ac:dyDescent="0.25">
      <c r="A300" s="26"/>
      <c r="B300" s="26"/>
      <c r="C300" s="98"/>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x14ac:dyDescent="0.25">
      <c r="A301" s="26"/>
      <c r="B301" s="26"/>
      <c r="C301" s="98"/>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x14ac:dyDescent="0.25">
      <c r="A302" s="26"/>
      <c r="B302" s="26"/>
      <c r="C302" s="98"/>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x14ac:dyDescent="0.25">
      <c r="A303" s="26"/>
      <c r="B303" s="26"/>
      <c r="C303" s="98"/>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x14ac:dyDescent="0.25">
      <c r="A304" s="26"/>
      <c r="B304" s="26"/>
      <c r="C304" s="98"/>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x14ac:dyDescent="0.25">
      <c r="A305" s="26"/>
      <c r="B305" s="26"/>
      <c r="C305" s="98"/>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x14ac:dyDescent="0.25">
      <c r="A306" s="26"/>
      <c r="B306" s="26"/>
      <c r="C306" s="98"/>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x14ac:dyDescent="0.25">
      <c r="A307" s="26"/>
      <c r="B307" s="26"/>
      <c r="C307" s="98"/>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x14ac:dyDescent="0.25">
      <c r="A308" s="26"/>
      <c r="B308" s="26"/>
      <c r="C308" s="98"/>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x14ac:dyDescent="0.25">
      <c r="A309" s="26"/>
      <c r="B309" s="26"/>
      <c r="C309" s="98"/>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x14ac:dyDescent="0.25">
      <c r="A310" s="26"/>
      <c r="B310" s="26"/>
      <c r="C310" s="98"/>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x14ac:dyDescent="0.25">
      <c r="A311" s="26"/>
      <c r="B311" s="26"/>
      <c r="C311" s="98"/>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x14ac:dyDescent="0.25">
      <c r="A312" s="26"/>
      <c r="B312" s="26"/>
      <c r="C312" s="98"/>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x14ac:dyDescent="0.25">
      <c r="A313" s="26"/>
      <c r="B313" s="26"/>
      <c r="C313" s="98"/>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x14ac:dyDescent="0.25">
      <c r="A314" s="26"/>
      <c r="B314" s="26"/>
      <c r="C314" s="98"/>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x14ac:dyDescent="0.25">
      <c r="A315" s="26"/>
      <c r="B315" s="26"/>
      <c r="C315" s="98"/>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x14ac:dyDescent="0.25">
      <c r="A316" s="26"/>
      <c r="B316" s="26"/>
      <c r="C316" s="98"/>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x14ac:dyDescent="0.25">
      <c r="A317" s="26"/>
      <c r="B317" s="26"/>
      <c r="C317" s="98"/>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x14ac:dyDescent="0.25">
      <c r="A318" s="26"/>
      <c r="B318" s="26"/>
      <c r="C318" s="98"/>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x14ac:dyDescent="0.25">
      <c r="A319" s="26"/>
      <c r="B319" s="26"/>
      <c r="C319" s="98"/>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x14ac:dyDescent="0.25">
      <c r="A320" s="26"/>
      <c r="B320" s="26"/>
      <c r="C320" s="98"/>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x14ac:dyDescent="0.25">
      <c r="A321" s="26"/>
      <c r="B321" s="26"/>
      <c r="C321" s="98"/>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x14ac:dyDescent="0.25">
      <c r="A322" s="26"/>
      <c r="B322" s="26"/>
      <c r="C322" s="98"/>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x14ac:dyDescent="0.25">
      <c r="A323" s="26"/>
      <c r="B323" s="26"/>
      <c r="C323" s="98"/>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x14ac:dyDescent="0.25">
      <c r="A324" s="26"/>
      <c r="B324" s="26"/>
      <c r="C324" s="98"/>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x14ac:dyDescent="0.25">
      <c r="A325" s="26"/>
      <c r="B325" s="26"/>
      <c r="C325" s="98"/>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x14ac:dyDescent="0.25">
      <c r="A326" s="26"/>
      <c r="B326" s="26"/>
      <c r="C326" s="98"/>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x14ac:dyDescent="0.25">
      <c r="A327" s="26"/>
      <c r="B327" s="26"/>
      <c r="C327" s="98"/>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x14ac:dyDescent="0.25">
      <c r="A328" s="26"/>
      <c r="B328" s="26"/>
      <c r="C328" s="98"/>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x14ac:dyDescent="0.25">
      <c r="A329" s="26"/>
      <c r="B329" s="26"/>
      <c r="C329" s="98"/>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x14ac:dyDescent="0.25">
      <c r="A330" s="26"/>
      <c r="B330" s="26"/>
      <c r="C330" s="98"/>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x14ac:dyDescent="0.25">
      <c r="A331" s="26"/>
      <c r="B331" s="26"/>
      <c r="C331" s="98"/>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x14ac:dyDescent="0.25">
      <c r="A332" s="26"/>
      <c r="B332" s="26"/>
      <c r="C332" s="98"/>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x14ac:dyDescent="0.25">
      <c r="A333" s="26"/>
      <c r="B333" s="26"/>
      <c r="C333" s="98"/>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x14ac:dyDescent="0.25">
      <c r="A334" s="26"/>
      <c r="B334" s="26"/>
      <c r="C334" s="98"/>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x14ac:dyDescent="0.25">
      <c r="A335" s="26"/>
      <c r="B335" s="26"/>
      <c r="C335" s="98"/>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x14ac:dyDescent="0.25">
      <c r="A336" s="26"/>
      <c r="B336" s="26"/>
      <c r="C336" s="98"/>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x14ac:dyDescent="0.25">
      <c r="A337" s="26"/>
      <c r="B337" s="26"/>
      <c r="C337" s="98"/>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x14ac:dyDescent="0.25">
      <c r="A338" s="26"/>
      <c r="B338" s="26"/>
      <c r="C338" s="98"/>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x14ac:dyDescent="0.25">
      <c r="A339" s="26"/>
      <c r="B339" s="26"/>
      <c r="C339" s="98"/>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x14ac:dyDescent="0.25">
      <c r="A340" s="26"/>
      <c r="B340" s="26"/>
      <c r="C340" s="98"/>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x14ac:dyDescent="0.25">
      <c r="A341" s="26"/>
      <c r="B341" s="26"/>
      <c r="C341" s="98"/>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x14ac:dyDescent="0.25">
      <c r="A342" s="26"/>
      <c r="B342" s="26"/>
      <c r="C342" s="98"/>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x14ac:dyDescent="0.25">
      <c r="A343" s="26"/>
      <c r="B343" s="26"/>
      <c r="C343" s="98"/>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x14ac:dyDescent="0.25">
      <c r="A344" s="26"/>
      <c r="B344" s="26"/>
      <c r="C344" s="98"/>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x14ac:dyDescent="0.25">
      <c r="A345" s="26"/>
      <c r="B345" s="26"/>
      <c r="C345" s="98"/>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x14ac:dyDescent="0.25">
      <c r="A346" s="26"/>
      <c r="B346" s="26"/>
      <c r="C346" s="98"/>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x14ac:dyDescent="0.25">
      <c r="A347" s="26"/>
      <c r="B347" s="26"/>
      <c r="C347" s="98"/>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x14ac:dyDescent="0.25">
      <c r="A348" s="26"/>
      <c r="B348" s="26"/>
      <c r="C348" s="98"/>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x14ac:dyDescent="0.25">
      <c r="A349" s="26"/>
      <c r="B349" s="26"/>
      <c r="C349" s="98"/>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x14ac:dyDescent="0.25">
      <c r="A350" s="26"/>
      <c r="B350" s="26"/>
      <c r="C350" s="98"/>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x14ac:dyDescent="0.25">
      <c r="A351" s="26"/>
      <c r="B351" s="26"/>
      <c r="C351" s="98"/>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x14ac:dyDescent="0.25">
      <c r="A352" s="26"/>
      <c r="B352" s="26"/>
      <c r="C352" s="98"/>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x14ac:dyDescent="0.25">
      <c r="A353" s="26"/>
      <c r="B353" s="26"/>
      <c r="C353" s="98"/>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x14ac:dyDescent="0.25">
      <c r="A354" s="26"/>
      <c r="B354" s="26"/>
      <c r="C354" s="98"/>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x14ac:dyDescent="0.25">
      <c r="A355" s="26"/>
      <c r="B355" s="26"/>
      <c r="C355" s="98"/>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x14ac:dyDescent="0.25">
      <c r="A356" s="26"/>
      <c r="B356" s="26"/>
      <c r="C356" s="98"/>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x14ac:dyDescent="0.25">
      <c r="A357" s="26"/>
      <c r="B357" s="26"/>
      <c r="C357" s="98"/>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x14ac:dyDescent="0.25">
      <c r="A358" s="26"/>
      <c r="B358" s="26"/>
      <c r="C358" s="98"/>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x14ac:dyDescent="0.25">
      <c r="A359" s="26"/>
      <c r="B359" s="26"/>
      <c r="C359" s="98"/>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x14ac:dyDescent="0.25">
      <c r="A360" s="26"/>
      <c r="B360" s="26"/>
      <c r="C360" s="98"/>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x14ac:dyDescent="0.25">
      <c r="A361" s="26"/>
      <c r="B361" s="26"/>
      <c r="C361" s="98"/>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x14ac:dyDescent="0.25">
      <c r="A362" s="26"/>
      <c r="B362" s="26"/>
      <c r="C362" s="98"/>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x14ac:dyDescent="0.25">
      <c r="A363" s="26"/>
      <c r="B363" s="26"/>
      <c r="C363" s="98"/>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x14ac:dyDescent="0.25">
      <c r="A364" s="26"/>
      <c r="B364" s="26"/>
      <c r="C364" s="98"/>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x14ac:dyDescent="0.25">
      <c r="A365" s="26"/>
      <c r="B365" s="26"/>
      <c r="C365" s="98"/>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x14ac:dyDescent="0.25">
      <c r="A366" s="26"/>
      <c r="B366" s="26"/>
      <c r="C366" s="98"/>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x14ac:dyDescent="0.25">
      <c r="A367" s="26"/>
      <c r="B367" s="26"/>
      <c r="C367" s="98"/>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x14ac:dyDescent="0.25">
      <c r="A368" s="26"/>
      <c r="B368" s="26"/>
      <c r="C368" s="98"/>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x14ac:dyDescent="0.25">
      <c r="A369" s="26"/>
      <c r="B369" s="26"/>
      <c r="C369" s="98"/>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x14ac:dyDescent="0.25">
      <c r="A370" s="26"/>
      <c r="B370" s="26"/>
      <c r="C370" s="98"/>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x14ac:dyDescent="0.25">
      <c r="A371" s="26"/>
      <c r="B371" s="26"/>
      <c r="C371" s="98"/>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x14ac:dyDescent="0.25">
      <c r="A372" s="26"/>
      <c r="B372" s="26"/>
      <c r="C372" s="98"/>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x14ac:dyDescent="0.25">
      <c r="A373" s="26"/>
      <c r="B373" s="26"/>
      <c r="C373" s="98"/>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x14ac:dyDescent="0.25">
      <c r="A374" s="26"/>
      <c r="B374" s="26"/>
      <c r="C374" s="98"/>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x14ac:dyDescent="0.25">
      <c r="A375" s="26"/>
      <c r="B375" s="26"/>
      <c r="C375" s="98"/>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x14ac:dyDescent="0.25">
      <c r="A376" s="26"/>
      <c r="B376" s="26"/>
      <c r="C376" s="98"/>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x14ac:dyDescent="0.25">
      <c r="A377" s="26"/>
      <c r="B377" s="26"/>
      <c r="C377" s="98"/>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x14ac:dyDescent="0.25">
      <c r="A378" s="26"/>
      <c r="B378" s="26"/>
      <c r="C378" s="98"/>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x14ac:dyDescent="0.25">
      <c r="A379" s="26"/>
      <c r="B379" s="26"/>
      <c r="C379" s="98"/>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x14ac:dyDescent="0.25">
      <c r="A380" s="26"/>
      <c r="B380" s="26"/>
      <c r="C380" s="98"/>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x14ac:dyDescent="0.25">
      <c r="A381" s="26"/>
      <c r="B381" s="26"/>
      <c r="C381" s="98"/>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x14ac:dyDescent="0.25">
      <c r="A382" s="26"/>
      <c r="B382" s="26"/>
      <c r="C382" s="98"/>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x14ac:dyDescent="0.25">
      <c r="A383" s="26"/>
      <c r="B383" s="26"/>
      <c r="C383" s="98"/>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x14ac:dyDescent="0.25">
      <c r="A384" s="26"/>
      <c r="B384" s="26"/>
      <c r="C384" s="98"/>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x14ac:dyDescent="0.25">
      <c r="A385" s="26"/>
      <c r="B385" s="26"/>
      <c r="C385" s="98"/>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x14ac:dyDescent="0.25">
      <c r="A386" s="26"/>
      <c r="B386" s="26"/>
      <c r="C386" s="98"/>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x14ac:dyDescent="0.25">
      <c r="A387" s="26"/>
      <c r="B387" s="26"/>
      <c r="C387" s="98"/>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x14ac:dyDescent="0.25">
      <c r="A388" s="26"/>
      <c r="B388" s="26"/>
      <c r="C388" s="98"/>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x14ac:dyDescent="0.25">
      <c r="A389" s="26"/>
      <c r="B389" s="26"/>
      <c r="C389" s="98"/>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x14ac:dyDescent="0.25">
      <c r="A390" s="26"/>
      <c r="B390" s="26"/>
      <c r="C390" s="98"/>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x14ac:dyDescent="0.25">
      <c r="A391" s="26"/>
      <c r="B391" s="26"/>
      <c r="C391" s="98"/>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x14ac:dyDescent="0.25">
      <c r="A392" s="26"/>
      <c r="B392" s="26"/>
      <c r="C392" s="98"/>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x14ac:dyDescent="0.25">
      <c r="A393" s="26"/>
      <c r="B393" s="26"/>
      <c r="C393" s="98"/>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x14ac:dyDescent="0.25">
      <c r="A394" s="26"/>
      <c r="B394" s="26"/>
      <c r="C394" s="98"/>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x14ac:dyDescent="0.25">
      <c r="A395" s="26"/>
      <c r="B395" s="26"/>
      <c r="C395" s="98"/>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x14ac:dyDescent="0.25">
      <c r="A396" s="26"/>
      <c r="B396" s="26"/>
      <c r="C396" s="98"/>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x14ac:dyDescent="0.25">
      <c r="A397" s="26"/>
      <c r="B397" s="26"/>
      <c r="C397" s="98"/>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x14ac:dyDescent="0.25">
      <c r="A398" s="26"/>
      <c r="B398" s="26"/>
      <c r="C398" s="98"/>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x14ac:dyDescent="0.25">
      <c r="A399" s="26"/>
      <c r="B399" s="26"/>
      <c r="C399" s="98"/>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x14ac:dyDescent="0.25">
      <c r="A400" s="26"/>
      <c r="B400" s="26"/>
      <c r="C400" s="98"/>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x14ac:dyDescent="0.25">
      <c r="A401" s="26"/>
      <c r="B401" s="26"/>
      <c r="C401" s="98"/>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x14ac:dyDescent="0.25">
      <c r="A402" s="26"/>
      <c r="B402" s="26"/>
      <c r="C402" s="98"/>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x14ac:dyDescent="0.25">
      <c r="A403" s="26"/>
      <c r="B403" s="26"/>
      <c r="C403" s="98"/>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x14ac:dyDescent="0.25">
      <c r="A404" s="26"/>
      <c r="B404" s="26"/>
      <c r="C404" s="98"/>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x14ac:dyDescent="0.25">
      <c r="A405" s="26"/>
      <c r="B405" s="26"/>
      <c r="C405" s="98"/>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x14ac:dyDescent="0.25">
      <c r="A406" s="26"/>
      <c r="B406" s="26"/>
      <c r="C406" s="98"/>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x14ac:dyDescent="0.25">
      <c r="A407" s="26"/>
      <c r="B407" s="26"/>
      <c r="C407" s="98"/>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x14ac:dyDescent="0.25">
      <c r="A408" s="26"/>
      <c r="B408" s="26"/>
      <c r="C408" s="98"/>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x14ac:dyDescent="0.25">
      <c r="A409" s="26"/>
      <c r="B409" s="26"/>
      <c r="C409" s="98"/>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x14ac:dyDescent="0.25">
      <c r="A410" s="26"/>
      <c r="B410" s="26"/>
      <c r="C410" s="98"/>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x14ac:dyDescent="0.25">
      <c r="A411" s="26"/>
      <c r="B411" s="26"/>
      <c r="C411" s="98"/>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x14ac:dyDescent="0.25">
      <c r="A412" s="26"/>
      <c r="B412" s="26"/>
      <c r="C412" s="98"/>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x14ac:dyDescent="0.25">
      <c r="A413" s="26"/>
      <c r="B413" s="26"/>
      <c r="C413" s="98"/>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x14ac:dyDescent="0.25">
      <c r="A414" s="26"/>
      <c r="B414" s="26"/>
      <c r="C414" s="98"/>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x14ac:dyDescent="0.25">
      <c r="A415" s="26"/>
      <c r="B415" s="26"/>
      <c r="C415" s="98"/>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x14ac:dyDescent="0.25">
      <c r="A416" s="26"/>
      <c r="B416" s="26"/>
      <c r="C416" s="98"/>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x14ac:dyDescent="0.25">
      <c r="A417" s="26"/>
      <c r="B417" s="26"/>
      <c r="C417" s="98"/>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x14ac:dyDescent="0.25">
      <c r="A418" s="26"/>
      <c r="B418" s="26"/>
      <c r="C418" s="98"/>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x14ac:dyDescent="0.25">
      <c r="A419" s="26"/>
      <c r="B419" s="26"/>
      <c r="C419" s="98"/>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x14ac:dyDescent="0.25">
      <c r="A420" s="26"/>
      <c r="B420" s="26"/>
      <c r="C420" s="98"/>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x14ac:dyDescent="0.25">
      <c r="A421" s="26"/>
      <c r="B421" s="26"/>
      <c r="C421" s="98"/>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x14ac:dyDescent="0.25">
      <c r="A422" s="26"/>
      <c r="B422" s="26"/>
      <c r="C422" s="98"/>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x14ac:dyDescent="0.25">
      <c r="A423" s="26"/>
      <c r="B423" s="26"/>
      <c r="C423" s="98"/>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x14ac:dyDescent="0.25">
      <c r="A424" s="26"/>
      <c r="B424" s="26"/>
      <c r="C424" s="98"/>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x14ac:dyDescent="0.25">
      <c r="A425" s="26"/>
      <c r="B425" s="26"/>
      <c r="C425" s="98"/>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x14ac:dyDescent="0.25">
      <c r="A426" s="26"/>
      <c r="B426" s="26"/>
      <c r="C426" s="98"/>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x14ac:dyDescent="0.25">
      <c r="A427" s="26"/>
      <c r="B427" s="26"/>
      <c r="C427" s="98"/>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x14ac:dyDescent="0.25">
      <c r="A428" s="26"/>
      <c r="B428" s="26"/>
      <c r="C428" s="98"/>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x14ac:dyDescent="0.25">
      <c r="A429" s="26"/>
      <c r="B429" s="26"/>
      <c r="C429" s="98"/>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x14ac:dyDescent="0.25">
      <c r="A430" s="26"/>
      <c r="B430" s="26"/>
      <c r="C430" s="98"/>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x14ac:dyDescent="0.25">
      <c r="A431" s="26"/>
      <c r="B431" s="26"/>
      <c r="C431" s="98"/>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x14ac:dyDescent="0.25">
      <c r="A432" s="26"/>
      <c r="B432" s="26"/>
      <c r="C432" s="98"/>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x14ac:dyDescent="0.25">
      <c r="A433" s="26"/>
      <c r="B433" s="26"/>
      <c r="C433" s="98"/>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x14ac:dyDescent="0.25">
      <c r="A434" s="26"/>
      <c r="B434" s="26"/>
      <c r="C434" s="98"/>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x14ac:dyDescent="0.25">
      <c r="A435" s="26"/>
      <c r="B435" s="26"/>
      <c r="C435" s="98"/>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x14ac:dyDescent="0.25">
      <c r="A436" s="26"/>
      <c r="B436" s="26"/>
      <c r="C436" s="98"/>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x14ac:dyDescent="0.25">
      <c r="A437" s="26"/>
      <c r="B437" s="26"/>
      <c r="C437" s="98"/>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x14ac:dyDescent="0.25">
      <c r="A438" s="26"/>
      <c r="B438" s="26"/>
      <c r="C438" s="98"/>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x14ac:dyDescent="0.25">
      <c r="A439" s="26"/>
      <c r="B439" s="26"/>
      <c r="C439" s="98"/>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x14ac:dyDescent="0.25">
      <c r="A440" s="26"/>
      <c r="B440" s="26"/>
      <c r="C440" s="98"/>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x14ac:dyDescent="0.25">
      <c r="A441" s="26"/>
      <c r="B441" s="26"/>
      <c r="C441" s="98"/>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x14ac:dyDescent="0.25">
      <c r="A442" s="26"/>
      <c r="B442" s="26"/>
      <c r="C442" s="98"/>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x14ac:dyDescent="0.25">
      <c r="A443" s="26"/>
      <c r="B443" s="26"/>
      <c r="C443" s="98"/>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x14ac:dyDescent="0.25">
      <c r="A444" s="26"/>
      <c r="B444" s="26"/>
      <c r="C444" s="98"/>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x14ac:dyDescent="0.25">
      <c r="A445" s="26"/>
      <c r="B445" s="26"/>
      <c r="C445" s="98"/>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x14ac:dyDescent="0.25">
      <c r="A446" s="26"/>
      <c r="B446" s="26"/>
      <c r="C446" s="98"/>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x14ac:dyDescent="0.25">
      <c r="A447" s="26"/>
      <c r="B447" s="26"/>
      <c r="C447" s="98"/>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x14ac:dyDescent="0.25">
      <c r="A448" s="26"/>
      <c r="B448" s="26"/>
      <c r="C448" s="98"/>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x14ac:dyDescent="0.25">
      <c r="A449" s="26"/>
      <c r="B449" s="26"/>
      <c r="C449" s="98"/>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x14ac:dyDescent="0.25">
      <c r="A450" s="26"/>
      <c r="B450" s="26"/>
      <c r="C450" s="98"/>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x14ac:dyDescent="0.25">
      <c r="A451" s="26"/>
      <c r="B451" s="26"/>
      <c r="C451" s="98"/>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x14ac:dyDescent="0.25">
      <c r="A452" s="26"/>
      <c r="B452" s="26"/>
      <c r="C452" s="98"/>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x14ac:dyDescent="0.25">
      <c r="A453" s="26"/>
      <c r="B453" s="26"/>
      <c r="C453" s="98"/>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x14ac:dyDescent="0.25">
      <c r="A454" s="26"/>
      <c r="B454" s="26"/>
      <c r="C454" s="98"/>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x14ac:dyDescent="0.25">
      <c r="A455" s="26"/>
      <c r="B455" s="26"/>
      <c r="C455" s="98"/>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x14ac:dyDescent="0.25">
      <c r="A456" s="26"/>
      <c r="B456" s="26"/>
      <c r="C456" s="98"/>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x14ac:dyDescent="0.25">
      <c r="A457" s="26"/>
      <c r="B457" s="26"/>
      <c r="C457" s="98"/>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x14ac:dyDescent="0.25">
      <c r="A458" s="26"/>
      <c r="B458" s="26"/>
      <c r="C458" s="98"/>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x14ac:dyDescent="0.25">
      <c r="A459" s="26"/>
      <c r="B459" s="26"/>
      <c r="C459" s="98"/>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x14ac:dyDescent="0.25">
      <c r="A460" s="26"/>
      <c r="B460" s="26"/>
      <c r="C460" s="98"/>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x14ac:dyDescent="0.25">
      <c r="A461" s="26"/>
      <c r="B461" s="26"/>
      <c r="C461" s="98"/>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x14ac:dyDescent="0.25">
      <c r="A462" s="26"/>
      <c r="B462" s="26"/>
      <c r="C462" s="98"/>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x14ac:dyDescent="0.25">
      <c r="A463" s="26"/>
      <c r="B463" s="26"/>
      <c r="C463" s="98"/>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x14ac:dyDescent="0.25">
      <c r="A464" s="26"/>
      <c r="B464" s="26"/>
      <c r="C464" s="98"/>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x14ac:dyDescent="0.25">
      <c r="A465" s="26"/>
      <c r="B465" s="26"/>
      <c r="C465" s="98"/>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x14ac:dyDescent="0.25">
      <c r="A466" s="26"/>
      <c r="B466" s="26"/>
      <c r="C466" s="98"/>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x14ac:dyDescent="0.25">
      <c r="A467" s="26"/>
      <c r="B467" s="26"/>
      <c r="C467" s="98"/>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x14ac:dyDescent="0.25">
      <c r="A468" s="26"/>
      <c r="B468" s="26"/>
      <c r="C468" s="98"/>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x14ac:dyDescent="0.25">
      <c r="A469" s="26"/>
      <c r="B469" s="26"/>
      <c r="C469" s="98"/>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x14ac:dyDescent="0.25">
      <c r="A470" s="26"/>
      <c r="B470" s="26"/>
      <c r="C470" s="98"/>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x14ac:dyDescent="0.25">
      <c r="A471" s="26"/>
      <c r="B471" s="26"/>
      <c r="C471" s="98"/>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x14ac:dyDescent="0.25">
      <c r="A472" s="26"/>
      <c r="B472" s="26"/>
      <c r="C472" s="98"/>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x14ac:dyDescent="0.25">
      <c r="A473" s="26"/>
      <c r="B473" s="26"/>
      <c r="C473" s="98"/>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x14ac:dyDescent="0.25">
      <c r="A474" s="26"/>
      <c r="B474" s="26"/>
      <c r="C474" s="98"/>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x14ac:dyDescent="0.25">
      <c r="A475" s="26"/>
      <c r="B475" s="26"/>
      <c r="C475" s="98"/>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x14ac:dyDescent="0.25">
      <c r="A476" s="26"/>
      <c r="B476" s="26"/>
      <c r="C476" s="98"/>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x14ac:dyDescent="0.25">
      <c r="A477" s="26"/>
      <c r="B477" s="26"/>
      <c r="C477" s="98"/>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x14ac:dyDescent="0.25">
      <c r="A478" s="26"/>
      <c r="B478" s="26"/>
      <c r="C478" s="98"/>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x14ac:dyDescent="0.25">
      <c r="A479" s="26"/>
      <c r="B479" s="26"/>
      <c r="C479" s="98"/>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x14ac:dyDescent="0.25">
      <c r="A480" s="26"/>
      <c r="B480" s="26"/>
      <c r="C480" s="98"/>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x14ac:dyDescent="0.25">
      <c r="A481" s="26"/>
      <c r="B481" s="26"/>
      <c r="C481" s="98"/>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x14ac:dyDescent="0.25">
      <c r="A482" s="26"/>
      <c r="B482" s="26"/>
      <c r="C482" s="98"/>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x14ac:dyDescent="0.25">
      <c r="A483" s="26"/>
      <c r="B483" s="26"/>
      <c r="C483" s="98"/>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x14ac:dyDescent="0.25">
      <c r="A484" s="26"/>
      <c r="B484" s="26"/>
      <c r="C484" s="98"/>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x14ac:dyDescent="0.25">
      <c r="A485" s="26"/>
      <c r="B485" s="26"/>
      <c r="C485" s="98"/>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x14ac:dyDescent="0.25">
      <c r="A486" s="26"/>
      <c r="B486" s="26"/>
      <c r="C486" s="98"/>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x14ac:dyDescent="0.25">
      <c r="A487" s="26"/>
      <c r="B487" s="26"/>
      <c r="C487" s="98"/>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x14ac:dyDescent="0.25">
      <c r="A488" s="26"/>
      <c r="B488" s="26"/>
      <c r="C488" s="98"/>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x14ac:dyDescent="0.25">
      <c r="A489" s="26"/>
      <c r="B489" s="26"/>
      <c r="C489" s="98"/>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x14ac:dyDescent="0.25">
      <c r="A490" s="26"/>
      <c r="B490" s="26"/>
      <c r="C490" s="98"/>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x14ac:dyDescent="0.25">
      <c r="A491" s="26"/>
      <c r="B491" s="26"/>
      <c r="C491" s="98"/>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x14ac:dyDescent="0.25">
      <c r="A492" s="26"/>
      <c r="B492" s="26"/>
      <c r="C492" s="98"/>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x14ac:dyDescent="0.25">
      <c r="A493" s="26"/>
      <c r="B493" s="26"/>
      <c r="C493" s="98"/>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x14ac:dyDescent="0.25">
      <c r="A494" s="26"/>
      <c r="B494" s="26"/>
      <c r="C494" s="98"/>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x14ac:dyDescent="0.25">
      <c r="A495" s="26"/>
      <c r="B495" s="26"/>
      <c r="C495" s="98"/>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x14ac:dyDescent="0.25">
      <c r="A496" s="26"/>
      <c r="B496" s="26"/>
      <c r="C496" s="98"/>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x14ac:dyDescent="0.25">
      <c r="A497" s="26"/>
      <c r="B497" s="26"/>
      <c r="C497" s="98"/>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x14ac:dyDescent="0.25">
      <c r="A498" s="26"/>
      <c r="B498" s="26"/>
      <c r="C498" s="98"/>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x14ac:dyDescent="0.25">
      <c r="A499" s="26"/>
      <c r="B499" s="26"/>
      <c r="C499" s="98"/>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x14ac:dyDescent="0.25">
      <c r="A500" s="26"/>
      <c r="B500" s="26"/>
      <c r="C500" s="98"/>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x14ac:dyDescent="0.25">
      <c r="A501" s="26"/>
      <c r="B501" s="26"/>
      <c r="C501" s="98"/>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x14ac:dyDescent="0.25">
      <c r="A502" s="26"/>
      <c r="B502" s="26"/>
      <c r="C502" s="98"/>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x14ac:dyDescent="0.25">
      <c r="A503" s="26"/>
      <c r="B503" s="26"/>
      <c r="C503" s="98"/>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x14ac:dyDescent="0.25">
      <c r="A504" s="26"/>
      <c r="B504" s="26"/>
      <c r="C504" s="98"/>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x14ac:dyDescent="0.25">
      <c r="A505" s="26"/>
      <c r="B505" s="26"/>
      <c r="C505" s="98"/>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x14ac:dyDescent="0.25">
      <c r="A506" s="26"/>
      <c r="B506" s="26"/>
      <c r="C506" s="98"/>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x14ac:dyDescent="0.25">
      <c r="A507" s="26"/>
      <c r="B507" s="26"/>
      <c r="C507" s="98"/>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x14ac:dyDescent="0.25">
      <c r="A508" s="26"/>
      <c r="B508" s="26"/>
      <c r="C508" s="98"/>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x14ac:dyDescent="0.25">
      <c r="A509" s="26"/>
      <c r="B509" s="26"/>
      <c r="C509" s="98"/>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x14ac:dyDescent="0.25">
      <c r="A510" s="26"/>
      <c r="B510" s="26"/>
      <c r="C510" s="98"/>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x14ac:dyDescent="0.25">
      <c r="A511" s="26"/>
      <c r="B511" s="26"/>
      <c r="C511" s="98"/>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x14ac:dyDescent="0.25">
      <c r="A512" s="26"/>
      <c r="B512" s="26"/>
      <c r="C512" s="98"/>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x14ac:dyDescent="0.25">
      <c r="A513" s="26"/>
      <c r="B513" s="26"/>
      <c r="C513" s="98"/>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x14ac:dyDescent="0.25">
      <c r="A514" s="26"/>
      <c r="B514" s="26"/>
      <c r="C514" s="98"/>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x14ac:dyDescent="0.25">
      <c r="A515" s="26"/>
      <c r="B515" s="26"/>
      <c r="C515" s="98"/>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x14ac:dyDescent="0.25">
      <c r="A516" s="26"/>
      <c r="B516" s="26"/>
      <c r="C516" s="98"/>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x14ac:dyDescent="0.25">
      <c r="A517" s="26"/>
      <c r="B517" s="26"/>
      <c r="C517" s="98"/>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x14ac:dyDescent="0.25">
      <c r="A518" s="26"/>
      <c r="B518" s="26"/>
      <c r="C518" s="98"/>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x14ac:dyDescent="0.25">
      <c r="A519" s="26"/>
      <c r="B519" s="26"/>
      <c r="C519" s="98"/>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x14ac:dyDescent="0.25">
      <c r="A520" s="26"/>
      <c r="B520" s="26"/>
      <c r="C520" s="98"/>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x14ac:dyDescent="0.25">
      <c r="A521" s="26"/>
      <c r="B521" s="26"/>
      <c r="C521" s="98"/>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x14ac:dyDescent="0.25">
      <c r="A522" s="26"/>
      <c r="B522" s="26"/>
      <c r="C522" s="98"/>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x14ac:dyDescent="0.25">
      <c r="A523" s="26"/>
      <c r="B523" s="26"/>
      <c r="C523" s="98"/>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x14ac:dyDescent="0.25">
      <c r="A524" s="26"/>
      <c r="B524" s="26"/>
      <c r="C524" s="98"/>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x14ac:dyDescent="0.25">
      <c r="A525" s="26"/>
      <c r="B525" s="26"/>
      <c r="C525" s="98"/>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x14ac:dyDescent="0.25">
      <c r="A526" s="26"/>
      <c r="B526" s="26"/>
      <c r="C526" s="98"/>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x14ac:dyDescent="0.25">
      <c r="A527" s="26"/>
      <c r="B527" s="26"/>
      <c r="C527" s="98"/>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x14ac:dyDescent="0.25">
      <c r="A528" s="26"/>
      <c r="B528" s="26"/>
      <c r="C528" s="98"/>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x14ac:dyDescent="0.25">
      <c r="A529" s="26"/>
      <c r="B529" s="26"/>
      <c r="C529" s="98"/>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x14ac:dyDescent="0.25">
      <c r="A530" s="26"/>
      <c r="B530" s="26"/>
      <c r="C530" s="98"/>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x14ac:dyDescent="0.25">
      <c r="A531" s="26"/>
      <c r="B531" s="26"/>
      <c r="C531" s="98"/>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x14ac:dyDescent="0.25">
      <c r="A532" s="26"/>
      <c r="B532" s="26"/>
      <c r="C532" s="98"/>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x14ac:dyDescent="0.25">
      <c r="A533" s="26"/>
      <c r="B533" s="26"/>
      <c r="C533" s="98"/>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x14ac:dyDescent="0.25">
      <c r="A534" s="26"/>
      <c r="B534" s="26"/>
      <c r="C534" s="98"/>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x14ac:dyDescent="0.25">
      <c r="A535" s="26"/>
      <c r="B535" s="26"/>
      <c r="C535" s="98"/>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x14ac:dyDescent="0.25">
      <c r="A536" s="26"/>
      <c r="B536" s="26"/>
      <c r="C536" s="98"/>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x14ac:dyDescent="0.25">
      <c r="A537" s="26"/>
      <c r="B537" s="26"/>
      <c r="C537" s="98"/>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x14ac:dyDescent="0.25">
      <c r="A538" s="26"/>
      <c r="B538" s="26"/>
      <c r="C538" s="98"/>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x14ac:dyDescent="0.25">
      <c r="A539" s="26"/>
      <c r="B539" s="26"/>
      <c r="C539" s="98"/>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x14ac:dyDescent="0.25">
      <c r="A540" s="26"/>
      <c r="B540" s="26"/>
      <c r="C540" s="98"/>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x14ac:dyDescent="0.25">
      <c r="A541" s="26"/>
      <c r="B541" s="26"/>
      <c r="C541" s="98"/>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x14ac:dyDescent="0.25">
      <c r="A542" s="26"/>
      <c r="B542" s="26"/>
      <c r="C542" s="98"/>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x14ac:dyDescent="0.25">
      <c r="A543" s="26"/>
      <c r="B543" s="26"/>
      <c r="C543" s="98"/>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x14ac:dyDescent="0.25">
      <c r="A544" s="26"/>
      <c r="B544" s="26"/>
      <c r="C544" s="98"/>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x14ac:dyDescent="0.25">
      <c r="A545" s="26"/>
      <c r="B545" s="26"/>
      <c r="C545" s="98"/>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x14ac:dyDescent="0.25">
      <c r="A546" s="26"/>
      <c r="B546" s="26"/>
      <c r="C546" s="98"/>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x14ac:dyDescent="0.25">
      <c r="A547" s="26"/>
      <c r="B547" s="26"/>
      <c r="C547" s="98"/>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x14ac:dyDescent="0.25">
      <c r="A548" s="26"/>
      <c r="B548" s="26"/>
      <c r="C548" s="98"/>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x14ac:dyDescent="0.25">
      <c r="A549" s="26"/>
      <c r="B549" s="26"/>
      <c r="C549" s="98"/>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x14ac:dyDescent="0.25">
      <c r="A550" s="26"/>
      <c r="B550" s="26"/>
      <c r="C550" s="98"/>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x14ac:dyDescent="0.25">
      <c r="A551" s="26"/>
      <c r="B551" s="26"/>
      <c r="C551" s="98"/>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x14ac:dyDescent="0.25">
      <c r="A552" s="26"/>
      <c r="B552" s="26"/>
      <c r="C552" s="98"/>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x14ac:dyDescent="0.25">
      <c r="A553" s="26"/>
      <c r="B553" s="26"/>
      <c r="C553" s="98"/>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x14ac:dyDescent="0.25">
      <c r="A554" s="26"/>
      <c r="B554" s="26"/>
      <c r="C554" s="98"/>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x14ac:dyDescent="0.25">
      <c r="A555" s="26"/>
      <c r="B555" s="26"/>
      <c r="C555" s="98"/>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x14ac:dyDescent="0.25">
      <c r="A556" s="26"/>
      <c r="B556" s="26"/>
      <c r="C556" s="98"/>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x14ac:dyDescent="0.25">
      <c r="A557" s="26"/>
      <c r="B557" s="26"/>
      <c r="C557" s="98"/>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x14ac:dyDescent="0.25">
      <c r="A558" s="26"/>
      <c r="B558" s="26"/>
      <c r="C558" s="98"/>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x14ac:dyDescent="0.25">
      <c r="A559" s="26"/>
      <c r="B559" s="26"/>
      <c r="C559" s="98"/>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x14ac:dyDescent="0.25">
      <c r="A560" s="26"/>
      <c r="B560" s="26"/>
      <c r="C560" s="98"/>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x14ac:dyDescent="0.25">
      <c r="A561" s="26"/>
      <c r="B561" s="26"/>
      <c r="C561" s="98"/>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x14ac:dyDescent="0.25">
      <c r="A562" s="26"/>
      <c r="B562" s="26"/>
      <c r="C562" s="98"/>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x14ac:dyDescent="0.25">
      <c r="A563" s="26"/>
      <c r="B563" s="26"/>
      <c r="C563" s="98"/>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x14ac:dyDescent="0.25">
      <c r="A564" s="26"/>
      <c r="B564" s="26"/>
      <c r="C564" s="98"/>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x14ac:dyDescent="0.25">
      <c r="A565" s="26"/>
      <c r="B565" s="26"/>
      <c r="C565" s="98"/>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x14ac:dyDescent="0.25">
      <c r="A566" s="26"/>
      <c r="B566" s="26"/>
      <c r="C566" s="98"/>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x14ac:dyDescent="0.25">
      <c r="A567" s="26"/>
      <c r="B567" s="26"/>
      <c r="C567" s="98"/>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x14ac:dyDescent="0.25">
      <c r="A568" s="26"/>
      <c r="B568" s="26"/>
      <c r="C568" s="98"/>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x14ac:dyDescent="0.25">
      <c r="A569" s="26"/>
      <c r="B569" s="26"/>
      <c r="C569" s="98"/>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x14ac:dyDescent="0.25">
      <c r="A570" s="26"/>
      <c r="B570" s="26"/>
      <c r="C570" s="98"/>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x14ac:dyDescent="0.25">
      <c r="A571" s="26"/>
      <c r="B571" s="26"/>
      <c r="C571" s="98"/>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x14ac:dyDescent="0.25">
      <c r="A572" s="26"/>
      <c r="B572" s="26"/>
      <c r="C572" s="98"/>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x14ac:dyDescent="0.25">
      <c r="A573" s="26"/>
      <c r="B573" s="26"/>
      <c r="C573" s="98"/>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x14ac:dyDescent="0.25">
      <c r="A574" s="26"/>
      <c r="B574" s="26"/>
      <c r="C574" s="98"/>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x14ac:dyDescent="0.25">
      <c r="A575" s="26"/>
      <c r="B575" s="26"/>
      <c r="C575" s="98"/>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x14ac:dyDescent="0.25">
      <c r="A576" s="26"/>
      <c r="B576" s="26"/>
      <c r="C576" s="98"/>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x14ac:dyDescent="0.25">
      <c r="A577" s="26"/>
      <c r="B577" s="26"/>
      <c r="C577" s="98"/>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x14ac:dyDescent="0.25">
      <c r="A578" s="26"/>
      <c r="B578" s="26"/>
      <c r="C578" s="98"/>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x14ac:dyDescent="0.25">
      <c r="A579" s="26"/>
      <c r="B579" s="26"/>
      <c r="C579" s="98"/>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x14ac:dyDescent="0.25">
      <c r="A580" s="26"/>
      <c r="B580" s="26"/>
      <c r="C580" s="98"/>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x14ac:dyDescent="0.25">
      <c r="A581" s="26"/>
      <c r="B581" s="26"/>
      <c r="C581" s="98"/>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x14ac:dyDescent="0.25">
      <c r="A582" s="26"/>
      <c r="B582" s="26"/>
      <c r="C582" s="98"/>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x14ac:dyDescent="0.25">
      <c r="A583" s="26"/>
      <c r="B583" s="26"/>
      <c r="C583" s="98"/>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x14ac:dyDescent="0.25">
      <c r="A584" s="26"/>
      <c r="B584" s="26"/>
      <c r="C584" s="98"/>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x14ac:dyDescent="0.25">
      <c r="A585" s="26"/>
      <c r="B585" s="26"/>
      <c r="C585" s="98"/>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x14ac:dyDescent="0.25">
      <c r="A586" s="26"/>
      <c r="B586" s="26"/>
      <c r="C586" s="98"/>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x14ac:dyDescent="0.25">
      <c r="A587" s="26"/>
      <c r="B587" s="26"/>
      <c r="C587" s="98"/>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x14ac:dyDescent="0.25">
      <c r="A588" s="26"/>
      <c r="B588" s="26"/>
      <c r="C588" s="98"/>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x14ac:dyDescent="0.25">
      <c r="A589" s="26"/>
      <c r="B589" s="26"/>
      <c r="C589" s="98"/>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x14ac:dyDescent="0.25">
      <c r="A590" s="26"/>
      <c r="B590" s="26"/>
      <c r="C590" s="98"/>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x14ac:dyDescent="0.25">
      <c r="A591" s="26"/>
      <c r="B591" s="26"/>
      <c r="C591" s="98"/>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x14ac:dyDescent="0.25">
      <c r="A592" s="26"/>
      <c r="B592" s="26"/>
      <c r="C592" s="98"/>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x14ac:dyDescent="0.25">
      <c r="A593" s="26"/>
      <c r="B593" s="26"/>
      <c r="C593" s="98"/>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x14ac:dyDescent="0.25">
      <c r="A594" s="26"/>
      <c r="B594" s="26"/>
      <c r="C594" s="98"/>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x14ac:dyDescent="0.25">
      <c r="A595" s="26"/>
      <c r="B595" s="26"/>
      <c r="C595" s="98"/>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x14ac:dyDescent="0.25">
      <c r="A596" s="26"/>
      <c r="B596" s="26"/>
      <c r="C596" s="98"/>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x14ac:dyDescent="0.25">
      <c r="A597" s="26"/>
      <c r="B597" s="26"/>
      <c r="C597" s="98"/>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x14ac:dyDescent="0.25">
      <c r="A598" s="26"/>
      <c r="B598" s="26"/>
      <c r="C598" s="98"/>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x14ac:dyDescent="0.25">
      <c r="A599" s="26"/>
      <c r="B599" s="26"/>
      <c r="C599" s="98"/>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x14ac:dyDescent="0.25">
      <c r="A600" s="26"/>
      <c r="B600" s="26"/>
      <c r="C600" s="98"/>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x14ac:dyDescent="0.25">
      <c r="A601" s="26"/>
      <c r="B601" s="26"/>
      <c r="C601" s="98"/>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x14ac:dyDescent="0.25">
      <c r="A602" s="26"/>
      <c r="B602" s="26"/>
      <c r="C602" s="98"/>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x14ac:dyDescent="0.25">
      <c r="A603" s="26"/>
      <c r="B603" s="26"/>
      <c r="C603" s="98"/>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x14ac:dyDescent="0.25">
      <c r="A604" s="26"/>
      <c r="B604" s="26"/>
      <c r="C604" s="98"/>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x14ac:dyDescent="0.25">
      <c r="A605" s="26"/>
      <c r="B605" s="26"/>
      <c r="C605" s="98"/>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x14ac:dyDescent="0.25">
      <c r="A606" s="26"/>
      <c r="B606" s="26"/>
      <c r="C606" s="98"/>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x14ac:dyDescent="0.25">
      <c r="A607" s="26"/>
      <c r="B607" s="26"/>
      <c r="C607" s="98"/>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x14ac:dyDescent="0.25">
      <c r="A608" s="26"/>
      <c r="B608" s="26"/>
      <c r="C608" s="98"/>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x14ac:dyDescent="0.25">
      <c r="A609" s="26"/>
      <c r="B609" s="26"/>
      <c r="C609" s="98"/>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x14ac:dyDescent="0.25">
      <c r="A610" s="26"/>
      <c r="B610" s="26"/>
      <c r="C610" s="98"/>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x14ac:dyDescent="0.25">
      <c r="A611" s="26"/>
      <c r="B611" s="26"/>
      <c r="C611" s="98"/>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x14ac:dyDescent="0.25">
      <c r="A612" s="26"/>
      <c r="B612" s="26"/>
      <c r="C612" s="98"/>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x14ac:dyDescent="0.25">
      <c r="A613" s="26"/>
      <c r="B613" s="26"/>
      <c r="C613" s="98"/>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x14ac:dyDescent="0.25">
      <c r="A614" s="26"/>
      <c r="B614" s="26"/>
      <c r="C614" s="98"/>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x14ac:dyDescent="0.25">
      <c r="A615" s="26"/>
      <c r="B615" s="26"/>
      <c r="C615" s="98"/>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x14ac:dyDescent="0.25">
      <c r="A616" s="26"/>
      <c r="B616" s="26"/>
      <c r="C616" s="98"/>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x14ac:dyDescent="0.25">
      <c r="A617" s="26"/>
      <c r="B617" s="26"/>
      <c r="C617" s="98"/>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x14ac:dyDescent="0.25">
      <c r="A618" s="26"/>
      <c r="B618" s="26"/>
      <c r="C618" s="98"/>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x14ac:dyDescent="0.25">
      <c r="A619" s="26"/>
      <c r="B619" s="26"/>
      <c r="C619" s="98"/>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x14ac:dyDescent="0.25">
      <c r="A620" s="26"/>
      <c r="B620" s="26"/>
      <c r="C620" s="98"/>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x14ac:dyDescent="0.25">
      <c r="A621" s="26"/>
      <c r="B621" s="26"/>
      <c r="C621" s="98"/>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x14ac:dyDescent="0.25">
      <c r="A622" s="26"/>
      <c r="B622" s="26"/>
      <c r="C622" s="98"/>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x14ac:dyDescent="0.25">
      <c r="A623" s="26"/>
      <c r="B623" s="26"/>
      <c r="C623" s="98"/>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x14ac:dyDescent="0.25">
      <c r="A624" s="26"/>
      <c r="B624" s="26"/>
      <c r="C624" s="98"/>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x14ac:dyDescent="0.25">
      <c r="A625" s="26"/>
      <c r="B625" s="26"/>
      <c r="C625" s="98"/>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x14ac:dyDescent="0.25">
      <c r="A626" s="26"/>
      <c r="B626" s="26"/>
      <c r="C626" s="98"/>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x14ac:dyDescent="0.25">
      <c r="A627" s="26"/>
      <c r="B627" s="26"/>
      <c r="C627" s="98"/>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x14ac:dyDescent="0.25">
      <c r="A628" s="26"/>
      <c r="B628" s="26"/>
      <c r="C628" s="98"/>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x14ac:dyDescent="0.25">
      <c r="A629" s="26"/>
      <c r="B629" s="26"/>
      <c r="C629" s="98"/>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x14ac:dyDescent="0.25">
      <c r="A630" s="26"/>
      <c r="B630" s="26"/>
      <c r="C630" s="98"/>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x14ac:dyDescent="0.25">
      <c r="A631" s="26"/>
      <c r="B631" s="26"/>
      <c r="C631" s="98"/>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x14ac:dyDescent="0.25">
      <c r="A632" s="26"/>
      <c r="B632" s="26"/>
      <c r="C632" s="98"/>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x14ac:dyDescent="0.25">
      <c r="A633" s="26"/>
      <c r="B633" s="26"/>
      <c r="C633" s="98"/>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x14ac:dyDescent="0.25">
      <c r="A634" s="26"/>
      <c r="B634" s="26"/>
      <c r="C634" s="98"/>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x14ac:dyDescent="0.25">
      <c r="A635" s="26"/>
      <c r="B635" s="26"/>
      <c r="C635" s="98"/>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x14ac:dyDescent="0.25">
      <c r="A636" s="26"/>
      <c r="B636" s="26"/>
      <c r="C636" s="98"/>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x14ac:dyDescent="0.25">
      <c r="A637" s="26"/>
      <c r="B637" s="26"/>
      <c r="C637" s="98"/>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x14ac:dyDescent="0.25">
      <c r="A638" s="26"/>
      <c r="B638" s="26"/>
      <c r="C638" s="98"/>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x14ac:dyDescent="0.25">
      <c r="A639" s="26"/>
      <c r="B639" s="26"/>
      <c r="C639" s="98"/>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x14ac:dyDescent="0.25">
      <c r="A640" s="26"/>
      <c r="B640" s="26"/>
      <c r="C640" s="98"/>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x14ac:dyDescent="0.25">
      <c r="A641" s="26"/>
      <c r="B641" s="26"/>
      <c r="C641" s="98"/>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x14ac:dyDescent="0.25">
      <c r="A642" s="26"/>
      <c r="B642" s="26"/>
      <c r="C642" s="98"/>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x14ac:dyDescent="0.25">
      <c r="A643" s="26"/>
      <c r="B643" s="26"/>
      <c r="C643" s="98"/>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x14ac:dyDescent="0.25">
      <c r="A644" s="26"/>
      <c r="B644" s="26"/>
      <c r="C644" s="98"/>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x14ac:dyDescent="0.25">
      <c r="A645" s="26"/>
      <c r="B645" s="26"/>
      <c r="C645" s="98"/>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x14ac:dyDescent="0.25">
      <c r="A646" s="26"/>
      <c r="B646" s="26"/>
      <c r="C646" s="98"/>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x14ac:dyDescent="0.25">
      <c r="A647" s="26"/>
      <c r="B647" s="26"/>
      <c r="C647" s="98"/>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x14ac:dyDescent="0.25">
      <c r="A648" s="26"/>
      <c r="B648" s="26"/>
      <c r="C648" s="98"/>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x14ac:dyDescent="0.25">
      <c r="A649" s="26"/>
      <c r="B649" s="26"/>
      <c r="C649" s="98"/>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x14ac:dyDescent="0.25">
      <c r="A650" s="26"/>
      <c r="B650" s="26"/>
      <c r="C650" s="98"/>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x14ac:dyDescent="0.25">
      <c r="A651" s="26"/>
      <c r="B651" s="26"/>
      <c r="C651" s="98"/>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x14ac:dyDescent="0.25">
      <c r="A652" s="26"/>
      <c r="B652" s="26"/>
      <c r="C652" s="98"/>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x14ac:dyDescent="0.25">
      <c r="A653" s="26"/>
      <c r="B653" s="26"/>
      <c r="C653" s="98"/>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x14ac:dyDescent="0.25">
      <c r="A654" s="26"/>
      <c r="B654" s="26"/>
      <c r="C654" s="98"/>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x14ac:dyDescent="0.25">
      <c r="A655" s="26"/>
      <c r="B655" s="26"/>
      <c r="C655" s="98"/>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x14ac:dyDescent="0.25">
      <c r="A656" s="26"/>
      <c r="B656" s="26"/>
      <c r="C656" s="98"/>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x14ac:dyDescent="0.25">
      <c r="A657" s="26"/>
      <c r="B657" s="26"/>
      <c r="C657" s="98"/>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x14ac:dyDescent="0.25">
      <c r="A658" s="26"/>
      <c r="B658" s="26"/>
      <c r="C658" s="98"/>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x14ac:dyDescent="0.25">
      <c r="A659" s="26"/>
      <c r="B659" s="26"/>
      <c r="C659" s="98"/>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x14ac:dyDescent="0.25">
      <c r="A660" s="26"/>
      <c r="B660" s="26"/>
      <c r="C660" s="98"/>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x14ac:dyDescent="0.25">
      <c r="A661" s="26"/>
      <c r="B661" s="26"/>
      <c r="C661" s="98"/>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x14ac:dyDescent="0.25">
      <c r="A662" s="26"/>
      <c r="B662" s="26"/>
      <c r="C662" s="98"/>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x14ac:dyDescent="0.25">
      <c r="A663" s="26"/>
      <c r="B663" s="26"/>
      <c r="C663" s="98"/>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x14ac:dyDescent="0.25">
      <c r="A664" s="26"/>
      <c r="B664" s="26"/>
      <c r="C664" s="98"/>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x14ac:dyDescent="0.25">
      <c r="A665" s="26"/>
      <c r="B665" s="26"/>
      <c r="C665" s="98"/>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x14ac:dyDescent="0.25">
      <c r="A666" s="26"/>
      <c r="B666" s="26"/>
      <c r="C666" s="98"/>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x14ac:dyDescent="0.25">
      <c r="A667" s="26"/>
      <c r="B667" s="26"/>
      <c r="C667" s="98"/>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x14ac:dyDescent="0.25">
      <c r="A668" s="26"/>
      <c r="B668" s="26"/>
      <c r="C668" s="98"/>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x14ac:dyDescent="0.25">
      <c r="A669" s="26"/>
      <c r="B669" s="26"/>
      <c r="C669" s="98"/>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x14ac:dyDescent="0.25">
      <c r="A670" s="26"/>
      <c r="B670" s="26"/>
      <c r="C670" s="98"/>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x14ac:dyDescent="0.25">
      <c r="A671" s="26"/>
      <c r="B671" s="26"/>
      <c r="C671" s="98"/>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x14ac:dyDescent="0.25">
      <c r="A672" s="26"/>
      <c r="B672" s="26"/>
      <c r="C672" s="98"/>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x14ac:dyDescent="0.25">
      <c r="A673" s="26"/>
      <c r="B673" s="26"/>
      <c r="C673" s="98"/>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x14ac:dyDescent="0.25">
      <c r="A674" s="26"/>
      <c r="B674" s="26"/>
      <c r="C674" s="98"/>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x14ac:dyDescent="0.25">
      <c r="A675" s="26"/>
      <c r="B675" s="26"/>
      <c r="C675" s="98"/>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x14ac:dyDescent="0.25">
      <c r="A676" s="26"/>
      <c r="B676" s="26"/>
      <c r="C676" s="98"/>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x14ac:dyDescent="0.25">
      <c r="A677" s="26"/>
      <c r="B677" s="26"/>
      <c r="C677" s="98"/>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x14ac:dyDescent="0.25">
      <c r="A678" s="26"/>
      <c r="B678" s="26"/>
      <c r="C678" s="98"/>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x14ac:dyDescent="0.25">
      <c r="A679" s="26"/>
      <c r="B679" s="26"/>
      <c r="C679" s="98"/>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x14ac:dyDescent="0.25">
      <c r="A680" s="26"/>
      <c r="B680" s="26"/>
      <c r="C680" s="98"/>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x14ac:dyDescent="0.25">
      <c r="A681" s="26"/>
      <c r="B681" s="26"/>
      <c r="C681" s="98"/>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x14ac:dyDescent="0.25">
      <c r="A682" s="26"/>
      <c r="B682" s="26"/>
      <c r="C682" s="98"/>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x14ac:dyDescent="0.25">
      <c r="A683" s="26"/>
      <c r="B683" s="26"/>
      <c r="C683" s="98"/>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x14ac:dyDescent="0.25">
      <c r="A684" s="26"/>
      <c r="B684" s="26"/>
      <c r="C684" s="98"/>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x14ac:dyDescent="0.25">
      <c r="A685" s="26"/>
      <c r="B685" s="26"/>
      <c r="C685" s="98"/>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x14ac:dyDescent="0.25">
      <c r="A686" s="26"/>
      <c r="B686" s="26"/>
      <c r="C686" s="98"/>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x14ac:dyDescent="0.25">
      <c r="A687" s="26"/>
      <c r="B687" s="26"/>
      <c r="C687" s="98"/>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x14ac:dyDescent="0.25">
      <c r="A688" s="26"/>
      <c r="B688" s="26"/>
      <c r="C688" s="98"/>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x14ac:dyDescent="0.25">
      <c r="A689" s="26"/>
      <c r="B689" s="26"/>
      <c r="C689" s="98"/>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x14ac:dyDescent="0.25">
      <c r="A690" s="26"/>
      <c r="B690" s="26"/>
      <c r="C690" s="98"/>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x14ac:dyDescent="0.25">
      <c r="A691" s="26"/>
      <c r="B691" s="26"/>
      <c r="C691" s="98"/>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x14ac:dyDescent="0.25">
      <c r="A692" s="26"/>
      <c r="B692" s="26"/>
      <c r="C692" s="98"/>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x14ac:dyDescent="0.25">
      <c r="A693" s="26"/>
      <c r="B693" s="26"/>
      <c r="C693" s="98"/>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x14ac:dyDescent="0.25">
      <c r="A694" s="26"/>
      <c r="B694" s="26"/>
      <c r="C694" s="98"/>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x14ac:dyDescent="0.25">
      <c r="A695" s="26"/>
      <c r="B695" s="26"/>
      <c r="C695" s="98"/>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x14ac:dyDescent="0.25">
      <c r="A696" s="26"/>
      <c r="B696" s="26"/>
      <c r="C696" s="98"/>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x14ac:dyDescent="0.25">
      <c r="A697" s="26"/>
      <c r="B697" s="26"/>
      <c r="C697" s="98"/>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x14ac:dyDescent="0.25">
      <c r="A698" s="26"/>
      <c r="B698" s="26"/>
      <c r="C698" s="98"/>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x14ac:dyDescent="0.25">
      <c r="A699" s="26"/>
      <c r="B699" s="26"/>
      <c r="C699" s="98"/>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x14ac:dyDescent="0.25">
      <c r="A700" s="26"/>
      <c r="B700" s="26"/>
      <c r="C700" s="98"/>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x14ac:dyDescent="0.25">
      <c r="A701" s="26"/>
      <c r="B701" s="26"/>
      <c r="C701" s="98"/>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x14ac:dyDescent="0.25">
      <c r="A702" s="26"/>
      <c r="B702" s="26"/>
      <c r="C702" s="98"/>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x14ac:dyDescent="0.25">
      <c r="A703" s="26"/>
      <c r="B703" s="26"/>
      <c r="C703" s="98"/>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x14ac:dyDescent="0.25">
      <c r="A704" s="26"/>
      <c r="B704" s="26"/>
      <c r="C704" s="98"/>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x14ac:dyDescent="0.25">
      <c r="A705" s="26"/>
      <c r="B705" s="26"/>
      <c r="C705" s="98"/>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x14ac:dyDescent="0.25">
      <c r="A706" s="26"/>
      <c r="B706" s="26"/>
      <c r="C706" s="98"/>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x14ac:dyDescent="0.25">
      <c r="A707" s="26"/>
      <c r="B707" s="26"/>
      <c r="C707" s="98"/>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x14ac:dyDescent="0.25">
      <c r="A708" s="26"/>
      <c r="B708" s="26"/>
      <c r="C708" s="98"/>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x14ac:dyDescent="0.25">
      <c r="A709" s="26"/>
      <c r="B709" s="26"/>
      <c r="C709" s="98"/>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x14ac:dyDescent="0.25">
      <c r="A710" s="26"/>
      <c r="B710" s="26"/>
      <c r="C710" s="98"/>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x14ac:dyDescent="0.25">
      <c r="A711" s="26"/>
      <c r="B711" s="26"/>
      <c r="C711" s="98"/>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x14ac:dyDescent="0.25">
      <c r="A712" s="26"/>
      <c r="B712" s="26"/>
      <c r="C712" s="98"/>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x14ac:dyDescent="0.25">
      <c r="A713" s="26"/>
      <c r="B713" s="26"/>
      <c r="C713" s="98"/>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x14ac:dyDescent="0.25">
      <c r="A714" s="26"/>
      <c r="B714" s="26"/>
      <c r="C714" s="98"/>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x14ac:dyDescent="0.25">
      <c r="A715" s="26"/>
      <c r="B715" s="26"/>
      <c r="C715" s="98"/>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x14ac:dyDescent="0.25">
      <c r="A716" s="26"/>
      <c r="B716" s="26"/>
      <c r="C716" s="98"/>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x14ac:dyDescent="0.25">
      <c r="A717" s="26"/>
      <c r="B717" s="26"/>
      <c r="C717" s="98"/>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x14ac:dyDescent="0.25">
      <c r="A718" s="26"/>
      <c r="B718" s="26"/>
      <c r="C718" s="98"/>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x14ac:dyDescent="0.25">
      <c r="A719" s="26"/>
      <c r="B719" s="26"/>
      <c r="C719" s="98"/>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x14ac:dyDescent="0.25">
      <c r="A720" s="26"/>
      <c r="B720" s="26"/>
      <c r="C720" s="98"/>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x14ac:dyDescent="0.25">
      <c r="A721" s="26"/>
      <c r="B721" s="26"/>
      <c r="C721" s="98"/>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x14ac:dyDescent="0.25">
      <c r="A722" s="26"/>
      <c r="B722" s="26"/>
      <c r="C722" s="98"/>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x14ac:dyDescent="0.25">
      <c r="A723" s="26"/>
      <c r="B723" s="26"/>
      <c r="C723" s="98"/>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x14ac:dyDescent="0.25">
      <c r="A724" s="26"/>
      <c r="B724" s="26"/>
      <c r="C724" s="98"/>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x14ac:dyDescent="0.25">
      <c r="A725" s="26"/>
      <c r="B725" s="26"/>
      <c r="C725" s="98"/>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x14ac:dyDescent="0.25">
      <c r="A726" s="26"/>
      <c r="B726" s="26"/>
      <c r="C726" s="98"/>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x14ac:dyDescent="0.25">
      <c r="A727" s="26"/>
      <c r="B727" s="26"/>
      <c r="C727" s="98"/>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x14ac:dyDescent="0.25">
      <c r="A728" s="26"/>
      <c r="B728" s="26"/>
      <c r="C728" s="98"/>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x14ac:dyDescent="0.25">
      <c r="A729" s="26"/>
      <c r="B729" s="26"/>
      <c r="C729" s="98"/>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x14ac:dyDescent="0.25">
      <c r="A730" s="26"/>
      <c r="B730" s="26"/>
      <c r="C730" s="98"/>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x14ac:dyDescent="0.25">
      <c r="A731" s="26"/>
      <c r="B731" s="26"/>
      <c r="C731" s="98"/>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x14ac:dyDescent="0.25">
      <c r="A732" s="26"/>
      <c r="B732" s="26"/>
      <c r="C732" s="98"/>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x14ac:dyDescent="0.25">
      <c r="A733" s="26"/>
      <c r="B733" s="26"/>
      <c r="C733" s="98"/>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x14ac:dyDescent="0.25">
      <c r="A734" s="26"/>
      <c r="B734" s="26"/>
      <c r="C734" s="98"/>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x14ac:dyDescent="0.25">
      <c r="A735" s="26"/>
      <c r="B735" s="26"/>
      <c r="C735" s="98"/>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x14ac:dyDescent="0.25">
      <c r="A736" s="26"/>
      <c r="B736" s="26"/>
      <c r="C736" s="98"/>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x14ac:dyDescent="0.25">
      <c r="A737" s="26"/>
      <c r="B737" s="26"/>
      <c r="C737" s="98"/>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x14ac:dyDescent="0.25">
      <c r="A738" s="26"/>
      <c r="B738" s="26"/>
      <c r="C738" s="98"/>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x14ac:dyDescent="0.25">
      <c r="A739" s="26"/>
      <c r="B739" s="26"/>
      <c r="C739" s="98"/>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x14ac:dyDescent="0.25">
      <c r="A740" s="26"/>
      <c r="B740" s="26"/>
      <c r="C740" s="98"/>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x14ac:dyDescent="0.25">
      <c r="A741" s="26"/>
      <c r="B741" s="26"/>
      <c r="C741" s="98"/>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x14ac:dyDescent="0.25">
      <c r="A742" s="26"/>
      <c r="B742" s="26"/>
      <c r="C742" s="98"/>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x14ac:dyDescent="0.25">
      <c r="A743" s="26"/>
      <c r="B743" s="26"/>
      <c r="C743" s="98"/>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x14ac:dyDescent="0.25">
      <c r="A744" s="26"/>
      <c r="B744" s="26"/>
      <c r="C744" s="98"/>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x14ac:dyDescent="0.25">
      <c r="A745" s="26"/>
      <c r="B745" s="26"/>
      <c r="C745" s="98"/>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x14ac:dyDescent="0.25">
      <c r="A746" s="26"/>
      <c r="B746" s="26"/>
      <c r="C746" s="98"/>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x14ac:dyDescent="0.25">
      <c r="A747" s="26"/>
      <c r="B747" s="26"/>
      <c r="C747" s="98"/>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x14ac:dyDescent="0.25">
      <c r="A748" s="26"/>
      <c r="B748" s="26"/>
      <c r="C748" s="98"/>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x14ac:dyDescent="0.25">
      <c r="A749" s="26"/>
      <c r="B749" s="26"/>
      <c r="C749" s="98"/>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x14ac:dyDescent="0.25">
      <c r="A750" s="26"/>
      <c r="B750" s="26"/>
      <c r="C750" s="98"/>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x14ac:dyDescent="0.25">
      <c r="A751" s="26"/>
      <c r="B751" s="26"/>
      <c r="C751" s="98"/>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x14ac:dyDescent="0.25">
      <c r="A752" s="26"/>
      <c r="B752" s="26"/>
      <c r="C752" s="98"/>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x14ac:dyDescent="0.25">
      <c r="A753" s="26"/>
      <c r="B753" s="26"/>
      <c r="C753" s="98"/>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x14ac:dyDescent="0.25">
      <c r="A754" s="26"/>
      <c r="B754" s="26"/>
      <c r="C754" s="98"/>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x14ac:dyDescent="0.25">
      <c r="A755" s="26"/>
      <c r="B755" s="26"/>
      <c r="C755" s="98"/>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x14ac:dyDescent="0.25">
      <c r="A756" s="26"/>
      <c r="B756" s="26"/>
      <c r="C756" s="98"/>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x14ac:dyDescent="0.25">
      <c r="A757" s="26"/>
      <c r="B757" s="26"/>
      <c r="C757" s="98"/>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x14ac:dyDescent="0.25">
      <c r="A758" s="26"/>
      <c r="B758" s="26"/>
      <c r="C758" s="98"/>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x14ac:dyDescent="0.25">
      <c r="A759" s="26"/>
      <c r="B759" s="26"/>
      <c r="C759" s="98"/>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x14ac:dyDescent="0.25">
      <c r="A760" s="26"/>
      <c r="B760" s="26"/>
      <c r="C760" s="98"/>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x14ac:dyDescent="0.25">
      <c r="A761" s="26"/>
      <c r="B761" s="26"/>
      <c r="C761" s="98"/>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x14ac:dyDescent="0.25">
      <c r="A762" s="26"/>
      <c r="B762" s="26"/>
      <c r="C762" s="98"/>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x14ac:dyDescent="0.25">
      <c r="A763" s="26"/>
      <c r="B763" s="26"/>
      <c r="C763" s="98"/>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x14ac:dyDescent="0.25">
      <c r="A764" s="26"/>
      <c r="B764" s="26"/>
      <c r="C764" s="98"/>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x14ac:dyDescent="0.25">
      <c r="A765" s="26"/>
      <c r="B765" s="26"/>
      <c r="C765" s="98"/>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x14ac:dyDescent="0.25">
      <c r="A766" s="26"/>
      <c r="B766" s="26"/>
      <c r="C766" s="98"/>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x14ac:dyDescent="0.25">
      <c r="A767" s="26"/>
      <c r="B767" s="26"/>
      <c r="C767" s="98"/>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x14ac:dyDescent="0.25">
      <c r="A768" s="26"/>
      <c r="B768" s="26"/>
      <c r="C768" s="98"/>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x14ac:dyDescent="0.25">
      <c r="A769" s="26"/>
      <c r="B769" s="26"/>
      <c r="C769" s="98"/>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x14ac:dyDescent="0.25">
      <c r="A770" s="26"/>
      <c r="B770" s="26"/>
      <c r="C770" s="98"/>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x14ac:dyDescent="0.25">
      <c r="A771" s="26"/>
      <c r="B771" s="26"/>
      <c r="C771" s="98"/>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x14ac:dyDescent="0.25">
      <c r="A772" s="26"/>
      <c r="B772" s="26"/>
      <c r="C772" s="98"/>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x14ac:dyDescent="0.25">
      <c r="A773" s="26"/>
      <c r="B773" s="26"/>
      <c r="C773" s="98"/>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x14ac:dyDescent="0.25">
      <c r="A774" s="26"/>
      <c r="B774" s="26"/>
      <c r="C774" s="98"/>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x14ac:dyDescent="0.25">
      <c r="A775" s="26"/>
      <c r="B775" s="26"/>
      <c r="C775" s="98"/>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x14ac:dyDescent="0.25">
      <c r="A776" s="26"/>
      <c r="B776" s="26"/>
      <c r="C776" s="98"/>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x14ac:dyDescent="0.25">
      <c r="A777" s="26"/>
      <c r="B777" s="26"/>
      <c r="C777" s="98"/>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x14ac:dyDescent="0.25">
      <c r="A778" s="26"/>
      <c r="B778" s="26"/>
      <c r="C778" s="98"/>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x14ac:dyDescent="0.25">
      <c r="A779" s="26"/>
      <c r="B779" s="26"/>
      <c r="C779" s="98"/>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x14ac:dyDescent="0.25">
      <c r="A780" s="26"/>
      <c r="B780" s="26"/>
      <c r="C780" s="98"/>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x14ac:dyDescent="0.25">
      <c r="A781" s="26"/>
      <c r="B781" s="26"/>
      <c r="C781" s="98"/>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x14ac:dyDescent="0.25">
      <c r="A782" s="26"/>
      <c r="B782" s="26"/>
      <c r="C782" s="98"/>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x14ac:dyDescent="0.25">
      <c r="A783" s="26"/>
      <c r="B783" s="26"/>
      <c r="C783" s="98"/>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x14ac:dyDescent="0.25">
      <c r="A784" s="26"/>
      <c r="B784" s="26"/>
      <c r="C784" s="98"/>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x14ac:dyDescent="0.25">
      <c r="A785" s="26"/>
      <c r="B785" s="26"/>
      <c r="C785" s="98"/>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x14ac:dyDescent="0.25">
      <c r="A786" s="26"/>
      <c r="B786" s="26"/>
      <c r="C786" s="98"/>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x14ac:dyDescent="0.25">
      <c r="A787" s="26"/>
      <c r="B787" s="26"/>
      <c r="C787" s="98"/>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x14ac:dyDescent="0.25">
      <c r="A788" s="26"/>
      <c r="B788" s="26"/>
      <c r="C788" s="98"/>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x14ac:dyDescent="0.25">
      <c r="A789" s="26"/>
      <c r="B789" s="26"/>
      <c r="C789" s="98"/>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x14ac:dyDescent="0.25">
      <c r="A790" s="26"/>
      <c r="B790" s="26"/>
      <c r="C790" s="98"/>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x14ac:dyDescent="0.25">
      <c r="A791" s="26"/>
      <c r="B791" s="26"/>
      <c r="C791" s="98"/>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x14ac:dyDescent="0.25">
      <c r="A792" s="26"/>
      <c r="B792" s="26"/>
      <c r="C792" s="98"/>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x14ac:dyDescent="0.25">
      <c r="A793" s="26"/>
      <c r="B793" s="26"/>
      <c r="C793" s="98"/>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x14ac:dyDescent="0.25">
      <c r="A794" s="26"/>
      <c r="B794" s="26"/>
      <c r="C794" s="98"/>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x14ac:dyDescent="0.25">
      <c r="A795" s="26"/>
      <c r="B795" s="26"/>
      <c r="C795" s="98"/>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x14ac:dyDescent="0.25">
      <c r="A796" s="26"/>
      <c r="B796" s="26"/>
      <c r="C796" s="98"/>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x14ac:dyDescent="0.25">
      <c r="A797" s="26"/>
      <c r="B797" s="26"/>
      <c r="C797" s="98"/>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x14ac:dyDescent="0.25">
      <c r="A798" s="26"/>
      <c r="B798" s="26"/>
      <c r="C798" s="98"/>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x14ac:dyDescent="0.25">
      <c r="A799" s="26"/>
      <c r="B799" s="26"/>
      <c r="C799" s="98"/>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x14ac:dyDescent="0.25">
      <c r="A800" s="26"/>
      <c r="B800" s="26"/>
      <c r="C800" s="98"/>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x14ac:dyDescent="0.25">
      <c r="A801" s="26"/>
      <c r="B801" s="26"/>
      <c r="C801" s="98"/>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x14ac:dyDescent="0.25">
      <c r="A802" s="26"/>
      <c r="B802" s="26"/>
      <c r="C802" s="98"/>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x14ac:dyDescent="0.25">
      <c r="A803" s="26"/>
      <c r="B803" s="26"/>
      <c r="C803" s="98"/>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x14ac:dyDescent="0.25">
      <c r="A804" s="26"/>
      <c r="B804" s="26"/>
      <c r="C804" s="98"/>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x14ac:dyDescent="0.25">
      <c r="A805" s="26"/>
      <c r="B805" s="26"/>
      <c r="C805" s="98"/>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x14ac:dyDescent="0.25">
      <c r="A806" s="26"/>
      <c r="B806" s="26"/>
      <c r="C806" s="98"/>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x14ac:dyDescent="0.25">
      <c r="A807" s="26"/>
      <c r="B807" s="26"/>
      <c r="C807" s="98"/>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x14ac:dyDescent="0.25">
      <c r="A808" s="26"/>
      <c r="B808" s="26"/>
      <c r="C808" s="98"/>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x14ac:dyDescent="0.25">
      <c r="A809" s="26"/>
      <c r="B809" s="26"/>
      <c r="C809" s="98"/>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x14ac:dyDescent="0.25">
      <c r="A810" s="26"/>
      <c r="B810" s="26"/>
      <c r="C810" s="98"/>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x14ac:dyDescent="0.25">
      <c r="A811" s="26"/>
      <c r="B811" s="26"/>
      <c r="C811" s="98"/>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x14ac:dyDescent="0.25">
      <c r="A812" s="26"/>
      <c r="B812" s="26"/>
      <c r="C812" s="98"/>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x14ac:dyDescent="0.25">
      <c r="A813" s="26"/>
      <c r="B813" s="26"/>
      <c r="C813" s="98"/>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x14ac:dyDescent="0.25">
      <c r="A814" s="26"/>
      <c r="B814" s="26"/>
      <c r="C814" s="98"/>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x14ac:dyDescent="0.25">
      <c r="A815" s="26"/>
      <c r="B815" s="26"/>
      <c r="C815" s="98"/>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x14ac:dyDescent="0.25">
      <c r="A816" s="26"/>
      <c r="B816" s="26"/>
      <c r="C816" s="98"/>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x14ac:dyDescent="0.25">
      <c r="A817" s="26"/>
      <c r="B817" s="26"/>
      <c r="C817" s="98"/>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x14ac:dyDescent="0.25">
      <c r="A818" s="26"/>
      <c r="B818" s="26"/>
      <c r="C818" s="98"/>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x14ac:dyDescent="0.25">
      <c r="A819" s="26"/>
      <c r="B819" s="26"/>
      <c r="C819" s="98"/>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x14ac:dyDescent="0.25">
      <c r="A820" s="26"/>
      <c r="B820" s="26"/>
      <c r="C820" s="98"/>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x14ac:dyDescent="0.25">
      <c r="A821" s="26"/>
      <c r="B821" s="26"/>
      <c r="C821" s="98"/>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x14ac:dyDescent="0.25">
      <c r="A822" s="26"/>
      <c r="B822" s="26"/>
      <c r="C822" s="98"/>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x14ac:dyDescent="0.25">
      <c r="A823" s="26"/>
      <c r="B823" s="26"/>
      <c r="C823" s="98"/>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x14ac:dyDescent="0.25">
      <c r="A824" s="26"/>
      <c r="B824" s="26"/>
      <c r="C824" s="98"/>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x14ac:dyDescent="0.25">
      <c r="A825" s="26"/>
      <c r="B825" s="26"/>
      <c r="C825" s="98"/>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x14ac:dyDescent="0.25">
      <c r="A826" s="26"/>
      <c r="B826" s="26"/>
      <c r="C826" s="98"/>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x14ac:dyDescent="0.25">
      <c r="A827" s="26"/>
      <c r="B827" s="26"/>
      <c r="C827" s="98"/>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x14ac:dyDescent="0.25">
      <c r="A828" s="26"/>
      <c r="B828" s="26"/>
      <c r="C828" s="98"/>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x14ac:dyDescent="0.25">
      <c r="A829" s="26"/>
      <c r="B829" s="26"/>
      <c r="C829" s="98"/>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x14ac:dyDescent="0.25">
      <c r="A830" s="26"/>
      <c r="B830" s="26"/>
      <c r="C830" s="98"/>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x14ac:dyDescent="0.25">
      <c r="A831" s="26"/>
      <c r="B831" s="26"/>
      <c r="C831" s="98"/>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x14ac:dyDescent="0.25">
      <c r="A832" s="26"/>
      <c r="B832" s="26"/>
      <c r="C832" s="98"/>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x14ac:dyDescent="0.25">
      <c r="A833" s="26"/>
      <c r="B833" s="26"/>
      <c r="C833" s="98"/>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x14ac:dyDescent="0.25">
      <c r="A834" s="26"/>
      <c r="B834" s="26"/>
      <c r="C834" s="98"/>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x14ac:dyDescent="0.25">
      <c r="A835" s="26"/>
      <c r="B835" s="26"/>
      <c r="C835" s="98"/>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x14ac:dyDescent="0.25">
      <c r="A836" s="26"/>
      <c r="B836" s="26"/>
      <c r="C836" s="98"/>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x14ac:dyDescent="0.25">
      <c r="A837" s="26"/>
      <c r="B837" s="26"/>
      <c r="C837" s="98"/>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x14ac:dyDescent="0.25">
      <c r="A838" s="26"/>
      <c r="B838" s="26"/>
      <c r="C838" s="98"/>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x14ac:dyDescent="0.25">
      <c r="A839" s="26"/>
      <c r="B839" s="26"/>
      <c r="C839" s="98"/>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x14ac:dyDescent="0.25">
      <c r="A840" s="26"/>
      <c r="B840" s="26"/>
      <c r="C840" s="98"/>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x14ac:dyDescent="0.25">
      <c r="A841" s="26"/>
      <c r="B841" s="26"/>
      <c r="C841" s="98"/>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x14ac:dyDescent="0.25">
      <c r="A842" s="26"/>
      <c r="B842" s="26"/>
      <c r="C842" s="98"/>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x14ac:dyDescent="0.25">
      <c r="A843" s="26"/>
      <c r="B843" s="26"/>
      <c r="C843" s="98"/>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x14ac:dyDescent="0.25">
      <c r="A844" s="26"/>
      <c r="B844" s="26"/>
      <c r="C844" s="98"/>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x14ac:dyDescent="0.25">
      <c r="A845" s="26"/>
      <c r="B845" s="26"/>
      <c r="C845" s="98"/>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x14ac:dyDescent="0.25">
      <c r="A846" s="26"/>
      <c r="B846" s="26"/>
      <c r="C846" s="98"/>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x14ac:dyDescent="0.25">
      <c r="A847" s="26"/>
      <c r="B847" s="26"/>
      <c r="C847" s="98"/>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x14ac:dyDescent="0.25">
      <c r="A848" s="26"/>
      <c r="B848" s="26"/>
      <c r="C848" s="98"/>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x14ac:dyDescent="0.25">
      <c r="A849" s="26"/>
      <c r="B849" s="26"/>
      <c r="C849" s="98"/>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x14ac:dyDescent="0.25">
      <c r="A850" s="26"/>
      <c r="B850" s="26"/>
      <c r="C850" s="98"/>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x14ac:dyDescent="0.25">
      <c r="A851" s="26"/>
      <c r="B851" s="26"/>
      <c r="C851" s="98"/>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x14ac:dyDescent="0.25">
      <c r="A852" s="26"/>
      <c r="B852" s="26"/>
      <c r="C852" s="98"/>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x14ac:dyDescent="0.25">
      <c r="A853" s="26"/>
      <c r="B853" s="26"/>
      <c r="C853" s="98"/>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x14ac:dyDescent="0.25">
      <c r="A854" s="26"/>
      <c r="B854" s="26"/>
      <c r="C854" s="98"/>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x14ac:dyDescent="0.25">
      <c r="A855" s="26"/>
      <c r="B855" s="26"/>
      <c r="C855" s="98"/>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x14ac:dyDescent="0.25">
      <c r="A856" s="26"/>
      <c r="B856" s="26"/>
      <c r="C856" s="98"/>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x14ac:dyDescent="0.25">
      <c r="A857" s="26"/>
      <c r="B857" s="26"/>
      <c r="C857" s="98"/>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x14ac:dyDescent="0.25">
      <c r="A858" s="26"/>
      <c r="B858" s="26"/>
      <c r="C858" s="98"/>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x14ac:dyDescent="0.25">
      <c r="A859" s="26"/>
      <c r="B859" s="26"/>
      <c r="C859" s="98"/>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x14ac:dyDescent="0.25">
      <c r="A860" s="26"/>
      <c r="B860" s="26"/>
      <c r="C860" s="98"/>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x14ac:dyDescent="0.25">
      <c r="A861" s="26"/>
      <c r="B861" s="26"/>
      <c r="C861" s="98"/>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x14ac:dyDescent="0.25">
      <c r="A862" s="26"/>
      <c r="B862" s="26"/>
      <c r="C862" s="98"/>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x14ac:dyDescent="0.25">
      <c r="A863" s="26"/>
      <c r="B863" s="26"/>
      <c r="C863" s="98"/>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x14ac:dyDescent="0.25">
      <c r="A864" s="26"/>
      <c r="B864" s="26"/>
      <c r="C864" s="98"/>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x14ac:dyDescent="0.25">
      <c r="A865" s="26"/>
      <c r="B865" s="26"/>
      <c r="C865" s="98"/>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x14ac:dyDescent="0.25">
      <c r="A866" s="26"/>
      <c r="B866" s="26"/>
      <c r="C866" s="98"/>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x14ac:dyDescent="0.25">
      <c r="A867" s="26"/>
      <c r="B867" s="26"/>
      <c r="C867" s="98"/>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x14ac:dyDescent="0.25">
      <c r="A868" s="26"/>
      <c r="B868" s="26"/>
      <c r="C868" s="98"/>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x14ac:dyDescent="0.25">
      <c r="A869" s="26"/>
      <c r="B869" s="26"/>
      <c r="C869" s="98"/>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x14ac:dyDescent="0.25">
      <c r="A870" s="26"/>
      <c r="B870" s="26"/>
      <c r="C870" s="98"/>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x14ac:dyDescent="0.25">
      <c r="A871" s="26"/>
      <c r="B871" s="26"/>
      <c r="C871" s="98"/>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x14ac:dyDescent="0.25">
      <c r="A872" s="26"/>
      <c r="B872" s="26"/>
      <c r="C872" s="98"/>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x14ac:dyDescent="0.25">
      <c r="A873" s="26"/>
      <c r="B873" s="26"/>
      <c r="C873" s="98"/>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x14ac:dyDescent="0.25">
      <c r="A874" s="26"/>
      <c r="B874" s="26"/>
      <c r="C874" s="98"/>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x14ac:dyDescent="0.25">
      <c r="A875" s="26"/>
      <c r="B875" s="26"/>
      <c r="C875" s="98"/>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x14ac:dyDescent="0.25">
      <c r="A876" s="26"/>
      <c r="B876" s="26"/>
      <c r="C876" s="98"/>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x14ac:dyDescent="0.25">
      <c r="A877" s="26"/>
      <c r="B877" s="26"/>
      <c r="C877" s="98"/>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x14ac:dyDescent="0.25">
      <c r="A878" s="26"/>
      <c r="B878" s="26"/>
      <c r="C878" s="98"/>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x14ac:dyDescent="0.25">
      <c r="A879" s="26"/>
      <c r="B879" s="26"/>
      <c r="C879" s="98"/>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x14ac:dyDescent="0.25">
      <c r="A880" s="26"/>
      <c r="B880" s="26"/>
      <c r="C880" s="98"/>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x14ac:dyDescent="0.25">
      <c r="A881" s="26"/>
      <c r="B881" s="26"/>
      <c r="C881" s="98"/>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x14ac:dyDescent="0.25">
      <c r="A882" s="26"/>
      <c r="B882" s="26"/>
      <c r="C882" s="98"/>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x14ac:dyDescent="0.25">
      <c r="A883" s="26"/>
      <c r="B883" s="26"/>
      <c r="C883" s="98"/>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x14ac:dyDescent="0.25">
      <c r="A884" s="26"/>
      <c r="B884" s="26"/>
      <c r="C884" s="98"/>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x14ac:dyDescent="0.25">
      <c r="A885" s="26"/>
      <c r="B885" s="26"/>
      <c r="C885" s="98"/>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x14ac:dyDescent="0.25">
      <c r="A886" s="26"/>
      <c r="B886" s="26"/>
      <c r="C886" s="98"/>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x14ac:dyDescent="0.25">
      <c r="A887" s="26"/>
      <c r="B887" s="26"/>
      <c r="C887" s="98"/>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x14ac:dyDescent="0.25">
      <c r="A888" s="26"/>
      <c r="B888" s="26"/>
      <c r="C888" s="98"/>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x14ac:dyDescent="0.25">
      <c r="A889" s="26"/>
      <c r="B889" s="26"/>
      <c r="C889" s="98"/>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x14ac:dyDescent="0.25">
      <c r="A890" s="26"/>
      <c r="B890" s="26"/>
      <c r="C890" s="98"/>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x14ac:dyDescent="0.25">
      <c r="A891" s="26"/>
      <c r="B891" s="26"/>
      <c r="C891" s="98"/>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x14ac:dyDescent="0.25">
      <c r="A892" s="26"/>
      <c r="B892" s="26"/>
      <c r="C892" s="98"/>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x14ac:dyDescent="0.25">
      <c r="A893" s="26"/>
      <c r="B893" s="26"/>
      <c r="C893" s="98"/>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x14ac:dyDescent="0.25">
      <c r="A894" s="26"/>
      <c r="B894" s="26"/>
      <c r="C894" s="98"/>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x14ac:dyDescent="0.25">
      <c r="A895" s="26"/>
      <c r="B895" s="26"/>
      <c r="C895" s="98"/>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x14ac:dyDescent="0.25">
      <c r="A896" s="26"/>
      <c r="B896" s="26"/>
      <c r="C896" s="98"/>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x14ac:dyDescent="0.25">
      <c r="A897" s="26"/>
      <c r="B897" s="26"/>
      <c r="C897" s="98"/>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x14ac:dyDescent="0.25">
      <c r="A898" s="26"/>
      <c r="B898" s="26"/>
      <c r="C898" s="98"/>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x14ac:dyDescent="0.25">
      <c r="A899" s="26"/>
      <c r="B899" s="26"/>
      <c r="C899" s="98"/>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x14ac:dyDescent="0.25">
      <c r="A900" s="26"/>
      <c r="B900" s="26"/>
      <c r="C900" s="98"/>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x14ac:dyDescent="0.25">
      <c r="A901" s="26"/>
      <c r="B901" s="26"/>
      <c r="C901" s="98"/>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x14ac:dyDescent="0.25">
      <c r="A902" s="26"/>
      <c r="B902" s="26"/>
      <c r="C902" s="98"/>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x14ac:dyDescent="0.25">
      <c r="A903" s="26"/>
      <c r="B903" s="26"/>
      <c r="C903" s="98"/>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x14ac:dyDescent="0.25">
      <c r="A904" s="26"/>
      <c r="B904" s="26"/>
      <c r="C904" s="98"/>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x14ac:dyDescent="0.25">
      <c r="A905" s="26"/>
      <c r="B905" s="26"/>
      <c r="C905" s="98"/>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x14ac:dyDescent="0.25">
      <c r="A906" s="26"/>
      <c r="B906" s="26"/>
      <c r="C906" s="98"/>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x14ac:dyDescent="0.25">
      <c r="A907" s="26"/>
      <c r="B907" s="26"/>
      <c r="C907" s="98"/>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x14ac:dyDescent="0.25">
      <c r="A908" s="26"/>
      <c r="B908" s="26"/>
      <c r="C908" s="98"/>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x14ac:dyDescent="0.25">
      <c r="A909" s="26"/>
      <c r="B909" s="26"/>
      <c r="C909" s="98"/>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x14ac:dyDescent="0.25">
      <c r="A910" s="26"/>
      <c r="B910" s="26"/>
      <c r="C910" s="98"/>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x14ac:dyDescent="0.25">
      <c r="A911" s="26"/>
      <c r="B911" s="26"/>
      <c r="C911" s="98"/>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x14ac:dyDescent="0.25">
      <c r="A912" s="26"/>
      <c r="B912" s="26"/>
      <c r="C912" s="98"/>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x14ac:dyDescent="0.25">
      <c r="A913" s="26"/>
      <c r="B913" s="26"/>
      <c r="C913" s="98"/>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x14ac:dyDescent="0.25">
      <c r="A914" s="26"/>
      <c r="B914" s="26"/>
      <c r="C914" s="98"/>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x14ac:dyDescent="0.25">
      <c r="A915" s="26"/>
      <c r="B915" s="26"/>
      <c r="C915" s="98"/>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x14ac:dyDescent="0.25">
      <c r="A916" s="26"/>
      <c r="B916" s="26"/>
      <c r="C916" s="98"/>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x14ac:dyDescent="0.25">
      <c r="A917" s="26"/>
      <c r="B917" s="26"/>
      <c r="C917" s="98"/>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x14ac:dyDescent="0.25">
      <c r="A918" s="26"/>
      <c r="B918" s="26"/>
      <c r="C918" s="98"/>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x14ac:dyDescent="0.25">
      <c r="A919" s="26"/>
      <c r="B919" s="26"/>
      <c r="C919" s="98"/>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x14ac:dyDescent="0.25">
      <c r="A920" s="26"/>
      <c r="B920" s="26"/>
      <c r="C920" s="98"/>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x14ac:dyDescent="0.25">
      <c r="A921" s="26"/>
      <c r="B921" s="26"/>
      <c r="C921" s="98"/>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x14ac:dyDescent="0.25">
      <c r="A922" s="26"/>
      <c r="B922" s="26"/>
      <c r="C922" s="98"/>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x14ac:dyDescent="0.25">
      <c r="A923" s="26"/>
      <c r="B923" s="26"/>
      <c r="C923" s="98"/>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x14ac:dyDescent="0.25">
      <c r="A924" s="26"/>
      <c r="B924" s="26"/>
      <c r="C924" s="98"/>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x14ac:dyDescent="0.25">
      <c r="A925" s="26"/>
      <c r="B925" s="26"/>
      <c r="C925" s="98"/>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x14ac:dyDescent="0.25">
      <c r="A926" s="26"/>
      <c r="B926" s="26"/>
      <c r="C926" s="98"/>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x14ac:dyDescent="0.25">
      <c r="A927" s="26"/>
      <c r="B927" s="26"/>
      <c r="C927" s="98"/>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x14ac:dyDescent="0.25">
      <c r="A928" s="26"/>
      <c r="B928" s="26"/>
      <c r="C928" s="98"/>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x14ac:dyDescent="0.25">
      <c r="A929" s="26"/>
      <c r="B929" s="26"/>
      <c r="C929" s="98"/>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x14ac:dyDescent="0.25">
      <c r="A930" s="26"/>
      <c r="B930" s="26"/>
      <c r="C930" s="98"/>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x14ac:dyDescent="0.25">
      <c r="A931" s="26"/>
      <c r="B931" s="26"/>
      <c r="C931" s="98"/>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x14ac:dyDescent="0.25">
      <c r="A932" s="26"/>
      <c r="B932" s="26"/>
      <c r="C932" s="98"/>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x14ac:dyDescent="0.25">
      <c r="A933" s="26"/>
      <c r="B933" s="26"/>
      <c r="C933" s="98"/>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x14ac:dyDescent="0.25">
      <c r="A934" s="26"/>
      <c r="B934" s="26"/>
      <c r="C934" s="98"/>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x14ac:dyDescent="0.25">
      <c r="A935" s="26"/>
      <c r="B935" s="26"/>
      <c r="C935" s="98"/>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x14ac:dyDescent="0.25">
      <c r="A936" s="26"/>
      <c r="B936" s="26"/>
      <c r="C936" s="98"/>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x14ac:dyDescent="0.25">
      <c r="A937" s="26"/>
      <c r="B937" s="26"/>
      <c r="C937" s="98"/>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x14ac:dyDescent="0.25">
      <c r="A938" s="26"/>
      <c r="B938" s="26"/>
      <c r="C938" s="98"/>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x14ac:dyDescent="0.25">
      <c r="A939" s="26"/>
      <c r="B939" s="26"/>
      <c r="C939" s="98"/>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x14ac:dyDescent="0.25">
      <c r="A940" s="26"/>
      <c r="B940" s="26"/>
      <c r="C940" s="98"/>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x14ac:dyDescent="0.25">
      <c r="A941" s="26"/>
      <c r="B941" s="26"/>
      <c r="C941" s="98"/>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x14ac:dyDescent="0.25">
      <c r="A942" s="26"/>
      <c r="B942" s="26"/>
      <c r="C942" s="98"/>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x14ac:dyDescent="0.25">
      <c r="A943" s="26"/>
      <c r="B943" s="26"/>
      <c r="C943" s="98"/>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x14ac:dyDescent="0.25">
      <c r="A944" s="26"/>
      <c r="B944" s="26"/>
      <c r="C944" s="98"/>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x14ac:dyDescent="0.25">
      <c r="A945" s="26"/>
      <c r="B945" s="26"/>
      <c r="C945" s="98"/>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x14ac:dyDescent="0.25">
      <c r="A946" s="26"/>
      <c r="B946" s="26"/>
      <c r="C946" s="98"/>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x14ac:dyDescent="0.25">
      <c r="A947" s="26"/>
      <c r="B947" s="26"/>
      <c r="C947" s="98"/>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x14ac:dyDescent="0.25">
      <c r="A948" s="26"/>
      <c r="B948" s="26"/>
      <c r="C948" s="98"/>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x14ac:dyDescent="0.25">
      <c r="A949" s="26"/>
      <c r="B949" s="26"/>
      <c r="C949" s="98"/>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x14ac:dyDescent="0.25">
      <c r="A950" s="26"/>
      <c r="B950" s="26"/>
      <c r="C950" s="98"/>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x14ac:dyDescent="0.25">
      <c r="A951" s="26"/>
      <c r="B951" s="26"/>
      <c r="C951" s="98"/>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x14ac:dyDescent="0.25">
      <c r="A952" s="26"/>
      <c r="B952" s="26"/>
      <c r="C952" s="98"/>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x14ac:dyDescent="0.25">
      <c r="A953" s="26"/>
      <c r="B953" s="26"/>
      <c r="C953" s="98"/>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x14ac:dyDescent="0.25">
      <c r="A954" s="26"/>
      <c r="B954" s="26"/>
      <c r="C954" s="98"/>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x14ac:dyDescent="0.25">
      <c r="A955" s="26"/>
      <c r="B955" s="26"/>
      <c r="C955" s="98"/>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x14ac:dyDescent="0.25">
      <c r="A956" s="26"/>
      <c r="B956" s="26"/>
      <c r="C956" s="98"/>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x14ac:dyDescent="0.25">
      <c r="A957" s="26"/>
      <c r="B957" s="26"/>
      <c r="C957" s="98"/>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x14ac:dyDescent="0.25">
      <c r="A958" s="26"/>
      <c r="B958" s="26"/>
      <c r="C958" s="98"/>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x14ac:dyDescent="0.25">
      <c r="A959" s="26"/>
      <c r="B959" s="26"/>
      <c r="C959" s="98"/>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x14ac:dyDescent="0.25">
      <c r="A960" s="26"/>
      <c r="B960" s="26"/>
      <c r="C960" s="98"/>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x14ac:dyDescent="0.25">
      <c r="A961" s="26"/>
      <c r="B961" s="26"/>
      <c r="C961" s="98"/>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x14ac:dyDescent="0.25">
      <c r="A962" s="26"/>
      <c r="B962" s="26"/>
      <c r="C962" s="98"/>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x14ac:dyDescent="0.25">
      <c r="A963" s="26"/>
      <c r="B963" s="26"/>
      <c r="C963" s="98"/>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x14ac:dyDescent="0.25">
      <c r="A964" s="26"/>
      <c r="B964" s="26"/>
      <c r="C964" s="98"/>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x14ac:dyDescent="0.25">
      <c r="A965" s="26"/>
      <c r="B965" s="26"/>
      <c r="C965" s="98"/>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x14ac:dyDescent="0.25">
      <c r="A966" s="26"/>
      <c r="B966" s="26"/>
      <c r="C966" s="98"/>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x14ac:dyDescent="0.25">
      <c r="A967" s="26"/>
      <c r="B967" s="26"/>
      <c r="C967" s="98"/>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x14ac:dyDescent="0.25">
      <c r="A968" s="26"/>
      <c r="B968" s="26"/>
      <c r="C968" s="98"/>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x14ac:dyDescent="0.25">
      <c r="A969" s="26"/>
      <c r="B969" s="26"/>
      <c r="C969" s="98"/>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x14ac:dyDescent="0.25">
      <c r="A970" s="26"/>
      <c r="B970" s="26"/>
      <c r="C970" s="98"/>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x14ac:dyDescent="0.25">
      <c r="A971" s="26"/>
      <c r="B971" s="26"/>
      <c r="C971" s="98"/>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x14ac:dyDescent="0.25">
      <c r="A972" s="26"/>
      <c r="B972" s="26"/>
      <c r="C972" s="98"/>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x14ac:dyDescent="0.25">
      <c r="A973" s="26"/>
      <c r="B973" s="26"/>
      <c r="C973" s="98"/>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x14ac:dyDescent="0.25">
      <c r="A974" s="26"/>
      <c r="B974" s="26"/>
      <c r="C974" s="98"/>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x14ac:dyDescent="0.25">
      <c r="A975" s="26"/>
      <c r="B975" s="26"/>
      <c r="C975" s="98"/>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x14ac:dyDescent="0.25">
      <c r="A976" s="26"/>
      <c r="B976" s="26"/>
      <c r="C976" s="98"/>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x14ac:dyDescent="0.25">
      <c r="A977" s="26"/>
      <c r="B977" s="26"/>
      <c r="C977" s="98"/>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x14ac:dyDescent="0.25">
      <c r="A978" s="26"/>
      <c r="B978" s="26"/>
      <c r="C978" s="98"/>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x14ac:dyDescent="0.25">
      <c r="A979" s="26"/>
      <c r="B979" s="26"/>
      <c r="C979" s="98"/>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x14ac:dyDescent="0.25">
      <c r="A980" s="26"/>
      <c r="B980" s="26"/>
      <c r="C980" s="98"/>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x14ac:dyDescent="0.25">
      <c r="A981" s="26"/>
      <c r="B981" s="26"/>
      <c r="C981" s="98"/>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x14ac:dyDescent="0.25">
      <c r="A982" s="26"/>
      <c r="B982" s="26"/>
      <c r="C982" s="98"/>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x14ac:dyDescent="0.25">
      <c r="A983" s="26"/>
      <c r="B983" s="26"/>
      <c r="C983" s="98"/>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x14ac:dyDescent="0.25">
      <c r="A984" s="26"/>
      <c r="B984" s="26"/>
      <c r="C984" s="98"/>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x14ac:dyDescent="0.25">
      <c r="A985" s="26"/>
      <c r="B985" s="26"/>
      <c r="C985" s="98"/>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x14ac:dyDescent="0.25">
      <c r="A986" s="26"/>
      <c r="B986" s="26"/>
      <c r="C986" s="98"/>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x14ac:dyDescent="0.25">
      <c r="A987" s="26"/>
      <c r="B987" s="26"/>
      <c r="C987" s="98"/>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x14ac:dyDescent="0.25">
      <c r="A988" s="26"/>
      <c r="B988" s="26"/>
      <c r="C988" s="98"/>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x14ac:dyDescent="0.25">
      <c r="A989" s="26"/>
      <c r="B989" s="26"/>
      <c r="C989" s="98"/>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x14ac:dyDescent="0.25">
      <c r="A990" s="26"/>
      <c r="B990" s="26"/>
      <c r="C990" s="98"/>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x14ac:dyDescent="0.25">
      <c r="A991" s="26"/>
      <c r="B991" s="26"/>
      <c r="C991" s="98"/>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x14ac:dyDescent="0.25">
      <c r="A992" s="26"/>
      <c r="B992" s="26"/>
      <c r="C992" s="98"/>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x14ac:dyDescent="0.25">
      <c r="A993" s="26"/>
      <c r="B993" s="26"/>
      <c r="C993" s="98"/>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x14ac:dyDescent="0.25">
      <c r="A994" s="26"/>
      <c r="B994" s="26"/>
      <c r="C994" s="98"/>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x14ac:dyDescent="0.25">
      <c r="A995" s="26"/>
      <c r="B995" s="26"/>
      <c r="C995" s="98"/>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x14ac:dyDescent="0.25">
      <c r="A996" s="26"/>
      <c r="B996" s="26"/>
      <c r="C996" s="98"/>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x14ac:dyDescent="0.25">
      <c r="A997" s="26"/>
      <c r="B997" s="26"/>
      <c r="C997" s="98"/>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x14ac:dyDescent="0.25">
      <c r="A998" s="26"/>
      <c r="B998" s="26"/>
      <c r="C998" s="98"/>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x14ac:dyDescent="0.25">
      <c r="A999" s="26"/>
      <c r="B999" s="26"/>
      <c r="C999" s="98"/>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x14ac:dyDescent="0.25">
      <c r="A1000" s="26"/>
      <c r="B1000" s="26"/>
      <c r="C1000" s="98"/>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x14ac:dyDescent="0.25">
      <c r="A1001" s="26"/>
      <c r="B1001" s="26"/>
      <c r="C1001" s="98"/>
      <c r="D1001" s="26"/>
      <c r="E1001" s="26"/>
      <c r="F1001" s="26"/>
      <c r="G1001" s="26"/>
      <c r="H1001" s="26"/>
      <c r="I1001" s="26"/>
      <c r="J1001" s="26"/>
      <c r="K1001" s="26"/>
      <c r="L1001" s="26"/>
      <c r="M1001" s="26"/>
      <c r="N1001" s="26"/>
      <c r="O1001" s="26"/>
      <c r="P1001" s="26"/>
      <c r="Q1001" s="26"/>
      <c r="R1001" s="26"/>
      <c r="S1001" s="26"/>
      <c r="T1001" s="26"/>
      <c r="U1001" s="26"/>
      <c r="V1001" s="26"/>
      <c r="W1001" s="26"/>
      <c r="X1001" s="26"/>
      <c r="Y1001" s="26"/>
      <c r="Z1001" s="26"/>
    </row>
  </sheetData>
  <mergeCells count="3">
    <mergeCell ref="C3:D3"/>
    <mergeCell ref="E3:L3"/>
    <mergeCell ref="B2:L2"/>
  </mergeCells>
  <conditionalFormatting sqref="C33:L33">
    <cfRule type="cellIs" dxfId="1" priority="1" stopIfTrue="1" operator="notBetween">
      <formula>-1</formula>
      <formula>1</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8741E-E789-4BDD-81E3-9CD1E45F6411}">
  <dimension ref="A1:Z1006"/>
  <sheetViews>
    <sheetView workbookViewId="0">
      <pane xSplit="3" ySplit="5" topLeftCell="D6" activePane="bottomRight" state="frozen"/>
      <selection pane="topRight" activeCell="D1" sqref="D1"/>
      <selection pane="bottomLeft" activeCell="A5" sqref="A5"/>
      <selection pane="bottomRight" activeCell="O39" sqref="O39"/>
    </sheetView>
  </sheetViews>
  <sheetFormatPr defaultColWidth="12.6640625" defaultRowHeight="15" customHeight="1" x14ac:dyDescent="0.25"/>
  <cols>
    <col min="1" max="1" width="2.77734375" style="59" customWidth="1"/>
    <col min="2" max="2" width="5.88671875" style="59" customWidth="1"/>
    <col min="3" max="3" width="43.109375" style="59" customWidth="1"/>
    <col min="4" max="4" width="16.5546875" style="59" customWidth="1"/>
    <col min="5" max="5" width="18" style="59" customWidth="1"/>
    <col min="6" max="6" width="12.44140625" style="59" customWidth="1"/>
    <col min="7" max="7" width="13" style="59" customWidth="1"/>
    <col min="8" max="8" width="12.44140625" style="59" customWidth="1"/>
    <col min="9" max="14" width="11" style="59" customWidth="1"/>
    <col min="15" max="15" width="19.44140625" style="59" bestFit="1" customWidth="1"/>
    <col min="16" max="26" width="11" style="59" customWidth="1"/>
    <col min="27" max="16384" width="12.6640625" style="59"/>
  </cols>
  <sheetData>
    <row r="1" spans="1:26" ht="13.5" customHeight="1" x14ac:dyDescent="0.3">
      <c r="A1" s="26"/>
      <c r="B1" s="26"/>
      <c r="C1" s="179" t="s">
        <v>220</v>
      </c>
      <c r="D1" s="179"/>
      <c r="E1" s="179"/>
      <c r="F1" s="179"/>
      <c r="G1" s="179"/>
      <c r="H1" s="179"/>
      <c r="I1" s="179"/>
      <c r="J1" s="179"/>
      <c r="K1" s="179"/>
      <c r="L1" s="179"/>
      <c r="M1" s="179"/>
      <c r="N1" s="26"/>
      <c r="O1" s="26"/>
      <c r="P1" s="26"/>
      <c r="Q1" s="26"/>
      <c r="R1" s="26"/>
      <c r="S1" s="26"/>
      <c r="T1" s="26"/>
      <c r="U1" s="26"/>
      <c r="V1" s="26"/>
      <c r="W1" s="26"/>
      <c r="X1" s="26"/>
      <c r="Y1" s="26"/>
      <c r="Z1" s="26"/>
    </row>
    <row r="2" spans="1:26" ht="12.75" customHeight="1" x14ac:dyDescent="0.25">
      <c r="A2" s="26"/>
      <c r="B2" s="26"/>
      <c r="C2" s="180" t="s">
        <v>53</v>
      </c>
      <c r="D2" s="180"/>
      <c r="E2" s="180"/>
      <c r="F2" s="180"/>
      <c r="G2" s="180"/>
      <c r="H2" s="180"/>
      <c r="I2" s="180"/>
      <c r="J2" s="180"/>
      <c r="K2" s="180"/>
      <c r="L2" s="180"/>
      <c r="M2" s="180"/>
      <c r="N2" s="26"/>
      <c r="O2" s="26"/>
      <c r="P2" s="26"/>
      <c r="Q2" s="26"/>
      <c r="R2" s="26"/>
      <c r="S2" s="26"/>
      <c r="T2" s="26"/>
      <c r="U2" s="26"/>
      <c r="V2" s="26"/>
      <c r="W2" s="26"/>
      <c r="X2" s="26"/>
      <c r="Y2" s="26"/>
      <c r="Z2" s="26"/>
    </row>
    <row r="3" spans="1:26" ht="12.75" customHeight="1" x14ac:dyDescent="0.25">
      <c r="A3" s="26"/>
      <c r="B3" s="26"/>
      <c r="C3" s="37"/>
      <c r="D3" s="181" t="s">
        <v>95</v>
      </c>
      <c r="E3" s="181"/>
      <c r="F3" s="181" t="s">
        <v>163</v>
      </c>
      <c r="G3" s="181"/>
      <c r="H3" s="181"/>
      <c r="I3" s="181"/>
      <c r="J3" s="181"/>
      <c r="K3" s="181"/>
      <c r="L3" s="181"/>
      <c r="M3" s="181"/>
      <c r="N3" s="26"/>
      <c r="O3" s="26"/>
      <c r="P3" s="26"/>
      <c r="Q3" s="26"/>
      <c r="R3" s="26"/>
      <c r="S3" s="26"/>
      <c r="T3" s="26"/>
      <c r="U3" s="26"/>
      <c r="V3" s="26"/>
      <c r="W3" s="26"/>
      <c r="X3" s="26"/>
      <c r="Y3" s="26"/>
      <c r="Z3" s="26"/>
    </row>
    <row r="4" spans="1:26" ht="12.75" customHeight="1" x14ac:dyDescent="0.25">
      <c r="A4" s="26"/>
      <c r="B4" s="170"/>
      <c r="C4" s="172" t="s">
        <v>54</v>
      </c>
      <c r="D4" s="173">
        <v>2016</v>
      </c>
      <c r="E4" s="173">
        <v>2017</v>
      </c>
      <c r="F4" s="173">
        <v>2018</v>
      </c>
      <c r="G4" s="173">
        <v>2019</v>
      </c>
      <c r="H4" s="173">
        <v>2020</v>
      </c>
      <c r="I4" s="173">
        <v>2021</v>
      </c>
      <c r="J4" s="173">
        <v>2022</v>
      </c>
      <c r="K4" s="173">
        <v>2023</v>
      </c>
      <c r="L4" s="173">
        <v>2024</v>
      </c>
      <c r="M4" s="173">
        <v>2025</v>
      </c>
      <c r="N4" s="26"/>
      <c r="P4" s="26"/>
      <c r="Q4" s="26"/>
      <c r="R4" s="26"/>
      <c r="S4" s="26"/>
      <c r="T4" s="26"/>
      <c r="U4" s="26"/>
      <c r="V4" s="26"/>
      <c r="W4" s="26"/>
      <c r="X4" s="26"/>
      <c r="Y4" s="26"/>
      <c r="Z4" s="26"/>
    </row>
    <row r="5" spans="1:26" ht="29.25" customHeight="1" x14ac:dyDescent="0.25">
      <c r="A5" s="26"/>
      <c r="B5" s="171"/>
      <c r="C5" s="171"/>
      <c r="D5" s="174"/>
      <c r="E5" s="174"/>
      <c r="F5" s="174"/>
      <c r="G5" s="174"/>
      <c r="H5" s="174"/>
      <c r="I5" s="174"/>
      <c r="J5" s="174"/>
      <c r="K5" s="174"/>
      <c r="L5" s="174"/>
      <c r="M5" s="174"/>
      <c r="N5" s="26"/>
      <c r="P5" s="111"/>
      <c r="Q5" s="111"/>
      <c r="R5" s="111"/>
      <c r="S5" s="26"/>
      <c r="T5" s="26"/>
      <c r="U5" s="26"/>
      <c r="V5" s="26"/>
      <c r="W5" s="26"/>
      <c r="X5" s="26"/>
      <c r="Y5" s="26"/>
      <c r="Z5" s="26"/>
    </row>
    <row r="6" spans="1:26" ht="17.25" customHeight="1" x14ac:dyDescent="0.25">
      <c r="A6" s="29"/>
      <c r="B6" s="30" t="s">
        <v>55</v>
      </c>
      <c r="C6" s="30" t="s">
        <v>56</v>
      </c>
      <c r="D6" s="31">
        <v>2714177</v>
      </c>
      <c r="E6" s="31">
        <v>4414253</v>
      </c>
      <c r="F6" s="73">
        <f>E6*(1+F43)</f>
        <v>5738528.9000000004</v>
      </c>
      <c r="G6" s="73">
        <f>F6*(1+G43)</f>
        <v>7460087.5700000003</v>
      </c>
      <c r="H6" s="73">
        <f t="shared" ref="H6:M6" si="0">G6*(1+H43)</f>
        <v>9698113.841</v>
      </c>
      <c r="I6" s="73">
        <f>H6*(1+I43)</f>
        <v>11152830.917149998</v>
      </c>
      <c r="J6" s="73">
        <f t="shared" si="0"/>
        <v>12825755.554722497</v>
      </c>
      <c r="K6" s="73">
        <f t="shared" si="0"/>
        <v>14749618.88793087</v>
      </c>
      <c r="L6" s="73">
        <f t="shared" si="0"/>
        <v>16962061.721120499</v>
      </c>
      <c r="M6" s="73">
        <f t="shared" si="0"/>
        <v>19506370.979288571</v>
      </c>
      <c r="N6" s="29"/>
      <c r="O6" s="163" t="s">
        <v>216</v>
      </c>
      <c r="P6" s="163"/>
      <c r="Q6" s="163"/>
      <c r="R6" s="163"/>
      <c r="S6" s="163"/>
      <c r="T6" s="29"/>
      <c r="U6" s="29"/>
      <c r="V6" s="29"/>
      <c r="W6" s="29"/>
      <c r="X6" s="29"/>
      <c r="Y6" s="29"/>
      <c r="Z6" s="29"/>
    </row>
    <row r="7" spans="1:26" ht="17.25" customHeight="1" x14ac:dyDescent="0.25">
      <c r="A7" s="29"/>
      <c r="B7" s="30" t="s">
        <v>57</v>
      </c>
      <c r="C7" s="30" t="s">
        <v>58</v>
      </c>
      <c r="D7" s="31">
        <v>998289</v>
      </c>
      <c r="E7" s="31">
        <v>1121942</v>
      </c>
      <c r="F7" s="119">
        <f>SUM(F8:F12)</f>
        <v>1458525.0113956833</v>
      </c>
      <c r="G7" s="119">
        <f t="shared" ref="G7:M7" si="1">SUM(G8:G12)</f>
        <v>1896082.514814388</v>
      </c>
      <c r="H7" s="119">
        <f t="shared" si="1"/>
        <v>2464907.2692587045</v>
      </c>
      <c r="I7" s="119">
        <f t="shared" si="1"/>
        <v>2834643.3596475096</v>
      </c>
      <c r="J7" s="119">
        <f t="shared" si="1"/>
        <v>3259839.8635946359</v>
      </c>
      <c r="K7" s="119">
        <f t="shared" si="1"/>
        <v>3748815.8431338305</v>
      </c>
      <c r="L7" s="119">
        <f t="shared" si="1"/>
        <v>4311138.2196039045</v>
      </c>
      <c r="M7" s="119">
        <f t="shared" si="1"/>
        <v>4957808.9525444899</v>
      </c>
      <c r="N7" s="103"/>
      <c r="O7" s="164" t="s">
        <v>227</v>
      </c>
      <c r="P7" s="164"/>
      <c r="Q7" s="164"/>
      <c r="R7" s="164"/>
      <c r="S7" s="164"/>
      <c r="T7" s="29"/>
      <c r="U7" s="29"/>
      <c r="V7" s="29"/>
      <c r="W7" s="29"/>
      <c r="X7" s="29"/>
      <c r="Y7" s="29"/>
      <c r="Z7" s="29"/>
    </row>
    <row r="8" spans="1:26" ht="17.25" customHeight="1" x14ac:dyDescent="0.25">
      <c r="A8" s="26"/>
      <c r="B8" s="26"/>
      <c r="C8" s="46" t="s">
        <v>59</v>
      </c>
      <c r="D8" s="32"/>
      <c r="E8" s="32"/>
      <c r="F8" s="115"/>
      <c r="G8" s="115"/>
      <c r="H8" s="115"/>
      <c r="I8" s="115"/>
      <c r="J8" s="115"/>
      <c r="K8" s="115"/>
      <c r="L8" s="115"/>
      <c r="M8" s="115"/>
      <c r="N8" s="26"/>
      <c r="O8" s="164"/>
      <c r="P8" s="164"/>
      <c r="Q8" s="164"/>
      <c r="R8" s="164"/>
      <c r="S8" s="164"/>
      <c r="T8" s="26"/>
      <c r="U8" s="26"/>
      <c r="V8" s="26"/>
      <c r="W8" s="26"/>
      <c r="X8" s="26"/>
      <c r="Y8" s="26"/>
      <c r="Z8" s="26"/>
    </row>
    <row r="9" spans="1:26" ht="17.25" customHeight="1" x14ac:dyDescent="0.25">
      <c r="A9" s="26"/>
      <c r="B9" s="26"/>
      <c r="C9" s="46" t="s">
        <v>60</v>
      </c>
      <c r="D9" s="32">
        <v>992551</v>
      </c>
      <c r="E9" s="32">
        <v>1076892</v>
      </c>
      <c r="F9" s="117">
        <f>F46*F6</f>
        <v>1399960.2609727632</v>
      </c>
      <c r="G9" s="117">
        <f t="shared" ref="G9:M9" si="2">G46*G6</f>
        <v>1819948.3392645919</v>
      </c>
      <c r="H9" s="117">
        <f t="shared" si="2"/>
        <v>2365932.8410439696</v>
      </c>
      <c r="I9" s="117">
        <f t="shared" si="2"/>
        <v>2720822.7672005645</v>
      </c>
      <c r="J9" s="117">
        <f t="shared" si="2"/>
        <v>3128946.182280649</v>
      </c>
      <c r="K9" s="117">
        <f t="shared" si="2"/>
        <v>3598288.1096227458</v>
      </c>
      <c r="L9" s="117">
        <f>L46*L6</f>
        <v>4138031.3260661573</v>
      </c>
      <c r="M9" s="117">
        <f t="shared" si="2"/>
        <v>4758736.0249760803</v>
      </c>
      <c r="N9" s="26"/>
      <c r="O9" s="164"/>
      <c r="P9" s="164"/>
      <c r="Q9" s="164"/>
      <c r="R9" s="164"/>
      <c r="S9" s="164"/>
      <c r="T9" s="26"/>
      <c r="U9" s="26"/>
      <c r="V9" s="26"/>
      <c r="W9" s="26"/>
      <c r="X9" s="26"/>
      <c r="Y9" s="26"/>
      <c r="Z9" s="26"/>
    </row>
    <row r="10" spans="1:26" ht="17.25" customHeight="1" x14ac:dyDescent="0.25">
      <c r="A10" s="26"/>
      <c r="B10" s="26"/>
      <c r="C10" s="46" t="s">
        <v>61</v>
      </c>
      <c r="D10" s="32"/>
      <c r="E10" s="32"/>
      <c r="F10" s="116"/>
      <c r="G10" s="116"/>
      <c r="H10" s="116"/>
      <c r="I10" s="116"/>
      <c r="J10" s="116"/>
      <c r="K10" s="116"/>
      <c r="L10" s="116"/>
      <c r="M10" s="116"/>
      <c r="N10" s="26"/>
      <c r="O10" s="164"/>
      <c r="P10" s="164"/>
      <c r="Q10" s="164"/>
      <c r="R10" s="164"/>
      <c r="S10" s="164"/>
      <c r="T10" s="26"/>
      <c r="U10" s="26"/>
      <c r="V10" s="26"/>
      <c r="W10" s="26"/>
      <c r="X10" s="26"/>
      <c r="Y10" s="26"/>
      <c r="Z10" s="26"/>
    </row>
    <row r="11" spans="1:26" ht="17.25" customHeight="1" x14ac:dyDescent="0.25">
      <c r="A11" s="26"/>
      <c r="B11" s="26"/>
      <c r="C11" s="46" t="s">
        <v>62</v>
      </c>
      <c r="D11" s="32"/>
      <c r="E11" s="32"/>
      <c r="F11" s="116"/>
      <c r="G11" s="116"/>
      <c r="H11" s="116"/>
      <c r="I11" s="116"/>
      <c r="J11" s="116"/>
      <c r="K11" s="116"/>
      <c r="L11" s="116"/>
      <c r="M11" s="116"/>
      <c r="N11" s="26"/>
      <c r="O11" s="164"/>
      <c r="P11" s="164"/>
      <c r="Q11" s="164"/>
      <c r="R11" s="164"/>
      <c r="S11" s="164"/>
      <c r="T11" s="26"/>
      <c r="U11" s="26"/>
      <c r="V11" s="26"/>
      <c r="W11" s="26"/>
      <c r="X11" s="26"/>
      <c r="Y11" s="26"/>
      <c r="Z11" s="26"/>
    </row>
    <row r="12" spans="1:26" ht="17.25" customHeight="1" x14ac:dyDescent="0.25">
      <c r="A12" s="26"/>
      <c r="B12" s="26"/>
      <c r="C12" s="46" t="s">
        <v>63</v>
      </c>
      <c r="D12" s="32">
        <v>5737</v>
      </c>
      <c r="E12" s="32">
        <v>45049</v>
      </c>
      <c r="F12" s="117">
        <f>F49*F6</f>
        <v>58564.750422920013</v>
      </c>
      <c r="G12" s="117">
        <f>G49*G6</f>
        <v>76134.175549796026</v>
      </c>
      <c r="H12" s="117">
        <f t="shared" ref="H12:M12" si="3">H49*H6</f>
        <v>98974.428214734828</v>
      </c>
      <c r="I12" s="117">
        <f t="shared" si="3"/>
        <v>113820.59244694503</v>
      </c>
      <c r="J12" s="117">
        <f t="shared" si="3"/>
        <v>130893.68131398677</v>
      </c>
      <c r="K12" s="117">
        <f t="shared" si="3"/>
        <v>150527.73351108478</v>
      </c>
      <c r="L12" s="117">
        <f t="shared" si="3"/>
        <v>173106.89353774747</v>
      </c>
      <c r="M12" s="117">
        <f t="shared" si="3"/>
        <v>199072.92756840956</v>
      </c>
      <c r="N12" s="26"/>
      <c r="O12" s="164"/>
      <c r="P12" s="164"/>
      <c r="Q12" s="164"/>
      <c r="R12" s="164"/>
      <c r="S12" s="164"/>
      <c r="T12" s="26"/>
      <c r="U12" s="26"/>
      <c r="V12" s="26"/>
      <c r="W12" s="26"/>
      <c r="X12" s="26"/>
      <c r="Y12" s="26"/>
      <c r="Z12" s="26"/>
    </row>
    <row r="13" spans="1:26" ht="17.25" customHeight="1" x14ac:dyDescent="0.25">
      <c r="A13" s="29"/>
      <c r="B13" s="30" t="s">
        <v>64</v>
      </c>
      <c r="C13" s="30" t="s">
        <v>65</v>
      </c>
      <c r="D13" s="33">
        <f>SUM(D6-D7)</f>
        <v>1715888</v>
      </c>
      <c r="E13" s="33">
        <f>SUM(E6-E7)</f>
        <v>3292311</v>
      </c>
      <c r="F13" s="120">
        <f>SUM(F6-F7)</f>
        <v>4280003.8886043169</v>
      </c>
      <c r="G13" s="120">
        <f t="shared" ref="G13:M13" si="4">SUM(G6-G7)</f>
        <v>5564005.0551856123</v>
      </c>
      <c r="H13" s="120">
        <f t="shared" si="4"/>
        <v>7233206.571741296</v>
      </c>
      <c r="I13" s="120">
        <f t="shared" si="4"/>
        <v>8318187.5575024886</v>
      </c>
      <c r="J13" s="120">
        <f t="shared" si="4"/>
        <v>9565915.6911278609</v>
      </c>
      <c r="K13" s="120">
        <f t="shared" si="4"/>
        <v>11000803.044797041</v>
      </c>
      <c r="L13" s="120">
        <f t="shared" si="4"/>
        <v>12650923.501516595</v>
      </c>
      <c r="M13" s="120">
        <f t="shared" si="4"/>
        <v>14548562.026744081</v>
      </c>
      <c r="N13" s="29"/>
      <c r="O13" s="164"/>
      <c r="P13" s="164"/>
      <c r="Q13" s="164"/>
      <c r="R13" s="164"/>
      <c r="S13" s="164"/>
      <c r="T13" s="29"/>
      <c r="U13" s="29"/>
      <c r="V13" s="29"/>
      <c r="W13" s="29"/>
      <c r="X13" s="29"/>
      <c r="Y13" s="29"/>
      <c r="Z13" s="29"/>
    </row>
    <row r="14" spans="1:26" ht="17.25" customHeight="1" x14ac:dyDescent="0.25">
      <c r="A14" s="29"/>
      <c r="B14" s="30" t="s">
        <v>66</v>
      </c>
      <c r="C14" s="30" t="s">
        <v>67</v>
      </c>
      <c r="D14" s="31">
        <f t="shared" ref="D14" si="5">SUM(D15,D20)</f>
        <v>1367819</v>
      </c>
      <c r="E14" s="31">
        <f>SUM(E15,E20)</f>
        <v>2932584</v>
      </c>
      <c r="F14" s="121">
        <f>SUM(F15,F20)</f>
        <v>8221973.7668393431</v>
      </c>
      <c r="G14" s="121">
        <f t="shared" ref="G14:M14" si="6">SUM(G15,G20)</f>
        <v>9466120.629391145</v>
      </c>
      <c r="H14" s="121">
        <f t="shared" si="6"/>
        <v>4140399.4469780708</v>
      </c>
      <c r="I14" s="121">
        <f t="shared" si="6"/>
        <v>4574135.7302747807</v>
      </c>
      <c r="J14" s="121">
        <f t="shared" si="6"/>
        <v>5098263.7560659982</v>
      </c>
      <c r="K14" s="121">
        <f t="shared" si="6"/>
        <v>5710828.6657258971</v>
      </c>
      <c r="L14" s="121">
        <f t="shared" si="6"/>
        <v>6415672.9618347818</v>
      </c>
      <c r="M14" s="121">
        <f t="shared" si="6"/>
        <v>7195476.6573599987</v>
      </c>
      <c r="N14" s="29"/>
      <c r="O14" s="97"/>
      <c r="P14" s="97"/>
      <c r="Q14" s="97"/>
      <c r="R14" s="97"/>
      <c r="S14" s="97"/>
      <c r="T14" s="29"/>
      <c r="U14" s="29"/>
      <c r="V14" s="29"/>
      <c r="W14" s="29"/>
      <c r="X14" s="29"/>
      <c r="Y14" s="29"/>
      <c r="Z14" s="29"/>
    </row>
    <row r="15" spans="1:26" ht="17.25" customHeight="1" x14ac:dyDescent="0.25">
      <c r="A15" s="26"/>
      <c r="B15" s="34" t="s">
        <v>68</v>
      </c>
      <c r="C15" s="34" t="s">
        <v>69</v>
      </c>
      <c r="D15" s="35">
        <v>726794</v>
      </c>
      <c r="E15" s="35">
        <v>10847</v>
      </c>
      <c r="F15" s="117">
        <f>SUM(F16:F19)</f>
        <v>32742.031058518711</v>
      </c>
      <c r="G15" s="117">
        <f t="shared" ref="G15:M15" si="7">SUM(G16:G19)</f>
        <v>44472.640376074327</v>
      </c>
      <c r="H15" s="117">
        <f t="shared" si="7"/>
        <v>52612.432488896622</v>
      </c>
      <c r="I15" s="117">
        <f t="shared" si="7"/>
        <v>35357.297362231111</v>
      </c>
      <c r="J15" s="117">
        <f t="shared" si="7"/>
        <v>49058.391966565774</v>
      </c>
      <c r="K15" s="117">
        <f t="shared" si="7"/>
        <v>65187.150761550634</v>
      </c>
      <c r="L15" s="117">
        <f t="shared" si="7"/>
        <v>84129.873375783238</v>
      </c>
      <c r="M15" s="117">
        <f t="shared" si="7"/>
        <v>106299.88438215072</v>
      </c>
      <c r="N15" s="26"/>
      <c r="O15" s="97"/>
      <c r="P15" s="97"/>
      <c r="Q15" s="97"/>
      <c r="R15" s="97"/>
      <c r="S15" s="97"/>
      <c r="T15" s="26"/>
      <c r="U15" s="26"/>
      <c r="V15" s="26"/>
      <c r="W15" s="26"/>
      <c r="X15" s="26"/>
      <c r="Y15" s="26"/>
      <c r="Z15" s="26"/>
    </row>
    <row r="16" spans="1:26" ht="17.25" customHeight="1" x14ac:dyDescent="0.25">
      <c r="A16" s="26"/>
      <c r="B16" s="26"/>
      <c r="C16" s="46" t="s">
        <v>59</v>
      </c>
      <c r="D16" s="32"/>
      <c r="E16" s="32"/>
      <c r="F16" s="116"/>
      <c r="G16" s="116"/>
      <c r="H16" s="116"/>
      <c r="I16" s="116"/>
      <c r="J16" s="116"/>
      <c r="K16" s="116"/>
      <c r="L16" s="116"/>
      <c r="M16" s="116"/>
      <c r="N16" s="26"/>
      <c r="O16" s="97"/>
      <c r="P16" s="97"/>
      <c r="Q16" s="97"/>
      <c r="R16" s="97"/>
      <c r="S16" s="97"/>
      <c r="T16" s="26"/>
      <c r="U16" s="26"/>
      <c r="V16" s="26"/>
      <c r="W16" s="26"/>
      <c r="X16" s="26"/>
      <c r="Y16" s="26"/>
      <c r="Z16" s="26"/>
    </row>
    <row r="17" spans="1:26" ht="17.25" customHeight="1" x14ac:dyDescent="0.25">
      <c r="A17" s="26"/>
      <c r="B17" s="26"/>
      <c r="C17" s="46" t="s">
        <v>61</v>
      </c>
      <c r="D17" s="32"/>
      <c r="E17" s="32"/>
      <c r="F17" s="117">
        <f>F81</f>
        <v>18640</v>
      </c>
      <c r="G17" s="117">
        <f t="shared" ref="G17:M17" si="8">G81</f>
        <v>26140</v>
      </c>
      <c r="H17" s="117">
        <f t="shared" si="8"/>
        <v>28780</v>
      </c>
      <c r="I17" s="117">
        <f t="shared" si="8"/>
        <v>7950</v>
      </c>
      <c r="J17" s="117">
        <f t="shared" si="8"/>
        <v>17540</v>
      </c>
      <c r="K17" s="117">
        <f t="shared" si="8"/>
        <v>28941</v>
      </c>
      <c r="L17" s="117">
        <f t="shared" si="8"/>
        <v>42446.8</v>
      </c>
      <c r="M17" s="117">
        <f t="shared" si="8"/>
        <v>58364.350000000013</v>
      </c>
      <c r="N17" s="26"/>
      <c r="O17" s="97"/>
      <c r="P17" s="97"/>
      <c r="Q17" s="97"/>
      <c r="R17" s="97"/>
      <c r="S17" s="97"/>
      <c r="T17" s="26"/>
      <c r="U17" s="26"/>
      <c r="V17" s="26"/>
      <c r="W17" s="26"/>
      <c r="X17" s="26"/>
      <c r="Y17" s="26"/>
      <c r="Z17" s="26"/>
    </row>
    <row r="18" spans="1:26" ht="17.25" customHeight="1" x14ac:dyDescent="0.25">
      <c r="A18" s="26"/>
      <c r="B18" s="26"/>
      <c r="C18" s="46" t="s">
        <v>70</v>
      </c>
      <c r="D18" s="32"/>
      <c r="E18" s="32"/>
      <c r="F18" s="116"/>
      <c r="G18" s="116"/>
      <c r="H18" s="116"/>
      <c r="I18" s="116"/>
      <c r="J18" s="116"/>
      <c r="K18" s="116"/>
      <c r="L18" s="116"/>
      <c r="M18" s="116"/>
      <c r="N18" s="26"/>
      <c r="O18" s="26"/>
      <c r="P18" s="26"/>
      <c r="Q18" s="26"/>
      <c r="R18" s="26"/>
      <c r="S18" s="26"/>
      <c r="T18" s="26"/>
      <c r="U18" s="26"/>
      <c r="V18" s="26"/>
      <c r="W18" s="26"/>
      <c r="X18" s="26"/>
      <c r="Y18" s="26"/>
      <c r="Z18" s="26"/>
    </row>
    <row r="19" spans="1:26" ht="17.25" customHeight="1" x14ac:dyDescent="0.25">
      <c r="A19" s="26"/>
      <c r="B19" s="26"/>
      <c r="C19" s="46" t="s">
        <v>63</v>
      </c>
      <c r="D19" s="32">
        <f>D15</f>
        <v>726794</v>
      </c>
      <c r="E19" s="32">
        <f>E15</f>
        <v>10847</v>
      </c>
      <c r="F19" s="117">
        <f>F56*F6</f>
        <v>14102.031058518713</v>
      </c>
      <c r="G19" s="117">
        <f t="shared" ref="G19:M19" si="9">G56*G6</f>
        <v>18332.640376074323</v>
      </c>
      <c r="H19" s="117">
        <f t="shared" si="9"/>
        <v>23832.432488896622</v>
      </c>
      <c r="I19" s="117">
        <f t="shared" si="9"/>
        <v>27407.297362231111</v>
      </c>
      <c r="J19" s="117">
        <f t="shared" si="9"/>
        <v>31518.391966565774</v>
      </c>
      <c r="K19" s="117">
        <f t="shared" si="9"/>
        <v>36246.150761550634</v>
      </c>
      <c r="L19" s="117">
        <f t="shared" si="9"/>
        <v>41683.073375783228</v>
      </c>
      <c r="M19" s="117">
        <f t="shared" si="9"/>
        <v>47935.534382150705</v>
      </c>
      <c r="N19" s="26"/>
      <c r="O19" s="26"/>
      <c r="P19" s="26"/>
      <c r="Q19" s="26"/>
      <c r="R19" s="26"/>
      <c r="S19" s="26"/>
      <c r="T19" s="26"/>
      <c r="U19" s="26"/>
      <c r="V19" s="26"/>
      <c r="W19" s="26"/>
      <c r="X19" s="26"/>
      <c r="Y19" s="26"/>
      <c r="Z19" s="26"/>
    </row>
    <row r="20" spans="1:26" ht="17.25" customHeight="1" x14ac:dyDescent="0.25">
      <c r="A20" s="26"/>
      <c r="B20" s="34" t="s">
        <v>71</v>
      </c>
      <c r="C20" s="34" t="s">
        <v>72</v>
      </c>
      <c r="D20" s="35">
        <f t="shared" ref="D20" si="10">SUM(D21:D24)</f>
        <v>641025</v>
      </c>
      <c r="E20" s="35">
        <f>SUM(E21:E24)</f>
        <v>2921737</v>
      </c>
      <c r="F20" s="122">
        <f>SUM(F21:F24)</f>
        <v>8189231.735780824</v>
      </c>
      <c r="G20" s="122">
        <f t="shared" ref="G20:M20" si="11">SUM(G21:G24)</f>
        <v>9421647.9890150707</v>
      </c>
      <c r="H20" s="122">
        <f t="shared" si="11"/>
        <v>4087787.0144891744</v>
      </c>
      <c r="I20" s="122">
        <f t="shared" si="11"/>
        <v>4538778.4329125499</v>
      </c>
      <c r="J20" s="122">
        <f t="shared" si="11"/>
        <v>5049205.3640994327</v>
      </c>
      <c r="K20" s="122">
        <f t="shared" si="11"/>
        <v>5645641.5149643468</v>
      </c>
      <c r="L20" s="122">
        <f t="shared" si="11"/>
        <v>6331543.0884589981</v>
      </c>
      <c r="M20" s="122">
        <f t="shared" si="11"/>
        <v>7089176.7729778476</v>
      </c>
      <c r="N20" s="26"/>
      <c r="O20" s="26"/>
      <c r="P20" s="26"/>
      <c r="Q20" s="26"/>
      <c r="R20" s="26"/>
      <c r="S20" s="26"/>
      <c r="T20" s="26"/>
      <c r="U20" s="26"/>
      <c r="V20" s="26"/>
      <c r="W20" s="26"/>
      <c r="X20" s="26"/>
      <c r="Y20" s="26"/>
      <c r="Z20" s="26"/>
    </row>
    <row r="21" spans="1:26" ht="17.25" customHeight="1" x14ac:dyDescent="0.25">
      <c r="A21" s="26"/>
      <c r="B21" s="26"/>
      <c r="C21" s="46" t="s">
        <v>59</v>
      </c>
      <c r="D21" s="32">
        <v>140511</v>
      </c>
      <c r="E21" s="32">
        <v>203121</v>
      </c>
      <c r="F21" s="124">
        <f>F90+F92+F94+F96</f>
        <v>81177.558333333334</v>
      </c>
      <c r="G21" s="124">
        <f t="shared" ref="G21:M21" si="12">G90+G92+G94+G96</f>
        <v>81177.558333333334</v>
      </c>
      <c r="H21" s="124">
        <f t="shared" si="12"/>
        <v>81177.558333333334</v>
      </c>
      <c r="I21" s="124">
        <f t="shared" si="12"/>
        <v>81177.558333333334</v>
      </c>
      <c r="J21" s="124">
        <f t="shared" si="12"/>
        <v>72964.358333333337</v>
      </c>
      <c r="K21" s="124">
        <f t="shared" si="12"/>
        <v>72964.358333333337</v>
      </c>
      <c r="L21" s="124">
        <f t="shared" si="12"/>
        <v>72964.358333333337</v>
      </c>
      <c r="M21" s="124">
        <f t="shared" si="12"/>
        <v>41811.233333333337</v>
      </c>
      <c r="N21" s="26"/>
      <c r="O21" s="26"/>
      <c r="P21" s="26"/>
      <c r="Q21" s="26"/>
      <c r="R21" s="26"/>
      <c r="S21" s="26"/>
      <c r="T21" s="26"/>
      <c r="U21" s="26"/>
      <c r="V21" s="26"/>
      <c r="W21" s="26"/>
      <c r="X21" s="26"/>
      <c r="Y21" s="26"/>
      <c r="Z21" s="26"/>
    </row>
    <row r="22" spans="1:26" ht="17.25" customHeight="1" x14ac:dyDescent="0.25">
      <c r="A22" s="26"/>
      <c r="B22" s="26"/>
      <c r="C22" s="46" t="s">
        <v>61</v>
      </c>
      <c r="D22" s="32">
        <v>499966</v>
      </c>
      <c r="E22" s="32">
        <v>1368507</v>
      </c>
      <c r="F22" s="117">
        <f>F59*F6</f>
        <v>1779058.8497963559</v>
      </c>
      <c r="G22" s="117">
        <f t="shared" ref="G22:M22" si="13">G59*G6</f>
        <v>2312776.5047352626</v>
      </c>
      <c r="H22" s="117">
        <f t="shared" si="13"/>
        <v>3006609.4561558412</v>
      </c>
      <c r="I22" s="117">
        <f t="shared" si="13"/>
        <v>3457600.8745792168</v>
      </c>
      <c r="J22" s="117">
        <f>J59*J6</f>
        <v>3976241.0057660993</v>
      </c>
      <c r="K22" s="117">
        <f t="shared" si="13"/>
        <v>4572677.1566310134</v>
      </c>
      <c r="L22" s="117">
        <f t="shared" si="13"/>
        <v>5258578.7301256647</v>
      </c>
      <c r="M22" s="117">
        <f t="shared" si="13"/>
        <v>6047365.5396445142</v>
      </c>
      <c r="N22" s="26"/>
      <c r="O22" s="26"/>
      <c r="P22" s="26"/>
      <c r="Q22" s="26"/>
      <c r="R22" s="26"/>
      <c r="S22" s="26"/>
      <c r="T22" s="26"/>
      <c r="U22" s="26"/>
      <c r="V22" s="26"/>
      <c r="W22" s="26"/>
      <c r="X22" s="26"/>
      <c r="Y22" s="26"/>
      <c r="Z22" s="26"/>
    </row>
    <row r="23" spans="1:26" ht="17.25" customHeight="1" x14ac:dyDescent="0.25">
      <c r="A23" s="26"/>
      <c r="B23" s="26"/>
      <c r="C23" s="46" t="s">
        <v>70</v>
      </c>
      <c r="D23" s="32"/>
      <c r="E23" s="32"/>
      <c r="F23" s="116"/>
      <c r="G23" s="116"/>
      <c r="H23" s="116"/>
      <c r="I23" s="116"/>
      <c r="J23" s="116"/>
      <c r="K23" s="116"/>
      <c r="L23" s="116"/>
      <c r="M23" s="116"/>
      <c r="N23" s="26"/>
      <c r="O23" s="26"/>
      <c r="P23" s="26"/>
      <c r="Q23" s="26"/>
      <c r="R23" s="26"/>
      <c r="S23" s="26"/>
      <c r="T23" s="26"/>
      <c r="U23" s="26"/>
      <c r="V23" s="26"/>
      <c r="W23" s="26"/>
      <c r="X23" s="26"/>
      <c r="Y23" s="26"/>
      <c r="Z23" s="26"/>
    </row>
    <row r="24" spans="1:26" ht="17.25" customHeight="1" x14ac:dyDescent="0.25">
      <c r="A24" s="26"/>
      <c r="B24" s="26"/>
      <c r="C24" s="46" t="s">
        <v>63</v>
      </c>
      <c r="D24" s="32">
        <v>548</v>
      </c>
      <c r="E24" s="32">
        <v>1350109</v>
      </c>
      <c r="F24" s="117">
        <f>F61*F6+Invesment!G8</f>
        <v>6328995.3276511347</v>
      </c>
      <c r="G24" s="117">
        <f>G61*G6+Invesment!H8</f>
        <v>7027693.925946475</v>
      </c>
      <c r="H24" s="117">
        <v>1000000</v>
      </c>
      <c r="I24" s="117">
        <v>1000000</v>
      </c>
      <c r="J24" s="117">
        <v>1000000</v>
      </c>
      <c r="K24" s="117">
        <v>1000000</v>
      </c>
      <c r="L24" s="117">
        <v>1000000</v>
      </c>
      <c r="M24" s="117">
        <v>1000000</v>
      </c>
      <c r="N24" s="26"/>
      <c r="O24" s="26"/>
      <c r="P24" s="26"/>
      <c r="Q24" s="26"/>
      <c r="R24" s="26"/>
      <c r="S24" s="26"/>
      <c r="T24" s="26"/>
      <c r="U24" s="26"/>
      <c r="V24" s="26"/>
      <c r="W24" s="26"/>
      <c r="X24" s="26"/>
      <c r="Y24" s="26"/>
      <c r="Z24" s="26"/>
    </row>
    <row r="25" spans="1:26" ht="17.25" customHeight="1" x14ac:dyDescent="0.25">
      <c r="A25" s="29"/>
      <c r="B25" s="30" t="s">
        <v>73</v>
      </c>
      <c r="C25" s="30" t="s">
        <v>74</v>
      </c>
      <c r="D25" s="33">
        <f t="shared" ref="D25:M25" si="14">SUM(D13-D14)</f>
        <v>348069</v>
      </c>
      <c r="E25" s="33">
        <f t="shared" si="14"/>
        <v>359727</v>
      </c>
      <c r="F25" s="120">
        <f>SUM(F13-F14)</f>
        <v>-3941969.8782350263</v>
      </c>
      <c r="G25" s="120">
        <f t="shared" si="14"/>
        <v>-3902115.5742055327</v>
      </c>
      <c r="H25" s="120">
        <f t="shared" si="14"/>
        <v>3092807.1247632252</v>
      </c>
      <c r="I25" s="120">
        <f t="shared" si="14"/>
        <v>3744051.827227708</v>
      </c>
      <c r="J25" s="120">
        <f t="shared" si="14"/>
        <v>4467651.9350618627</v>
      </c>
      <c r="K25" s="120">
        <f t="shared" si="14"/>
        <v>5289974.3790711435</v>
      </c>
      <c r="L25" s="120">
        <f t="shared" si="14"/>
        <v>6235250.5396818137</v>
      </c>
      <c r="M25" s="120">
        <f t="shared" si="14"/>
        <v>7353085.369384082</v>
      </c>
      <c r="N25" s="29"/>
      <c r="O25" s="29"/>
      <c r="P25" s="29"/>
      <c r="Q25" s="29"/>
      <c r="R25" s="29"/>
      <c r="S25" s="29"/>
      <c r="T25" s="29"/>
      <c r="U25" s="29"/>
      <c r="V25" s="29"/>
      <c r="W25" s="29"/>
      <c r="X25" s="29"/>
      <c r="Y25" s="29"/>
      <c r="Z25" s="29"/>
    </row>
    <row r="26" spans="1:26" ht="17.25" customHeight="1" x14ac:dyDescent="0.25">
      <c r="A26" s="29"/>
      <c r="B26" s="30" t="s">
        <v>75</v>
      </c>
      <c r="C26" s="30" t="s">
        <v>76</v>
      </c>
      <c r="D26" s="31">
        <f t="shared" ref="D26:M26" si="15">SUM(D27-D28)</f>
        <v>4344.3002780352181</v>
      </c>
      <c r="E26" s="31">
        <f t="shared" si="15"/>
        <v>89548.192771084345</v>
      </c>
      <c r="F26" s="121">
        <f>SUM(F27-F28)</f>
        <v>116412.63348139147</v>
      </c>
      <c r="G26" s="121">
        <f>SUM(G27-G28)</f>
        <v>151336.42352580893</v>
      </c>
      <c r="H26" s="121">
        <f t="shared" si="15"/>
        <v>196737.3505835516</v>
      </c>
      <c r="I26" s="121">
        <f t="shared" si="15"/>
        <v>226247.95317108429</v>
      </c>
      <c r="J26" s="121">
        <f t="shared" si="15"/>
        <v>260185.14614674691</v>
      </c>
      <c r="K26" s="121">
        <f t="shared" si="15"/>
        <v>299212.91806875891</v>
      </c>
      <c r="L26" s="121">
        <f t="shared" si="15"/>
        <v>344094.85577907274</v>
      </c>
      <c r="M26" s="121">
        <f t="shared" si="15"/>
        <v>395709.08414593356</v>
      </c>
      <c r="N26" s="29"/>
      <c r="O26" s="29"/>
      <c r="P26" s="29"/>
      <c r="Q26" s="29"/>
      <c r="R26" s="29"/>
      <c r="S26" s="29"/>
      <c r="T26" s="29"/>
      <c r="U26" s="29"/>
      <c r="V26" s="29"/>
      <c r="W26" s="29"/>
      <c r="X26" s="29"/>
      <c r="Y26" s="29"/>
      <c r="Z26" s="29"/>
    </row>
    <row r="27" spans="1:26" ht="17.25" customHeight="1" x14ac:dyDescent="0.25">
      <c r="A27" s="26"/>
      <c r="B27" s="34" t="s">
        <v>77</v>
      </c>
      <c r="C27" s="34" t="s">
        <v>78</v>
      </c>
      <c r="D27" s="35">
        <f>15000/3.4528</f>
        <v>4344.3002780352181</v>
      </c>
      <c r="E27" s="35">
        <f>309192/3.4528</f>
        <v>89548.192771084345</v>
      </c>
      <c r="F27" s="117">
        <f>F64*F6</f>
        <v>116412.63348139147</v>
      </c>
      <c r="G27" s="117">
        <f t="shared" ref="G27:M27" si="16">G64*G6</f>
        <v>151336.42352580893</v>
      </c>
      <c r="H27" s="117">
        <f t="shared" si="16"/>
        <v>196737.3505835516</v>
      </c>
      <c r="I27" s="117">
        <f t="shared" si="16"/>
        <v>226247.95317108429</v>
      </c>
      <c r="J27" s="117">
        <f t="shared" si="16"/>
        <v>260185.14614674691</v>
      </c>
      <c r="K27" s="117">
        <f t="shared" si="16"/>
        <v>299212.91806875891</v>
      </c>
      <c r="L27" s="117">
        <f t="shared" si="16"/>
        <v>344094.85577907274</v>
      </c>
      <c r="M27" s="117">
        <f t="shared" si="16"/>
        <v>395709.08414593356</v>
      </c>
      <c r="N27" s="26"/>
      <c r="O27" s="26"/>
      <c r="P27" s="26"/>
      <c r="Q27" s="26"/>
      <c r="R27" s="26"/>
      <c r="S27" s="26"/>
      <c r="T27" s="26"/>
      <c r="U27" s="26"/>
      <c r="V27" s="26"/>
      <c r="W27" s="26"/>
      <c r="X27" s="26"/>
      <c r="Y27" s="26"/>
      <c r="Z27" s="26"/>
    </row>
    <row r="28" spans="1:26" ht="17.25" customHeight="1" x14ac:dyDescent="0.25">
      <c r="A28" s="26"/>
      <c r="B28" s="34" t="s">
        <v>79</v>
      </c>
      <c r="C28" s="34" t="s">
        <v>80</v>
      </c>
      <c r="D28" s="35"/>
      <c r="E28" s="35"/>
      <c r="F28" s="117"/>
      <c r="G28" s="117"/>
      <c r="H28" s="116"/>
      <c r="I28" s="116"/>
      <c r="J28" s="116"/>
      <c r="K28" s="116"/>
      <c r="L28" s="116"/>
      <c r="M28" s="116"/>
      <c r="N28" s="26"/>
      <c r="O28" s="26"/>
      <c r="P28" s="26"/>
      <c r="Q28" s="26"/>
      <c r="R28" s="26"/>
      <c r="S28" s="26"/>
      <c r="T28" s="26"/>
      <c r="U28" s="26"/>
      <c r="V28" s="26"/>
      <c r="W28" s="26"/>
      <c r="X28" s="26"/>
      <c r="Y28" s="26"/>
      <c r="Z28" s="26"/>
    </row>
    <row r="29" spans="1:26" ht="17.25" customHeight="1" x14ac:dyDescent="0.25">
      <c r="A29" s="29"/>
      <c r="B29" s="30" t="s">
        <v>81</v>
      </c>
      <c r="C29" s="30" t="s">
        <v>82</v>
      </c>
      <c r="D29" s="31">
        <f>SUM(D30-D31)</f>
        <v>-9701.112140871177</v>
      </c>
      <c r="E29" s="31">
        <f t="shared" ref="E29:M29" si="17">SUM(E30-E31)</f>
        <v>-21799.119555143654</v>
      </c>
      <c r="F29" s="121">
        <f t="shared" si="17"/>
        <v>-6808.4344296682129</v>
      </c>
      <c r="G29" s="121">
        <f t="shared" si="17"/>
        <v>522.44952318972719</v>
      </c>
      <c r="H29" s="121">
        <f t="shared" si="17"/>
        <v>4498.3003360350003</v>
      </c>
      <c r="I29" s="121">
        <f t="shared" si="17"/>
        <v>6395.2298440492004</v>
      </c>
      <c r="J29" s="121">
        <f t="shared" si="17"/>
        <v>7776.6225867108997</v>
      </c>
      <c r="K29" s="121">
        <f t="shared" si="17"/>
        <v>9084.4232697612497</v>
      </c>
      <c r="L29" s="121">
        <f t="shared" si="17"/>
        <v>10492.960002615075</v>
      </c>
      <c r="M29" s="121">
        <f t="shared" si="17"/>
        <v>12081.384517535016</v>
      </c>
      <c r="N29" s="29"/>
      <c r="O29" s="29"/>
      <c r="P29" s="29"/>
      <c r="Q29" s="29"/>
      <c r="R29" s="29"/>
      <c r="S29" s="29"/>
      <c r="T29" s="29"/>
      <c r="U29" s="29"/>
      <c r="V29" s="29"/>
      <c r="W29" s="29"/>
      <c r="X29" s="29"/>
      <c r="Y29" s="29"/>
      <c r="Z29" s="29"/>
    </row>
    <row r="30" spans="1:26" ht="17.25" customHeight="1" x14ac:dyDescent="0.25">
      <c r="A30" s="26"/>
      <c r="B30" s="34" t="s">
        <v>83</v>
      </c>
      <c r="C30" s="34" t="s">
        <v>78</v>
      </c>
      <c r="D30" s="35">
        <f>11633/3.4528</f>
        <v>3369.1496756255792</v>
      </c>
      <c r="E30" s="35">
        <f>9444/3.4528</f>
        <v>2735.1714550509732</v>
      </c>
      <c r="F30" s="117">
        <f>F67*F6</f>
        <v>3555.7223686196967</v>
      </c>
      <c r="G30" s="117">
        <f t="shared" ref="G30:M30" si="18">G67*G6</f>
        <v>4622.4390792056056</v>
      </c>
      <c r="H30" s="117">
        <f t="shared" si="18"/>
        <v>6009.1708029672864</v>
      </c>
      <c r="I30" s="117">
        <f t="shared" si="18"/>
        <v>6910.5464234123783</v>
      </c>
      <c r="J30" s="117">
        <f t="shared" si="18"/>
        <v>7947.1283869242352</v>
      </c>
      <c r="K30" s="117">
        <f t="shared" si="18"/>
        <v>9139.1976449628692</v>
      </c>
      <c r="L30" s="117">
        <f t="shared" si="18"/>
        <v>10510.077291707299</v>
      </c>
      <c r="M30" s="117">
        <f t="shared" si="18"/>
        <v>12086.58888546339</v>
      </c>
      <c r="N30" s="26"/>
      <c r="O30" s="26"/>
      <c r="P30" s="26"/>
      <c r="Q30" s="26"/>
      <c r="R30" s="26"/>
      <c r="S30" s="26"/>
      <c r="T30" s="26"/>
      <c r="U30" s="26"/>
      <c r="V30" s="26"/>
      <c r="W30" s="26"/>
      <c r="X30" s="26"/>
      <c r="Y30" s="26"/>
      <c r="Z30" s="26"/>
    </row>
    <row r="31" spans="1:26" ht="17.25" customHeight="1" x14ac:dyDescent="0.25">
      <c r="A31" s="26"/>
      <c r="B31" s="34" t="s">
        <v>84</v>
      </c>
      <c r="C31" s="34" t="s">
        <v>80</v>
      </c>
      <c r="D31" s="35">
        <f>45129/3.4528</f>
        <v>13070.261816496757</v>
      </c>
      <c r="E31" s="35">
        <f>84712/3.4528</f>
        <v>24534.291010194625</v>
      </c>
      <c r="F31" s="117">
        <f>(E31/('Balance sheet - PRODUCT'!D49+'Balance sheet - PRODUCT'!D55+'Balance sheet - PRODUCT'!D58))*('Balance sheet - PRODUCT'!E50+'Balance sheet - PRODUCT'!E55+'Balance sheet - PRODUCT'!E58)</f>
        <v>10364.15679828791</v>
      </c>
      <c r="G31" s="117">
        <f>(F31/('Balance sheet - PRODUCT'!E49+'Balance sheet - PRODUCT'!E55+'Balance sheet - PRODUCT'!E58))*('Balance sheet - PRODUCT'!F50+'Balance sheet - PRODUCT'!F55+'Balance sheet - PRODUCT'!F58)</f>
        <v>4099.9895560158784</v>
      </c>
      <c r="H31" s="117">
        <f>(G31/('Balance sheet - PRODUCT'!F49+'Balance sheet - PRODUCT'!F55+'Balance sheet - PRODUCT'!F58))*('Balance sheet - PRODUCT'!G50+'Balance sheet - PRODUCT'!G55+'Balance sheet - PRODUCT'!G58)</f>
        <v>1510.870466932286</v>
      </c>
      <c r="I31" s="117">
        <f>(H31/('Balance sheet - PRODUCT'!G49+'Balance sheet - PRODUCT'!G55+'Balance sheet - PRODUCT'!G58))*('Balance sheet - PRODUCT'!H50+'Balance sheet - PRODUCT'!H55+'Balance sheet - PRODUCT'!H58)</f>
        <v>515.31657936317765</v>
      </c>
      <c r="J31" s="117">
        <f>(I31/('Balance sheet - PRODUCT'!H49+'Balance sheet - PRODUCT'!H55+'Balance sheet - PRODUCT'!H58))*('Balance sheet - PRODUCT'!I50+'Balance sheet - PRODUCT'!I55+'Balance sheet - PRODUCT'!I58)</f>
        <v>170.50580021333579</v>
      </c>
      <c r="K31" s="117">
        <f>(J31/('Balance sheet - PRODUCT'!I49+'Balance sheet - PRODUCT'!I55+'Balance sheet - PRODUCT'!I58))*('Balance sheet - PRODUCT'!J50+'Balance sheet - PRODUCT'!J55+'Balance sheet - PRODUCT'!J58)</f>
        <v>54.774375201618696</v>
      </c>
      <c r="L31" s="117">
        <f>(K31/('Balance sheet - PRODUCT'!J49+'Balance sheet - PRODUCT'!J55+'Balance sheet - PRODUCT'!J58))*('Balance sheet - PRODUCT'!K50+'Balance sheet - PRODUCT'!K55+'Balance sheet - PRODUCT'!K58)</f>
        <v>17.117289092223999</v>
      </c>
      <c r="M31" s="117">
        <f>(L31/('Balance sheet - PRODUCT'!K49+'Balance sheet - PRODUCT'!K55+'Balance sheet - PRODUCT'!K58))*('Balance sheet - PRODUCT'!L50+'Balance sheet - PRODUCT'!L55+'Balance sheet - PRODUCT'!L58)</f>
        <v>5.2043679283740776</v>
      </c>
      <c r="N31" s="26"/>
      <c r="O31" s="26"/>
      <c r="P31" s="26"/>
      <c r="Q31" s="26"/>
      <c r="R31" s="26"/>
      <c r="S31" s="26"/>
      <c r="T31" s="26"/>
      <c r="U31" s="26"/>
      <c r="V31" s="26"/>
      <c r="W31" s="26"/>
      <c r="X31" s="26"/>
      <c r="Y31" s="26"/>
      <c r="Z31" s="26"/>
    </row>
    <row r="32" spans="1:26" ht="17.25" customHeight="1" x14ac:dyDescent="0.25">
      <c r="A32" s="29"/>
      <c r="B32" s="30" t="s">
        <v>85</v>
      </c>
      <c r="C32" s="30" t="s">
        <v>86</v>
      </c>
      <c r="D32" s="33">
        <f t="shared" ref="D32" si="19">SUM(D25+D26+D29)</f>
        <v>342712.18813716405</v>
      </c>
      <c r="E32" s="33">
        <f>SUM(E25+E26+E29)</f>
        <v>427476.07321594073</v>
      </c>
      <c r="F32" s="120">
        <f>SUM(F25+F26+F29)</f>
        <v>-3832365.6791833029</v>
      </c>
      <c r="G32" s="120">
        <f t="shared" ref="G32:M32" si="20">SUM(G25+G26+G29)</f>
        <v>-3750256.7011565343</v>
      </c>
      <c r="H32" s="120">
        <f t="shared" si="20"/>
        <v>3294042.7756828116</v>
      </c>
      <c r="I32" s="120">
        <f t="shared" si="20"/>
        <v>3976695.0102428412</v>
      </c>
      <c r="J32" s="120">
        <f t="shared" si="20"/>
        <v>4735613.7037953213</v>
      </c>
      <c r="K32" s="120">
        <f t="shared" si="20"/>
        <v>5598271.7204096634</v>
      </c>
      <c r="L32" s="120">
        <f t="shared" si="20"/>
        <v>6589838.355463502</v>
      </c>
      <c r="M32" s="120">
        <f t="shared" si="20"/>
        <v>7760875.8380475501</v>
      </c>
      <c r="N32" s="29"/>
      <c r="O32" s="29"/>
      <c r="P32" s="29"/>
      <c r="Q32" s="29"/>
      <c r="R32" s="29"/>
      <c r="S32" s="29"/>
      <c r="T32" s="29"/>
      <c r="U32" s="29"/>
      <c r="V32" s="29"/>
      <c r="W32" s="29"/>
      <c r="X32" s="29"/>
      <c r="Y32" s="29"/>
      <c r="Z32" s="29"/>
    </row>
    <row r="33" spans="1:26" ht="17.25" customHeight="1" x14ac:dyDescent="0.25">
      <c r="A33" s="29"/>
      <c r="B33" s="30"/>
      <c r="C33" s="30"/>
      <c r="D33" s="33"/>
      <c r="E33" s="33"/>
      <c r="F33" s="73"/>
      <c r="G33" s="73"/>
      <c r="H33" s="73"/>
      <c r="I33" s="73"/>
      <c r="J33" s="73"/>
      <c r="K33" s="73"/>
      <c r="L33" s="73"/>
      <c r="M33" s="73"/>
      <c r="N33" s="29"/>
      <c r="O33" s="29"/>
      <c r="P33" s="29"/>
      <c r="Q33" s="29"/>
      <c r="R33" s="29"/>
      <c r="S33" s="29"/>
      <c r="T33" s="29"/>
      <c r="U33" s="29"/>
      <c r="V33" s="29"/>
      <c r="W33" s="29"/>
      <c r="X33" s="29"/>
      <c r="Y33" s="29"/>
      <c r="Z33" s="29"/>
    </row>
    <row r="34" spans="1:26" ht="17.25" customHeight="1" x14ac:dyDescent="0.25">
      <c r="A34" s="29"/>
      <c r="B34" s="30" t="s">
        <v>87</v>
      </c>
      <c r="C34" s="30" t="s">
        <v>88</v>
      </c>
      <c r="D34" s="33"/>
      <c r="E34" s="33"/>
      <c r="F34" s="73"/>
      <c r="G34" s="73"/>
      <c r="H34" s="73"/>
      <c r="I34" s="73"/>
      <c r="J34" s="73"/>
      <c r="K34" s="73"/>
      <c r="L34" s="73"/>
      <c r="M34" s="73"/>
      <c r="N34" s="29"/>
      <c r="O34" s="29"/>
      <c r="P34" s="29"/>
      <c r="Q34" s="29"/>
      <c r="R34" s="29"/>
      <c r="S34" s="29"/>
      <c r="T34" s="29"/>
      <c r="U34" s="29"/>
      <c r="V34" s="29"/>
      <c r="W34" s="29"/>
      <c r="X34" s="29"/>
      <c r="Y34" s="29"/>
      <c r="Z34" s="29"/>
    </row>
    <row r="35" spans="1:26" ht="17.25" customHeight="1" x14ac:dyDescent="0.25">
      <c r="A35" s="29"/>
      <c r="B35" s="30" t="s">
        <v>89</v>
      </c>
      <c r="C35" s="30" t="s">
        <v>90</v>
      </c>
      <c r="D35" s="33">
        <f t="shared" ref="D35" si="21">SUM(D32+D33-D34)</f>
        <v>342712.18813716405</v>
      </c>
      <c r="E35" s="33">
        <f>SUM(E32+E33-E34)</f>
        <v>427476.07321594073</v>
      </c>
      <c r="F35" s="33">
        <f>SUM(F32+F33-F34)</f>
        <v>-3832365.6791833029</v>
      </c>
      <c r="G35" s="33">
        <f t="shared" ref="G35:M35" si="22">SUM(G32+G33-G34)</f>
        <v>-3750256.7011565343</v>
      </c>
      <c r="H35" s="33">
        <f t="shared" si="22"/>
        <v>3294042.7756828116</v>
      </c>
      <c r="I35" s="33">
        <f t="shared" si="22"/>
        <v>3976695.0102428412</v>
      </c>
      <c r="J35" s="33">
        <f t="shared" si="22"/>
        <v>4735613.7037953213</v>
      </c>
      <c r="K35" s="33">
        <f t="shared" si="22"/>
        <v>5598271.7204096634</v>
      </c>
      <c r="L35" s="33">
        <f t="shared" si="22"/>
        <v>6589838.355463502</v>
      </c>
      <c r="M35" s="33">
        <f t="shared" si="22"/>
        <v>7760875.8380475501</v>
      </c>
      <c r="N35" s="29"/>
      <c r="O35" s="29"/>
      <c r="P35" s="29"/>
      <c r="Q35" s="29"/>
      <c r="R35" s="29"/>
      <c r="S35" s="29"/>
      <c r="T35" s="29"/>
      <c r="U35" s="29"/>
      <c r="V35" s="29"/>
      <c r="W35" s="29"/>
      <c r="X35" s="29"/>
      <c r="Y35" s="29"/>
      <c r="Z35" s="29"/>
    </row>
    <row r="36" spans="1:26" ht="17.25" customHeight="1" x14ac:dyDescent="0.25">
      <c r="A36" s="29"/>
      <c r="B36" s="30" t="s">
        <v>91</v>
      </c>
      <c r="C36" s="30" t="s">
        <v>92</v>
      </c>
      <c r="D36" s="31">
        <v>54291</v>
      </c>
      <c r="E36" s="31">
        <v>62089</v>
      </c>
      <c r="F36" s="73"/>
      <c r="G36" s="73"/>
      <c r="H36" s="73">
        <f t="shared" ref="H36:M36" si="23">H73*H35</f>
        <v>478452.15753254952</v>
      </c>
      <c r="I36" s="73">
        <f t="shared" si="23"/>
        <v>577605.82878442295</v>
      </c>
      <c r="J36" s="73">
        <f t="shared" si="23"/>
        <v>687837.02827050153</v>
      </c>
      <c r="K36" s="73">
        <f t="shared" si="23"/>
        <v>813136.12648161268</v>
      </c>
      <c r="L36" s="73">
        <f t="shared" si="23"/>
        <v>957158.9058398616</v>
      </c>
      <c r="M36" s="73">
        <f t="shared" si="23"/>
        <v>1127249.414144716</v>
      </c>
      <c r="N36" s="29"/>
      <c r="O36" s="29"/>
      <c r="P36" s="29"/>
      <c r="Q36" s="29"/>
      <c r="R36" s="29"/>
      <c r="S36" s="29"/>
      <c r="T36" s="29"/>
      <c r="U36" s="29"/>
      <c r="V36" s="29"/>
      <c r="W36" s="29"/>
      <c r="X36" s="29"/>
      <c r="Y36" s="29"/>
      <c r="Z36" s="29"/>
    </row>
    <row r="37" spans="1:26" ht="17.25" customHeight="1" x14ac:dyDescent="0.25">
      <c r="A37" s="29"/>
      <c r="B37" s="30" t="s">
        <v>93</v>
      </c>
      <c r="C37" s="30" t="s">
        <v>94</v>
      </c>
      <c r="D37" s="31">
        <f t="shared" ref="D37:E37" si="24">D35-D36</f>
        <v>288421.18813716405</v>
      </c>
      <c r="E37" s="31">
        <f t="shared" si="24"/>
        <v>365387.07321594073</v>
      </c>
      <c r="F37" s="73">
        <f>F35-F36</f>
        <v>-3832365.6791833029</v>
      </c>
      <c r="G37" s="73">
        <f t="shared" ref="G37:M37" si="25">G35-G36</f>
        <v>-3750256.7011565343</v>
      </c>
      <c r="H37" s="73">
        <f t="shared" si="25"/>
        <v>2815590.6181502622</v>
      </c>
      <c r="I37" s="73">
        <f t="shared" si="25"/>
        <v>3399089.1814584183</v>
      </c>
      <c r="J37" s="73">
        <f t="shared" si="25"/>
        <v>4047776.6755248196</v>
      </c>
      <c r="K37" s="73">
        <f t="shared" si="25"/>
        <v>4785135.5939280502</v>
      </c>
      <c r="L37" s="73">
        <f t="shared" si="25"/>
        <v>5632679.4496236406</v>
      </c>
      <c r="M37" s="73">
        <f t="shared" si="25"/>
        <v>6633626.4239028338</v>
      </c>
      <c r="N37" s="29"/>
      <c r="O37" s="29"/>
      <c r="P37" s="29"/>
      <c r="Q37" s="29"/>
      <c r="R37" s="29"/>
      <c r="S37" s="29"/>
      <c r="T37" s="29"/>
      <c r="U37" s="29"/>
      <c r="V37" s="29"/>
      <c r="W37" s="29"/>
      <c r="X37" s="29"/>
      <c r="Y37" s="29"/>
      <c r="Z37" s="29"/>
    </row>
    <row r="38" spans="1:26" ht="12.75" customHeight="1" x14ac:dyDescent="0.25">
      <c r="A38" s="26"/>
      <c r="B38" s="26"/>
      <c r="C38" s="26"/>
      <c r="D38" s="36"/>
      <c r="E38" s="36"/>
      <c r="F38" s="26"/>
      <c r="G38" s="26"/>
      <c r="H38" s="26"/>
      <c r="I38" s="26"/>
      <c r="J38" s="26"/>
      <c r="K38" s="26"/>
      <c r="L38" s="26"/>
      <c r="M38" s="26"/>
      <c r="N38" s="26"/>
      <c r="O38" s="26"/>
      <c r="P38" s="26"/>
      <c r="Q38" s="26"/>
      <c r="R38" s="26"/>
      <c r="S38" s="26"/>
      <c r="T38" s="26"/>
      <c r="U38" s="26"/>
      <c r="V38" s="26"/>
      <c r="W38" s="26"/>
      <c r="X38" s="26"/>
      <c r="Y38" s="26"/>
      <c r="Z38" s="26"/>
    </row>
    <row r="39" spans="1:26" ht="12.75" customHeight="1" x14ac:dyDescent="0.25">
      <c r="A39" s="26"/>
      <c r="B39" s="26"/>
      <c r="C39" s="26"/>
      <c r="D39" s="27">
        <v>0</v>
      </c>
      <c r="E39" s="27">
        <v>0</v>
      </c>
      <c r="F39" s="26"/>
      <c r="G39" s="26"/>
      <c r="H39" s="26"/>
      <c r="I39" s="26"/>
      <c r="J39" s="26"/>
      <c r="K39" s="26"/>
      <c r="L39" s="26"/>
      <c r="M39" s="26"/>
      <c r="N39" s="26"/>
      <c r="O39" s="26"/>
      <c r="P39" s="26"/>
      <c r="Q39" s="26"/>
      <c r="R39" s="26"/>
      <c r="S39" s="26"/>
      <c r="T39" s="26"/>
      <c r="U39" s="26"/>
      <c r="V39" s="26"/>
      <c r="W39" s="26"/>
      <c r="X39" s="26"/>
      <c r="Y39" s="26"/>
      <c r="Z39" s="26"/>
    </row>
    <row r="40" spans="1:26" ht="12.75" customHeight="1" x14ac:dyDescent="0.25">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2.75" customHeight="1" x14ac:dyDescent="0.25">
      <c r="A41" s="26"/>
      <c r="B41" s="26"/>
      <c r="C41" s="175" t="s">
        <v>167</v>
      </c>
      <c r="D41" s="177">
        <v>2016</v>
      </c>
      <c r="E41" s="177">
        <v>2017</v>
      </c>
      <c r="F41" s="166">
        <v>2018</v>
      </c>
      <c r="G41" s="166">
        <v>2019</v>
      </c>
      <c r="H41" s="166">
        <v>2020</v>
      </c>
      <c r="I41" s="166">
        <v>2021</v>
      </c>
      <c r="J41" s="166">
        <v>2022</v>
      </c>
      <c r="K41" s="166">
        <v>2023</v>
      </c>
      <c r="L41" s="166">
        <v>2024</v>
      </c>
      <c r="M41" s="166">
        <v>2025</v>
      </c>
      <c r="N41" s="26"/>
      <c r="O41" s="26"/>
      <c r="P41" s="26"/>
      <c r="Q41" s="26"/>
      <c r="R41" s="26"/>
      <c r="S41" s="26"/>
      <c r="T41" s="26"/>
      <c r="U41" s="26"/>
      <c r="V41" s="26"/>
      <c r="W41" s="26"/>
      <c r="X41" s="26"/>
      <c r="Y41" s="26"/>
      <c r="Z41" s="26"/>
    </row>
    <row r="42" spans="1:26" ht="25.2" customHeight="1" x14ac:dyDescent="0.25">
      <c r="A42" s="26"/>
      <c r="B42" s="26"/>
      <c r="C42" s="176"/>
      <c r="D42" s="178"/>
      <c r="E42" s="178"/>
      <c r="F42" s="167"/>
      <c r="G42" s="167"/>
      <c r="H42" s="167"/>
      <c r="I42" s="167"/>
      <c r="J42" s="167"/>
      <c r="K42" s="167"/>
      <c r="L42" s="167"/>
      <c r="M42" s="167"/>
      <c r="N42" s="26"/>
      <c r="O42" s="26"/>
      <c r="P42" s="26"/>
      <c r="Q42" s="26"/>
      <c r="R42" s="26"/>
      <c r="S42" s="26"/>
      <c r="T42" s="26"/>
      <c r="U42" s="26"/>
      <c r="V42" s="26"/>
      <c r="W42" s="26"/>
      <c r="X42" s="26"/>
      <c r="Y42" s="26"/>
      <c r="Z42" s="26"/>
    </row>
    <row r="43" spans="1:26" ht="12.75" customHeight="1" x14ac:dyDescent="0.25">
      <c r="A43" s="26"/>
      <c r="B43" s="26"/>
      <c r="C43" s="47" t="s">
        <v>56</v>
      </c>
      <c r="D43" s="48">
        <v>2714177.4791473583</v>
      </c>
      <c r="E43" s="48">
        <v>4414253.6492122337</v>
      </c>
      <c r="F43" s="69">
        <v>0.3</v>
      </c>
      <c r="G43" s="69">
        <v>0.3</v>
      </c>
      <c r="H43" s="69">
        <v>0.3</v>
      </c>
      <c r="I43" s="69">
        <v>0.15</v>
      </c>
      <c r="J43" s="69">
        <v>0.15</v>
      </c>
      <c r="K43" s="69">
        <v>0.15</v>
      </c>
      <c r="L43" s="69">
        <v>0.15</v>
      </c>
      <c r="M43" s="69">
        <v>0.15</v>
      </c>
      <c r="N43" s="26"/>
      <c r="O43" s="26"/>
      <c r="P43" s="26"/>
      <c r="Q43" s="26"/>
      <c r="R43" s="26"/>
      <c r="S43" s="26"/>
      <c r="T43" s="26"/>
      <c r="U43" s="26"/>
      <c r="V43" s="26"/>
      <c r="W43" s="26"/>
      <c r="X43" s="26"/>
      <c r="Y43" s="26"/>
      <c r="Z43" s="26"/>
    </row>
    <row r="44" spans="1:26" ht="12.75" customHeight="1" x14ac:dyDescent="0.25">
      <c r="A44" s="26"/>
      <c r="B44" s="26"/>
      <c r="C44" s="47" t="s">
        <v>58</v>
      </c>
      <c r="D44" s="53">
        <v>998289.53753475449</v>
      </c>
      <c r="E44" s="53">
        <v>1121942.4814643189</v>
      </c>
      <c r="F44" s="70"/>
      <c r="G44" s="70"/>
      <c r="H44" s="70"/>
      <c r="I44" s="70"/>
      <c r="J44" s="70"/>
      <c r="K44" s="70"/>
      <c r="L44" s="70"/>
      <c r="M44" s="70"/>
      <c r="N44" s="26"/>
      <c r="O44" s="26"/>
      <c r="P44" s="26"/>
      <c r="Q44" s="26"/>
      <c r="R44" s="26"/>
      <c r="S44" s="26"/>
      <c r="T44" s="26"/>
      <c r="U44" s="26"/>
      <c r="V44" s="26"/>
      <c r="W44" s="26"/>
      <c r="X44" s="26"/>
      <c r="Y44" s="26"/>
      <c r="Z44" s="26"/>
    </row>
    <row r="45" spans="1:26" ht="12.75" hidden="1" customHeight="1" x14ac:dyDescent="0.25">
      <c r="A45" s="26"/>
      <c r="B45" s="26"/>
      <c r="C45" s="49" t="s">
        <v>59</v>
      </c>
      <c r="D45" s="50">
        <v>0</v>
      </c>
      <c r="E45" s="50">
        <v>0</v>
      </c>
      <c r="F45" s="71"/>
      <c r="G45" s="71"/>
      <c r="H45" s="71"/>
      <c r="I45" s="71"/>
      <c r="J45" s="71"/>
      <c r="K45" s="71"/>
      <c r="L45" s="71"/>
      <c r="M45" s="71"/>
      <c r="N45" s="26"/>
      <c r="O45" s="26"/>
      <c r="P45" s="26"/>
      <c r="Q45" s="26"/>
      <c r="R45" s="26"/>
      <c r="S45" s="26"/>
      <c r="T45" s="26"/>
      <c r="U45" s="26"/>
      <c r="V45" s="26"/>
      <c r="W45" s="26"/>
      <c r="X45" s="26"/>
      <c r="Y45" s="26"/>
      <c r="Z45" s="26"/>
    </row>
    <row r="46" spans="1:26" ht="12.75" customHeight="1" x14ac:dyDescent="0.25">
      <c r="A46" s="26"/>
      <c r="B46" s="26"/>
      <c r="C46" s="49" t="str">
        <f>C9 &amp; " as a % of rev"</f>
        <v>Materials (raw materials) as a % of rev</v>
      </c>
      <c r="D46" s="50">
        <v>992551.55236329942</v>
      </c>
      <c r="E46" s="50">
        <v>1076892.6668211308</v>
      </c>
      <c r="F46" s="72">
        <f>$E$46/$E$43</f>
        <v>0.24395803965939128</v>
      </c>
      <c r="G46" s="72">
        <f t="shared" ref="G46:M46" si="26">$E$46/$E$43</f>
        <v>0.24395803965939128</v>
      </c>
      <c r="H46" s="72">
        <f t="shared" si="26"/>
        <v>0.24395803965939128</v>
      </c>
      <c r="I46" s="72">
        <f t="shared" si="26"/>
        <v>0.24395803965939128</v>
      </c>
      <c r="J46" s="72">
        <f t="shared" si="26"/>
        <v>0.24395803965939128</v>
      </c>
      <c r="K46" s="72">
        <f t="shared" si="26"/>
        <v>0.24395803965939128</v>
      </c>
      <c r="L46" s="72">
        <f t="shared" si="26"/>
        <v>0.24395803965939128</v>
      </c>
      <c r="M46" s="72">
        <f t="shared" si="26"/>
        <v>0.24395803965939128</v>
      </c>
      <c r="N46" s="26"/>
      <c r="O46" s="26"/>
      <c r="P46" s="57"/>
      <c r="Q46" s="26"/>
      <c r="R46" s="26"/>
      <c r="S46" s="26"/>
      <c r="T46" s="26"/>
      <c r="U46" s="26"/>
      <c r="V46" s="26"/>
      <c r="W46" s="26"/>
      <c r="X46" s="26"/>
      <c r="Y46" s="26"/>
      <c r="Z46" s="26"/>
    </row>
    <row r="47" spans="1:26" ht="12.75" customHeight="1" x14ac:dyDescent="0.25">
      <c r="A47" s="26"/>
      <c r="B47" s="26"/>
      <c r="C47" s="49" t="s">
        <v>61</v>
      </c>
      <c r="D47" s="50"/>
      <c r="E47" s="50"/>
      <c r="F47" s="113"/>
      <c r="G47" s="112"/>
      <c r="H47" s="112"/>
      <c r="I47" s="112"/>
      <c r="J47" s="112"/>
      <c r="K47" s="112"/>
      <c r="L47" s="112"/>
      <c r="M47" s="112"/>
      <c r="N47" s="110"/>
      <c r="O47" s="26"/>
      <c r="P47" s="26"/>
      <c r="Q47" s="26"/>
      <c r="R47" s="26"/>
      <c r="S47" s="26"/>
      <c r="T47" s="26"/>
      <c r="U47" s="26"/>
      <c r="V47" s="26"/>
      <c r="W47" s="26"/>
      <c r="X47" s="26"/>
      <c r="Y47" s="26"/>
      <c r="Z47" s="26"/>
    </row>
    <row r="48" spans="1:26" ht="12.75" customHeight="1" x14ac:dyDescent="0.25">
      <c r="A48" s="26"/>
      <c r="B48" s="26"/>
      <c r="C48" s="49" t="s">
        <v>62</v>
      </c>
      <c r="D48" s="50"/>
      <c r="E48" s="50"/>
      <c r="F48" s="112"/>
      <c r="G48" s="112"/>
      <c r="H48" s="112"/>
      <c r="I48" s="112"/>
      <c r="J48" s="112"/>
      <c r="K48" s="112"/>
      <c r="L48" s="112"/>
      <c r="M48" s="112"/>
      <c r="N48" s="26"/>
      <c r="O48" s="26"/>
      <c r="P48" s="26"/>
      <c r="Q48" s="26"/>
      <c r="R48" s="26"/>
      <c r="S48" s="26"/>
      <c r="T48" s="26"/>
      <c r="U48" s="26"/>
      <c r="V48" s="26"/>
      <c r="W48" s="26"/>
      <c r="X48" s="26"/>
      <c r="Y48" s="26"/>
      <c r="Z48" s="26"/>
    </row>
    <row r="49" spans="1:26" ht="12.75" customHeight="1" x14ac:dyDescent="0.25">
      <c r="A49" s="26"/>
      <c r="B49" s="26"/>
      <c r="C49" s="49" t="str">
        <f>C12 &amp; " as a % of rev"</f>
        <v>Others as a % of rev</v>
      </c>
      <c r="D49" s="50">
        <v>5737.985171455075</v>
      </c>
      <c r="E49" s="50">
        <v>45049.814643188147</v>
      </c>
      <c r="F49" s="118">
        <f>$E$49/$E$43</f>
        <v>1.0205533760215098E-2</v>
      </c>
      <c r="G49" s="118">
        <f t="shared" ref="G49:M49" si="27">$E$49/$E$43</f>
        <v>1.0205533760215098E-2</v>
      </c>
      <c r="H49" s="118">
        <f t="shared" si="27"/>
        <v>1.0205533760215098E-2</v>
      </c>
      <c r="I49" s="118">
        <f t="shared" si="27"/>
        <v>1.0205533760215098E-2</v>
      </c>
      <c r="J49" s="118">
        <f t="shared" si="27"/>
        <v>1.0205533760215098E-2</v>
      </c>
      <c r="K49" s="118">
        <f t="shared" si="27"/>
        <v>1.0205533760215098E-2</v>
      </c>
      <c r="L49" s="118">
        <f t="shared" si="27"/>
        <v>1.0205533760215098E-2</v>
      </c>
      <c r="M49" s="118">
        <f t="shared" si="27"/>
        <v>1.0205533760215098E-2</v>
      </c>
      <c r="N49" s="26"/>
      <c r="O49" s="26"/>
      <c r="P49" s="26"/>
      <c r="Q49" s="26"/>
      <c r="R49" s="26"/>
      <c r="S49" s="26"/>
      <c r="T49" s="26"/>
      <c r="U49" s="26"/>
      <c r="V49" s="26"/>
      <c r="W49" s="26"/>
      <c r="X49" s="26"/>
      <c r="Y49" s="26"/>
      <c r="Z49" s="26"/>
    </row>
    <row r="50" spans="1:26" ht="12.75" customHeight="1" x14ac:dyDescent="0.25">
      <c r="A50" s="26"/>
      <c r="B50" s="26"/>
      <c r="C50" s="54" t="s">
        <v>65</v>
      </c>
      <c r="D50" s="55">
        <f>SUM(D43-D44)</f>
        <v>1715887.9416126038</v>
      </c>
      <c r="E50" s="55">
        <f>SUM(E43-E44)</f>
        <v>3292311.1677479148</v>
      </c>
      <c r="F50" s="70"/>
      <c r="G50" s="70"/>
      <c r="H50" s="70"/>
      <c r="I50" s="70"/>
      <c r="J50" s="70"/>
      <c r="K50" s="70"/>
      <c r="L50" s="70"/>
      <c r="M50" s="70"/>
      <c r="N50" s="26"/>
      <c r="O50" s="26"/>
      <c r="P50" s="26"/>
      <c r="Q50" s="26"/>
      <c r="R50" s="26"/>
      <c r="S50" s="26"/>
      <c r="T50" s="26"/>
      <c r="U50" s="26"/>
      <c r="V50" s="26"/>
      <c r="W50" s="26"/>
      <c r="X50" s="26"/>
      <c r="Y50" s="26"/>
      <c r="Z50" s="26"/>
    </row>
    <row r="51" spans="1:26" ht="12.75" customHeight="1" x14ac:dyDescent="0.25">
      <c r="A51" s="26"/>
      <c r="B51" s="26"/>
      <c r="C51" s="47" t="s">
        <v>67</v>
      </c>
      <c r="D51" s="53">
        <f t="shared" ref="D51:E51" si="28">SUM(D52,D57)</f>
        <v>1367820.0690454128</v>
      </c>
      <c r="E51" s="53">
        <f t="shared" si="28"/>
        <v>2932586.3067655233</v>
      </c>
      <c r="F51" s="70"/>
      <c r="G51" s="70"/>
      <c r="H51" s="70"/>
      <c r="I51" s="70"/>
      <c r="J51" s="70"/>
      <c r="K51" s="70"/>
      <c r="L51" s="70"/>
      <c r="M51" s="70"/>
      <c r="N51" s="26"/>
      <c r="O51" s="26"/>
      <c r="P51" s="26"/>
      <c r="Q51" s="26"/>
      <c r="R51" s="26"/>
      <c r="S51" s="26"/>
      <c r="T51" s="26"/>
      <c r="U51" s="26"/>
      <c r="V51" s="26"/>
      <c r="W51" s="26"/>
      <c r="X51" s="26"/>
      <c r="Y51" s="26"/>
      <c r="Z51" s="26"/>
    </row>
    <row r="52" spans="1:26" ht="12.75" customHeight="1" x14ac:dyDescent="0.25">
      <c r="A52" s="26"/>
      <c r="B52" s="26"/>
      <c r="C52" s="51" t="s">
        <v>69</v>
      </c>
      <c r="D52" s="56">
        <v>726794.19601482863</v>
      </c>
      <c r="E52" s="56">
        <v>10847.717794253938</v>
      </c>
      <c r="F52" s="71"/>
      <c r="G52" s="71"/>
      <c r="H52" s="71"/>
      <c r="I52" s="71"/>
      <c r="J52" s="71"/>
      <c r="K52" s="71"/>
      <c r="L52" s="71"/>
      <c r="M52" s="71"/>
      <c r="N52" s="26"/>
      <c r="O52" s="26"/>
      <c r="P52" s="26"/>
      <c r="Q52" s="26"/>
      <c r="R52" s="26"/>
      <c r="S52" s="26"/>
      <c r="T52" s="26"/>
      <c r="U52" s="26"/>
      <c r="V52" s="26"/>
      <c r="W52" s="26"/>
      <c r="X52" s="26"/>
      <c r="Y52" s="26"/>
      <c r="Z52" s="26"/>
    </row>
    <row r="53" spans="1:26" ht="12.75" customHeight="1" x14ac:dyDescent="0.25">
      <c r="A53" s="26"/>
      <c r="B53" s="26"/>
      <c r="C53" s="49" t="s">
        <v>59</v>
      </c>
      <c r="D53" s="50"/>
      <c r="E53" s="50"/>
      <c r="F53" s="71"/>
      <c r="G53" s="71"/>
      <c r="H53" s="71"/>
      <c r="I53" s="71"/>
      <c r="J53" s="71"/>
      <c r="K53" s="71"/>
      <c r="L53" s="71"/>
      <c r="M53" s="71"/>
      <c r="N53" s="26"/>
      <c r="O53" s="26"/>
      <c r="P53" s="26"/>
      <c r="Q53" s="26"/>
      <c r="R53" s="26"/>
      <c r="S53" s="26"/>
      <c r="T53" s="26"/>
      <c r="U53" s="26"/>
      <c r="V53" s="26"/>
      <c r="W53" s="26"/>
      <c r="X53" s="26"/>
      <c r="Y53" s="26"/>
      <c r="Z53" s="26"/>
    </row>
    <row r="54" spans="1:26" ht="12.75" customHeight="1" x14ac:dyDescent="0.25">
      <c r="A54" s="26"/>
      <c r="B54" s="26"/>
      <c r="C54" s="49" t="s">
        <v>61</v>
      </c>
      <c r="D54" s="50"/>
      <c r="E54" s="50"/>
      <c r="F54" s="71"/>
      <c r="G54" s="71"/>
      <c r="H54" s="71"/>
      <c r="I54" s="71"/>
      <c r="J54" s="71"/>
      <c r="K54" s="71"/>
      <c r="L54" s="71"/>
      <c r="M54" s="71"/>
      <c r="N54" s="26"/>
      <c r="O54" s="26"/>
      <c r="P54" s="26"/>
      <c r="Q54" s="26"/>
      <c r="R54" s="26"/>
      <c r="S54" s="26"/>
      <c r="T54" s="26"/>
      <c r="U54" s="26"/>
      <c r="V54" s="26"/>
      <c r="W54" s="26"/>
      <c r="X54" s="26"/>
      <c r="Y54" s="26"/>
      <c r="Z54" s="26"/>
    </row>
    <row r="55" spans="1:26" ht="12.75" customHeight="1" x14ac:dyDescent="0.25">
      <c r="A55" s="26"/>
      <c r="B55" s="26"/>
      <c r="C55" s="49" t="s">
        <v>70</v>
      </c>
      <c r="D55" s="50"/>
      <c r="E55" s="50"/>
      <c r="F55" s="71"/>
      <c r="G55" s="71"/>
      <c r="H55" s="71"/>
      <c r="I55" s="71"/>
      <c r="J55" s="71"/>
      <c r="K55" s="71"/>
      <c r="L55" s="71"/>
      <c r="M55" s="71"/>
      <c r="N55" s="26"/>
      <c r="O55" s="26"/>
      <c r="P55" s="26"/>
      <c r="Q55" s="26"/>
      <c r="R55" s="26"/>
      <c r="S55" s="26"/>
      <c r="T55" s="26"/>
      <c r="U55" s="26"/>
      <c r="V55" s="26"/>
      <c r="W55" s="26"/>
      <c r="X55" s="26"/>
      <c r="Y55" s="26"/>
      <c r="Z55" s="26"/>
    </row>
    <row r="56" spans="1:26" ht="12.75" customHeight="1" x14ac:dyDescent="0.25">
      <c r="A56" s="26"/>
      <c r="B56" s="26"/>
      <c r="C56" s="49" t="str">
        <f>C19 &amp; " as a % of rev"</f>
        <v>Others as a % of rev</v>
      </c>
      <c r="D56" s="50">
        <f t="shared" ref="D56:E56" si="29">D52</f>
        <v>726794.19601482863</v>
      </c>
      <c r="E56" s="50">
        <f t="shared" si="29"/>
        <v>10847.717794253938</v>
      </c>
      <c r="F56" s="123">
        <f>$E$56/$E$43</f>
        <v>2.4574296486541544E-3</v>
      </c>
      <c r="G56" s="123">
        <f t="shared" ref="G56:M56" si="30">$E$56/$E$43</f>
        <v>2.4574296486541544E-3</v>
      </c>
      <c r="H56" s="123">
        <f t="shared" si="30"/>
        <v>2.4574296486541544E-3</v>
      </c>
      <c r="I56" s="123">
        <f t="shared" si="30"/>
        <v>2.4574296486541544E-3</v>
      </c>
      <c r="J56" s="123">
        <f t="shared" si="30"/>
        <v>2.4574296486541544E-3</v>
      </c>
      <c r="K56" s="123">
        <f t="shared" si="30"/>
        <v>2.4574296486541544E-3</v>
      </c>
      <c r="L56" s="123">
        <f t="shared" si="30"/>
        <v>2.4574296486541544E-3</v>
      </c>
      <c r="M56" s="123">
        <f t="shared" si="30"/>
        <v>2.4574296486541544E-3</v>
      </c>
      <c r="N56" s="26"/>
      <c r="O56" s="26"/>
      <c r="P56" s="26"/>
      <c r="Q56" s="26"/>
      <c r="R56" s="26"/>
      <c r="S56" s="26"/>
      <c r="T56" s="26"/>
      <c r="U56" s="26"/>
      <c r="V56" s="26"/>
      <c r="W56" s="26"/>
      <c r="X56" s="26"/>
      <c r="Y56" s="26"/>
      <c r="Z56" s="26"/>
    </row>
    <row r="57" spans="1:26" ht="12.75" customHeight="1" x14ac:dyDescent="0.25">
      <c r="A57" s="26"/>
      <c r="B57" s="26"/>
      <c r="C57" s="51" t="s">
        <v>72</v>
      </c>
      <c r="D57" s="56">
        <f t="shared" ref="D57:E57" si="31">SUM(D58:D61)</f>
        <v>641025.87303058407</v>
      </c>
      <c r="E57" s="56">
        <f t="shared" si="31"/>
        <v>2921738.5889712693</v>
      </c>
      <c r="F57" s="112"/>
      <c r="G57" s="112"/>
      <c r="H57" s="112"/>
      <c r="I57" s="112"/>
      <c r="J57" s="112"/>
      <c r="K57" s="112"/>
      <c r="L57" s="112"/>
      <c r="M57" s="112"/>
      <c r="N57" s="26"/>
      <c r="O57" s="26"/>
      <c r="P57" s="26"/>
      <c r="Q57" s="26"/>
      <c r="R57" s="26"/>
      <c r="S57" s="26"/>
      <c r="T57" s="26"/>
      <c r="U57" s="26"/>
      <c r="V57" s="26"/>
      <c r="W57" s="26"/>
      <c r="X57" s="26"/>
      <c r="Y57" s="26"/>
      <c r="Z57" s="26"/>
    </row>
    <row r="58" spans="1:26" ht="12.75" customHeight="1" x14ac:dyDescent="0.25">
      <c r="A58" s="26"/>
      <c r="B58" s="26"/>
      <c r="C58" s="49" t="s">
        <v>59</v>
      </c>
      <c r="D58" s="50">
        <v>140511.17933271549</v>
      </c>
      <c r="E58" s="50">
        <v>203121.81417979611</v>
      </c>
      <c r="F58" s="113"/>
      <c r="G58" s="113"/>
      <c r="H58" s="113"/>
      <c r="I58" s="113"/>
      <c r="J58" s="113"/>
      <c r="K58" s="113"/>
      <c r="L58" s="113"/>
      <c r="M58" s="113"/>
      <c r="N58" s="26"/>
      <c r="O58" s="26"/>
      <c r="P58" s="26"/>
      <c r="Q58" s="26"/>
      <c r="R58" s="26"/>
      <c r="S58" s="26"/>
      <c r="T58" s="26"/>
      <c r="U58" s="26"/>
      <c r="V58" s="26"/>
      <c r="W58" s="26"/>
      <c r="X58" s="26"/>
      <c r="Y58" s="26"/>
      <c r="Z58" s="26"/>
    </row>
    <row r="59" spans="1:26" ht="12.75" customHeight="1" x14ac:dyDescent="0.25">
      <c r="A59" s="26"/>
      <c r="B59" s="26"/>
      <c r="C59" s="49" t="s">
        <v>61</v>
      </c>
      <c r="D59" s="50">
        <v>499966.69369786844</v>
      </c>
      <c r="E59" s="50">
        <v>1368507.0088044486</v>
      </c>
      <c r="F59" s="125">
        <f>$E$59/$E$43</f>
        <v>0.31002002094933351</v>
      </c>
      <c r="G59" s="125">
        <f t="shared" ref="G59:M59" si="32">$E$59/$E$43</f>
        <v>0.31002002094933351</v>
      </c>
      <c r="H59" s="125">
        <f t="shared" si="32"/>
        <v>0.31002002094933351</v>
      </c>
      <c r="I59" s="125">
        <f t="shared" si="32"/>
        <v>0.31002002094933351</v>
      </c>
      <c r="J59" s="125">
        <f t="shared" si="32"/>
        <v>0.31002002094933351</v>
      </c>
      <c r="K59" s="125">
        <f t="shared" si="32"/>
        <v>0.31002002094933351</v>
      </c>
      <c r="L59" s="125">
        <f t="shared" si="32"/>
        <v>0.31002002094933351</v>
      </c>
      <c r="M59" s="125">
        <f t="shared" si="32"/>
        <v>0.31002002094933351</v>
      </c>
      <c r="N59" s="26"/>
      <c r="O59" s="26"/>
      <c r="P59" s="26"/>
      <c r="Q59" s="26"/>
      <c r="R59" s="26"/>
      <c r="S59" s="26"/>
      <c r="T59" s="26"/>
      <c r="U59" s="26"/>
      <c r="V59" s="26"/>
      <c r="W59" s="26"/>
      <c r="X59" s="26"/>
      <c r="Y59" s="26"/>
      <c r="Z59" s="26"/>
    </row>
    <row r="60" spans="1:26" ht="12.75" customHeight="1" x14ac:dyDescent="0.25">
      <c r="A60" s="26"/>
      <c r="B60" s="26"/>
      <c r="C60" s="49" t="s">
        <v>70</v>
      </c>
      <c r="D60" s="50"/>
      <c r="E60" s="50"/>
      <c r="F60" s="71"/>
      <c r="G60" s="71"/>
      <c r="H60" s="71"/>
      <c r="I60" s="71"/>
      <c r="J60" s="71"/>
      <c r="K60" s="71"/>
      <c r="L60" s="71"/>
      <c r="M60" s="71"/>
      <c r="N60" s="26"/>
      <c r="O60" s="26"/>
      <c r="P60" s="26"/>
      <c r="Q60" s="26"/>
      <c r="R60" s="26"/>
      <c r="S60" s="26"/>
      <c r="T60" s="26"/>
      <c r="U60" s="26"/>
      <c r="V60" s="26"/>
      <c r="W60" s="26"/>
      <c r="X60" s="26"/>
      <c r="Y60" s="26"/>
      <c r="Z60" s="26"/>
    </row>
    <row r="61" spans="1:26" ht="12.75" customHeight="1" x14ac:dyDescent="0.25">
      <c r="A61" s="26"/>
      <c r="B61" s="26"/>
      <c r="C61" s="49" t="str">
        <f>C24 &amp; " as a % of rev"</f>
        <v>Others as a % of rev</v>
      </c>
      <c r="D61" s="50">
        <v>548.00000000011642</v>
      </c>
      <c r="E61" s="50">
        <v>1350109.7659870244</v>
      </c>
      <c r="F61" s="125">
        <f>$E$61/$E$43+0.1</f>
        <v>0.40585233049033431</v>
      </c>
      <c r="G61" s="125">
        <f t="shared" ref="G61:H61" si="33">$E$61/$E$43+0.1</f>
        <v>0.40585233049033431</v>
      </c>
      <c r="H61" s="125">
        <f t="shared" si="33"/>
        <v>0.40585233049033431</v>
      </c>
      <c r="I61" s="113"/>
      <c r="J61" s="113"/>
      <c r="K61" s="113"/>
      <c r="L61" s="113"/>
      <c r="M61" s="113"/>
      <c r="N61" s="26"/>
      <c r="O61" s="26"/>
      <c r="P61" s="26"/>
      <c r="Q61" s="26"/>
      <c r="R61" s="26"/>
      <c r="S61" s="26"/>
      <c r="T61" s="26"/>
      <c r="U61" s="26"/>
      <c r="V61" s="26"/>
      <c r="W61" s="26"/>
      <c r="X61" s="26"/>
      <c r="Y61" s="26"/>
      <c r="Z61" s="26"/>
    </row>
    <row r="62" spans="1:26" ht="12.75" customHeight="1" x14ac:dyDescent="0.25">
      <c r="A62" s="27"/>
      <c r="B62" s="26"/>
      <c r="C62" s="47" t="s">
        <v>74</v>
      </c>
      <c r="D62" s="55">
        <f t="shared" ref="D62:E62" si="34">SUM(D50-D51)</f>
        <v>348067.87256719102</v>
      </c>
      <c r="E62" s="55">
        <f t="shared" si="34"/>
        <v>359724.86098239152</v>
      </c>
      <c r="F62" s="114"/>
      <c r="G62" s="114"/>
      <c r="H62" s="114"/>
      <c r="I62" s="114"/>
      <c r="J62" s="114"/>
      <c r="K62" s="114"/>
      <c r="L62" s="114"/>
      <c r="M62" s="114"/>
      <c r="N62" s="26"/>
      <c r="O62" s="26"/>
      <c r="P62" s="26"/>
      <c r="Q62" s="26"/>
      <c r="R62" s="26"/>
      <c r="S62" s="26"/>
      <c r="T62" s="26"/>
      <c r="U62" s="26"/>
      <c r="V62" s="26"/>
      <c r="W62" s="26"/>
      <c r="X62" s="26"/>
      <c r="Y62" s="26"/>
      <c r="Z62" s="27"/>
    </row>
    <row r="63" spans="1:26" ht="12.75" customHeight="1" x14ac:dyDescent="0.25">
      <c r="A63" s="26"/>
      <c r="B63" s="26"/>
      <c r="C63" s="47" t="s">
        <v>76</v>
      </c>
      <c r="D63" s="53">
        <f t="shared" ref="D63:E63" si="35">SUM(D64-D65)</f>
        <v>4344.3002780352181</v>
      </c>
      <c r="E63" s="53">
        <f t="shared" si="35"/>
        <v>89548.192771084345</v>
      </c>
      <c r="F63" s="114"/>
      <c r="G63" s="114"/>
      <c r="H63" s="114"/>
      <c r="I63" s="114"/>
      <c r="J63" s="114"/>
      <c r="K63" s="114"/>
      <c r="L63" s="114"/>
      <c r="M63" s="114"/>
      <c r="N63" s="26"/>
      <c r="O63" s="26"/>
      <c r="P63" s="26"/>
      <c r="Q63" s="26"/>
      <c r="R63" s="26"/>
      <c r="S63" s="26"/>
      <c r="T63" s="26"/>
      <c r="U63" s="26"/>
      <c r="V63" s="26"/>
      <c r="W63" s="26"/>
      <c r="X63" s="26"/>
      <c r="Y63" s="26"/>
      <c r="Z63" s="26"/>
    </row>
    <row r="64" spans="1:26" ht="12.75" customHeight="1" x14ac:dyDescent="0.25">
      <c r="A64" s="26"/>
      <c r="B64" s="26"/>
      <c r="C64" s="51" t="s">
        <v>78</v>
      </c>
      <c r="D64" s="52">
        <f>15000/3.4528</f>
        <v>4344.3002780352181</v>
      </c>
      <c r="E64" s="52">
        <f>309192/3.4528</f>
        <v>89548.192771084345</v>
      </c>
      <c r="F64" s="125">
        <f>$E$64/$E$43</f>
        <v>2.0286145719574832E-2</v>
      </c>
      <c r="G64" s="125">
        <f t="shared" ref="G64:M64" si="36">$E$64/$E$43</f>
        <v>2.0286145719574832E-2</v>
      </c>
      <c r="H64" s="125">
        <f t="shared" si="36"/>
        <v>2.0286145719574832E-2</v>
      </c>
      <c r="I64" s="125">
        <f t="shared" si="36"/>
        <v>2.0286145719574832E-2</v>
      </c>
      <c r="J64" s="125">
        <f t="shared" si="36"/>
        <v>2.0286145719574832E-2</v>
      </c>
      <c r="K64" s="125">
        <f t="shared" si="36"/>
        <v>2.0286145719574832E-2</v>
      </c>
      <c r="L64" s="125">
        <f t="shared" si="36"/>
        <v>2.0286145719574832E-2</v>
      </c>
      <c r="M64" s="125">
        <f t="shared" si="36"/>
        <v>2.0286145719574832E-2</v>
      </c>
      <c r="N64" s="77"/>
      <c r="O64" s="26"/>
      <c r="P64" s="26"/>
      <c r="Q64" s="26"/>
      <c r="R64" s="26"/>
      <c r="S64" s="26"/>
      <c r="T64" s="26"/>
      <c r="U64" s="26"/>
      <c r="V64" s="26"/>
      <c r="W64" s="26"/>
      <c r="X64" s="26"/>
      <c r="Y64" s="26"/>
      <c r="Z64" s="26"/>
    </row>
    <row r="65" spans="1:26" ht="12.75" customHeight="1" x14ac:dyDescent="0.25">
      <c r="A65" s="26"/>
      <c r="B65" s="26"/>
      <c r="C65" s="51" t="s">
        <v>80</v>
      </c>
      <c r="D65" s="56">
        <v>0</v>
      </c>
      <c r="E65" s="56">
        <v>0</v>
      </c>
      <c r="F65" s="112"/>
      <c r="G65" s="112"/>
      <c r="H65" s="112"/>
      <c r="I65" s="112"/>
      <c r="J65" s="112"/>
      <c r="K65" s="112"/>
      <c r="L65" s="112"/>
      <c r="M65" s="112"/>
      <c r="N65" s="26"/>
      <c r="O65" s="26"/>
      <c r="P65" s="26"/>
      <c r="Q65" s="26"/>
      <c r="R65" s="26"/>
      <c r="S65" s="26"/>
      <c r="T65" s="26"/>
      <c r="U65" s="26"/>
      <c r="V65" s="26"/>
      <c r="W65" s="26"/>
      <c r="X65" s="26"/>
      <c r="Y65" s="26"/>
      <c r="Z65" s="26"/>
    </row>
    <row r="66" spans="1:26" ht="12.75" customHeight="1" x14ac:dyDescent="0.25">
      <c r="A66" s="26"/>
      <c r="B66" s="26"/>
      <c r="C66" s="47" t="s">
        <v>82</v>
      </c>
      <c r="D66" s="53">
        <f t="shared" ref="D66:E66" si="37">SUM(D67-D68)</f>
        <v>-9701.112140871177</v>
      </c>
      <c r="E66" s="53">
        <f t="shared" si="37"/>
        <v>-21799.119555143654</v>
      </c>
      <c r="F66" s="114"/>
      <c r="G66" s="114"/>
      <c r="H66" s="114"/>
      <c r="I66" s="114"/>
      <c r="J66" s="114"/>
      <c r="K66" s="114"/>
      <c r="L66" s="114"/>
      <c r="M66" s="114"/>
      <c r="N66" s="26"/>
      <c r="O66" s="26"/>
      <c r="P66" s="26"/>
      <c r="Q66" s="26"/>
      <c r="R66" s="26"/>
      <c r="S66" s="26"/>
      <c r="T66" s="26"/>
      <c r="U66" s="26"/>
      <c r="V66" s="26"/>
      <c r="W66" s="26"/>
      <c r="X66" s="26"/>
      <c r="Y66" s="26"/>
      <c r="Z66" s="26"/>
    </row>
    <row r="67" spans="1:26" ht="12.75" customHeight="1" x14ac:dyDescent="0.25">
      <c r="A67" s="26"/>
      <c r="B67" s="26"/>
      <c r="C67" s="51" t="s">
        <v>78</v>
      </c>
      <c r="D67" s="52">
        <f>11633/3.4528</f>
        <v>3369.1496756255792</v>
      </c>
      <c r="E67" s="52">
        <f>9444/3.4528</f>
        <v>2735.1714550509732</v>
      </c>
      <c r="F67" s="123">
        <f>$E$67/$E$43</f>
        <v>6.1962262987290981E-4</v>
      </c>
      <c r="G67" s="123">
        <f t="shared" ref="G67:M67" si="38">$E$67/$E$43</f>
        <v>6.1962262987290981E-4</v>
      </c>
      <c r="H67" s="123">
        <f t="shared" si="38"/>
        <v>6.1962262987290981E-4</v>
      </c>
      <c r="I67" s="123">
        <f t="shared" si="38"/>
        <v>6.1962262987290981E-4</v>
      </c>
      <c r="J67" s="123">
        <f t="shared" si="38"/>
        <v>6.1962262987290981E-4</v>
      </c>
      <c r="K67" s="123">
        <f t="shared" si="38"/>
        <v>6.1962262987290981E-4</v>
      </c>
      <c r="L67" s="123">
        <f t="shared" si="38"/>
        <v>6.1962262987290981E-4</v>
      </c>
      <c r="M67" s="123">
        <f t="shared" si="38"/>
        <v>6.1962262987290981E-4</v>
      </c>
      <c r="N67" s="26"/>
      <c r="O67" s="26"/>
      <c r="P67" s="26"/>
      <c r="Q67" s="26"/>
      <c r="R67" s="26"/>
      <c r="S67" s="26"/>
      <c r="T67" s="26"/>
      <c r="U67" s="26"/>
      <c r="V67" s="26"/>
      <c r="W67" s="26"/>
      <c r="X67" s="26"/>
      <c r="Y67" s="26"/>
      <c r="Z67" s="26"/>
    </row>
    <row r="68" spans="1:26" ht="12.75" customHeight="1" x14ac:dyDescent="0.25">
      <c r="A68" s="26"/>
      <c r="B68" s="26"/>
      <c r="C68" s="51" t="s">
        <v>80</v>
      </c>
      <c r="D68" s="52">
        <f>45129/3.4528</f>
        <v>13070.261816496757</v>
      </c>
      <c r="E68" s="52">
        <f>84712/3.4528</f>
        <v>24534.291010194625</v>
      </c>
      <c r="F68" s="112"/>
      <c r="G68" s="112"/>
      <c r="H68" s="112"/>
      <c r="I68" s="112"/>
      <c r="J68" s="112"/>
      <c r="K68" s="112"/>
      <c r="L68" s="112"/>
      <c r="M68" s="112"/>
      <c r="N68" s="26"/>
      <c r="O68" s="26"/>
      <c r="P68" s="26"/>
      <c r="Q68" s="26"/>
      <c r="R68" s="26"/>
      <c r="S68" s="26"/>
      <c r="T68" s="26"/>
      <c r="U68" s="26"/>
      <c r="V68" s="26"/>
      <c r="W68" s="26"/>
      <c r="X68" s="26"/>
      <c r="Y68" s="26"/>
      <c r="Z68" s="26"/>
    </row>
    <row r="69" spans="1:26" ht="12.75" customHeight="1" x14ac:dyDescent="0.25">
      <c r="A69" s="26"/>
      <c r="B69" s="26"/>
      <c r="C69" s="47" t="s">
        <v>86</v>
      </c>
      <c r="D69" s="55">
        <f t="shared" ref="D69:E69" si="39">SUM(D62+D63+D66)</f>
        <v>342711.06070435507</v>
      </c>
      <c r="E69" s="55">
        <f t="shared" si="39"/>
        <v>427473.93419833225</v>
      </c>
      <c r="F69" s="114"/>
      <c r="G69" s="114"/>
      <c r="H69" s="114"/>
      <c r="I69" s="114"/>
      <c r="J69" s="114"/>
      <c r="K69" s="114"/>
      <c r="L69" s="114"/>
      <c r="M69" s="114"/>
      <c r="N69" s="26"/>
      <c r="O69" s="26"/>
      <c r="P69" s="26"/>
      <c r="Q69" s="26"/>
      <c r="R69" s="26"/>
      <c r="S69" s="26"/>
      <c r="T69" s="26"/>
      <c r="U69" s="26"/>
      <c r="V69" s="26"/>
      <c r="W69" s="26"/>
      <c r="X69" s="26"/>
      <c r="Y69" s="26"/>
      <c r="Z69" s="26"/>
    </row>
    <row r="70" spans="1:26" ht="12.75" customHeight="1" x14ac:dyDescent="0.25">
      <c r="A70" s="26"/>
      <c r="B70" s="26"/>
      <c r="C70" s="47"/>
      <c r="D70" s="55"/>
      <c r="E70" s="55"/>
      <c r="F70" s="114"/>
      <c r="G70" s="114"/>
      <c r="H70" s="114"/>
      <c r="I70" s="114"/>
      <c r="J70" s="114"/>
      <c r="K70" s="114"/>
      <c r="L70" s="114"/>
      <c r="M70" s="114"/>
      <c r="N70" s="26"/>
      <c r="O70" s="26"/>
      <c r="P70" s="26"/>
      <c r="Q70" s="26"/>
      <c r="R70" s="26"/>
      <c r="S70" s="26"/>
      <c r="T70" s="26"/>
      <c r="U70" s="26"/>
      <c r="V70" s="26"/>
      <c r="W70" s="26"/>
      <c r="X70" s="26"/>
      <c r="Y70" s="26"/>
      <c r="Z70" s="26"/>
    </row>
    <row r="71" spans="1:26" ht="12.75" customHeight="1" x14ac:dyDescent="0.25">
      <c r="A71" s="26"/>
      <c r="B71" s="26"/>
      <c r="C71" s="47" t="s">
        <v>88</v>
      </c>
      <c r="D71" s="78"/>
      <c r="E71" s="78"/>
      <c r="F71" s="114"/>
      <c r="G71" s="114"/>
      <c r="H71" s="114"/>
      <c r="I71" s="114"/>
      <c r="J71" s="114"/>
      <c r="K71" s="114"/>
      <c r="L71" s="114"/>
      <c r="M71" s="114"/>
      <c r="N71" s="26"/>
      <c r="O71" s="26"/>
      <c r="P71" s="26"/>
      <c r="Q71" s="26"/>
      <c r="R71" s="26"/>
      <c r="S71" s="26"/>
      <c r="T71" s="26"/>
      <c r="U71" s="26"/>
      <c r="V71" s="26"/>
      <c r="W71" s="26"/>
      <c r="X71" s="26"/>
      <c r="Y71" s="26"/>
      <c r="Z71" s="26"/>
    </row>
    <row r="72" spans="1:26" ht="12.75" customHeight="1" x14ac:dyDescent="0.25">
      <c r="A72" s="26"/>
      <c r="B72" s="26"/>
      <c r="C72" s="47" t="s">
        <v>90</v>
      </c>
      <c r="D72" s="55">
        <f t="shared" ref="D72:E72" si="40">SUM(D69+D70-D71)</f>
        <v>342711.06070435507</v>
      </c>
      <c r="E72" s="55">
        <f t="shared" si="40"/>
        <v>427473.93419833225</v>
      </c>
      <c r="F72" s="114"/>
      <c r="G72" s="114"/>
      <c r="H72" s="114"/>
      <c r="I72" s="114"/>
      <c r="J72" s="114"/>
      <c r="K72" s="114"/>
      <c r="L72" s="114"/>
      <c r="M72" s="114"/>
      <c r="N72" s="26"/>
      <c r="O72" s="26"/>
      <c r="P72" s="26"/>
      <c r="Q72" s="26"/>
      <c r="R72" s="26"/>
      <c r="S72" s="26"/>
      <c r="T72" s="26"/>
      <c r="U72" s="26"/>
      <c r="V72" s="26"/>
      <c r="W72" s="26"/>
      <c r="X72" s="26"/>
      <c r="Y72" s="26"/>
      <c r="Z72" s="26"/>
    </row>
    <row r="73" spans="1:26" ht="12.75" customHeight="1" x14ac:dyDescent="0.25">
      <c r="A73" s="26"/>
      <c r="B73" s="26"/>
      <c r="C73" s="47" t="s">
        <v>92</v>
      </c>
      <c r="D73" s="78">
        <v>54291.010194624658</v>
      </c>
      <c r="E73" s="78">
        <v>62089.608433734946</v>
      </c>
      <c r="F73" s="69">
        <f>$E$73/$E$72</f>
        <v>0.14524770627284059</v>
      </c>
      <c r="G73" s="69">
        <f t="shared" ref="G73:M73" si="41">$E$73/$E$72</f>
        <v>0.14524770627284059</v>
      </c>
      <c r="H73" s="69">
        <f t="shared" si="41"/>
        <v>0.14524770627284059</v>
      </c>
      <c r="I73" s="69">
        <f t="shared" si="41"/>
        <v>0.14524770627284059</v>
      </c>
      <c r="J73" s="69">
        <f t="shared" si="41"/>
        <v>0.14524770627284059</v>
      </c>
      <c r="K73" s="69">
        <f t="shared" si="41"/>
        <v>0.14524770627284059</v>
      </c>
      <c r="L73" s="69">
        <f t="shared" si="41"/>
        <v>0.14524770627284059</v>
      </c>
      <c r="M73" s="69">
        <f t="shared" si="41"/>
        <v>0.14524770627284059</v>
      </c>
      <c r="N73" s="26"/>
      <c r="O73" s="26"/>
      <c r="P73" s="26"/>
      <c r="Q73" s="26"/>
      <c r="R73" s="26"/>
      <c r="S73" s="26"/>
      <c r="T73" s="26"/>
      <c r="U73" s="26"/>
      <c r="V73" s="26"/>
      <c r="W73" s="26"/>
      <c r="X73" s="26"/>
      <c r="Y73" s="26"/>
      <c r="Z73" s="26"/>
    </row>
    <row r="74" spans="1:26" ht="12.75" customHeight="1" x14ac:dyDescent="0.25">
      <c r="A74" s="26"/>
      <c r="B74" s="26"/>
      <c r="C74" s="47" t="s">
        <v>94</v>
      </c>
      <c r="D74" s="55">
        <f t="shared" ref="D74:E74" si="42">D72-D73</f>
        <v>288420.05050973041</v>
      </c>
      <c r="E74" s="55">
        <f t="shared" si="42"/>
        <v>365384.32576459728</v>
      </c>
      <c r="F74" s="70"/>
      <c r="G74" s="70"/>
      <c r="H74" s="70"/>
      <c r="I74" s="70"/>
      <c r="J74" s="70"/>
      <c r="K74" s="70"/>
      <c r="L74" s="70"/>
      <c r="M74" s="70"/>
      <c r="N74" s="26"/>
      <c r="O74" s="26"/>
      <c r="P74" s="26"/>
      <c r="Q74" s="26"/>
      <c r="R74" s="26"/>
      <c r="S74" s="26"/>
      <c r="T74" s="26"/>
      <c r="U74" s="26"/>
      <c r="V74" s="26"/>
      <c r="W74" s="26"/>
      <c r="X74" s="26"/>
      <c r="Y74" s="26"/>
      <c r="Z74" s="26"/>
    </row>
    <row r="75" spans="1:26" ht="12.75" customHeight="1" x14ac:dyDescent="0.25">
      <c r="A75" s="26"/>
      <c r="B75" s="26"/>
      <c r="C75" s="47"/>
      <c r="D75" s="55"/>
      <c r="E75" s="55"/>
      <c r="F75" s="70"/>
      <c r="G75" s="70"/>
      <c r="H75" s="70"/>
      <c r="I75" s="70"/>
      <c r="J75" s="70"/>
      <c r="K75" s="70"/>
      <c r="L75" s="70"/>
      <c r="M75" s="70"/>
      <c r="N75" s="26"/>
      <c r="O75" s="26"/>
      <c r="P75" s="26"/>
      <c r="Q75" s="26"/>
      <c r="R75" s="26"/>
      <c r="S75" s="26"/>
      <c r="T75" s="26"/>
      <c r="U75" s="26"/>
      <c r="V75" s="26"/>
      <c r="W75" s="26"/>
      <c r="X75" s="26"/>
      <c r="Y75" s="26"/>
      <c r="Z75" s="26"/>
    </row>
    <row r="76" spans="1:26" ht="12.75" customHeight="1" x14ac:dyDescent="0.25">
      <c r="A76" s="26"/>
      <c r="B76" s="26"/>
      <c r="C76" s="47" t="s">
        <v>245</v>
      </c>
      <c r="D76" s="78">
        <f>((D10+D17+D22)/D78)</f>
        <v>637.71173469387759</v>
      </c>
      <c r="E76" s="78">
        <f t="shared" ref="E76:M76" si="43">((E10+E17+E22)/E78)</f>
        <v>1613.805424528302</v>
      </c>
      <c r="F76" s="78">
        <f t="shared" si="43"/>
        <v>1928.8614268201245</v>
      </c>
      <c r="G76" s="78">
        <f t="shared" si="43"/>
        <v>1789.5306080606447</v>
      </c>
      <c r="H76" s="78">
        <f t="shared" si="43"/>
        <v>2109.3741877385969</v>
      </c>
      <c r="I76" s="78">
        <f t="shared" si="43"/>
        <v>2179.5917450183751</v>
      </c>
      <c r="J76" s="78">
        <f t="shared" si="43"/>
        <v>2276.9561036294749</v>
      </c>
      <c r="K76" s="78">
        <f t="shared" si="43"/>
        <v>2384.9995628853599</v>
      </c>
      <c r="L76" s="78">
        <f t="shared" si="43"/>
        <v>2497.7268157437848</v>
      </c>
      <c r="M76" s="78">
        <f t="shared" si="43"/>
        <v>2615.3507619139564</v>
      </c>
      <c r="N76" s="26"/>
      <c r="O76" s="26"/>
      <c r="P76" s="26"/>
      <c r="Q76" s="26"/>
      <c r="R76" s="26"/>
      <c r="S76" s="26"/>
      <c r="T76" s="26"/>
      <c r="U76" s="26"/>
      <c r="V76" s="26"/>
      <c r="W76" s="26"/>
      <c r="X76" s="26"/>
      <c r="Y76" s="26"/>
      <c r="Z76" s="26"/>
    </row>
    <row r="77" spans="1:26" ht="25.2" customHeight="1" x14ac:dyDescent="0.25">
      <c r="A77" s="26"/>
      <c r="B77" s="26"/>
      <c r="C77" s="168" t="s">
        <v>173</v>
      </c>
      <c r="D77" s="67">
        <v>2016</v>
      </c>
      <c r="E77" s="67">
        <v>2017</v>
      </c>
      <c r="F77" s="67">
        <v>2018</v>
      </c>
      <c r="G77" s="66">
        <v>2019</v>
      </c>
      <c r="H77" s="66">
        <v>2020</v>
      </c>
      <c r="I77" s="67">
        <v>2021</v>
      </c>
      <c r="J77" s="67">
        <v>2022</v>
      </c>
      <c r="K77" s="68">
        <v>2023</v>
      </c>
      <c r="L77" s="68">
        <v>2024</v>
      </c>
      <c r="M77" s="68">
        <v>2025</v>
      </c>
      <c r="O77" s="26"/>
      <c r="P77" s="26"/>
      <c r="Q77" s="26"/>
      <c r="R77" s="26"/>
      <c r="S77" s="26"/>
      <c r="T77" s="26"/>
      <c r="U77" s="26"/>
      <c r="V77" s="26"/>
      <c r="W77" s="26"/>
      <c r="X77" s="26"/>
      <c r="Y77" s="26"/>
      <c r="Z77" s="26"/>
    </row>
    <row r="78" spans="1:26" ht="12.75" customHeight="1" x14ac:dyDescent="0.25">
      <c r="A78" s="26"/>
      <c r="B78" s="26"/>
      <c r="C78" s="168"/>
      <c r="D78" s="59">
        <v>784</v>
      </c>
      <c r="E78" s="59">
        <v>848</v>
      </c>
      <c r="F78" s="59">
        <v>932</v>
      </c>
      <c r="G78" s="59">
        <v>1307</v>
      </c>
      <c r="H78" s="59">
        <v>1439</v>
      </c>
      <c r="I78" s="59">
        <v>1590</v>
      </c>
      <c r="J78" s="59">
        <v>1754</v>
      </c>
      <c r="K78" s="64">
        <f>(1+K79)*J78</f>
        <v>1929.4</v>
      </c>
      <c r="L78" s="64">
        <f t="shared" ref="L78:M78" si="44">(1+L79)*K78</f>
        <v>2122.34</v>
      </c>
      <c r="M78" s="64">
        <f t="shared" si="44"/>
        <v>2334.5740000000005</v>
      </c>
      <c r="N78" s="59" t="s">
        <v>168</v>
      </c>
      <c r="O78" s="26"/>
      <c r="P78" s="26"/>
      <c r="Q78" s="26"/>
      <c r="R78" s="26"/>
      <c r="S78" s="26"/>
      <c r="T78" s="26"/>
      <c r="U78" s="26"/>
      <c r="V78" s="26"/>
      <c r="W78" s="26"/>
      <c r="X78" s="26"/>
      <c r="Y78" s="26"/>
      <c r="Z78" s="26"/>
    </row>
    <row r="79" spans="1:26" ht="12.75" customHeight="1" x14ac:dyDescent="0.25">
      <c r="A79" s="26"/>
      <c r="B79" s="26"/>
      <c r="C79" s="168"/>
      <c r="F79" s="61">
        <f>(G78-F78)/F78</f>
        <v>0.40236051502145925</v>
      </c>
      <c r="G79" s="61">
        <f>(H78-G78)/G78</f>
        <v>0.10099464422341239</v>
      </c>
      <c r="H79" s="61">
        <f>(I78-H78)/H78</f>
        <v>0.10493398193189715</v>
      </c>
      <c r="I79" s="61">
        <f>(J78-I78)/I78</f>
        <v>0.10314465408805032</v>
      </c>
      <c r="J79" s="61">
        <f>(K78-J78)/J78</f>
        <v>0.10000000000000005</v>
      </c>
      <c r="K79" s="65">
        <v>0.1</v>
      </c>
      <c r="L79" s="65">
        <v>0.1</v>
      </c>
      <c r="M79" s="65">
        <v>0.1</v>
      </c>
      <c r="N79" s="59" t="s">
        <v>172</v>
      </c>
      <c r="O79" s="26"/>
      <c r="P79" s="26"/>
      <c r="Q79" s="26"/>
      <c r="R79" s="26"/>
      <c r="S79" s="26"/>
      <c r="T79" s="26"/>
      <c r="U79" s="26"/>
      <c r="V79" s="26"/>
      <c r="W79" s="26"/>
      <c r="X79" s="26"/>
      <c r="Y79" s="26"/>
      <c r="Z79" s="26"/>
    </row>
    <row r="80" spans="1:26" ht="12.75" customHeight="1" x14ac:dyDescent="0.25">
      <c r="A80" s="26"/>
      <c r="B80" s="26"/>
      <c r="C80" s="168"/>
      <c r="F80" s="59">
        <v>10</v>
      </c>
      <c r="G80" s="59">
        <v>10</v>
      </c>
      <c r="H80" s="59">
        <v>10</v>
      </c>
      <c r="I80" s="59">
        <v>5</v>
      </c>
      <c r="J80" s="59">
        <v>10</v>
      </c>
      <c r="K80" s="63">
        <v>15</v>
      </c>
      <c r="L80" s="63">
        <v>20</v>
      </c>
      <c r="M80" s="63">
        <v>25</v>
      </c>
      <c r="N80" s="59" t="s">
        <v>221</v>
      </c>
      <c r="O80" s="26"/>
      <c r="P80" s="26"/>
      <c r="Q80" s="26"/>
      <c r="R80" s="26"/>
      <c r="S80" s="26"/>
      <c r="T80" s="26"/>
      <c r="U80" s="26"/>
      <c r="V80" s="26"/>
      <c r="W80" s="26"/>
      <c r="X80" s="26"/>
      <c r="Y80" s="26"/>
      <c r="Z80" s="26"/>
    </row>
    <row r="81" spans="1:26" ht="12.75" customHeight="1" x14ac:dyDescent="0.25">
      <c r="A81" s="26"/>
      <c r="B81" s="26"/>
      <c r="C81" s="168"/>
      <c r="F81" s="88">
        <f>F78*2*F80</f>
        <v>18640</v>
      </c>
      <c r="G81" s="88">
        <f t="shared" ref="G81:H81" si="45">G78*2*G80</f>
        <v>26140</v>
      </c>
      <c r="H81" s="88">
        <f t="shared" si="45"/>
        <v>28780</v>
      </c>
      <c r="I81" s="88">
        <f>I78*I80</f>
        <v>7950</v>
      </c>
      <c r="J81" s="88">
        <f t="shared" ref="J81:M81" si="46">J78*J80</f>
        <v>17540</v>
      </c>
      <c r="K81" s="88">
        <f t="shared" si="46"/>
        <v>28941</v>
      </c>
      <c r="L81" s="88">
        <f t="shared" si="46"/>
        <v>42446.8</v>
      </c>
      <c r="M81" s="88">
        <f t="shared" si="46"/>
        <v>58364.350000000013</v>
      </c>
      <c r="N81" s="59" t="s">
        <v>170</v>
      </c>
      <c r="O81" s="26"/>
      <c r="P81" s="26"/>
      <c r="Q81" s="26"/>
      <c r="R81" s="26"/>
      <c r="S81" s="26"/>
      <c r="T81" s="26"/>
      <c r="U81" s="26"/>
      <c r="V81" s="26"/>
      <c r="W81" s="26"/>
      <c r="X81" s="26"/>
      <c r="Y81" s="26"/>
      <c r="Z81" s="26"/>
    </row>
    <row r="82" spans="1:26" ht="12.75" customHeight="1" x14ac:dyDescent="0.25">
      <c r="A82" s="26"/>
      <c r="B82" s="26"/>
      <c r="C82" s="168"/>
      <c r="J82" s="26"/>
      <c r="K82" s="62" t="s">
        <v>171</v>
      </c>
      <c r="L82" s="26"/>
      <c r="M82" s="26"/>
      <c r="N82" s="26"/>
      <c r="O82" s="26"/>
      <c r="P82" s="26"/>
      <c r="Q82" s="26"/>
      <c r="R82" s="26"/>
      <c r="S82" s="26"/>
      <c r="T82" s="26"/>
      <c r="U82" s="26"/>
      <c r="V82" s="26"/>
      <c r="W82" s="26"/>
      <c r="X82" s="26"/>
      <c r="Y82" s="26"/>
      <c r="Z82" s="26"/>
    </row>
    <row r="83" spans="1:26" ht="12.75" customHeight="1" x14ac:dyDescent="0.25">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2.75" customHeight="1" x14ac:dyDescent="0.25">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2.75" customHeight="1" x14ac:dyDescent="0.25">
      <c r="A85" s="26"/>
      <c r="B85" s="26"/>
      <c r="C85" s="165" t="s">
        <v>184</v>
      </c>
      <c r="D85" s="26"/>
      <c r="P85" s="26"/>
      <c r="Q85" s="26"/>
      <c r="R85" s="26"/>
      <c r="S85" s="26"/>
      <c r="T85" s="26"/>
      <c r="U85" s="26"/>
      <c r="V85" s="26"/>
      <c r="W85" s="26"/>
      <c r="X85" s="26"/>
      <c r="Y85" s="26"/>
      <c r="Z85" s="26"/>
    </row>
    <row r="86" spans="1:26" ht="12.75" customHeight="1" x14ac:dyDescent="0.25">
      <c r="A86" s="26"/>
      <c r="B86" s="26"/>
      <c r="C86" s="165"/>
      <c r="D86" s="26"/>
      <c r="F86" s="35"/>
      <c r="G86" s="35"/>
      <c r="H86" s="91"/>
      <c r="I86" s="91"/>
      <c r="J86" s="91"/>
      <c r="K86" s="26"/>
      <c r="L86" s="26"/>
      <c r="M86" s="26"/>
      <c r="N86" s="26"/>
      <c r="O86" s="74"/>
      <c r="P86" s="74"/>
      <c r="Q86" s="26"/>
      <c r="R86" s="26"/>
      <c r="S86" s="26"/>
      <c r="T86" s="26"/>
      <c r="U86" s="26"/>
      <c r="V86" s="26"/>
      <c r="W86" s="26"/>
      <c r="X86" s="26"/>
      <c r="Y86" s="26"/>
      <c r="Z86" s="26"/>
    </row>
    <row r="87" spans="1:26" ht="12.75" customHeight="1" x14ac:dyDescent="0.25">
      <c r="A87" s="26"/>
      <c r="B87" s="26"/>
      <c r="C87" s="165"/>
      <c r="D87" s="26"/>
      <c r="F87" s="91"/>
      <c r="G87" s="104"/>
      <c r="H87" s="104"/>
      <c r="I87" s="91"/>
      <c r="J87" s="26"/>
      <c r="K87" s="26"/>
      <c r="L87" s="26"/>
      <c r="M87" s="26"/>
      <c r="N87" s="26"/>
      <c r="O87" s="26"/>
      <c r="P87" s="26"/>
      <c r="Q87" s="26"/>
      <c r="R87" s="26"/>
      <c r="S87" s="26"/>
      <c r="T87" s="26"/>
      <c r="U87" s="26"/>
      <c r="V87" s="26"/>
      <c r="W87" s="26"/>
      <c r="X87" s="26"/>
      <c r="Y87" s="26"/>
      <c r="Z87" s="26"/>
    </row>
    <row r="88" spans="1:26" ht="12.75" customHeight="1" x14ac:dyDescent="0.25">
      <c r="A88" s="26"/>
      <c r="B88" s="26"/>
      <c r="C88" s="165"/>
      <c r="D88" s="26"/>
      <c r="F88" s="66">
        <v>2018</v>
      </c>
      <c r="G88" s="66">
        <v>2019</v>
      </c>
      <c r="H88" s="66">
        <v>2020</v>
      </c>
      <c r="I88" s="67">
        <v>2021</v>
      </c>
      <c r="J88" s="67">
        <v>2022</v>
      </c>
      <c r="K88" s="79">
        <v>2023</v>
      </c>
      <c r="L88" s="79">
        <v>2024</v>
      </c>
      <c r="M88" s="79">
        <v>2025</v>
      </c>
      <c r="N88" s="26" t="s">
        <v>179</v>
      </c>
      <c r="O88" s="26" t="s">
        <v>222</v>
      </c>
      <c r="Q88" s="26"/>
      <c r="R88" s="26"/>
      <c r="S88" s="26"/>
      <c r="T88" s="26"/>
      <c r="U88" s="26"/>
      <c r="V88" s="26"/>
      <c r="W88" s="26"/>
      <c r="X88" s="26"/>
      <c r="Y88" s="26"/>
      <c r="Z88" s="26"/>
    </row>
    <row r="89" spans="1:26" ht="12.75" customHeight="1" x14ac:dyDescent="0.25">
      <c r="A89" s="26"/>
      <c r="B89" s="26"/>
      <c r="C89" s="165"/>
      <c r="D89" s="109" t="s">
        <v>103</v>
      </c>
      <c r="E89" s="74">
        <v>585547</v>
      </c>
      <c r="F89" s="91">
        <f t="shared" ref="F89:M89" si="47">E89-$O$90</f>
        <v>566028.76666666672</v>
      </c>
      <c r="G89" s="91">
        <f t="shared" si="47"/>
        <v>546510.53333333344</v>
      </c>
      <c r="H89" s="91">
        <f t="shared" si="47"/>
        <v>526992.30000000016</v>
      </c>
      <c r="I89" s="91">
        <f t="shared" si="47"/>
        <v>507474.06666666683</v>
      </c>
      <c r="J89" s="91">
        <f t="shared" si="47"/>
        <v>487955.83333333349</v>
      </c>
      <c r="K89" s="91">
        <f t="shared" si="47"/>
        <v>468437.60000000015</v>
      </c>
      <c r="L89" s="91">
        <f t="shared" si="47"/>
        <v>448919.36666666681</v>
      </c>
      <c r="M89" s="91">
        <f t="shared" si="47"/>
        <v>429401.13333333348</v>
      </c>
      <c r="P89" s="26"/>
      <c r="Q89" s="26"/>
      <c r="R89" s="26"/>
      <c r="S89" s="26"/>
      <c r="T89" s="26"/>
      <c r="U89" s="26"/>
      <c r="V89" s="26"/>
      <c r="W89" s="26"/>
      <c r="X89" s="26"/>
      <c r="Y89" s="26"/>
      <c r="Z89" s="26"/>
    </row>
    <row r="90" spans="1:26" ht="12.75" customHeight="1" x14ac:dyDescent="0.25">
      <c r="A90" s="26"/>
      <c r="B90" s="26"/>
      <c r="C90" s="165"/>
      <c r="D90" s="109" t="s">
        <v>223</v>
      </c>
      <c r="E90" s="74">
        <f t="shared" ref="E90:M90" si="48">$O$90</f>
        <v>19518.233333333334</v>
      </c>
      <c r="F90" s="74">
        <f t="shared" si="48"/>
        <v>19518.233333333334</v>
      </c>
      <c r="G90" s="74">
        <f t="shared" si="48"/>
        <v>19518.233333333334</v>
      </c>
      <c r="H90" s="74">
        <f t="shared" si="48"/>
        <v>19518.233333333334</v>
      </c>
      <c r="I90" s="74">
        <f t="shared" si="48"/>
        <v>19518.233333333334</v>
      </c>
      <c r="J90" s="74">
        <f t="shared" si="48"/>
        <v>19518.233333333334</v>
      </c>
      <c r="K90" s="74">
        <f t="shared" si="48"/>
        <v>19518.233333333334</v>
      </c>
      <c r="L90" s="74">
        <f t="shared" si="48"/>
        <v>19518.233333333334</v>
      </c>
      <c r="M90" s="74">
        <f t="shared" si="48"/>
        <v>19518.233333333334</v>
      </c>
      <c r="N90" s="26">
        <v>30</v>
      </c>
      <c r="O90" s="91">
        <f>E89/N90</f>
        <v>19518.233333333334</v>
      </c>
      <c r="P90" s="26"/>
      <c r="Q90" s="26"/>
      <c r="R90" s="26"/>
      <c r="S90" s="26"/>
      <c r="T90" s="26"/>
      <c r="U90" s="26"/>
      <c r="V90" s="26"/>
      <c r="W90" s="26"/>
      <c r="X90" s="26"/>
      <c r="Y90" s="26"/>
      <c r="Z90" s="26"/>
    </row>
    <row r="91" spans="1:26" ht="12.75" customHeight="1" x14ac:dyDescent="0.25">
      <c r="A91" s="26"/>
      <c r="B91" s="26"/>
      <c r="C91" s="165"/>
      <c r="D91" s="109" t="s">
        <v>104</v>
      </c>
      <c r="E91" s="74">
        <v>222930</v>
      </c>
      <c r="F91" s="91">
        <f t="shared" ref="F91:M91" si="49">E91-$O$92</f>
        <v>200637</v>
      </c>
      <c r="G91" s="91">
        <f t="shared" si="49"/>
        <v>178344</v>
      </c>
      <c r="H91" s="91">
        <f t="shared" si="49"/>
        <v>156051</v>
      </c>
      <c r="I91" s="91">
        <f t="shared" si="49"/>
        <v>133758</v>
      </c>
      <c r="J91" s="91">
        <f t="shared" si="49"/>
        <v>111465</v>
      </c>
      <c r="K91" s="91">
        <f t="shared" si="49"/>
        <v>89172</v>
      </c>
      <c r="L91" s="91">
        <f t="shared" si="49"/>
        <v>66879</v>
      </c>
      <c r="M91" s="91">
        <f t="shared" si="49"/>
        <v>44586</v>
      </c>
      <c r="N91" s="26"/>
      <c r="O91" s="91"/>
      <c r="P91" s="26"/>
      <c r="Q91" s="26"/>
      <c r="R91" s="26"/>
      <c r="S91" s="26"/>
      <c r="T91" s="26"/>
      <c r="U91" s="26"/>
      <c r="V91" s="26"/>
      <c r="W91" s="26"/>
      <c r="X91" s="26"/>
      <c r="Y91" s="26"/>
      <c r="Z91" s="26"/>
    </row>
    <row r="92" spans="1:26" ht="12.75" customHeight="1" x14ac:dyDescent="0.25">
      <c r="A92" s="26"/>
      <c r="B92" s="26"/>
      <c r="C92" s="165"/>
      <c r="D92" s="109" t="s">
        <v>224</v>
      </c>
      <c r="E92" s="74">
        <f t="shared" ref="E92:M92" si="50">$O$92</f>
        <v>22293</v>
      </c>
      <c r="F92" s="74">
        <f t="shared" si="50"/>
        <v>22293</v>
      </c>
      <c r="G92" s="74">
        <f t="shared" si="50"/>
        <v>22293</v>
      </c>
      <c r="H92" s="74">
        <f t="shared" si="50"/>
        <v>22293</v>
      </c>
      <c r="I92" s="74">
        <f t="shared" si="50"/>
        <v>22293</v>
      </c>
      <c r="J92" s="74">
        <f t="shared" si="50"/>
        <v>22293</v>
      </c>
      <c r="K92" s="74">
        <f t="shared" si="50"/>
        <v>22293</v>
      </c>
      <c r="L92" s="74">
        <f t="shared" si="50"/>
        <v>22293</v>
      </c>
      <c r="M92" s="74">
        <f t="shared" si="50"/>
        <v>22293</v>
      </c>
      <c r="N92" s="26">
        <v>10</v>
      </c>
      <c r="O92" s="91">
        <f>E91/N92</f>
        <v>22293</v>
      </c>
      <c r="P92" s="26"/>
      <c r="Q92" s="26"/>
      <c r="R92" s="26"/>
      <c r="S92" s="26"/>
      <c r="T92" s="26"/>
      <c r="U92" s="26"/>
      <c r="V92" s="26"/>
      <c r="W92" s="26"/>
      <c r="X92" s="26"/>
      <c r="Y92" s="26"/>
      <c r="Z92" s="26"/>
    </row>
    <row r="93" spans="1:26" ht="12.75" customHeight="1" x14ac:dyDescent="0.25">
      <c r="A93" s="26"/>
      <c r="B93" s="26"/>
      <c r="C93" s="165"/>
      <c r="D93" s="109" t="s">
        <v>105</v>
      </c>
      <c r="E93" s="74">
        <v>249225</v>
      </c>
      <c r="F93" s="91">
        <f t="shared" ref="F93:L93" si="51">E93-$O$94</f>
        <v>218071.875</v>
      </c>
      <c r="G93" s="91">
        <f t="shared" si="51"/>
        <v>186918.75</v>
      </c>
      <c r="H93" s="91">
        <f t="shared" si="51"/>
        <v>155765.625</v>
      </c>
      <c r="I93" s="91">
        <f t="shared" si="51"/>
        <v>124612.5</v>
      </c>
      <c r="J93" s="91">
        <f t="shared" si="51"/>
        <v>93459.375</v>
      </c>
      <c r="K93" s="91">
        <f t="shared" si="51"/>
        <v>62306.25</v>
      </c>
      <c r="L93" s="91">
        <f t="shared" si="51"/>
        <v>31153.125</v>
      </c>
      <c r="M93" s="91"/>
      <c r="N93" s="26"/>
      <c r="O93" s="91"/>
      <c r="P93" s="26"/>
      <c r="Q93" s="26"/>
      <c r="R93" s="26"/>
      <c r="S93" s="26"/>
      <c r="T93" s="26"/>
      <c r="U93" s="26"/>
      <c r="V93" s="26"/>
      <c r="W93" s="26"/>
      <c r="X93" s="26"/>
      <c r="Y93" s="26"/>
      <c r="Z93" s="26"/>
    </row>
    <row r="94" spans="1:26" ht="12.75" customHeight="1" x14ac:dyDescent="0.25">
      <c r="A94" s="26"/>
      <c r="B94" s="26"/>
      <c r="C94" s="165"/>
      <c r="D94" s="109" t="s">
        <v>225</v>
      </c>
      <c r="E94" s="74">
        <f t="shared" ref="E94:L94" si="52">$O$94</f>
        <v>31153.125</v>
      </c>
      <c r="F94" s="74">
        <f t="shared" si="52"/>
        <v>31153.125</v>
      </c>
      <c r="G94" s="74">
        <f t="shared" si="52"/>
        <v>31153.125</v>
      </c>
      <c r="H94" s="74">
        <f t="shared" si="52"/>
        <v>31153.125</v>
      </c>
      <c r="I94" s="74">
        <f t="shared" si="52"/>
        <v>31153.125</v>
      </c>
      <c r="J94" s="74">
        <f t="shared" si="52"/>
        <v>31153.125</v>
      </c>
      <c r="K94" s="74">
        <f t="shared" si="52"/>
        <v>31153.125</v>
      </c>
      <c r="L94" s="74">
        <f t="shared" si="52"/>
        <v>31153.125</v>
      </c>
      <c r="M94" s="91"/>
      <c r="N94" s="26">
        <v>8</v>
      </c>
      <c r="O94" s="91">
        <f>E93/N94</f>
        <v>31153.125</v>
      </c>
      <c r="P94" s="26"/>
      <c r="Q94" s="26"/>
      <c r="R94" s="26"/>
      <c r="S94" s="26"/>
      <c r="T94" s="26"/>
      <c r="U94" s="26"/>
      <c r="V94" s="26"/>
      <c r="W94" s="26"/>
      <c r="X94" s="26"/>
      <c r="Y94" s="26"/>
      <c r="Z94" s="26"/>
    </row>
    <row r="95" spans="1:26" ht="12.75" customHeight="1" x14ac:dyDescent="0.25">
      <c r="A95" s="26"/>
      <c r="B95" s="26"/>
      <c r="C95" s="165"/>
      <c r="D95" s="109" t="s">
        <v>106</v>
      </c>
      <c r="E95" s="74">
        <v>41066</v>
      </c>
      <c r="F95" s="91">
        <f>E95-$O$96</f>
        <v>32852.800000000003</v>
      </c>
      <c r="G95" s="91">
        <f>F95-$O$96</f>
        <v>24639.600000000002</v>
      </c>
      <c r="H95" s="91">
        <f>G95-$O$96</f>
        <v>16426.400000000001</v>
      </c>
      <c r="I95" s="91">
        <f>H95-$O$96</f>
        <v>8213.2000000000007</v>
      </c>
      <c r="J95" s="91"/>
      <c r="K95" s="91"/>
      <c r="L95" s="91"/>
      <c r="M95" s="91"/>
      <c r="N95" s="26"/>
      <c r="O95" s="91"/>
      <c r="P95" s="26"/>
      <c r="Q95" s="26"/>
      <c r="R95" s="26"/>
      <c r="S95" s="26"/>
      <c r="T95" s="26"/>
      <c r="U95" s="26"/>
      <c r="V95" s="26"/>
      <c r="W95" s="26"/>
      <c r="X95" s="26"/>
      <c r="Y95" s="26"/>
      <c r="Z95" s="26"/>
    </row>
    <row r="96" spans="1:26" ht="12.75" customHeight="1" x14ac:dyDescent="0.25">
      <c r="A96" s="26"/>
      <c r="B96" s="26"/>
      <c r="C96" s="165"/>
      <c r="D96" s="109" t="s">
        <v>226</v>
      </c>
      <c r="E96" s="91">
        <f>$O$96</f>
        <v>8213.2000000000007</v>
      </c>
      <c r="F96" s="91">
        <f>$O$96</f>
        <v>8213.2000000000007</v>
      </c>
      <c r="G96" s="91">
        <f>$O$96</f>
        <v>8213.2000000000007</v>
      </c>
      <c r="H96" s="91">
        <f>$O$96</f>
        <v>8213.2000000000007</v>
      </c>
      <c r="I96" s="91">
        <f>$O$96</f>
        <v>8213.2000000000007</v>
      </c>
      <c r="J96" s="26"/>
      <c r="K96" s="26"/>
      <c r="L96" s="26"/>
      <c r="M96" s="26"/>
      <c r="N96" s="26">
        <v>5</v>
      </c>
      <c r="O96" s="91">
        <f>E95/N96</f>
        <v>8213.2000000000007</v>
      </c>
      <c r="P96" s="26"/>
      <c r="Q96" s="26"/>
      <c r="R96" s="26"/>
      <c r="S96" s="26"/>
      <c r="T96" s="26"/>
      <c r="U96" s="26"/>
      <c r="V96" s="26"/>
      <c r="W96" s="26"/>
      <c r="X96" s="26"/>
      <c r="Y96" s="26"/>
      <c r="Z96" s="26"/>
    </row>
    <row r="97" spans="1:26" ht="13.2" x14ac:dyDescent="0.25">
      <c r="A97" s="26"/>
      <c r="B97" s="26"/>
      <c r="C97" s="165"/>
      <c r="D97" s="26"/>
      <c r="E97" s="26"/>
      <c r="F97" s="26"/>
      <c r="G97" s="26"/>
      <c r="H97" s="26"/>
      <c r="I97" s="26"/>
      <c r="J97" s="26"/>
      <c r="K97" s="26"/>
      <c r="L97" s="26"/>
      <c r="M97" s="26"/>
      <c r="N97" s="26"/>
      <c r="O97" s="26"/>
      <c r="P97" s="26"/>
      <c r="Q97" s="26"/>
      <c r="R97" s="26"/>
      <c r="S97" s="26"/>
      <c r="T97" s="26"/>
      <c r="U97" s="26"/>
      <c r="V97" s="26"/>
      <c r="W97" s="26"/>
      <c r="X97" s="26"/>
      <c r="Y97" s="26"/>
      <c r="Z97" s="26"/>
    </row>
    <row r="98" spans="1:26" ht="13.2" x14ac:dyDescent="0.25">
      <c r="A98" s="26"/>
      <c r="B98" s="26"/>
      <c r="C98" s="165"/>
      <c r="D98" s="26"/>
      <c r="E98" s="26"/>
      <c r="F98" s="26"/>
      <c r="G98" s="26"/>
      <c r="H98" s="26"/>
      <c r="I98" s="26"/>
      <c r="J98" s="26"/>
      <c r="K98" s="26"/>
      <c r="L98" s="26"/>
      <c r="M98" s="26"/>
      <c r="N98" s="26"/>
      <c r="O98" s="26"/>
      <c r="P98" s="26"/>
      <c r="Q98" s="26"/>
      <c r="R98" s="26"/>
      <c r="S98" s="26"/>
      <c r="T98" s="26"/>
      <c r="U98" s="26"/>
      <c r="V98" s="26"/>
      <c r="W98" s="26"/>
      <c r="X98" s="26"/>
      <c r="Y98" s="26"/>
      <c r="Z98" s="26"/>
    </row>
    <row r="99" spans="1:26" ht="13.2" x14ac:dyDescent="0.25">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3.2" x14ac:dyDescent="0.2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3.2" x14ac:dyDescent="0.2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3.2" x14ac:dyDescent="0.2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3.2" x14ac:dyDescent="0.25">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25">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2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25">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25">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25">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25">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25">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2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25">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2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25">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2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25">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25">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25">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25">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25">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25">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25">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25">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25">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2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25">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25">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25">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25">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25">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25">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25">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25">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25">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2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25">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25">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25">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25">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25">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25">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25">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25">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25">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2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25">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25">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25">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25">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25">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25">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25">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25">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2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2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25">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25">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25">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25">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25">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25">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25">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25">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25">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2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25">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25">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25">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25">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25">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25">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25">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25">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25">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2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25">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25">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25">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25">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25">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25">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25">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25">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25">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2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25">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25">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25">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25">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25">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25">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25">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25">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25">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2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25">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25">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25">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25">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25">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25">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25">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25">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25">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2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25">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25">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25">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25">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25">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25">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25">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25">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25">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2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25">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25">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25">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25">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25">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25">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25">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25">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25">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2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25">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25">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25">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25">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25">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25">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25">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25">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25">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2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25">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25">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25">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25">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25">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25">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25">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25">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25">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2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25">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25">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25">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25">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25">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25">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25">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25">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25">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x14ac:dyDescent="0.25">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x14ac:dyDescent="0.25">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x14ac:dyDescent="0.25">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x14ac:dyDescent="0.25">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x14ac:dyDescent="0.25">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x14ac:dyDescent="0.25">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x14ac:dyDescent="0.25">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x14ac:dyDescent="0.25">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x14ac:dyDescent="0.25">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x14ac:dyDescent="0.25">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x14ac:dyDescent="0.25">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x14ac:dyDescent="0.25">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x14ac:dyDescent="0.25">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x14ac:dyDescent="0.25">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x14ac:dyDescent="0.25">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x14ac:dyDescent="0.25">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x14ac:dyDescent="0.25">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x14ac:dyDescent="0.25">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x14ac:dyDescent="0.25">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x14ac:dyDescent="0.25">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x14ac:dyDescent="0.2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x14ac:dyDescent="0.25">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x14ac:dyDescent="0.25">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x14ac:dyDescent="0.25">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x14ac:dyDescent="0.25">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x14ac:dyDescent="0.25">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x14ac:dyDescent="0.25">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x14ac:dyDescent="0.25">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x14ac:dyDescent="0.25">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x14ac:dyDescent="0.25">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x14ac:dyDescent="0.25">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x14ac:dyDescent="0.25">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x14ac:dyDescent="0.25">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x14ac:dyDescent="0.25">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x14ac:dyDescent="0.25">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x14ac:dyDescent="0.25">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x14ac:dyDescent="0.25">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x14ac:dyDescent="0.25">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x14ac:dyDescent="0.25">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x14ac:dyDescent="0.25">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x14ac:dyDescent="0.25">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x14ac:dyDescent="0.25">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x14ac:dyDescent="0.25">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x14ac:dyDescent="0.25">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x14ac:dyDescent="0.25">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x14ac:dyDescent="0.25">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x14ac:dyDescent="0.25">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x14ac:dyDescent="0.25">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x14ac:dyDescent="0.25">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x14ac:dyDescent="0.25">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x14ac:dyDescent="0.25">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x14ac:dyDescent="0.25">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x14ac:dyDescent="0.25">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x14ac:dyDescent="0.25">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x14ac:dyDescent="0.25">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x14ac:dyDescent="0.25">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x14ac:dyDescent="0.25">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x14ac:dyDescent="0.25">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x14ac:dyDescent="0.25">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x14ac:dyDescent="0.25">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x14ac:dyDescent="0.25">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x14ac:dyDescent="0.25">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x14ac:dyDescent="0.25">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x14ac:dyDescent="0.25">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x14ac:dyDescent="0.25">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x14ac:dyDescent="0.25">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x14ac:dyDescent="0.25">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x14ac:dyDescent="0.25">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x14ac:dyDescent="0.25">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x14ac:dyDescent="0.25">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x14ac:dyDescent="0.25">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x14ac:dyDescent="0.25">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x14ac:dyDescent="0.25">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x14ac:dyDescent="0.25">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x14ac:dyDescent="0.25">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x14ac:dyDescent="0.25">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x14ac:dyDescent="0.25">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x14ac:dyDescent="0.25">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x14ac:dyDescent="0.25">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x14ac:dyDescent="0.25">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x14ac:dyDescent="0.25">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x14ac:dyDescent="0.25">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x14ac:dyDescent="0.25">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x14ac:dyDescent="0.25">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x14ac:dyDescent="0.25">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x14ac:dyDescent="0.25">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x14ac:dyDescent="0.25">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x14ac:dyDescent="0.25">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x14ac:dyDescent="0.25">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x14ac:dyDescent="0.25">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x14ac:dyDescent="0.25">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x14ac:dyDescent="0.25">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x14ac:dyDescent="0.25">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x14ac:dyDescent="0.25">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x14ac:dyDescent="0.25">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x14ac:dyDescent="0.25">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x14ac:dyDescent="0.25">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x14ac:dyDescent="0.25">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x14ac:dyDescent="0.25">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x14ac:dyDescent="0.25">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x14ac:dyDescent="0.25">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x14ac:dyDescent="0.25">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x14ac:dyDescent="0.25">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x14ac:dyDescent="0.25">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x14ac:dyDescent="0.25">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x14ac:dyDescent="0.25">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x14ac:dyDescent="0.25">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x14ac:dyDescent="0.25">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x14ac:dyDescent="0.25">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x14ac:dyDescent="0.25">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x14ac:dyDescent="0.25">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x14ac:dyDescent="0.25">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x14ac:dyDescent="0.25">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x14ac:dyDescent="0.25">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x14ac:dyDescent="0.25">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x14ac:dyDescent="0.25">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x14ac:dyDescent="0.25">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x14ac:dyDescent="0.25">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x14ac:dyDescent="0.25">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x14ac:dyDescent="0.25">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x14ac:dyDescent="0.25">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x14ac:dyDescent="0.25">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x14ac:dyDescent="0.25">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x14ac:dyDescent="0.25">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x14ac:dyDescent="0.25">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x14ac:dyDescent="0.25">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x14ac:dyDescent="0.25">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x14ac:dyDescent="0.25">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x14ac:dyDescent="0.25">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x14ac:dyDescent="0.25">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x14ac:dyDescent="0.25">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x14ac:dyDescent="0.25">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x14ac:dyDescent="0.25">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x14ac:dyDescent="0.25">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x14ac:dyDescent="0.25">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x14ac:dyDescent="0.25">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x14ac:dyDescent="0.25">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x14ac:dyDescent="0.25">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x14ac:dyDescent="0.25">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x14ac:dyDescent="0.25">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x14ac:dyDescent="0.25">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x14ac:dyDescent="0.25">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x14ac:dyDescent="0.25">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x14ac:dyDescent="0.25">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x14ac:dyDescent="0.25">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x14ac:dyDescent="0.25">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x14ac:dyDescent="0.25">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x14ac:dyDescent="0.25">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x14ac:dyDescent="0.25">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x14ac:dyDescent="0.25">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x14ac:dyDescent="0.25">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x14ac:dyDescent="0.25">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x14ac:dyDescent="0.25">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x14ac:dyDescent="0.25">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x14ac:dyDescent="0.25">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x14ac:dyDescent="0.25">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x14ac:dyDescent="0.25">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x14ac:dyDescent="0.25">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x14ac:dyDescent="0.25">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x14ac:dyDescent="0.25">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x14ac:dyDescent="0.25">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x14ac:dyDescent="0.25">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x14ac:dyDescent="0.25">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x14ac:dyDescent="0.25">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x14ac:dyDescent="0.25">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x14ac:dyDescent="0.25">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x14ac:dyDescent="0.25">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x14ac:dyDescent="0.25">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x14ac:dyDescent="0.25">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x14ac:dyDescent="0.25">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x14ac:dyDescent="0.25">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x14ac:dyDescent="0.25">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x14ac:dyDescent="0.25">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x14ac:dyDescent="0.25">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x14ac:dyDescent="0.25">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x14ac:dyDescent="0.25">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x14ac:dyDescent="0.25">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x14ac:dyDescent="0.25">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x14ac:dyDescent="0.25">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x14ac:dyDescent="0.25">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x14ac:dyDescent="0.25">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x14ac:dyDescent="0.25">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x14ac:dyDescent="0.25">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x14ac:dyDescent="0.25">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x14ac:dyDescent="0.25">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x14ac:dyDescent="0.25">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x14ac:dyDescent="0.25">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x14ac:dyDescent="0.25">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x14ac:dyDescent="0.25">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x14ac:dyDescent="0.25">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x14ac:dyDescent="0.25">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x14ac:dyDescent="0.25">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x14ac:dyDescent="0.25">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x14ac:dyDescent="0.25">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x14ac:dyDescent="0.25">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x14ac:dyDescent="0.25">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x14ac:dyDescent="0.25">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x14ac:dyDescent="0.25">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x14ac:dyDescent="0.25">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x14ac:dyDescent="0.25">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x14ac:dyDescent="0.25">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x14ac:dyDescent="0.25">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x14ac:dyDescent="0.25">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x14ac:dyDescent="0.25">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x14ac:dyDescent="0.25">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x14ac:dyDescent="0.25">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x14ac:dyDescent="0.25">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x14ac:dyDescent="0.25">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x14ac:dyDescent="0.25">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x14ac:dyDescent="0.25">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x14ac:dyDescent="0.25">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x14ac:dyDescent="0.25">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x14ac:dyDescent="0.25">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x14ac:dyDescent="0.25">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x14ac:dyDescent="0.25">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x14ac:dyDescent="0.25">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x14ac:dyDescent="0.25">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x14ac:dyDescent="0.25">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x14ac:dyDescent="0.25">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x14ac:dyDescent="0.25">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x14ac:dyDescent="0.25">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x14ac:dyDescent="0.25">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x14ac:dyDescent="0.25">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x14ac:dyDescent="0.25">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x14ac:dyDescent="0.25">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x14ac:dyDescent="0.25">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x14ac:dyDescent="0.25">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x14ac:dyDescent="0.25">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x14ac:dyDescent="0.25">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x14ac:dyDescent="0.25">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x14ac:dyDescent="0.25">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x14ac:dyDescent="0.25">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x14ac:dyDescent="0.25">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x14ac:dyDescent="0.25">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x14ac:dyDescent="0.25">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x14ac:dyDescent="0.25">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x14ac:dyDescent="0.25">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x14ac:dyDescent="0.25">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x14ac:dyDescent="0.25">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x14ac:dyDescent="0.25">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x14ac:dyDescent="0.25">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x14ac:dyDescent="0.25">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x14ac:dyDescent="0.25">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x14ac:dyDescent="0.25">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x14ac:dyDescent="0.25">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x14ac:dyDescent="0.25">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x14ac:dyDescent="0.25">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x14ac:dyDescent="0.25">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x14ac:dyDescent="0.25">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x14ac:dyDescent="0.25">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x14ac:dyDescent="0.25">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x14ac:dyDescent="0.25">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x14ac:dyDescent="0.25">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x14ac:dyDescent="0.25">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x14ac:dyDescent="0.25">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x14ac:dyDescent="0.25">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x14ac:dyDescent="0.25">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x14ac:dyDescent="0.25">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x14ac:dyDescent="0.25">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x14ac:dyDescent="0.25">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x14ac:dyDescent="0.25">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x14ac:dyDescent="0.25">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x14ac:dyDescent="0.25">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x14ac:dyDescent="0.25">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x14ac:dyDescent="0.25">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x14ac:dyDescent="0.25">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x14ac:dyDescent="0.25">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x14ac:dyDescent="0.25">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x14ac:dyDescent="0.25">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x14ac:dyDescent="0.25">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x14ac:dyDescent="0.25">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x14ac:dyDescent="0.25">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x14ac:dyDescent="0.25">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x14ac:dyDescent="0.25">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x14ac:dyDescent="0.25">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x14ac:dyDescent="0.25">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x14ac:dyDescent="0.25">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x14ac:dyDescent="0.25">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x14ac:dyDescent="0.25">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x14ac:dyDescent="0.25">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x14ac:dyDescent="0.25">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x14ac:dyDescent="0.25">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x14ac:dyDescent="0.25">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x14ac:dyDescent="0.25">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x14ac:dyDescent="0.25">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x14ac:dyDescent="0.25">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x14ac:dyDescent="0.25">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x14ac:dyDescent="0.25">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x14ac:dyDescent="0.25">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x14ac:dyDescent="0.25">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x14ac:dyDescent="0.25">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x14ac:dyDescent="0.25">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x14ac:dyDescent="0.25">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x14ac:dyDescent="0.25">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x14ac:dyDescent="0.25">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x14ac:dyDescent="0.25">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x14ac:dyDescent="0.25">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x14ac:dyDescent="0.25">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x14ac:dyDescent="0.25">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x14ac:dyDescent="0.25">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x14ac:dyDescent="0.25">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x14ac:dyDescent="0.25">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x14ac:dyDescent="0.25">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x14ac:dyDescent="0.25">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x14ac:dyDescent="0.25">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x14ac:dyDescent="0.25">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x14ac:dyDescent="0.25">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x14ac:dyDescent="0.25">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x14ac:dyDescent="0.25">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x14ac:dyDescent="0.25">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x14ac:dyDescent="0.25">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x14ac:dyDescent="0.25">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x14ac:dyDescent="0.25">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x14ac:dyDescent="0.25">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x14ac:dyDescent="0.25">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x14ac:dyDescent="0.25">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x14ac:dyDescent="0.25">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x14ac:dyDescent="0.25">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x14ac:dyDescent="0.25">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x14ac:dyDescent="0.25">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x14ac:dyDescent="0.25">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x14ac:dyDescent="0.25">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x14ac:dyDescent="0.25">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x14ac:dyDescent="0.25">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x14ac:dyDescent="0.25">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x14ac:dyDescent="0.25">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x14ac:dyDescent="0.25">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x14ac:dyDescent="0.25">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x14ac:dyDescent="0.25">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x14ac:dyDescent="0.25">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x14ac:dyDescent="0.25">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x14ac:dyDescent="0.25">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x14ac:dyDescent="0.25">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x14ac:dyDescent="0.25">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x14ac:dyDescent="0.25">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x14ac:dyDescent="0.25">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x14ac:dyDescent="0.25">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x14ac:dyDescent="0.25">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x14ac:dyDescent="0.25">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x14ac:dyDescent="0.25">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x14ac:dyDescent="0.25">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x14ac:dyDescent="0.25">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x14ac:dyDescent="0.25">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x14ac:dyDescent="0.25">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x14ac:dyDescent="0.25">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x14ac:dyDescent="0.25">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x14ac:dyDescent="0.25">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x14ac:dyDescent="0.25">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x14ac:dyDescent="0.25">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x14ac:dyDescent="0.25">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x14ac:dyDescent="0.25">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x14ac:dyDescent="0.25">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x14ac:dyDescent="0.25">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x14ac:dyDescent="0.25">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x14ac:dyDescent="0.25">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x14ac:dyDescent="0.25">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x14ac:dyDescent="0.25">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x14ac:dyDescent="0.25">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x14ac:dyDescent="0.25">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x14ac:dyDescent="0.25">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x14ac:dyDescent="0.25">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x14ac:dyDescent="0.25">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x14ac:dyDescent="0.25">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x14ac:dyDescent="0.25">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x14ac:dyDescent="0.25">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x14ac:dyDescent="0.25">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x14ac:dyDescent="0.25">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x14ac:dyDescent="0.25">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x14ac:dyDescent="0.25">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x14ac:dyDescent="0.25">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x14ac:dyDescent="0.25">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x14ac:dyDescent="0.25">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x14ac:dyDescent="0.25">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x14ac:dyDescent="0.25">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x14ac:dyDescent="0.25">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x14ac:dyDescent="0.25">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x14ac:dyDescent="0.25">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x14ac:dyDescent="0.25">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x14ac:dyDescent="0.25">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x14ac:dyDescent="0.25">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x14ac:dyDescent="0.25">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x14ac:dyDescent="0.25">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x14ac:dyDescent="0.25">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x14ac:dyDescent="0.25">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x14ac:dyDescent="0.25">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x14ac:dyDescent="0.25">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x14ac:dyDescent="0.25">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x14ac:dyDescent="0.25">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x14ac:dyDescent="0.25">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x14ac:dyDescent="0.25">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x14ac:dyDescent="0.25">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x14ac:dyDescent="0.25">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x14ac:dyDescent="0.25">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x14ac:dyDescent="0.25">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x14ac:dyDescent="0.25">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x14ac:dyDescent="0.25">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x14ac:dyDescent="0.25">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x14ac:dyDescent="0.25">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x14ac:dyDescent="0.25">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x14ac:dyDescent="0.25">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x14ac:dyDescent="0.25">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x14ac:dyDescent="0.25">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x14ac:dyDescent="0.25">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x14ac:dyDescent="0.25">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x14ac:dyDescent="0.25">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x14ac:dyDescent="0.25">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x14ac:dyDescent="0.25">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x14ac:dyDescent="0.25">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x14ac:dyDescent="0.25">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x14ac:dyDescent="0.25">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x14ac:dyDescent="0.25">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x14ac:dyDescent="0.25">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x14ac:dyDescent="0.25">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x14ac:dyDescent="0.25">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x14ac:dyDescent="0.25">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x14ac:dyDescent="0.25">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x14ac:dyDescent="0.25">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x14ac:dyDescent="0.25">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x14ac:dyDescent="0.25">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x14ac:dyDescent="0.25">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x14ac:dyDescent="0.25">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x14ac:dyDescent="0.25">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x14ac:dyDescent="0.25">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x14ac:dyDescent="0.25">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x14ac:dyDescent="0.25">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x14ac:dyDescent="0.25">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x14ac:dyDescent="0.25">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x14ac:dyDescent="0.25">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x14ac:dyDescent="0.25">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x14ac:dyDescent="0.25">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x14ac:dyDescent="0.25">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x14ac:dyDescent="0.25">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x14ac:dyDescent="0.25">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x14ac:dyDescent="0.25">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x14ac:dyDescent="0.25">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x14ac:dyDescent="0.25">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x14ac:dyDescent="0.25">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x14ac:dyDescent="0.25">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x14ac:dyDescent="0.25">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x14ac:dyDescent="0.25">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x14ac:dyDescent="0.25">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x14ac:dyDescent="0.25">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x14ac:dyDescent="0.25">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x14ac:dyDescent="0.25">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x14ac:dyDescent="0.25">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x14ac:dyDescent="0.25">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x14ac:dyDescent="0.25">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x14ac:dyDescent="0.25">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x14ac:dyDescent="0.25">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x14ac:dyDescent="0.25">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x14ac:dyDescent="0.25">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x14ac:dyDescent="0.25">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x14ac:dyDescent="0.25">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x14ac:dyDescent="0.25">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x14ac:dyDescent="0.25">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x14ac:dyDescent="0.25">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x14ac:dyDescent="0.25">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x14ac:dyDescent="0.25">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x14ac:dyDescent="0.25">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x14ac:dyDescent="0.25">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x14ac:dyDescent="0.25">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x14ac:dyDescent="0.25">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x14ac:dyDescent="0.25">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x14ac:dyDescent="0.25">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x14ac:dyDescent="0.25">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x14ac:dyDescent="0.25">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x14ac:dyDescent="0.25">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x14ac:dyDescent="0.25">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x14ac:dyDescent="0.25">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x14ac:dyDescent="0.25">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x14ac:dyDescent="0.25">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x14ac:dyDescent="0.25">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x14ac:dyDescent="0.25">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x14ac:dyDescent="0.25">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x14ac:dyDescent="0.25">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x14ac:dyDescent="0.25">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x14ac:dyDescent="0.25">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x14ac:dyDescent="0.25">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x14ac:dyDescent="0.25">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x14ac:dyDescent="0.25">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x14ac:dyDescent="0.25">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x14ac:dyDescent="0.25">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x14ac:dyDescent="0.25">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x14ac:dyDescent="0.25">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x14ac:dyDescent="0.25">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x14ac:dyDescent="0.25">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x14ac:dyDescent="0.25">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x14ac:dyDescent="0.25">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x14ac:dyDescent="0.25">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x14ac:dyDescent="0.25">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x14ac:dyDescent="0.25">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x14ac:dyDescent="0.25">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x14ac:dyDescent="0.25">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x14ac:dyDescent="0.25">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x14ac:dyDescent="0.25">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x14ac:dyDescent="0.25">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x14ac:dyDescent="0.25">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x14ac:dyDescent="0.25">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x14ac:dyDescent="0.25">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x14ac:dyDescent="0.25">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x14ac:dyDescent="0.25">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x14ac:dyDescent="0.25">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x14ac:dyDescent="0.25">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x14ac:dyDescent="0.25">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x14ac:dyDescent="0.25">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x14ac:dyDescent="0.25">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x14ac:dyDescent="0.25">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x14ac:dyDescent="0.25">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x14ac:dyDescent="0.25">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x14ac:dyDescent="0.25">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x14ac:dyDescent="0.25">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x14ac:dyDescent="0.25">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x14ac:dyDescent="0.25">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x14ac:dyDescent="0.25">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x14ac:dyDescent="0.25">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x14ac:dyDescent="0.25">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x14ac:dyDescent="0.25">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x14ac:dyDescent="0.25">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x14ac:dyDescent="0.25">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x14ac:dyDescent="0.25">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x14ac:dyDescent="0.25">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x14ac:dyDescent="0.25">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x14ac:dyDescent="0.25">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x14ac:dyDescent="0.25">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x14ac:dyDescent="0.25">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x14ac:dyDescent="0.25">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x14ac:dyDescent="0.25">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x14ac:dyDescent="0.25">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x14ac:dyDescent="0.25">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x14ac:dyDescent="0.25">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x14ac:dyDescent="0.25">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x14ac:dyDescent="0.25">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x14ac:dyDescent="0.25">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x14ac:dyDescent="0.25">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x14ac:dyDescent="0.25">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x14ac:dyDescent="0.25">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x14ac:dyDescent="0.25">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x14ac:dyDescent="0.25">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x14ac:dyDescent="0.25">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x14ac:dyDescent="0.25">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x14ac:dyDescent="0.25">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x14ac:dyDescent="0.25">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x14ac:dyDescent="0.25">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x14ac:dyDescent="0.25">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x14ac:dyDescent="0.25">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x14ac:dyDescent="0.25">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x14ac:dyDescent="0.25">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x14ac:dyDescent="0.25">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x14ac:dyDescent="0.25">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x14ac:dyDescent="0.25">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x14ac:dyDescent="0.25">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x14ac:dyDescent="0.25">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x14ac:dyDescent="0.25">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x14ac:dyDescent="0.25">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x14ac:dyDescent="0.25">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x14ac:dyDescent="0.25">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x14ac:dyDescent="0.25">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x14ac:dyDescent="0.25">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x14ac:dyDescent="0.25">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x14ac:dyDescent="0.25">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x14ac:dyDescent="0.25">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x14ac:dyDescent="0.25">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x14ac:dyDescent="0.25">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x14ac:dyDescent="0.25">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x14ac:dyDescent="0.25">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x14ac:dyDescent="0.25">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x14ac:dyDescent="0.25">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x14ac:dyDescent="0.25">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x14ac:dyDescent="0.25">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x14ac:dyDescent="0.25">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x14ac:dyDescent="0.25">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x14ac:dyDescent="0.25">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x14ac:dyDescent="0.25">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x14ac:dyDescent="0.25">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x14ac:dyDescent="0.25">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x14ac:dyDescent="0.25">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x14ac:dyDescent="0.25">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x14ac:dyDescent="0.25">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x14ac:dyDescent="0.25">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x14ac:dyDescent="0.25">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x14ac:dyDescent="0.25">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x14ac:dyDescent="0.25">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x14ac:dyDescent="0.25">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x14ac:dyDescent="0.25">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x14ac:dyDescent="0.25">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x14ac:dyDescent="0.25">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x14ac:dyDescent="0.25">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x14ac:dyDescent="0.25">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x14ac:dyDescent="0.25">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x14ac:dyDescent="0.25">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x14ac:dyDescent="0.25">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x14ac:dyDescent="0.25">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x14ac:dyDescent="0.25">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x14ac:dyDescent="0.25">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x14ac:dyDescent="0.25">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x14ac:dyDescent="0.25">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x14ac:dyDescent="0.25">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x14ac:dyDescent="0.25">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x14ac:dyDescent="0.25">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x14ac:dyDescent="0.25">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x14ac:dyDescent="0.25">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x14ac:dyDescent="0.25">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x14ac:dyDescent="0.25">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x14ac:dyDescent="0.25">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x14ac:dyDescent="0.25">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x14ac:dyDescent="0.25">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x14ac:dyDescent="0.25">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x14ac:dyDescent="0.25">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x14ac:dyDescent="0.25">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x14ac:dyDescent="0.25">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x14ac:dyDescent="0.25">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x14ac:dyDescent="0.25">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x14ac:dyDescent="0.25">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x14ac:dyDescent="0.25">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x14ac:dyDescent="0.25">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x14ac:dyDescent="0.25">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x14ac:dyDescent="0.25">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x14ac:dyDescent="0.25">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x14ac:dyDescent="0.25">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x14ac:dyDescent="0.25">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x14ac:dyDescent="0.25">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x14ac:dyDescent="0.25">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x14ac:dyDescent="0.25">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x14ac:dyDescent="0.25">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x14ac:dyDescent="0.25">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x14ac:dyDescent="0.25">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x14ac:dyDescent="0.25">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x14ac:dyDescent="0.25">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x14ac:dyDescent="0.25">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x14ac:dyDescent="0.25">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x14ac:dyDescent="0.25">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x14ac:dyDescent="0.25">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x14ac:dyDescent="0.25">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x14ac:dyDescent="0.25">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x14ac:dyDescent="0.25">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x14ac:dyDescent="0.25">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x14ac:dyDescent="0.25">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x14ac:dyDescent="0.25">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x14ac:dyDescent="0.25">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x14ac:dyDescent="0.25">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x14ac:dyDescent="0.25">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x14ac:dyDescent="0.25">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x14ac:dyDescent="0.25">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x14ac:dyDescent="0.25">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x14ac:dyDescent="0.25">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x14ac:dyDescent="0.25">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x14ac:dyDescent="0.25">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x14ac:dyDescent="0.25">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x14ac:dyDescent="0.25">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x14ac:dyDescent="0.25">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x14ac:dyDescent="0.25">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x14ac:dyDescent="0.25">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x14ac:dyDescent="0.25">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x14ac:dyDescent="0.25">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x14ac:dyDescent="0.25">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x14ac:dyDescent="0.25">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x14ac:dyDescent="0.25">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x14ac:dyDescent="0.25">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x14ac:dyDescent="0.25">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x14ac:dyDescent="0.25">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x14ac:dyDescent="0.25">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x14ac:dyDescent="0.25">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x14ac:dyDescent="0.25">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x14ac:dyDescent="0.25">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x14ac:dyDescent="0.25">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x14ac:dyDescent="0.25">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x14ac:dyDescent="0.25">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x14ac:dyDescent="0.25">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x14ac:dyDescent="0.25">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x14ac:dyDescent="0.25">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x14ac:dyDescent="0.25">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x14ac:dyDescent="0.25">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x14ac:dyDescent="0.25">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x14ac:dyDescent="0.25">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x14ac:dyDescent="0.25">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x14ac:dyDescent="0.25">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x14ac:dyDescent="0.25">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x14ac:dyDescent="0.25">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x14ac:dyDescent="0.25">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x14ac:dyDescent="0.25">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x14ac:dyDescent="0.25">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x14ac:dyDescent="0.25">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x14ac:dyDescent="0.25">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x14ac:dyDescent="0.25">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x14ac:dyDescent="0.25">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x14ac:dyDescent="0.25">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x14ac:dyDescent="0.25">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x14ac:dyDescent="0.25">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x14ac:dyDescent="0.25">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x14ac:dyDescent="0.25">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x14ac:dyDescent="0.25">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x14ac:dyDescent="0.25">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x14ac:dyDescent="0.25">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x14ac:dyDescent="0.25">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x14ac:dyDescent="0.25">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x14ac:dyDescent="0.25">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x14ac:dyDescent="0.25">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x14ac:dyDescent="0.25">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x14ac:dyDescent="0.25">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x14ac:dyDescent="0.25">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x14ac:dyDescent="0.25">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x14ac:dyDescent="0.25">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x14ac:dyDescent="0.25">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x14ac:dyDescent="0.25">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x14ac:dyDescent="0.25">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x14ac:dyDescent="0.25">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x14ac:dyDescent="0.25">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x14ac:dyDescent="0.25">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x14ac:dyDescent="0.25">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x14ac:dyDescent="0.25">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x14ac:dyDescent="0.25">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x14ac:dyDescent="0.25">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x14ac:dyDescent="0.25">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x14ac:dyDescent="0.25">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x14ac:dyDescent="0.25">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x14ac:dyDescent="0.25">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x14ac:dyDescent="0.25">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x14ac:dyDescent="0.25">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x14ac:dyDescent="0.25">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x14ac:dyDescent="0.25">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x14ac:dyDescent="0.25">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x14ac:dyDescent="0.25">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x14ac:dyDescent="0.25">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x14ac:dyDescent="0.25">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x14ac:dyDescent="0.25">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x14ac:dyDescent="0.25">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x14ac:dyDescent="0.25">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x14ac:dyDescent="0.25">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x14ac:dyDescent="0.25">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x14ac:dyDescent="0.25">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x14ac:dyDescent="0.25">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x14ac:dyDescent="0.25">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x14ac:dyDescent="0.25">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x14ac:dyDescent="0.25">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x14ac:dyDescent="0.25">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x14ac:dyDescent="0.25">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x14ac:dyDescent="0.25">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x14ac:dyDescent="0.25">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x14ac:dyDescent="0.25">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x14ac:dyDescent="0.25">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x14ac:dyDescent="0.25">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x14ac:dyDescent="0.25">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x14ac:dyDescent="0.25">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x14ac:dyDescent="0.25">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x14ac:dyDescent="0.25">
      <c r="A999" s="26"/>
      <c r="B999" s="26"/>
      <c r="C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x14ac:dyDescent="0.25">
      <c r="A1000" s="26"/>
      <c r="B1000" s="26"/>
      <c r="C1000" s="26"/>
      <c r="P1000" s="26"/>
      <c r="Q1000" s="26"/>
      <c r="R1000" s="26"/>
      <c r="S1000" s="26"/>
      <c r="T1000" s="26"/>
      <c r="U1000" s="26"/>
      <c r="V1000" s="26"/>
      <c r="W1000" s="26"/>
      <c r="X1000" s="26"/>
      <c r="Y1000" s="26"/>
      <c r="Z1000" s="26"/>
    </row>
    <row r="1001" spans="1:26" ht="12.75" customHeight="1" x14ac:dyDescent="0.25">
      <c r="A1001" s="26"/>
      <c r="B1001" s="26"/>
      <c r="C1001" s="26"/>
      <c r="P1001" s="26"/>
      <c r="Q1001" s="26"/>
      <c r="R1001" s="26"/>
      <c r="S1001" s="26"/>
      <c r="T1001" s="26"/>
      <c r="U1001" s="26"/>
      <c r="V1001" s="26"/>
      <c r="W1001" s="26"/>
      <c r="X1001" s="26"/>
      <c r="Y1001" s="26"/>
      <c r="Z1001" s="26"/>
    </row>
    <row r="1002" spans="1:26" ht="12.75" customHeight="1" x14ac:dyDescent="0.25">
      <c r="A1002" s="26"/>
      <c r="B1002" s="26"/>
      <c r="C1002" s="26"/>
      <c r="P1002" s="26"/>
      <c r="Q1002" s="26"/>
      <c r="R1002" s="26"/>
      <c r="S1002" s="26"/>
      <c r="T1002" s="26"/>
      <c r="U1002" s="26"/>
      <c r="V1002" s="26"/>
      <c r="W1002" s="26"/>
      <c r="X1002" s="26"/>
      <c r="Y1002" s="26"/>
      <c r="Z1002" s="26"/>
    </row>
    <row r="1003" spans="1:26" ht="12.75" customHeight="1" x14ac:dyDescent="0.25">
      <c r="A1003" s="26"/>
      <c r="B1003" s="26"/>
      <c r="C1003" s="26"/>
      <c r="P1003" s="26"/>
      <c r="Q1003" s="26"/>
      <c r="R1003" s="26"/>
      <c r="S1003" s="26"/>
      <c r="T1003" s="26"/>
      <c r="U1003" s="26"/>
      <c r="V1003" s="26"/>
      <c r="W1003" s="26"/>
      <c r="X1003" s="26"/>
      <c r="Y1003" s="26"/>
      <c r="Z1003" s="26"/>
    </row>
    <row r="1004" spans="1:26" ht="12.75" customHeight="1" x14ac:dyDescent="0.25">
      <c r="A1004" s="26"/>
      <c r="B1004" s="26"/>
      <c r="C1004" s="26"/>
      <c r="P1004" s="26"/>
      <c r="Q1004" s="26"/>
      <c r="R1004" s="26"/>
      <c r="S1004" s="26"/>
      <c r="T1004" s="26"/>
      <c r="U1004" s="26"/>
      <c r="V1004" s="26"/>
      <c r="W1004" s="26"/>
      <c r="X1004" s="26"/>
      <c r="Y1004" s="26"/>
      <c r="Z1004" s="26"/>
    </row>
    <row r="1005" spans="1:26" ht="12.75" customHeight="1" x14ac:dyDescent="0.25">
      <c r="A1005" s="26"/>
      <c r="B1005" s="26"/>
      <c r="C1005" s="26"/>
      <c r="P1005" s="26"/>
      <c r="Q1005" s="26"/>
      <c r="R1005" s="26"/>
      <c r="S1005" s="26"/>
      <c r="T1005" s="26"/>
      <c r="U1005" s="26"/>
      <c r="V1005" s="26"/>
      <c r="W1005" s="26"/>
      <c r="X1005" s="26"/>
      <c r="Y1005" s="26"/>
      <c r="Z1005" s="26"/>
    </row>
    <row r="1006" spans="1:26" ht="12.75" customHeight="1" x14ac:dyDescent="0.25">
      <c r="A1006" s="26"/>
      <c r="B1006" s="26"/>
      <c r="C1006" s="26"/>
      <c r="P1006" s="26"/>
      <c r="Q1006" s="26"/>
      <c r="R1006" s="26"/>
      <c r="S1006" s="26"/>
      <c r="T1006" s="26"/>
      <c r="U1006" s="26"/>
      <c r="V1006" s="26"/>
      <c r="W1006" s="26"/>
      <c r="X1006" s="26"/>
      <c r="Y1006" s="26"/>
      <c r="Z1006" s="26"/>
    </row>
  </sheetData>
  <mergeCells count="31">
    <mergeCell ref="B4:B5"/>
    <mergeCell ref="C4:C5"/>
    <mergeCell ref="D4:D5"/>
    <mergeCell ref="E4:E5"/>
    <mergeCell ref="F4:F5"/>
    <mergeCell ref="M4:M5"/>
    <mergeCell ref="C1:M1"/>
    <mergeCell ref="C2:M2"/>
    <mergeCell ref="D3:E3"/>
    <mergeCell ref="F3:M3"/>
    <mergeCell ref="G4:G5"/>
    <mergeCell ref="H4:H5"/>
    <mergeCell ref="I4:I5"/>
    <mergeCell ref="J4:J5"/>
    <mergeCell ref="K4:K5"/>
    <mergeCell ref="L4:L5"/>
    <mergeCell ref="O6:S6"/>
    <mergeCell ref="O7:S13"/>
    <mergeCell ref="C41:C42"/>
    <mergeCell ref="D41:D42"/>
    <mergeCell ref="E41:E42"/>
    <mergeCell ref="F41:F42"/>
    <mergeCell ref="G41:G42"/>
    <mergeCell ref="H41:H42"/>
    <mergeCell ref="I41:I42"/>
    <mergeCell ref="J41:J42"/>
    <mergeCell ref="C85:C98"/>
    <mergeCell ref="K41:K42"/>
    <mergeCell ref="L41:L42"/>
    <mergeCell ref="M41:M42"/>
    <mergeCell ref="C77:C82"/>
  </mergeCells>
  <pageMargins left="0.56999999999999995" right="0.31" top="0.4" bottom="0.52" header="0" footer="0"/>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80572-78E6-4AEB-9712-F83DC42C50BD}">
  <dimension ref="A1:M999"/>
  <sheetViews>
    <sheetView topLeftCell="A15" zoomScale="67" zoomScaleNormal="160" workbookViewId="0">
      <selection activeCell="D43" sqref="D43"/>
    </sheetView>
  </sheetViews>
  <sheetFormatPr defaultColWidth="12.6640625" defaultRowHeight="15" customHeight="1" x14ac:dyDescent="0.25"/>
  <cols>
    <col min="1" max="1" width="2.33203125" style="59" customWidth="1"/>
    <col min="2" max="2" width="72.88671875" style="59" customWidth="1"/>
    <col min="3" max="4" width="10" style="59" customWidth="1"/>
    <col min="5" max="5" width="10.44140625" style="59" bestFit="1" customWidth="1"/>
    <col min="6" max="6" width="11.21875" style="59" bestFit="1" customWidth="1"/>
    <col min="7" max="9" width="12.6640625" style="59" bestFit="1" customWidth="1"/>
    <col min="10" max="12" width="13.77734375" style="59" bestFit="1" customWidth="1"/>
    <col min="13" max="13" width="8.6640625" style="59" customWidth="1"/>
    <col min="14" max="16384" width="12.6640625" style="59"/>
  </cols>
  <sheetData>
    <row r="1" spans="1:13" ht="12.75" customHeight="1" x14ac:dyDescent="0.3">
      <c r="B1" s="38" t="s">
        <v>220</v>
      </c>
      <c r="C1" s="38"/>
      <c r="D1" s="38"/>
      <c r="E1" s="38"/>
      <c r="F1" s="38"/>
      <c r="G1" s="38"/>
      <c r="H1" s="38"/>
      <c r="I1" s="38"/>
      <c r="J1" s="38"/>
      <c r="K1" s="38"/>
      <c r="L1" s="38"/>
      <c r="M1" s="26"/>
    </row>
    <row r="2" spans="1:13" ht="12.75" customHeight="1" x14ac:dyDescent="0.25">
      <c r="B2" s="180" t="s">
        <v>166</v>
      </c>
      <c r="C2" s="180"/>
      <c r="D2" s="180"/>
      <c r="E2" s="180"/>
      <c r="F2" s="180"/>
      <c r="G2" s="180"/>
      <c r="H2" s="180"/>
      <c r="I2" s="180"/>
      <c r="J2" s="180"/>
      <c r="K2" s="180"/>
      <c r="L2" s="180"/>
      <c r="M2" s="26"/>
    </row>
    <row r="3" spans="1:13" ht="12.75" customHeight="1" x14ac:dyDescent="0.25">
      <c r="B3" s="37"/>
      <c r="C3" s="183" t="s">
        <v>95</v>
      </c>
      <c r="D3" s="183"/>
      <c r="E3" s="181" t="s">
        <v>163</v>
      </c>
      <c r="F3" s="181"/>
      <c r="G3" s="181"/>
      <c r="H3" s="181"/>
      <c r="I3" s="181"/>
      <c r="J3" s="181"/>
      <c r="K3" s="181"/>
      <c r="L3" s="181"/>
      <c r="M3" s="26"/>
    </row>
    <row r="4" spans="1:13" ht="31.8" customHeight="1" x14ac:dyDescent="0.25">
      <c r="A4" s="26"/>
      <c r="B4" s="42" t="s">
        <v>54</v>
      </c>
      <c r="C4" s="44">
        <v>2016</v>
      </c>
      <c r="D4" s="43">
        <v>2017</v>
      </c>
      <c r="E4" s="28">
        <v>2018</v>
      </c>
      <c r="F4" s="28">
        <v>2019</v>
      </c>
      <c r="G4" s="28">
        <v>2020</v>
      </c>
      <c r="H4" s="28">
        <v>2021</v>
      </c>
      <c r="I4" s="28">
        <v>2022</v>
      </c>
      <c r="J4" s="28">
        <v>2023</v>
      </c>
      <c r="K4" s="28">
        <v>2024</v>
      </c>
      <c r="L4" s="28">
        <v>2025</v>
      </c>
      <c r="M4" s="26"/>
    </row>
    <row r="5" spans="1:13" ht="17.25" customHeight="1" x14ac:dyDescent="0.25">
      <c r="A5" s="26"/>
      <c r="B5" s="26" t="s">
        <v>96</v>
      </c>
      <c r="C5" s="35">
        <v>1321426</v>
      </c>
      <c r="D5" s="35">
        <v>1249622</v>
      </c>
      <c r="E5" s="122">
        <f>E6+E10+E17</f>
        <v>1192365.5908282318</v>
      </c>
      <c r="F5" s="122">
        <f t="shared" ref="F5:L5" si="0">F6+F10+F17</f>
        <v>1128503.8345151159</v>
      </c>
      <c r="G5" s="122">
        <f t="shared" si="0"/>
        <v>1066414.486112712</v>
      </c>
      <c r="H5" s="122">
        <f t="shared" si="0"/>
        <v>1006281.3753475412</v>
      </c>
      <c r="I5" s="122">
        <f t="shared" si="0"/>
        <v>948307.39830672322</v>
      </c>
      <c r="J5" s="122">
        <f t="shared" si="0"/>
        <v>892716.49495332874</v>
      </c>
      <c r="K5" s="122">
        <f t="shared" si="0"/>
        <v>847969.03174469084</v>
      </c>
      <c r="L5" s="122">
        <f t="shared" si="0"/>
        <v>806124.61062644143</v>
      </c>
      <c r="M5" s="127"/>
    </row>
    <row r="6" spans="1:13" ht="17.25" customHeight="1" x14ac:dyDescent="0.25">
      <c r="A6" s="26"/>
      <c r="B6" s="34" t="s">
        <v>97</v>
      </c>
      <c r="C6" s="35">
        <v>1345</v>
      </c>
      <c r="D6" s="35">
        <v>1572</v>
      </c>
      <c r="E6" s="122">
        <f>E9</f>
        <v>1799</v>
      </c>
      <c r="F6" s="122">
        <f t="shared" ref="F6:L6" si="1">F9</f>
        <v>2026</v>
      </c>
      <c r="G6" s="122">
        <f>G9</f>
        <v>2253</v>
      </c>
      <c r="H6" s="122">
        <f t="shared" si="1"/>
        <v>2480</v>
      </c>
      <c r="I6" s="122">
        <f t="shared" si="1"/>
        <v>2707</v>
      </c>
      <c r="J6" s="122">
        <f t="shared" si="1"/>
        <v>2934</v>
      </c>
      <c r="K6" s="122">
        <f t="shared" si="1"/>
        <v>3161</v>
      </c>
      <c r="L6" s="122">
        <f t="shared" si="1"/>
        <v>3388</v>
      </c>
      <c r="M6" s="127"/>
    </row>
    <row r="7" spans="1:13" ht="17.25" hidden="1" customHeight="1" x14ac:dyDescent="0.25">
      <c r="A7" s="26"/>
      <c r="B7" s="45" t="s">
        <v>98</v>
      </c>
      <c r="C7" s="35"/>
      <c r="D7" s="35"/>
      <c r="E7" s="126"/>
      <c r="F7" s="126"/>
      <c r="G7" s="126"/>
      <c r="H7" s="126"/>
      <c r="I7" s="126"/>
      <c r="J7" s="126"/>
      <c r="K7" s="126"/>
      <c r="L7" s="126"/>
      <c r="M7" s="127"/>
    </row>
    <row r="8" spans="1:13" ht="17.25" hidden="1" customHeight="1" x14ac:dyDescent="0.25">
      <c r="A8" s="26"/>
      <c r="B8" s="45" t="s">
        <v>99</v>
      </c>
      <c r="C8" s="35"/>
      <c r="D8" s="35"/>
      <c r="E8" s="126"/>
      <c r="F8" s="126"/>
      <c r="G8" s="126"/>
      <c r="H8" s="126"/>
      <c r="I8" s="126"/>
      <c r="J8" s="126"/>
      <c r="K8" s="126"/>
      <c r="L8" s="126"/>
      <c r="M8" s="127"/>
    </row>
    <row r="9" spans="1:13" ht="17.25" customHeight="1" x14ac:dyDescent="0.25">
      <c r="A9" s="26"/>
      <c r="B9" s="45" t="s">
        <v>100</v>
      </c>
      <c r="C9" s="90">
        <v>1345</v>
      </c>
      <c r="D9" s="90">
        <v>1572</v>
      </c>
      <c r="E9" s="102">
        <f>1799+'Income Statement - PRODUCT'!F86</f>
        <v>1799</v>
      </c>
      <c r="F9" s="102">
        <f>2026+'Income Statement - PRODUCT'!G86</f>
        <v>2026</v>
      </c>
      <c r="G9" s="102">
        <f>2253+'Income Statement - PRODUCT'!H86</f>
        <v>2253</v>
      </c>
      <c r="H9" s="102">
        <f>2480+'Income Statement - PRODUCT'!I86</f>
        <v>2480</v>
      </c>
      <c r="I9" s="102">
        <v>2707</v>
      </c>
      <c r="J9" s="102">
        <v>2934</v>
      </c>
      <c r="K9" s="102">
        <v>3161</v>
      </c>
      <c r="L9" s="102">
        <v>3388</v>
      </c>
      <c r="M9" s="127"/>
    </row>
    <row r="10" spans="1:13" ht="17.25" customHeight="1" x14ac:dyDescent="0.25">
      <c r="A10" s="26"/>
      <c r="B10" s="34" t="s">
        <v>101</v>
      </c>
      <c r="C10" s="35">
        <v>1184828</v>
      </c>
      <c r="D10" s="35">
        <v>1098769</v>
      </c>
      <c r="E10" s="122">
        <f>SUM(E12:E15)</f>
        <v>1025803.6416666667</v>
      </c>
      <c r="F10" s="122">
        <f t="shared" ref="F10:L10" si="2">SUM(F12:F15)</f>
        <v>944626.08333333349</v>
      </c>
      <c r="G10" s="122">
        <f t="shared" si="2"/>
        <v>863448.52500000014</v>
      </c>
      <c r="H10" s="122">
        <f t="shared" si="2"/>
        <v>782270.96666666691</v>
      </c>
      <c r="I10" s="122">
        <f t="shared" si="2"/>
        <v>701093.40833333344</v>
      </c>
      <c r="J10" s="122">
        <f t="shared" si="2"/>
        <v>619915.85000000009</v>
      </c>
      <c r="K10" s="122">
        <f t="shared" si="2"/>
        <v>546951.49166666681</v>
      </c>
      <c r="L10" s="122">
        <f t="shared" si="2"/>
        <v>473987.13333333348</v>
      </c>
      <c r="M10" s="127"/>
    </row>
    <row r="11" spans="1:13" ht="17.25" hidden="1" customHeight="1" x14ac:dyDescent="0.25">
      <c r="A11" s="26"/>
      <c r="B11" s="45" t="s">
        <v>102</v>
      </c>
      <c r="C11" s="35"/>
      <c r="D11" s="35"/>
      <c r="E11" s="126"/>
      <c r="F11" s="126"/>
      <c r="G11" s="126"/>
      <c r="H11" s="126"/>
      <c r="I11" s="126"/>
      <c r="J11" s="126"/>
      <c r="K11" s="126"/>
      <c r="L11" s="126"/>
      <c r="M11" s="127"/>
    </row>
    <row r="12" spans="1:13" ht="17.25" customHeight="1" x14ac:dyDescent="0.25">
      <c r="A12" s="26"/>
      <c r="B12" s="45" t="s">
        <v>103</v>
      </c>
      <c r="C12" s="90">
        <v>728233</v>
      </c>
      <c r="D12" s="90">
        <v>585547</v>
      </c>
      <c r="E12" s="102">
        <f>'Income Statement - PRODUCT'!F89</f>
        <v>566028.76666666672</v>
      </c>
      <c r="F12" s="102">
        <f>'Income Statement - PRODUCT'!G89</f>
        <v>546510.53333333344</v>
      </c>
      <c r="G12" s="102">
        <f>'Income Statement - PRODUCT'!H89</f>
        <v>526992.30000000016</v>
      </c>
      <c r="H12" s="102">
        <f>'Income Statement - PRODUCT'!I89</f>
        <v>507474.06666666683</v>
      </c>
      <c r="I12" s="102">
        <f>'Income Statement - PRODUCT'!J89</f>
        <v>487955.83333333349</v>
      </c>
      <c r="J12" s="102">
        <f>'Income Statement - PRODUCT'!K89</f>
        <v>468437.60000000015</v>
      </c>
      <c r="K12" s="102">
        <f>'Income Statement - PRODUCT'!L89</f>
        <v>448919.36666666681</v>
      </c>
      <c r="L12" s="102">
        <f>'Income Statement - PRODUCT'!M89</f>
        <v>429401.13333333348</v>
      </c>
      <c r="M12" s="127"/>
    </row>
    <row r="13" spans="1:13" ht="17.25" customHeight="1" x14ac:dyDescent="0.25">
      <c r="A13" s="26"/>
      <c r="B13" s="45" t="s">
        <v>104</v>
      </c>
      <c r="C13" s="90">
        <v>323297</v>
      </c>
      <c r="D13" s="90">
        <v>222930</v>
      </c>
      <c r="E13" s="102">
        <f>'Income Statement - PRODUCT'!F91</f>
        <v>200637</v>
      </c>
      <c r="F13" s="102">
        <f>'Income Statement - PRODUCT'!G91</f>
        <v>178344</v>
      </c>
      <c r="G13" s="102">
        <f>'Income Statement - PRODUCT'!H91</f>
        <v>156051</v>
      </c>
      <c r="H13" s="102">
        <f>'Income Statement - PRODUCT'!I91</f>
        <v>133758</v>
      </c>
      <c r="I13" s="102">
        <f>'Income Statement - PRODUCT'!J91</f>
        <v>111465</v>
      </c>
      <c r="J13" s="102">
        <f>'Income Statement - PRODUCT'!K91</f>
        <v>89172</v>
      </c>
      <c r="K13" s="102">
        <f>'Income Statement - PRODUCT'!L91</f>
        <v>66879</v>
      </c>
      <c r="L13" s="102">
        <f>'Income Statement - PRODUCT'!M91</f>
        <v>44586</v>
      </c>
      <c r="M13" s="127"/>
    </row>
    <row r="14" spans="1:13" ht="17.25" customHeight="1" x14ac:dyDescent="0.25">
      <c r="A14" s="26"/>
      <c r="B14" s="45" t="s">
        <v>105</v>
      </c>
      <c r="C14" s="90">
        <v>130161</v>
      </c>
      <c r="D14" s="90">
        <v>249225</v>
      </c>
      <c r="E14" s="102">
        <f>'Income Statement - PRODUCT'!F93</f>
        <v>218071.875</v>
      </c>
      <c r="F14" s="102">
        <f>'Income Statement - PRODUCT'!G93</f>
        <v>186918.75</v>
      </c>
      <c r="G14" s="102">
        <f>'Income Statement - PRODUCT'!H93</f>
        <v>155765.625</v>
      </c>
      <c r="H14" s="102">
        <f>'Income Statement - PRODUCT'!I93</f>
        <v>124612.5</v>
      </c>
      <c r="I14" s="102">
        <f>'Income Statement - PRODUCT'!J93</f>
        <v>93459.375</v>
      </c>
      <c r="J14" s="102">
        <f>'Income Statement - PRODUCT'!K93</f>
        <v>62306.25</v>
      </c>
      <c r="K14" s="102">
        <f>'Income Statement - PRODUCT'!L93</f>
        <v>31153.125</v>
      </c>
      <c r="L14" s="102">
        <f>'Income Statement - PRODUCT'!M93</f>
        <v>0</v>
      </c>
      <c r="M14" s="127"/>
    </row>
    <row r="15" spans="1:13" ht="17.25" customHeight="1" x14ac:dyDescent="0.25">
      <c r="A15" s="26"/>
      <c r="B15" s="45" t="s">
        <v>106</v>
      </c>
      <c r="C15" s="90">
        <v>3136</v>
      </c>
      <c r="D15" s="90">
        <v>41066</v>
      </c>
      <c r="E15" s="102">
        <f>'Income Statement - PRODUCT'!E95</f>
        <v>41066</v>
      </c>
      <c r="F15" s="102">
        <f>'Income Statement - PRODUCT'!F95</f>
        <v>32852.800000000003</v>
      </c>
      <c r="G15" s="102">
        <f>'Income Statement - PRODUCT'!G95</f>
        <v>24639.600000000002</v>
      </c>
      <c r="H15" s="102">
        <f>'Income Statement - PRODUCT'!H95</f>
        <v>16426.400000000001</v>
      </c>
      <c r="I15" s="102">
        <f>'Income Statement - PRODUCT'!I95</f>
        <v>8213.2000000000007</v>
      </c>
      <c r="J15" s="102">
        <f>'Income Statement - PRODUCT'!J95</f>
        <v>0</v>
      </c>
      <c r="K15" s="102">
        <f>'Income Statement - PRODUCT'!K95</f>
        <v>0</v>
      </c>
      <c r="L15" s="102">
        <f>'Income Statement - PRODUCT'!L95</f>
        <v>0</v>
      </c>
      <c r="M15" s="127"/>
    </row>
    <row r="16" spans="1:13" ht="17.25" hidden="1" customHeight="1" x14ac:dyDescent="0.25">
      <c r="A16" s="26"/>
      <c r="B16" s="45" t="s">
        <v>107</v>
      </c>
      <c r="C16" s="35"/>
      <c r="D16" s="35"/>
      <c r="E16" s="126"/>
      <c r="F16" s="126"/>
      <c r="G16" s="126"/>
      <c r="H16" s="126"/>
      <c r="I16" s="126"/>
      <c r="J16" s="126"/>
      <c r="K16" s="126"/>
      <c r="L16" s="126"/>
      <c r="M16" s="127"/>
    </row>
    <row r="17" spans="1:13" ht="17.25" customHeight="1" x14ac:dyDescent="0.25">
      <c r="A17" s="26"/>
      <c r="B17" s="34" t="s">
        <v>108</v>
      </c>
      <c r="C17" s="35">
        <v>135252</v>
      </c>
      <c r="D17" s="35">
        <v>149280</v>
      </c>
      <c r="E17" s="122">
        <f>((D17-C17)/C17+1)*D17</f>
        <v>164762.94916156508</v>
      </c>
      <c r="F17" s="122">
        <f t="shared" ref="F17:L17" si="3">((E17-D17)/D17+1)*E17</f>
        <v>181851.75118178243</v>
      </c>
      <c r="G17" s="122">
        <f t="shared" si="3"/>
        <v>200712.9611127117</v>
      </c>
      <c r="H17" s="122">
        <f t="shared" si="3"/>
        <v>221530.40868087424</v>
      </c>
      <c r="I17" s="122">
        <f t="shared" si="3"/>
        <v>244506.98997338972</v>
      </c>
      <c r="J17" s="122">
        <f t="shared" si="3"/>
        <v>269866.64495332871</v>
      </c>
      <c r="K17" s="122">
        <f t="shared" si="3"/>
        <v>297856.54007802409</v>
      </c>
      <c r="L17" s="122">
        <f t="shared" si="3"/>
        <v>328749.47729310795</v>
      </c>
      <c r="M17" s="127"/>
    </row>
    <row r="18" spans="1:13" ht="17.25" hidden="1" customHeight="1" x14ac:dyDescent="0.25">
      <c r="A18" s="26"/>
      <c r="B18" s="34" t="s">
        <v>109</v>
      </c>
      <c r="C18" s="35"/>
      <c r="D18" s="35"/>
      <c r="E18" s="126"/>
      <c r="F18" s="126"/>
      <c r="G18" s="126"/>
      <c r="H18" s="126"/>
      <c r="I18" s="126"/>
      <c r="J18" s="126"/>
      <c r="K18" s="126"/>
      <c r="L18" s="126"/>
      <c r="M18" s="127"/>
    </row>
    <row r="19" spans="1:13" ht="17.25" customHeight="1" x14ac:dyDescent="0.25">
      <c r="A19" s="26"/>
      <c r="B19" s="26"/>
      <c r="C19" s="35"/>
      <c r="D19" s="35"/>
      <c r="E19" s="126"/>
      <c r="F19" s="126"/>
      <c r="G19" s="126"/>
      <c r="H19" s="126"/>
      <c r="I19" s="126"/>
      <c r="J19" s="126"/>
      <c r="K19" s="126"/>
      <c r="L19" s="126"/>
      <c r="M19" s="127"/>
    </row>
    <row r="20" spans="1:13" ht="17.25" customHeight="1" x14ac:dyDescent="0.25">
      <c r="A20" s="26"/>
      <c r="B20" s="26" t="s">
        <v>110</v>
      </c>
      <c r="C20" s="35">
        <v>416804</v>
      </c>
      <c r="D20" s="35">
        <v>520089</v>
      </c>
      <c r="E20" s="122">
        <f>E21+E27+E31</f>
        <v>-3103075.7163995598</v>
      </c>
      <c r="F20" s="122">
        <f t="shared" ref="F20:L20" si="4">F21+F27+F31</f>
        <v>-6598729.2622633697</v>
      </c>
      <c r="G20" s="122">
        <f t="shared" si="4"/>
        <v>-3479407.9963650363</v>
      </c>
      <c r="H20" s="122">
        <f t="shared" si="4"/>
        <v>157662.18152542983</v>
      </c>
      <c r="I20" s="122">
        <f>I21+I27+I31</f>
        <v>4466853.339693849</v>
      </c>
      <c r="J20" s="122">
        <f t="shared" si="4"/>
        <v>9540173.6112705246</v>
      </c>
      <c r="K20" s="122">
        <f t="shared" si="4"/>
        <v>15484464.018865814</v>
      </c>
      <c r="L20" s="122">
        <f t="shared" si="4"/>
        <v>22464659.805669229</v>
      </c>
      <c r="M20" s="127"/>
    </row>
    <row r="21" spans="1:13" ht="17.25" customHeight="1" x14ac:dyDescent="0.25">
      <c r="A21" s="26"/>
      <c r="B21" s="34" t="s">
        <v>111</v>
      </c>
      <c r="C21" s="35">
        <v>162812</v>
      </c>
      <c r="D21" s="35">
        <v>187468</v>
      </c>
      <c r="E21" s="122">
        <f>E22+E26</f>
        <v>150915.49243756779</v>
      </c>
      <c r="F21" s="122">
        <f t="shared" ref="F21:L21" si="5">F22+F26</f>
        <v>196190.14016883814</v>
      </c>
      <c r="G21" s="122">
        <f t="shared" si="5"/>
        <v>255047.18221948959</v>
      </c>
      <c r="H21" s="122">
        <f t="shared" si="5"/>
        <v>293304.25955241296</v>
      </c>
      <c r="I21" s="122">
        <f t="shared" si="5"/>
        <v>337299.89848527493</v>
      </c>
      <c r="J21" s="122">
        <f t="shared" si="5"/>
        <v>387894.88325806608</v>
      </c>
      <c r="K21" s="122">
        <f t="shared" si="5"/>
        <v>446079.11574677599</v>
      </c>
      <c r="L21" s="122">
        <f t="shared" si="5"/>
        <v>512990.98310879228</v>
      </c>
      <c r="M21" s="127"/>
    </row>
    <row r="22" spans="1:13" ht="17.25" customHeight="1" x14ac:dyDescent="0.25">
      <c r="A22" s="26"/>
      <c r="B22" s="45" t="s">
        <v>112</v>
      </c>
      <c r="C22" s="90">
        <v>45580</v>
      </c>
      <c r="D22" s="90">
        <v>29898</v>
      </c>
      <c r="E22" s="102">
        <f>E83*'Income Statement - PRODUCT'!F6</f>
        <v>24068.48845082042</v>
      </c>
      <c r="F22" s="102">
        <f>F83*'Income Statement - PRODUCT'!G6</f>
        <v>31289.034986066545</v>
      </c>
      <c r="G22" s="102">
        <f>G83*'Income Statement - PRODUCT'!H6</f>
        <v>40675.745481886508</v>
      </c>
      <c r="H22" s="102">
        <f>H83*'Income Statement - PRODUCT'!I6</f>
        <v>46777.107304169476</v>
      </c>
      <c r="I22" s="102">
        <f>I83*'Income Statement - PRODUCT'!J6</f>
        <v>53793.67339979489</v>
      </c>
      <c r="J22" s="102">
        <f>J83*'Income Statement - PRODUCT'!K6</f>
        <v>61862.724409764116</v>
      </c>
      <c r="K22" s="102">
        <f>K83*'Income Statement - PRODUCT'!L6</f>
        <v>71142.133071228731</v>
      </c>
      <c r="L22" s="102">
        <f>L83*'Income Statement - PRODUCT'!M6</f>
        <v>81813.453031913028</v>
      </c>
      <c r="M22" s="127"/>
    </row>
    <row r="23" spans="1:13" ht="17.25" hidden="1" customHeight="1" x14ac:dyDescent="0.25">
      <c r="A23" s="26"/>
      <c r="B23" s="45" t="s">
        <v>113</v>
      </c>
      <c r="C23" s="90"/>
      <c r="D23" s="90"/>
      <c r="E23" s="128"/>
      <c r="F23" s="128"/>
      <c r="G23" s="128"/>
      <c r="H23" s="128"/>
      <c r="I23" s="128"/>
      <c r="J23" s="128"/>
      <c r="K23" s="128"/>
      <c r="L23" s="128"/>
      <c r="M23" s="127"/>
    </row>
    <row r="24" spans="1:13" ht="17.25" hidden="1" customHeight="1" x14ac:dyDescent="0.25">
      <c r="A24" s="26"/>
      <c r="B24" s="45" t="s">
        <v>114</v>
      </c>
      <c r="C24" s="90"/>
      <c r="D24" s="90"/>
      <c r="E24" s="128"/>
      <c r="F24" s="128"/>
      <c r="G24" s="128"/>
      <c r="H24" s="128"/>
      <c r="I24" s="128"/>
      <c r="J24" s="128"/>
      <c r="K24" s="128"/>
      <c r="L24" s="128"/>
      <c r="M24" s="127"/>
    </row>
    <row r="25" spans="1:13" ht="17.25" hidden="1" customHeight="1" x14ac:dyDescent="0.25">
      <c r="A25" s="26"/>
      <c r="B25" s="45" t="s">
        <v>115</v>
      </c>
      <c r="C25" s="90"/>
      <c r="D25" s="90"/>
      <c r="E25" s="128"/>
      <c r="F25" s="128"/>
      <c r="G25" s="128"/>
      <c r="H25" s="128"/>
      <c r="I25" s="128"/>
      <c r="J25" s="128"/>
      <c r="K25" s="128"/>
      <c r="L25" s="128"/>
      <c r="M25" s="127"/>
    </row>
    <row r="26" spans="1:13" ht="17.25" customHeight="1" x14ac:dyDescent="0.25">
      <c r="A26" s="26"/>
      <c r="B26" s="45" t="s">
        <v>116</v>
      </c>
      <c r="C26" s="90">
        <v>117232</v>
      </c>
      <c r="D26" s="90">
        <v>157570</v>
      </c>
      <c r="E26" s="102">
        <f>E87*'Income Statement - PRODUCT'!F6</f>
        <v>126847.00398674738</v>
      </c>
      <c r="F26" s="102">
        <f>F87*'Income Statement - PRODUCT'!G6</f>
        <v>164901.1051827716</v>
      </c>
      <c r="G26" s="102">
        <f>G87*'Income Statement - PRODUCT'!H6</f>
        <v>214371.43673760307</v>
      </c>
      <c r="H26" s="102">
        <f>H87*'Income Statement - PRODUCT'!I6</f>
        <v>246527.15224824348</v>
      </c>
      <c r="I26" s="102">
        <f>I87*'Income Statement - PRODUCT'!J6</f>
        <v>283506.22508548002</v>
      </c>
      <c r="J26" s="102">
        <f>J87*'Income Statement - PRODUCT'!K6</f>
        <v>326032.15884830197</v>
      </c>
      <c r="K26" s="102">
        <f>K87*'Income Statement - PRODUCT'!L6</f>
        <v>374936.98267554725</v>
      </c>
      <c r="L26" s="102">
        <f>L87*'Income Statement - PRODUCT'!M6</f>
        <v>431177.53007687925</v>
      </c>
      <c r="M26" s="127"/>
    </row>
    <row r="27" spans="1:13" ht="17.25" customHeight="1" x14ac:dyDescent="0.25">
      <c r="A27" s="26"/>
      <c r="B27" s="34" t="s">
        <v>117</v>
      </c>
      <c r="C27" s="35">
        <v>68365</v>
      </c>
      <c r="D27" s="35">
        <v>152062</v>
      </c>
      <c r="E27" s="122">
        <f>SUM(E28:E29)</f>
        <v>197680.6</v>
      </c>
      <c r="F27" s="122">
        <f t="shared" ref="F27:K27" si="6">SUM(F28:F29)</f>
        <v>256984.78</v>
      </c>
      <c r="G27" s="122">
        <f t="shared" si="6"/>
        <v>334080.21399999998</v>
      </c>
      <c r="H27" s="122">
        <f t="shared" si="6"/>
        <v>384192.24609999993</v>
      </c>
      <c r="I27" s="122">
        <f t="shared" si="6"/>
        <v>441821.08301499987</v>
      </c>
      <c r="J27" s="122">
        <f>SUM(J28:J29)</f>
        <v>508094.24546724977</v>
      </c>
      <c r="K27" s="122">
        <f t="shared" si="6"/>
        <v>584308.38228733721</v>
      </c>
      <c r="L27" s="122">
        <f>SUM(L28:L29)</f>
        <v>671954.63963043771</v>
      </c>
      <c r="M27" s="127"/>
    </row>
    <row r="28" spans="1:13" ht="17.25" customHeight="1" x14ac:dyDescent="0.25">
      <c r="A28" s="26"/>
      <c r="B28" s="45" t="s">
        <v>118</v>
      </c>
      <c r="C28" s="90">
        <v>59868</v>
      </c>
      <c r="D28" s="90">
        <v>131712</v>
      </c>
      <c r="E28" s="102">
        <f>E89*'Income Statement - PRODUCT'!F6</f>
        <v>171225.60000000001</v>
      </c>
      <c r="F28" s="102">
        <f>F89*'Income Statement - PRODUCT'!G6</f>
        <v>222593.28</v>
      </c>
      <c r="G28" s="102">
        <f>G89*'Income Statement - PRODUCT'!H6</f>
        <v>289371.26399999997</v>
      </c>
      <c r="H28" s="102">
        <f>H89*'Income Statement - PRODUCT'!I6</f>
        <v>332776.95359999995</v>
      </c>
      <c r="I28" s="102">
        <f>I89*'Income Statement - PRODUCT'!J6</f>
        <v>382693.49663999991</v>
      </c>
      <c r="J28" s="102">
        <f>J89*'Income Statement - PRODUCT'!K6</f>
        <v>440097.52113599982</v>
      </c>
      <c r="K28" s="102">
        <f>K89*'Income Statement - PRODUCT'!L6</f>
        <v>506112.14930639975</v>
      </c>
      <c r="L28" s="102">
        <f>L89*'Income Statement - PRODUCT'!M6</f>
        <v>582028.97170235962</v>
      </c>
      <c r="M28" s="127"/>
    </row>
    <row r="29" spans="1:13" ht="17.25" customHeight="1" x14ac:dyDescent="0.25">
      <c r="A29" s="26"/>
      <c r="B29" s="45" t="s">
        <v>119</v>
      </c>
      <c r="C29" s="90">
        <v>8496</v>
      </c>
      <c r="D29" s="90">
        <v>20350</v>
      </c>
      <c r="E29" s="102">
        <f>E90*'Income Statement - PRODUCT'!F6</f>
        <v>26455</v>
      </c>
      <c r="F29" s="102">
        <f>F90*'Income Statement - PRODUCT'!G6</f>
        <v>34391.5</v>
      </c>
      <c r="G29" s="102">
        <f>G90*'Income Statement - PRODUCT'!H6</f>
        <v>44708.95</v>
      </c>
      <c r="H29" s="102">
        <f>H90*'Income Statement - PRODUCT'!I6</f>
        <v>51415.292499999989</v>
      </c>
      <c r="I29" s="102">
        <f>I90*'Income Statement - PRODUCT'!J6</f>
        <v>59127.586374999984</v>
      </c>
      <c r="J29" s="102">
        <f>J90*'Income Statement - PRODUCT'!K6</f>
        <v>67996.724331249978</v>
      </c>
      <c r="K29" s="102">
        <f>K90*'Income Statement - PRODUCT'!L6</f>
        <v>78196.232980937464</v>
      </c>
      <c r="L29" s="102">
        <f>L90*'Income Statement - PRODUCT'!M6</f>
        <v>89925.667928078066</v>
      </c>
      <c r="M29" s="127"/>
    </row>
    <row r="30" spans="1:13" ht="17.25" hidden="1" customHeight="1" x14ac:dyDescent="0.25">
      <c r="A30" s="26"/>
      <c r="B30" s="34" t="s">
        <v>120</v>
      </c>
      <c r="C30" s="35"/>
      <c r="D30" s="35"/>
      <c r="E30" s="126"/>
      <c r="F30" s="126"/>
      <c r="G30" s="126"/>
      <c r="H30" s="126"/>
      <c r="I30" s="126"/>
      <c r="J30" s="126"/>
      <c r="K30" s="126"/>
      <c r="L30" s="126"/>
      <c r="M30" s="127"/>
    </row>
    <row r="31" spans="1:13" ht="17.25" customHeight="1" x14ac:dyDescent="0.25">
      <c r="A31" s="26"/>
      <c r="B31" s="34" t="s">
        <v>121</v>
      </c>
      <c r="C31" s="35">
        <v>185627</v>
      </c>
      <c r="D31" s="35">
        <v>180557</v>
      </c>
      <c r="E31" s="122">
        <f>'Cash flows - PRODUCT'!E30</f>
        <v>-3451671.8088371274</v>
      </c>
      <c r="F31" s="122">
        <f>'Cash flows - PRODUCT'!F30</f>
        <v>-7051904.1824322082</v>
      </c>
      <c r="G31" s="122">
        <f>'Cash flows - PRODUCT'!G30</f>
        <v>-4068535.392584526</v>
      </c>
      <c r="H31" s="122">
        <f>'Cash flows - PRODUCT'!H30</f>
        <v>-519834.32412698306</v>
      </c>
      <c r="I31" s="122">
        <f>'Cash flows - PRODUCT'!I30</f>
        <v>3687732.3581935745</v>
      </c>
      <c r="J31" s="122">
        <f>'Cash flows - PRODUCT'!J30</f>
        <v>8644184.4825452082</v>
      </c>
      <c r="K31" s="122">
        <f>'Cash flows - PRODUCT'!K30</f>
        <v>14454076.5208317</v>
      </c>
      <c r="L31" s="122">
        <f>'Cash flows - PRODUCT'!L30</f>
        <v>21279714.18293</v>
      </c>
      <c r="M31" s="127"/>
    </row>
    <row r="32" spans="1:13" ht="17.25" customHeight="1" x14ac:dyDescent="0.25">
      <c r="A32" s="26"/>
      <c r="B32" s="29" t="s">
        <v>122</v>
      </c>
      <c r="C32" s="33">
        <v>1738231</v>
      </c>
      <c r="D32" s="33">
        <v>1769712</v>
      </c>
      <c r="E32" s="120">
        <f>E20+E5</f>
        <v>-1910710.125571328</v>
      </c>
      <c r="F32" s="120">
        <f t="shared" ref="F32:L32" si="7">F20+F5</f>
        <v>-5470225.4277482536</v>
      </c>
      <c r="G32" s="120">
        <f t="shared" si="7"/>
        <v>-2412993.5102523244</v>
      </c>
      <c r="H32" s="120">
        <f t="shared" si="7"/>
        <v>1163943.5568729709</v>
      </c>
      <c r="I32" s="120">
        <f>I20+I5</f>
        <v>5415160.7380005717</v>
      </c>
      <c r="J32" s="120">
        <f t="shared" si="7"/>
        <v>10432890.106223853</v>
      </c>
      <c r="K32" s="120">
        <f t="shared" si="7"/>
        <v>16332433.050610505</v>
      </c>
      <c r="L32" s="120">
        <f t="shared" si="7"/>
        <v>23270784.41629567</v>
      </c>
      <c r="M32" s="127"/>
    </row>
    <row r="33" spans="1:13" ht="17.25" customHeight="1" x14ac:dyDescent="0.25">
      <c r="A33" s="26"/>
      <c r="B33" s="26"/>
      <c r="C33" s="35"/>
      <c r="D33" s="35"/>
      <c r="E33" s="126"/>
      <c r="F33" s="126"/>
      <c r="G33" s="126"/>
      <c r="H33" s="126"/>
      <c r="I33" s="126"/>
      <c r="J33" s="126"/>
      <c r="K33" s="126"/>
      <c r="L33" s="126"/>
      <c r="M33" s="127"/>
    </row>
    <row r="34" spans="1:13" ht="17.25" customHeight="1" x14ac:dyDescent="0.25">
      <c r="A34" s="26"/>
      <c r="B34" s="26" t="s">
        <v>123</v>
      </c>
      <c r="C34" s="35">
        <v>456358</v>
      </c>
      <c r="D34" s="35">
        <v>821743</v>
      </c>
      <c r="E34" s="122">
        <f>E35+E40+E43</f>
        <v>-3010623.6791833029</v>
      </c>
      <c r="F34" s="122">
        <f t="shared" ref="F34:L34" si="8">F35+F40+F43</f>
        <v>-6760880.3803398367</v>
      </c>
      <c r="G34" s="122">
        <f t="shared" si="8"/>
        <v>-3945289.7621895745</v>
      </c>
      <c r="H34" s="122">
        <f t="shared" si="8"/>
        <v>-546200.58073115628</v>
      </c>
      <c r="I34" s="122">
        <f t="shared" si="8"/>
        <v>3501576.0947936634</v>
      </c>
      <c r="J34" s="122">
        <f t="shared" si="8"/>
        <v>8286711.6887217136</v>
      </c>
      <c r="K34" s="122">
        <f t="shared" si="8"/>
        <v>13919391.138345353</v>
      </c>
      <c r="L34" s="122">
        <f t="shared" si="8"/>
        <v>20553017.562248185</v>
      </c>
      <c r="M34" s="127"/>
    </row>
    <row r="35" spans="1:13" ht="17.25" customHeight="1" x14ac:dyDescent="0.25">
      <c r="A35" s="26"/>
      <c r="B35" s="34" t="s">
        <v>124</v>
      </c>
      <c r="C35" s="35">
        <v>2896</v>
      </c>
      <c r="D35" s="35">
        <v>2896</v>
      </c>
      <c r="E35" s="122">
        <f>E36</f>
        <v>2896</v>
      </c>
      <c r="F35" s="122">
        <f t="shared" ref="F35:L35" si="9">F36</f>
        <v>2896</v>
      </c>
      <c r="G35" s="122">
        <f t="shared" si="9"/>
        <v>2896</v>
      </c>
      <c r="H35" s="122">
        <f t="shared" si="9"/>
        <v>2896</v>
      </c>
      <c r="I35" s="122">
        <f t="shared" si="9"/>
        <v>2896</v>
      </c>
      <c r="J35" s="122">
        <f t="shared" si="9"/>
        <v>2896</v>
      </c>
      <c r="K35" s="122">
        <f t="shared" si="9"/>
        <v>2896</v>
      </c>
      <c r="L35" s="122">
        <f t="shared" si="9"/>
        <v>2896</v>
      </c>
      <c r="M35" s="127"/>
    </row>
    <row r="36" spans="1:13" ht="17.25" customHeight="1" x14ac:dyDescent="0.25">
      <c r="A36" s="26"/>
      <c r="B36" s="45" t="s">
        <v>125</v>
      </c>
      <c r="C36" s="90">
        <v>2896</v>
      </c>
      <c r="D36" s="90">
        <v>2896</v>
      </c>
      <c r="E36" s="102">
        <v>2896</v>
      </c>
      <c r="F36" s="102">
        <v>2896</v>
      </c>
      <c r="G36" s="102">
        <v>2896</v>
      </c>
      <c r="H36" s="102">
        <v>2896</v>
      </c>
      <c r="I36" s="102">
        <v>2896</v>
      </c>
      <c r="J36" s="102">
        <v>2896</v>
      </c>
      <c r="K36" s="102">
        <v>2896</v>
      </c>
      <c r="L36" s="102">
        <v>2896</v>
      </c>
      <c r="M36" s="127"/>
    </row>
    <row r="37" spans="1:13" ht="17.25" hidden="1" customHeight="1" x14ac:dyDescent="0.25">
      <c r="A37" s="26"/>
      <c r="B37" s="45" t="s">
        <v>126</v>
      </c>
      <c r="C37" s="35"/>
      <c r="D37" s="35"/>
      <c r="E37" s="122"/>
      <c r="F37" s="122"/>
      <c r="G37" s="122"/>
      <c r="H37" s="122"/>
      <c r="I37" s="122"/>
      <c r="J37" s="122"/>
      <c r="K37" s="122"/>
      <c r="L37" s="122"/>
      <c r="M37" s="127"/>
    </row>
    <row r="38" spans="1:13" ht="17.25" hidden="1" customHeight="1" x14ac:dyDescent="0.25">
      <c r="A38" s="26"/>
      <c r="B38" s="45" t="s">
        <v>116</v>
      </c>
      <c r="C38" s="35"/>
      <c r="D38" s="35"/>
      <c r="E38" s="122"/>
      <c r="F38" s="122"/>
      <c r="G38" s="122"/>
      <c r="H38" s="122"/>
      <c r="I38" s="122"/>
      <c r="J38" s="122"/>
      <c r="K38" s="122"/>
      <c r="L38" s="122"/>
      <c r="M38" s="127"/>
    </row>
    <row r="39" spans="1:13" ht="17.25" hidden="1" customHeight="1" x14ac:dyDescent="0.25">
      <c r="A39" s="26"/>
      <c r="B39" s="34" t="s">
        <v>127</v>
      </c>
      <c r="C39" s="35"/>
      <c r="D39" s="35"/>
      <c r="E39" s="122"/>
      <c r="F39" s="122"/>
      <c r="G39" s="122"/>
      <c r="H39" s="122"/>
      <c r="I39" s="122"/>
      <c r="J39" s="122"/>
      <c r="K39" s="122"/>
      <c r="L39" s="122"/>
      <c r="M39" s="127"/>
    </row>
    <row r="40" spans="1:13" ht="17.25" customHeight="1" x14ac:dyDescent="0.25">
      <c r="A40" s="26"/>
      <c r="B40" s="34" t="s">
        <v>128</v>
      </c>
      <c r="C40" s="35">
        <v>289</v>
      </c>
      <c r="D40" s="35">
        <v>289</v>
      </c>
      <c r="E40" s="122">
        <f>E41</f>
        <v>289</v>
      </c>
      <c r="F40" s="122">
        <f t="shared" ref="F40:L40" si="10">F41</f>
        <v>289</v>
      </c>
      <c r="G40" s="122">
        <f t="shared" si="10"/>
        <v>289</v>
      </c>
      <c r="H40" s="122">
        <f t="shared" si="10"/>
        <v>289</v>
      </c>
      <c r="I40" s="122">
        <f t="shared" si="10"/>
        <v>289</v>
      </c>
      <c r="J40" s="122">
        <f t="shared" si="10"/>
        <v>289</v>
      </c>
      <c r="K40" s="122">
        <f t="shared" si="10"/>
        <v>289</v>
      </c>
      <c r="L40" s="122">
        <f t="shared" si="10"/>
        <v>289</v>
      </c>
      <c r="M40" s="127"/>
    </row>
    <row r="41" spans="1:13" ht="13.2" x14ac:dyDescent="0.25">
      <c r="A41" s="26"/>
      <c r="B41" s="45" t="s">
        <v>129</v>
      </c>
      <c r="C41" s="90">
        <v>289</v>
      </c>
      <c r="D41" s="90">
        <v>289</v>
      </c>
      <c r="E41" s="102">
        <v>289</v>
      </c>
      <c r="F41" s="102">
        <v>289</v>
      </c>
      <c r="G41" s="102">
        <v>289</v>
      </c>
      <c r="H41" s="102">
        <v>289</v>
      </c>
      <c r="I41" s="102">
        <v>289</v>
      </c>
      <c r="J41" s="102">
        <v>289</v>
      </c>
      <c r="K41" s="102">
        <v>289</v>
      </c>
      <c r="L41" s="102">
        <v>289</v>
      </c>
      <c r="M41" s="127"/>
    </row>
    <row r="42" spans="1:13" ht="13.2" hidden="1" x14ac:dyDescent="0.25">
      <c r="A42" s="26"/>
      <c r="B42" s="45" t="s">
        <v>116</v>
      </c>
      <c r="C42" s="35"/>
      <c r="D42" s="35"/>
      <c r="E42" s="126"/>
      <c r="F42" s="126"/>
      <c r="G42" s="126"/>
      <c r="H42" s="126"/>
      <c r="I42" s="126"/>
      <c r="J42" s="126"/>
      <c r="K42" s="126"/>
      <c r="L42" s="126"/>
      <c r="M42" s="127"/>
    </row>
    <row r="43" spans="1:13" ht="13.2" x14ac:dyDescent="0.25">
      <c r="A43" s="26"/>
      <c r="B43" s="34" t="s">
        <v>201</v>
      </c>
      <c r="C43" s="35">
        <v>453173</v>
      </c>
      <c r="D43" s="35">
        <v>818557</v>
      </c>
      <c r="E43" s="122">
        <f>D43+'Income Statement - PRODUCT'!F37</f>
        <v>-3013808.6791833029</v>
      </c>
      <c r="F43" s="122">
        <f>E43+'Income Statement - PRODUCT'!G37</f>
        <v>-6764065.3803398367</v>
      </c>
      <c r="G43" s="122">
        <f>F43+'Income Statement - PRODUCT'!H37</f>
        <v>-3948474.7621895745</v>
      </c>
      <c r="H43" s="122">
        <f>G43+'Income Statement - PRODUCT'!I37</f>
        <v>-549385.58073115628</v>
      </c>
      <c r="I43" s="122">
        <f>H43+'Income Statement - PRODUCT'!J37</f>
        <v>3498391.0947936634</v>
      </c>
      <c r="J43" s="122">
        <f>I43+'Income Statement - PRODUCT'!K37</f>
        <v>8283526.6887217136</v>
      </c>
      <c r="K43" s="122">
        <f>J43+'Income Statement - PRODUCT'!L37</f>
        <v>13916206.138345353</v>
      </c>
      <c r="L43" s="122">
        <f>K43+'Income Statement - PRODUCT'!M37</f>
        <v>20549832.562248185</v>
      </c>
      <c r="M43" s="126"/>
    </row>
    <row r="44" spans="1:13" ht="17.25" customHeight="1" x14ac:dyDescent="0.25">
      <c r="A44" s="26"/>
      <c r="B44" s="45" t="s">
        <v>130</v>
      </c>
      <c r="C44" s="90">
        <v>921053</v>
      </c>
      <c r="D44" s="90">
        <v>1282323</v>
      </c>
      <c r="E44" s="102">
        <f>E43*E104</f>
        <v>-4721328.126100407</v>
      </c>
      <c r="F44" s="102">
        <f t="shared" ref="F44:L44" si="11">F43*F104</f>
        <v>-10596350.175630433</v>
      </c>
      <c r="G44" s="102">
        <f t="shared" si="11"/>
        <v>-6185543.5876490241</v>
      </c>
      <c r="H44" s="102">
        <f t="shared" si="11"/>
        <v>-860648.39228046255</v>
      </c>
      <c r="I44" s="102">
        <f t="shared" si="11"/>
        <v>5480458.1279606614</v>
      </c>
      <c r="J44" s="102">
        <f t="shared" si="11"/>
        <v>12976685.550379137</v>
      </c>
      <c r="K44" s="102">
        <f t="shared" si="11"/>
        <v>21800645.775360089</v>
      </c>
      <c r="L44" s="102">
        <f t="shared" si="11"/>
        <v>32192654.806836642</v>
      </c>
      <c r="M44" s="127"/>
    </row>
    <row r="45" spans="1:13" ht="17.25" customHeight="1" x14ac:dyDescent="0.25">
      <c r="A45" s="26"/>
      <c r="B45" s="45" t="s">
        <v>131</v>
      </c>
      <c r="C45" s="90">
        <v>-467879</v>
      </c>
      <c r="D45" s="90">
        <v>-463765</v>
      </c>
      <c r="E45" s="102">
        <f>E43*E105</f>
        <v>1707515.7650614977</v>
      </c>
      <c r="F45" s="102">
        <f t="shared" ref="F45:L45" si="12">F43*F105</f>
        <v>3832276.5318888044</v>
      </c>
      <c r="G45" s="102">
        <f t="shared" si="12"/>
        <v>2237064.0017577857</v>
      </c>
      <c r="H45" s="102">
        <f t="shared" si="12"/>
        <v>311262.14038580656</v>
      </c>
      <c r="I45" s="102">
        <f t="shared" si="12"/>
        <v>-1982062.7593154577</v>
      </c>
      <c r="J45" s="102">
        <f t="shared" si="12"/>
        <v>-4693148.7419874547</v>
      </c>
      <c r="K45" s="102">
        <f t="shared" si="12"/>
        <v>-7884422.6361142015</v>
      </c>
      <c r="L45" s="102">
        <f t="shared" si="12"/>
        <v>-11642797.139638448</v>
      </c>
      <c r="M45" s="127"/>
    </row>
    <row r="46" spans="1:13" ht="17.25" hidden="1" customHeight="1" x14ac:dyDescent="0.25">
      <c r="A46" s="26"/>
      <c r="B46" s="26"/>
      <c r="C46" s="35"/>
      <c r="D46" s="35"/>
      <c r="E46" s="126"/>
      <c r="F46" s="126"/>
      <c r="G46" s="126"/>
      <c r="H46" s="126"/>
      <c r="I46" s="126"/>
      <c r="J46" s="126"/>
      <c r="K46" s="126"/>
      <c r="L46" s="126"/>
      <c r="M46" s="127"/>
    </row>
    <row r="47" spans="1:13" ht="17.25" hidden="1" customHeight="1" x14ac:dyDescent="0.25">
      <c r="A47" s="26"/>
      <c r="B47" s="26" t="s">
        <v>132</v>
      </c>
      <c r="C47" s="35"/>
      <c r="D47" s="35"/>
      <c r="E47" s="126"/>
      <c r="F47" s="126"/>
      <c r="G47" s="126"/>
      <c r="H47" s="126"/>
      <c r="I47" s="126"/>
      <c r="J47" s="126"/>
      <c r="K47" s="126"/>
      <c r="L47" s="126"/>
      <c r="M47" s="127"/>
    </row>
    <row r="48" spans="1:13" ht="17.25" customHeight="1" x14ac:dyDescent="0.25">
      <c r="A48" s="26"/>
      <c r="B48" s="26"/>
      <c r="C48" s="35"/>
      <c r="D48" s="35"/>
      <c r="E48" s="126"/>
      <c r="F48" s="126"/>
      <c r="G48" s="126"/>
      <c r="H48" s="126"/>
      <c r="I48" s="126"/>
      <c r="J48" s="126"/>
      <c r="K48" s="126"/>
      <c r="L48" s="126"/>
      <c r="M48" s="127"/>
    </row>
    <row r="49" spans="1:13" ht="17.25" customHeight="1" x14ac:dyDescent="0.25">
      <c r="A49" s="26"/>
      <c r="B49" s="26" t="s">
        <v>133</v>
      </c>
      <c r="C49" s="35">
        <v>1281872</v>
      </c>
      <c r="D49" s="35">
        <v>947969</v>
      </c>
      <c r="E49" s="122">
        <f>E50+E54</f>
        <v>1099913.5036119758</v>
      </c>
      <c r="F49" s="122">
        <f t="shared" ref="F49:L49" si="13">F50+F54</f>
        <v>1290654.902591584</v>
      </c>
      <c r="G49" s="122">
        <f t="shared" si="13"/>
        <v>1532296.2019372524</v>
      </c>
      <c r="H49" s="122">
        <f t="shared" si="13"/>
        <v>1710144.0876041304</v>
      </c>
      <c r="I49" s="122">
        <f t="shared" si="13"/>
        <v>1913584.5932069144</v>
      </c>
      <c r="J49" s="122">
        <f t="shared" si="13"/>
        <v>2146178.367502145</v>
      </c>
      <c r="K49" s="122">
        <f t="shared" si="13"/>
        <v>2413041.8622651552</v>
      </c>
      <c r="L49" s="122">
        <f t="shared" si="13"/>
        <v>2717766.8040474895</v>
      </c>
      <c r="M49" s="127"/>
    </row>
    <row r="50" spans="1:13" ht="17.25" customHeight="1" x14ac:dyDescent="0.25">
      <c r="A50" s="26"/>
      <c r="B50" s="34" t="s">
        <v>134</v>
      </c>
      <c r="C50" s="35">
        <v>523639</v>
      </c>
      <c r="D50" s="35">
        <v>105177</v>
      </c>
      <c r="E50" s="122">
        <f>SUM(E51:E53)</f>
        <v>100357.89682523269</v>
      </c>
      <c r="F50" s="122">
        <f t="shared" ref="F50:L50" si="14">SUM(F51:F53)</f>
        <v>94982.841053371623</v>
      </c>
      <c r="G50" s="122">
        <f t="shared" si="14"/>
        <v>89756.963630503233</v>
      </c>
      <c r="H50" s="122">
        <f t="shared" si="14"/>
        <v>84695.73696280022</v>
      </c>
      <c r="I50" s="122">
        <f t="shared" si="14"/>
        <v>79816.238215801437</v>
      </c>
      <c r="J50" s="122">
        <f t="shared" si="14"/>
        <v>75137.315756049633</v>
      </c>
      <c r="K50" s="122">
        <f t="shared" si="14"/>
        <v>71371.053688084357</v>
      </c>
      <c r="L50" s="122">
        <f t="shared" si="14"/>
        <v>67849.13211503737</v>
      </c>
      <c r="M50" s="127"/>
    </row>
    <row r="51" spans="1:13" ht="17.25" customHeight="1" x14ac:dyDescent="0.25">
      <c r="A51" s="26"/>
      <c r="B51" s="45" t="s">
        <v>135</v>
      </c>
      <c r="C51" s="90">
        <v>394759</v>
      </c>
      <c r="D51" s="90">
        <v>0</v>
      </c>
      <c r="E51" s="102">
        <v>0</v>
      </c>
      <c r="F51" s="102">
        <v>0</v>
      </c>
      <c r="G51" s="102">
        <v>0</v>
      </c>
      <c r="H51" s="102">
        <v>0</v>
      </c>
      <c r="I51" s="102">
        <v>0</v>
      </c>
      <c r="J51" s="102">
        <v>0</v>
      </c>
      <c r="K51" s="102">
        <v>0</v>
      </c>
      <c r="L51" s="102">
        <v>0</v>
      </c>
      <c r="M51" s="127"/>
    </row>
    <row r="52" spans="1:13" ht="17.25" customHeight="1" x14ac:dyDescent="0.25">
      <c r="A52" s="26"/>
      <c r="B52" s="45" t="s">
        <v>136</v>
      </c>
      <c r="C52" s="90">
        <v>75011</v>
      </c>
      <c r="D52" s="90">
        <v>105177</v>
      </c>
      <c r="E52" s="102">
        <f>E112*E5</f>
        <v>100357.89682523269</v>
      </c>
      <c r="F52" s="102">
        <f t="shared" ref="F52:L52" si="15">F112*F5</f>
        <v>94982.841053371623</v>
      </c>
      <c r="G52" s="102">
        <f t="shared" si="15"/>
        <v>89756.963630503233</v>
      </c>
      <c r="H52" s="102">
        <f>H112*H5</f>
        <v>84695.73696280022</v>
      </c>
      <c r="I52" s="102">
        <f t="shared" si="15"/>
        <v>79816.238215801437</v>
      </c>
      <c r="J52" s="102">
        <f t="shared" si="15"/>
        <v>75137.315756049633</v>
      </c>
      <c r="K52" s="102">
        <f t="shared" si="15"/>
        <v>71371.053688084357</v>
      </c>
      <c r="L52" s="102">
        <f t="shared" si="15"/>
        <v>67849.13211503737</v>
      </c>
      <c r="M52" s="127"/>
    </row>
    <row r="53" spans="1:13" ht="17.25" customHeight="1" x14ac:dyDescent="0.25">
      <c r="A53" s="26"/>
      <c r="B53" s="45" t="s">
        <v>116</v>
      </c>
      <c r="C53" s="90">
        <v>53869</v>
      </c>
      <c r="D53" s="90">
        <v>0</v>
      </c>
      <c r="E53" s="102">
        <v>0</v>
      </c>
      <c r="F53" s="102">
        <v>0</v>
      </c>
      <c r="G53" s="102">
        <v>0</v>
      </c>
      <c r="H53" s="102">
        <v>0</v>
      </c>
      <c r="I53" s="102">
        <v>0</v>
      </c>
      <c r="J53" s="102">
        <v>0</v>
      </c>
      <c r="K53" s="102">
        <v>0</v>
      </c>
      <c r="L53" s="102">
        <v>0</v>
      </c>
      <c r="M53" s="127"/>
    </row>
    <row r="54" spans="1:13" ht="17.25" customHeight="1" x14ac:dyDescent="0.25">
      <c r="A54" s="26"/>
      <c r="B54" s="34" t="s">
        <v>137</v>
      </c>
      <c r="C54" s="35">
        <v>758233</v>
      </c>
      <c r="D54" s="35">
        <v>842791</v>
      </c>
      <c r="E54" s="122">
        <f>SUM(E55:E58)</f>
        <v>999555.60678674316</v>
      </c>
      <c r="F54" s="122">
        <f t="shared" ref="F54:L54" si="16">SUM(F55:F58)</f>
        <v>1195672.0615382125</v>
      </c>
      <c r="G54" s="122">
        <f t="shared" si="16"/>
        <v>1442539.2383067491</v>
      </c>
      <c r="H54" s="122">
        <f t="shared" si="16"/>
        <v>1625448.3506413302</v>
      </c>
      <c r="I54" s="122">
        <f t="shared" si="16"/>
        <v>1833768.3549911128</v>
      </c>
      <c r="J54" s="122">
        <f t="shared" si="16"/>
        <v>2071041.0517460955</v>
      </c>
      <c r="K54" s="122">
        <f t="shared" si="16"/>
        <v>2341670.8085770709</v>
      </c>
      <c r="L54" s="122">
        <f t="shared" si="16"/>
        <v>2649917.6719324524</v>
      </c>
      <c r="M54" s="127"/>
    </row>
    <row r="55" spans="1:13" ht="17.25" customHeight="1" x14ac:dyDescent="0.25">
      <c r="A55" s="26"/>
      <c r="B55" s="45" t="s">
        <v>138</v>
      </c>
      <c r="C55" s="90">
        <v>42556</v>
      </c>
      <c r="D55" s="90">
        <v>54738</v>
      </c>
      <c r="E55" s="102">
        <f>E52*$M$55</f>
        <v>52229.960508662414</v>
      </c>
      <c r="F55" s="102">
        <f t="shared" ref="F55:L55" si="17">F52*$M$55</f>
        <v>49432.582727967667</v>
      </c>
      <c r="G55" s="102">
        <f t="shared" si="17"/>
        <v>46712.842876355913</v>
      </c>
      <c r="H55" s="102">
        <f t="shared" si="17"/>
        <v>44078.793366132879</v>
      </c>
      <c r="I55" s="102">
        <f t="shared" si="17"/>
        <v>41539.321785718726</v>
      </c>
      <c r="J55" s="102">
        <f>J52*$M$55</f>
        <v>39104.237522030904</v>
      </c>
      <c r="K55" s="102">
        <f t="shared" si="17"/>
        <v>37144.135474280134</v>
      </c>
      <c r="L55" s="102">
        <f t="shared" si="17"/>
        <v>35311.1972552261</v>
      </c>
      <c r="M55" s="129">
        <f>D55/D52</f>
        <v>0.52043697766621977</v>
      </c>
    </row>
    <row r="56" spans="1:13" ht="17.25" customHeight="1" x14ac:dyDescent="0.25">
      <c r="A56" s="26"/>
      <c r="B56" s="45" t="s">
        <v>135</v>
      </c>
      <c r="C56" s="90">
        <v>89784</v>
      </c>
      <c r="D56" s="90">
        <v>0</v>
      </c>
      <c r="E56" s="102">
        <v>0</v>
      </c>
      <c r="F56" s="102">
        <v>0</v>
      </c>
      <c r="G56" s="102">
        <v>0</v>
      </c>
      <c r="H56" s="102">
        <v>0</v>
      </c>
      <c r="I56" s="102">
        <v>0</v>
      </c>
      <c r="J56" s="102">
        <v>0</v>
      </c>
      <c r="K56" s="102">
        <v>0</v>
      </c>
      <c r="L56" s="102">
        <v>0</v>
      </c>
      <c r="M56" s="127"/>
    </row>
    <row r="57" spans="1:13" ht="17.25" customHeight="1" x14ac:dyDescent="0.25">
      <c r="A57" s="26"/>
      <c r="B57" s="45" t="s">
        <v>139</v>
      </c>
      <c r="C57" s="90">
        <v>267060</v>
      </c>
      <c r="D57" s="90">
        <v>391348</v>
      </c>
      <c r="E57" s="102">
        <f>E117*'Income Statement - PRODUCT'!F7</f>
        <v>508752.54350017902</v>
      </c>
      <c r="F57" s="102">
        <f>F117*'Income Statement - PRODUCT'!G7</f>
        <v>661378.30655023258</v>
      </c>
      <c r="G57" s="102">
        <f>G117*'Income Statement - PRODUCT'!H7</f>
        <v>859791.79851530248</v>
      </c>
      <c r="H57" s="102">
        <f>H117*'Income Statement - PRODUCT'!I7</f>
        <v>988760.56829259766</v>
      </c>
      <c r="I57" s="102">
        <f>I117*'Income Statement - PRODUCT'!J7</f>
        <v>1137074.6535364871</v>
      </c>
      <c r="J57" s="102">
        <f>J117*'Income Statement - PRODUCT'!K7</f>
        <v>1307635.8515669601</v>
      </c>
      <c r="K57" s="102">
        <f>K117*'Income Statement - PRODUCT'!L7</f>
        <v>1503781.2293020037</v>
      </c>
      <c r="L57" s="102">
        <f>L117*'Income Statement - PRODUCT'!M7</f>
        <v>1729348.4136973042</v>
      </c>
      <c r="M57" s="127"/>
    </row>
    <row r="58" spans="1:13" ht="17.25" customHeight="1" x14ac:dyDescent="0.25">
      <c r="A58" s="26"/>
      <c r="B58" s="45" t="s">
        <v>116</v>
      </c>
      <c r="C58" s="90">
        <v>358832</v>
      </c>
      <c r="D58" s="90">
        <v>396704</v>
      </c>
      <c r="E58" s="102">
        <f>((D58-C58)/C58+1)*D58</f>
        <v>438573.10277790169</v>
      </c>
      <c r="F58" s="102">
        <f t="shared" ref="F58:L58" si="18">((E58-D58)/D58+1)*E58</f>
        <v>484861.17226001224</v>
      </c>
      <c r="G58" s="102">
        <f t="shared" si="18"/>
        <v>536034.59691509092</v>
      </c>
      <c r="H58" s="102">
        <f t="shared" si="18"/>
        <v>592608.98898259981</v>
      </c>
      <c r="I58" s="102">
        <f t="shared" si="18"/>
        <v>655154.37966890715</v>
      </c>
      <c r="J58" s="102">
        <f t="shared" si="18"/>
        <v>724300.9626571046</v>
      </c>
      <c r="K58" s="102">
        <f t="shared" si="18"/>
        <v>800745.44380078709</v>
      </c>
      <c r="L58" s="102">
        <f t="shared" si="18"/>
        <v>885258.0609799223</v>
      </c>
      <c r="M58" s="127"/>
    </row>
    <row r="59" spans="1:13" ht="17.25" customHeight="1" x14ac:dyDescent="0.25">
      <c r="A59" s="26"/>
      <c r="B59" s="29" t="s">
        <v>140</v>
      </c>
      <c r="C59" s="33">
        <v>1738231</v>
      </c>
      <c r="D59" s="33">
        <v>1769712</v>
      </c>
      <c r="E59" s="120">
        <f>E34+E49</f>
        <v>-1910710.1755713271</v>
      </c>
      <c r="F59" s="120">
        <f t="shared" ref="F59:L59" si="19">F34+F49</f>
        <v>-5470225.4777482525</v>
      </c>
      <c r="G59" s="120">
        <f t="shared" si="19"/>
        <v>-2412993.5602523219</v>
      </c>
      <c r="H59" s="120">
        <f t="shared" si="19"/>
        <v>1163943.5068729741</v>
      </c>
      <c r="I59" s="120">
        <f t="shared" si="19"/>
        <v>5415160.6880005775</v>
      </c>
      <c r="J59" s="120">
        <f t="shared" si="19"/>
        <v>10432890.056223858</v>
      </c>
      <c r="K59" s="120">
        <f t="shared" si="19"/>
        <v>16332433.000610508</v>
      </c>
      <c r="L59" s="120">
        <f t="shared" si="19"/>
        <v>23270784.366295673</v>
      </c>
      <c r="M59" s="127"/>
    </row>
    <row r="60" spans="1:13" ht="12.75" customHeight="1" x14ac:dyDescent="0.25">
      <c r="A60" s="26"/>
      <c r="B60" s="26"/>
      <c r="C60" s="35"/>
      <c r="D60" s="35"/>
      <c r="E60" s="35"/>
      <c r="F60" s="35"/>
      <c r="G60" s="35"/>
      <c r="H60" s="35"/>
      <c r="I60" s="35"/>
      <c r="J60" s="35"/>
      <c r="K60" s="35"/>
      <c r="L60" s="35"/>
      <c r="M60" s="26"/>
    </row>
    <row r="61" spans="1:13" ht="12.75" customHeight="1" x14ac:dyDescent="0.25">
      <c r="A61" s="26"/>
      <c r="B61" s="82"/>
      <c r="C61" s="35"/>
      <c r="D61" s="35"/>
      <c r="E61" s="35"/>
      <c r="F61" s="26"/>
      <c r="G61" s="26"/>
      <c r="H61" s="26"/>
      <c r="I61" s="26"/>
      <c r="J61" s="26"/>
      <c r="K61" s="26"/>
      <c r="L61" s="26"/>
      <c r="M61" s="26"/>
    </row>
    <row r="62" spans="1:13" ht="12.75" customHeight="1" x14ac:dyDescent="0.25">
      <c r="A62" s="26"/>
      <c r="B62" s="26"/>
      <c r="C62" s="35"/>
      <c r="D62" s="35"/>
      <c r="E62" s="35"/>
      <c r="F62" s="35"/>
      <c r="G62" s="35"/>
      <c r="H62" s="35"/>
      <c r="I62" s="35"/>
      <c r="J62" s="35"/>
      <c r="K62" s="35"/>
      <c r="L62" s="35"/>
      <c r="M62" s="26"/>
    </row>
    <row r="63" spans="1:13" ht="12.75" customHeight="1" x14ac:dyDescent="0.25">
      <c r="A63" s="26"/>
      <c r="B63" s="26"/>
      <c r="C63" s="26"/>
      <c r="D63" s="26"/>
      <c r="E63" s="74"/>
      <c r="F63" s="74"/>
      <c r="G63" s="74"/>
      <c r="H63" s="74"/>
      <c r="I63" s="74"/>
      <c r="J63" s="74"/>
      <c r="K63" s="74"/>
      <c r="L63" s="74"/>
      <c r="M63" s="26"/>
    </row>
    <row r="64" spans="1:13" ht="12.75" customHeight="1" x14ac:dyDescent="0.25">
      <c r="A64" s="26"/>
      <c r="B64" s="175" t="s">
        <v>167</v>
      </c>
      <c r="C64" s="177">
        <v>2016</v>
      </c>
      <c r="D64" s="177">
        <v>2017</v>
      </c>
      <c r="E64" s="166">
        <v>2018</v>
      </c>
      <c r="F64" s="166">
        <v>2019</v>
      </c>
      <c r="G64" s="166">
        <v>2020</v>
      </c>
      <c r="H64" s="166">
        <v>2021</v>
      </c>
      <c r="I64" s="166">
        <v>2022</v>
      </c>
      <c r="J64" s="166">
        <v>2023</v>
      </c>
      <c r="K64" s="166">
        <v>2024</v>
      </c>
      <c r="L64" s="166">
        <v>2025</v>
      </c>
      <c r="M64" s="26"/>
    </row>
    <row r="65" spans="1:13" ht="12.75" customHeight="1" x14ac:dyDescent="0.25">
      <c r="A65" s="26"/>
      <c r="B65" s="176"/>
      <c r="C65" s="178"/>
      <c r="D65" s="178"/>
      <c r="E65" s="167"/>
      <c r="F65" s="167"/>
      <c r="G65" s="167"/>
      <c r="H65" s="167"/>
      <c r="I65" s="167"/>
      <c r="J65" s="167"/>
      <c r="K65" s="167"/>
      <c r="L65" s="167"/>
      <c r="M65" s="26"/>
    </row>
    <row r="66" spans="1:13" ht="12.75" hidden="1" customHeight="1" x14ac:dyDescent="0.25">
      <c r="A66" s="26"/>
      <c r="B66" s="83" t="s">
        <v>96</v>
      </c>
      <c r="C66" s="52">
        <v>1321426</v>
      </c>
      <c r="D66" s="52">
        <v>1249622</v>
      </c>
      <c r="E66" s="52"/>
      <c r="F66" s="52"/>
      <c r="G66" s="52"/>
      <c r="H66" s="52"/>
      <c r="I66" s="52"/>
      <c r="J66" s="52"/>
      <c r="K66" s="52"/>
      <c r="L66" s="52"/>
      <c r="M66" s="26"/>
    </row>
    <row r="67" spans="1:13" ht="12.6" hidden="1" customHeight="1" x14ac:dyDescent="0.25">
      <c r="A67" s="26"/>
      <c r="B67" s="51" t="s">
        <v>97</v>
      </c>
      <c r="C67" s="52">
        <v>1345</v>
      </c>
      <c r="D67" s="52">
        <v>1572</v>
      </c>
      <c r="E67" s="52"/>
      <c r="F67" s="52"/>
      <c r="G67" s="52"/>
      <c r="H67" s="52"/>
      <c r="I67" s="52"/>
      <c r="J67" s="52"/>
      <c r="K67" s="52"/>
      <c r="L67" s="52"/>
      <c r="M67" s="26"/>
    </row>
    <row r="68" spans="1:13" ht="12.75" hidden="1" customHeight="1" x14ac:dyDescent="0.25">
      <c r="A68" s="26"/>
      <c r="B68" s="81" t="s">
        <v>98</v>
      </c>
      <c r="C68" s="52">
        <v>0</v>
      </c>
      <c r="D68" s="52">
        <v>0</v>
      </c>
      <c r="E68" s="52"/>
      <c r="F68" s="52"/>
      <c r="G68" s="52"/>
      <c r="H68" s="52"/>
      <c r="I68" s="52"/>
      <c r="J68" s="52"/>
      <c r="K68" s="52"/>
      <c r="L68" s="52"/>
      <c r="M68" s="26"/>
    </row>
    <row r="69" spans="1:13" ht="12.75" hidden="1" customHeight="1" x14ac:dyDescent="0.25">
      <c r="A69" s="26"/>
      <c r="B69" s="81" t="s">
        <v>99</v>
      </c>
      <c r="C69" s="52">
        <v>0</v>
      </c>
      <c r="D69" s="52">
        <v>0</v>
      </c>
      <c r="E69" s="52"/>
      <c r="F69" s="52"/>
      <c r="G69" s="52"/>
      <c r="H69" s="52"/>
      <c r="I69" s="52"/>
      <c r="J69" s="52"/>
      <c r="K69" s="52"/>
      <c r="L69" s="52"/>
      <c r="M69" s="26"/>
    </row>
    <row r="70" spans="1:13" ht="12.75" hidden="1" customHeight="1" x14ac:dyDescent="0.25">
      <c r="A70" s="26"/>
      <c r="B70" s="81" t="s">
        <v>100</v>
      </c>
      <c r="C70" s="52">
        <v>1345</v>
      </c>
      <c r="D70" s="52">
        <v>1572</v>
      </c>
      <c r="E70" s="52"/>
      <c r="F70" s="52"/>
      <c r="G70" s="52"/>
      <c r="H70" s="52"/>
      <c r="I70" s="52"/>
      <c r="J70" s="52"/>
      <c r="K70" s="52"/>
      <c r="L70" s="52"/>
      <c r="M70" s="26"/>
    </row>
    <row r="71" spans="1:13" ht="12.75" hidden="1" customHeight="1" x14ac:dyDescent="0.25">
      <c r="A71" s="26"/>
      <c r="B71" s="51" t="s">
        <v>101</v>
      </c>
      <c r="C71" s="52">
        <v>1184828</v>
      </c>
      <c r="D71" s="52">
        <v>1098769</v>
      </c>
      <c r="E71" s="52"/>
      <c r="F71" s="52"/>
      <c r="G71" s="52"/>
      <c r="H71" s="52"/>
      <c r="I71" s="52"/>
      <c r="J71" s="52"/>
      <c r="K71" s="52"/>
      <c r="L71" s="52"/>
      <c r="M71" s="26"/>
    </row>
    <row r="72" spans="1:13" ht="12.75" hidden="1" customHeight="1" x14ac:dyDescent="0.25">
      <c r="A72" s="26"/>
      <c r="B72" s="81" t="s">
        <v>102</v>
      </c>
      <c r="C72" s="52">
        <v>0</v>
      </c>
      <c r="D72" s="52">
        <v>0</v>
      </c>
      <c r="E72" s="52"/>
      <c r="F72" s="52"/>
      <c r="G72" s="52"/>
      <c r="H72" s="52"/>
      <c r="I72" s="52"/>
      <c r="J72" s="52"/>
      <c r="K72" s="52"/>
      <c r="L72" s="52"/>
      <c r="M72" s="26"/>
    </row>
    <row r="73" spans="1:13" ht="12.75" hidden="1" customHeight="1" x14ac:dyDescent="0.25">
      <c r="A73" s="26"/>
      <c r="B73" s="81" t="s">
        <v>103</v>
      </c>
      <c r="C73" s="52">
        <v>728233</v>
      </c>
      <c r="D73" s="52">
        <v>585547</v>
      </c>
      <c r="E73" s="52"/>
      <c r="F73" s="52"/>
      <c r="G73" s="52"/>
      <c r="H73" s="52"/>
      <c r="I73" s="52"/>
      <c r="J73" s="52"/>
      <c r="K73" s="52"/>
      <c r="L73" s="52"/>
      <c r="M73" s="26"/>
    </row>
    <row r="74" spans="1:13" ht="12.75" hidden="1" customHeight="1" x14ac:dyDescent="0.25">
      <c r="A74" s="26"/>
      <c r="B74" s="81" t="s">
        <v>104</v>
      </c>
      <c r="C74" s="52">
        <v>323297</v>
      </c>
      <c r="D74" s="52">
        <v>222930</v>
      </c>
      <c r="E74" s="52"/>
      <c r="F74" s="52"/>
      <c r="G74" s="52"/>
      <c r="H74" s="52"/>
      <c r="I74" s="52"/>
      <c r="J74" s="52"/>
      <c r="K74" s="52"/>
      <c r="L74" s="52"/>
      <c r="M74" s="26"/>
    </row>
    <row r="75" spans="1:13" ht="12.75" hidden="1" customHeight="1" x14ac:dyDescent="0.25">
      <c r="A75" s="26"/>
      <c r="B75" s="81" t="s">
        <v>105</v>
      </c>
      <c r="C75" s="52">
        <v>130161</v>
      </c>
      <c r="D75" s="52">
        <v>249225</v>
      </c>
      <c r="E75" s="52"/>
      <c r="F75" s="52"/>
      <c r="G75" s="52"/>
      <c r="H75" s="52"/>
      <c r="I75" s="52"/>
      <c r="J75" s="52"/>
      <c r="K75" s="52"/>
      <c r="L75" s="52"/>
      <c r="M75" s="26"/>
    </row>
    <row r="76" spans="1:13" ht="12.75" hidden="1" customHeight="1" x14ac:dyDescent="0.25">
      <c r="A76" s="26"/>
      <c r="B76" s="81" t="s">
        <v>106</v>
      </c>
      <c r="C76" s="52">
        <v>3136</v>
      </c>
      <c r="D76" s="52">
        <v>41066</v>
      </c>
      <c r="E76" s="52"/>
      <c r="F76" s="52"/>
      <c r="G76" s="52"/>
      <c r="H76" s="52"/>
      <c r="I76" s="52"/>
      <c r="J76" s="52"/>
      <c r="K76" s="52"/>
      <c r="L76" s="52"/>
      <c r="M76" s="26"/>
    </row>
    <row r="77" spans="1:13" ht="12.75" hidden="1" customHeight="1" x14ac:dyDescent="0.25">
      <c r="A77" s="26"/>
      <c r="B77" s="81" t="s">
        <v>107</v>
      </c>
      <c r="C77" s="52">
        <v>0</v>
      </c>
      <c r="D77" s="52">
        <v>0</v>
      </c>
      <c r="E77" s="52"/>
      <c r="F77" s="52"/>
      <c r="G77" s="52"/>
      <c r="H77" s="52"/>
      <c r="I77" s="52"/>
      <c r="J77" s="52"/>
      <c r="K77" s="52"/>
      <c r="L77" s="52"/>
      <c r="M77" s="26"/>
    </row>
    <row r="78" spans="1:13" ht="12.75" hidden="1" customHeight="1" x14ac:dyDescent="0.25">
      <c r="A78" s="26"/>
      <c r="B78" s="51" t="s">
        <v>108</v>
      </c>
      <c r="C78" s="52">
        <v>135252</v>
      </c>
      <c r="D78" s="52">
        <v>149280</v>
      </c>
      <c r="E78" s="52"/>
      <c r="F78" s="52"/>
      <c r="G78" s="52"/>
      <c r="H78" s="52"/>
      <c r="I78" s="52"/>
      <c r="J78" s="52"/>
      <c r="K78" s="52"/>
      <c r="L78" s="52"/>
      <c r="M78" s="26"/>
    </row>
    <row r="79" spans="1:13" ht="12.75" hidden="1" customHeight="1" x14ac:dyDescent="0.25">
      <c r="A79" s="26"/>
      <c r="B79" s="51" t="s">
        <v>109</v>
      </c>
      <c r="C79" s="52">
        <v>0</v>
      </c>
      <c r="D79" s="52">
        <v>0</v>
      </c>
      <c r="E79" s="52"/>
      <c r="F79" s="52"/>
      <c r="G79" s="52"/>
      <c r="H79" s="52"/>
      <c r="I79" s="52"/>
      <c r="J79" s="52"/>
      <c r="K79" s="52"/>
      <c r="L79" s="52"/>
      <c r="M79" s="26"/>
    </row>
    <row r="80" spans="1:13" ht="12.75" hidden="1" customHeight="1" x14ac:dyDescent="0.25">
      <c r="A80" s="26"/>
      <c r="B80" s="83"/>
      <c r="C80" s="52"/>
      <c r="D80" s="52"/>
      <c r="E80" s="52"/>
      <c r="F80" s="52"/>
      <c r="G80" s="52"/>
      <c r="H80" s="52"/>
      <c r="I80" s="52"/>
      <c r="J80" s="52"/>
      <c r="K80" s="52"/>
      <c r="L80" s="52"/>
      <c r="M80" s="26"/>
    </row>
    <row r="81" spans="1:13" ht="12.75" customHeight="1" x14ac:dyDescent="0.25">
      <c r="A81" s="26"/>
      <c r="B81" s="83" t="s">
        <v>110</v>
      </c>
      <c r="C81" s="52">
        <v>416804</v>
      </c>
      <c r="D81" s="52">
        <v>520089</v>
      </c>
      <c r="E81" s="52"/>
      <c r="F81" s="52"/>
      <c r="G81" s="52"/>
      <c r="H81" s="52"/>
      <c r="I81" s="52"/>
      <c r="J81" s="52"/>
      <c r="K81" s="52"/>
      <c r="L81" s="52"/>
      <c r="M81" s="26"/>
    </row>
    <row r="82" spans="1:13" ht="12.75" customHeight="1" x14ac:dyDescent="0.25">
      <c r="A82" s="26"/>
      <c r="B82" s="51" t="s">
        <v>111</v>
      </c>
      <c r="C82" s="52">
        <v>162812</v>
      </c>
      <c r="D82" s="52">
        <v>187468</v>
      </c>
      <c r="E82" s="52"/>
      <c r="F82" s="52"/>
      <c r="G82" s="52"/>
      <c r="H82" s="52"/>
      <c r="I82" s="52"/>
      <c r="J82" s="52"/>
      <c r="K82" s="52"/>
      <c r="L82" s="52"/>
      <c r="M82" s="182" t="s">
        <v>219</v>
      </c>
    </row>
    <row r="83" spans="1:13" ht="12.75" customHeight="1" x14ac:dyDescent="0.25">
      <c r="A83" s="26"/>
      <c r="B83" s="81" t="s">
        <v>199</v>
      </c>
      <c r="C83" s="52">
        <v>45580</v>
      </c>
      <c r="D83" s="52">
        <v>29898</v>
      </c>
      <c r="E83" s="85">
        <f>$D$83/'Income Statement - FACTORY'!F6</f>
        <v>4.1941913807945477E-3</v>
      </c>
      <c r="F83" s="85">
        <f>$D$83/'Income Statement - FACTORY'!$F$6</f>
        <v>4.1941913807945477E-3</v>
      </c>
      <c r="G83" s="85">
        <f>$D$83/'Income Statement - FACTORY'!$F$6</f>
        <v>4.1941913807945477E-3</v>
      </c>
      <c r="H83" s="85">
        <f>$D$83/'Income Statement - FACTORY'!$F$6</f>
        <v>4.1941913807945477E-3</v>
      </c>
      <c r="I83" s="85">
        <f>$D$83/'Income Statement - FACTORY'!$F$6</f>
        <v>4.1941913807945477E-3</v>
      </c>
      <c r="J83" s="85">
        <f>$D$83/'Income Statement - FACTORY'!$F$6</f>
        <v>4.1941913807945477E-3</v>
      </c>
      <c r="K83" s="85">
        <f>$D$83/'Income Statement - FACTORY'!$F$6</f>
        <v>4.1941913807945477E-3</v>
      </c>
      <c r="L83" s="85">
        <f>$D$83/'Income Statement - FACTORY'!$F$6</f>
        <v>4.1941913807945477E-3</v>
      </c>
      <c r="M83" s="182"/>
    </row>
    <row r="84" spans="1:13" ht="12.75" hidden="1" customHeight="1" x14ac:dyDescent="0.25">
      <c r="A84" s="26"/>
      <c r="B84" s="81" t="s">
        <v>113</v>
      </c>
      <c r="C84" s="52">
        <v>0</v>
      </c>
      <c r="D84" s="52">
        <v>0</v>
      </c>
      <c r="E84" s="52"/>
      <c r="F84" s="52"/>
      <c r="G84" s="52"/>
      <c r="H84" s="52"/>
      <c r="I84" s="52"/>
      <c r="J84" s="52"/>
      <c r="K84" s="52"/>
      <c r="L84" s="52"/>
      <c r="M84" s="182"/>
    </row>
    <row r="85" spans="1:13" ht="12.75" hidden="1" customHeight="1" x14ac:dyDescent="0.25">
      <c r="A85" s="26"/>
      <c r="B85" s="81" t="s">
        <v>114</v>
      </c>
      <c r="C85" s="52">
        <v>0</v>
      </c>
      <c r="D85" s="52">
        <v>0</v>
      </c>
      <c r="E85" s="52"/>
      <c r="F85" s="52"/>
      <c r="G85" s="52"/>
      <c r="H85" s="52"/>
      <c r="I85" s="52"/>
      <c r="J85" s="52"/>
      <c r="K85" s="52"/>
      <c r="L85" s="52"/>
      <c r="M85" s="182"/>
    </row>
    <row r="86" spans="1:13" ht="12.75" hidden="1" customHeight="1" x14ac:dyDescent="0.25">
      <c r="A86" s="26"/>
      <c r="B86" s="81" t="s">
        <v>115</v>
      </c>
      <c r="C86" s="52">
        <v>0</v>
      </c>
      <c r="D86" s="52">
        <v>0</v>
      </c>
      <c r="E86" s="52"/>
      <c r="F86" s="52"/>
      <c r="G86" s="52"/>
      <c r="H86" s="52"/>
      <c r="I86" s="52"/>
      <c r="J86" s="52"/>
      <c r="K86" s="52"/>
      <c r="L86" s="52"/>
      <c r="M86" s="182"/>
    </row>
    <row r="87" spans="1:13" ht="12.75" customHeight="1" x14ac:dyDescent="0.25">
      <c r="A87" s="26"/>
      <c r="B87" s="81" t="s">
        <v>200</v>
      </c>
      <c r="C87" s="52">
        <v>117232</v>
      </c>
      <c r="D87" s="52">
        <v>157570</v>
      </c>
      <c r="E87" s="84">
        <f>$D$87/'Income Statement - FACTORY'!$F$6</f>
        <v>2.2104446313191414E-2</v>
      </c>
      <c r="F87" s="84">
        <f>$D$87/'Income Statement - FACTORY'!$F$6</f>
        <v>2.2104446313191414E-2</v>
      </c>
      <c r="G87" s="84">
        <f>$D$87/'Income Statement - FACTORY'!$F$6</f>
        <v>2.2104446313191414E-2</v>
      </c>
      <c r="H87" s="84">
        <f>$D$87/'Income Statement - FACTORY'!$F$6</f>
        <v>2.2104446313191414E-2</v>
      </c>
      <c r="I87" s="84">
        <f>$D$87/'Income Statement - FACTORY'!$F$6</f>
        <v>2.2104446313191414E-2</v>
      </c>
      <c r="J87" s="84">
        <f>$D$87/'Income Statement - FACTORY'!$F$6</f>
        <v>2.2104446313191414E-2</v>
      </c>
      <c r="K87" s="84">
        <f>$D$87/'Income Statement - FACTORY'!$F$6</f>
        <v>2.2104446313191414E-2</v>
      </c>
      <c r="L87" s="84">
        <f>$D$87/'Income Statement - FACTORY'!$F$6</f>
        <v>2.2104446313191414E-2</v>
      </c>
      <c r="M87" s="182"/>
    </row>
    <row r="88" spans="1:13" ht="12.75" customHeight="1" x14ac:dyDescent="0.25">
      <c r="A88" s="26"/>
      <c r="B88" s="51" t="s">
        <v>117</v>
      </c>
      <c r="C88" s="56">
        <v>68365</v>
      </c>
      <c r="D88" s="56">
        <v>152062</v>
      </c>
      <c r="E88" s="84"/>
      <c r="F88" s="52"/>
      <c r="G88" s="52"/>
      <c r="H88" s="52"/>
      <c r="I88" s="52"/>
      <c r="J88" s="52"/>
      <c r="K88" s="52"/>
      <c r="L88" s="52"/>
      <c r="M88" s="182"/>
    </row>
    <row r="89" spans="1:13" ht="12.75" customHeight="1" x14ac:dyDescent="0.25">
      <c r="A89" s="26"/>
      <c r="B89" s="81" t="s">
        <v>185</v>
      </c>
      <c r="C89" s="52">
        <v>59868</v>
      </c>
      <c r="D89" s="52">
        <v>131712</v>
      </c>
      <c r="E89" s="84">
        <f>$D$89/'Income Statement - FACTORY'!$E$6</f>
        <v>2.9837891031619618E-2</v>
      </c>
      <c r="F89" s="84">
        <f>$D$89/'Income Statement - FACTORY'!$E$6</f>
        <v>2.9837891031619618E-2</v>
      </c>
      <c r="G89" s="84">
        <f>$D$89/'Income Statement - FACTORY'!$E$6</f>
        <v>2.9837891031619618E-2</v>
      </c>
      <c r="H89" s="84">
        <f>$D$89/'Income Statement - FACTORY'!$E$6</f>
        <v>2.9837891031619618E-2</v>
      </c>
      <c r="I89" s="84">
        <f>$D$89/'Income Statement - FACTORY'!$E$6</f>
        <v>2.9837891031619618E-2</v>
      </c>
      <c r="J89" s="84">
        <f>$D$89/'Income Statement - FACTORY'!$E$6</f>
        <v>2.9837891031619618E-2</v>
      </c>
      <c r="K89" s="84">
        <f>$D$89/'Income Statement - FACTORY'!$E$6</f>
        <v>2.9837891031619618E-2</v>
      </c>
      <c r="L89" s="84">
        <f>$D$89/'Income Statement - FACTORY'!$E$6</f>
        <v>2.9837891031619618E-2</v>
      </c>
      <c r="M89" s="182"/>
    </row>
    <row r="90" spans="1:13" ht="12.75" customHeight="1" x14ac:dyDescent="0.25">
      <c r="A90" s="26"/>
      <c r="B90" s="81" t="s">
        <v>198</v>
      </c>
      <c r="C90" s="52">
        <v>8496</v>
      </c>
      <c r="D90" s="52">
        <v>20350</v>
      </c>
      <c r="E90" s="85">
        <f>$D$90/'Income Statement - FACTORY'!$E$6</f>
        <v>4.6100665276775027E-3</v>
      </c>
      <c r="F90" s="85">
        <f>$D$90/'Income Statement - FACTORY'!$E$6</f>
        <v>4.6100665276775027E-3</v>
      </c>
      <c r="G90" s="85">
        <f>$D$90/'Income Statement - FACTORY'!$E$6</f>
        <v>4.6100665276775027E-3</v>
      </c>
      <c r="H90" s="85">
        <f>$D$90/'Income Statement - FACTORY'!$E$6</f>
        <v>4.6100665276775027E-3</v>
      </c>
      <c r="I90" s="85">
        <f>$D$90/'Income Statement - FACTORY'!$E$6</f>
        <v>4.6100665276775027E-3</v>
      </c>
      <c r="J90" s="85">
        <f>$D$90/'Income Statement - FACTORY'!$E$6</f>
        <v>4.6100665276775027E-3</v>
      </c>
      <c r="K90" s="85">
        <f>$D$90/'Income Statement - FACTORY'!$E$6</f>
        <v>4.6100665276775027E-3</v>
      </c>
      <c r="L90" s="85">
        <f>$D$90/'Income Statement - FACTORY'!$E$6</f>
        <v>4.6100665276775027E-3</v>
      </c>
      <c r="M90" s="182"/>
    </row>
    <row r="91" spans="1:13" ht="12.75" hidden="1" customHeight="1" x14ac:dyDescent="0.25">
      <c r="A91" s="26"/>
      <c r="B91" s="51" t="s">
        <v>120</v>
      </c>
      <c r="C91" s="52">
        <v>0</v>
      </c>
      <c r="D91" s="52">
        <v>0</v>
      </c>
      <c r="E91" s="84"/>
      <c r="F91" s="52"/>
      <c r="G91" s="52"/>
      <c r="H91" s="52"/>
      <c r="I91" s="52"/>
      <c r="J91" s="52"/>
      <c r="K91" s="52"/>
      <c r="L91" s="52"/>
      <c r="M91" s="182"/>
    </row>
    <row r="92" spans="1:13" ht="12.75" hidden="1" customHeight="1" x14ac:dyDescent="0.25">
      <c r="A92" s="26"/>
      <c r="B92" s="51" t="s">
        <v>121</v>
      </c>
      <c r="C92" s="52">
        <v>185627</v>
      </c>
      <c r="D92" s="52">
        <v>180557</v>
      </c>
      <c r="E92" s="52"/>
      <c r="F92" s="52"/>
      <c r="G92" s="52"/>
      <c r="H92" s="52"/>
      <c r="I92" s="52"/>
      <c r="J92" s="52"/>
      <c r="K92" s="52"/>
      <c r="L92" s="52"/>
      <c r="M92" s="182"/>
    </row>
    <row r="93" spans="1:13" ht="12.75" hidden="1" customHeight="1" x14ac:dyDescent="0.25">
      <c r="A93" s="26"/>
      <c r="B93" s="86" t="s">
        <v>122</v>
      </c>
      <c r="C93" s="87">
        <v>1738231</v>
      </c>
      <c r="D93" s="87">
        <v>1769712</v>
      </c>
      <c r="E93" s="52"/>
      <c r="F93" s="52"/>
      <c r="G93" s="52"/>
      <c r="H93" s="52"/>
      <c r="I93" s="52"/>
      <c r="J93" s="52"/>
      <c r="K93" s="52"/>
      <c r="L93" s="52"/>
      <c r="M93" s="182"/>
    </row>
    <row r="94" spans="1:13" ht="12.75" hidden="1" customHeight="1" x14ac:dyDescent="0.25">
      <c r="A94" s="26"/>
      <c r="B94" s="83" t="s">
        <v>123</v>
      </c>
      <c r="C94" s="52">
        <v>456358</v>
      </c>
      <c r="D94" s="52">
        <v>821743</v>
      </c>
      <c r="E94" s="52"/>
      <c r="F94" s="52"/>
      <c r="G94" s="52"/>
      <c r="H94" s="52"/>
      <c r="I94" s="52"/>
      <c r="J94" s="52"/>
      <c r="K94" s="52"/>
      <c r="L94" s="52"/>
      <c r="M94" s="182"/>
    </row>
    <row r="95" spans="1:13" ht="12.75" hidden="1" customHeight="1" x14ac:dyDescent="0.25">
      <c r="A95" s="26"/>
      <c r="B95" s="51" t="s">
        <v>124</v>
      </c>
      <c r="C95" s="52">
        <v>2896</v>
      </c>
      <c r="D95" s="52">
        <v>2896</v>
      </c>
      <c r="E95" s="52"/>
      <c r="F95" s="52"/>
      <c r="G95" s="52"/>
      <c r="H95" s="52"/>
      <c r="I95" s="52"/>
      <c r="J95" s="52"/>
      <c r="K95" s="52"/>
      <c r="L95" s="52"/>
      <c r="M95" s="182"/>
    </row>
    <row r="96" spans="1:13" ht="12.75" hidden="1" customHeight="1" x14ac:dyDescent="0.25">
      <c r="A96" s="26"/>
      <c r="B96" s="81" t="s">
        <v>125</v>
      </c>
      <c r="C96" s="52">
        <v>2896</v>
      </c>
      <c r="D96" s="52">
        <v>2896</v>
      </c>
      <c r="E96" s="52"/>
      <c r="F96" s="52"/>
      <c r="G96" s="52"/>
      <c r="H96" s="52"/>
      <c r="I96" s="52"/>
      <c r="J96" s="52"/>
      <c r="K96" s="52"/>
      <c r="L96" s="52"/>
      <c r="M96" s="182"/>
    </row>
    <row r="97" spans="1:13" ht="12.75" hidden="1" customHeight="1" x14ac:dyDescent="0.25">
      <c r="A97" s="26"/>
      <c r="B97" s="81" t="s">
        <v>126</v>
      </c>
      <c r="C97" s="52">
        <v>0</v>
      </c>
      <c r="D97" s="52">
        <v>0</v>
      </c>
      <c r="E97" s="52"/>
      <c r="F97" s="52"/>
      <c r="G97" s="52"/>
      <c r="H97" s="52"/>
      <c r="I97" s="52"/>
      <c r="J97" s="52"/>
      <c r="K97" s="52"/>
      <c r="L97" s="52"/>
      <c r="M97" s="182"/>
    </row>
    <row r="98" spans="1:13" ht="12.75" hidden="1" customHeight="1" x14ac:dyDescent="0.25">
      <c r="A98" s="26"/>
      <c r="B98" s="81" t="s">
        <v>116</v>
      </c>
      <c r="C98" s="52">
        <v>0</v>
      </c>
      <c r="D98" s="52">
        <v>0</v>
      </c>
      <c r="E98" s="52"/>
      <c r="F98" s="52"/>
      <c r="G98" s="52"/>
      <c r="H98" s="52"/>
      <c r="I98" s="52"/>
      <c r="J98" s="52"/>
      <c r="K98" s="52"/>
      <c r="L98" s="52"/>
      <c r="M98" s="182"/>
    </row>
    <row r="99" spans="1:13" ht="12.75" hidden="1" customHeight="1" x14ac:dyDescent="0.25">
      <c r="A99" s="26"/>
      <c r="B99" s="51" t="s">
        <v>127</v>
      </c>
      <c r="C99" s="52">
        <v>0</v>
      </c>
      <c r="D99" s="52">
        <v>0</v>
      </c>
      <c r="E99" s="52"/>
      <c r="F99" s="52"/>
      <c r="G99" s="52"/>
      <c r="H99" s="52"/>
      <c r="I99" s="52"/>
      <c r="J99" s="52"/>
      <c r="K99" s="52"/>
      <c r="L99" s="52"/>
      <c r="M99" s="182"/>
    </row>
    <row r="100" spans="1:13" ht="12.75" hidden="1" customHeight="1" x14ac:dyDescent="0.25">
      <c r="A100" s="26"/>
      <c r="B100" s="51" t="s">
        <v>128</v>
      </c>
      <c r="C100" s="52">
        <v>289</v>
      </c>
      <c r="D100" s="52">
        <v>289</v>
      </c>
      <c r="E100" s="52"/>
      <c r="F100" s="52"/>
      <c r="G100" s="52"/>
      <c r="H100" s="52"/>
      <c r="I100" s="52"/>
      <c r="J100" s="52"/>
      <c r="K100" s="52"/>
      <c r="L100" s="52"/>
      <c r="M100" s="182"/>
    </row>
    <row r="101" spans="1:13" ht="12.75" hidden="1" customHeight="1" x14ac:dyDescent="0.25">
      <c r="A101" s="26"/>
      <c r="B101" s="81" t="s">
        <v>129</v>
      </c>
      <c r="C101" s="52">
        <v>289</v>
      </c>
      <c r="D101" s="52">
        <v>289</v>
      </c>
      <c r="E101" s="52"/>
      <c r="F101" s="52"/>
      <c r="G101" s="52"/>
      <c r="H101" s="52"/>
      <c r="I101" s="52"/>
      <c r="J101" s="52"/>
      <c r="K101" s="52"/>
      <c r="L101" s="52"/>
      <c r="M101" s="182"/>
    </row>
    <row r="102" spans="1:13" ht="12.75" hidden="1" customHeight="1" x14ac:dyDescent="0.25">
      <c r="A102" s="26"/>
      <c r="B102" s="81" t="s">
        <v>116</v>
      </c>
      <c r="C102" s="52">
        <v>0</v>
      </c>
      <c r="D102" s="52">
        <v>0</v>
      </c>
      <c r="E102" s="52"/>
      <c r="F102" s="52"/>
      <c r="G102" s="52"/>
      <c r="H102" s="52"/>
      <c r="I102" s="52"/>
      <c r="J102" s="52"/>
      <c r="K102" s="52"/>
      <c r="L102" s="52"/>
      <c r="M102" s="182"/>
    </row>
    <row r="103" spans="1:13" ht="12.75" customHeight="1" x14ac:dyDescent="0.25">
      <c r="A103" s="26"/>
      <c r="B103" s="51" t="s">
        <v>201</v>
      </c>
      <c r="C103" s="56">
        <v>453173</v>
      </c>
      <c r="D103" s="56">
        <v>818557</v>
      </c>
      <c r="E103" s="52"/>
      <c r="F103" s="52"/>
      <c r="G103" s="52"/>
      <c r="H103" s="52"/>
      <c r="I103" s="52"/>
      <c r="J103" s="52"/>
      <c r="K103" s="52"/>
      <c r="L103" s="52"/>
      <c r="M103" s="182"/>
    </row>
    <row r="104" spans="1:13" ht="12.75" customHeight="1" x14ac:dyDescent="0.25">
      <c r="A104" s="26"/>
      <c r="B104" s="81" t="s">
        <v>202</v>
      </c>
      <c r="C104" s="52">
        <v>921053</v>
      </c>
      <c r="D104" s="52">
        <v>1282323</v>
      </c>
      <c r="E104" s="84">
        <f>$D$104/$D$103</f>
        <v>1.566565309440882</v>
      </c>
      <c r="F104" s="84">
        <f t="shared" ref="F104:L104" si="20">$D$104/$D$103</f>
        <v>1.566565309440882</v>
      </c>
      <c r="G104" s="84">
        <f t="shared" si="20"/>
        <v>1.566565309440882</v>
      </c>
      <c r="H104" s="84">
        <f t="shared" si="20"/>
        <v>1.566565309440882</v>
      </c>
      <c r="I104" s="84">
        <f t="shared" si="20"/>
        <v>1.566565309440882</v>
      </c>
      <c r="J104" s="84">
        <f t="shared" si="20"/>
        <v>1.566565309440882</v>
      </c>
      <c r="K104" s="84">
        <f t="shared" si="20"/>
        <v>1.566565309440882</v>
      </c>
      <c r="L104" s="84">
        <f t="shared" si="20"/>
        <v>1.566565309440882</v>
      </c>
      <c r="M104" s="182"/>
    </row>
    <row r="105" spans="1:13" ht="12.75" customHeight="1" x14ac:dyDescent="0.25">
      <c r="A105" s="26"/>
      <c r="B105" s="81" t="s">
        <v>203</v>
      </c>
      <c r="C105" s="52">
        <v>-467879</v>
      </c>
      <c r="D105" s="52">
        <v>-463765</v>
      </c>
      <c r="E105" s="84">
        <f>$D$105/$D$103</f>
        <v>-0.56656408777885958</v>
      </c>
      <c r="F105" s="84">
        <f t="shared" ref="F105:L105" si="21">$D$105/$D$103</f>
        <v>-0.56656408777885958</v>
      </c>
      <c r="G105" s="84">
        <f t="shared" si="21"/>
        <v>-0.56656408777885958</v>
      </c>
      <c r="H105" s="84">
        <f t="shared" si="21"/>
        <v>-0.56656408777885958</v>
      </c>
      <c r="I105" s="84">
        <f t="shared" si="21"/>
        <v>-0.56656408777885958</v>
      </c>
      <c r="J105" s="84">
        <f t="shared" si="21"/>
        <v>-0.56656408777885958</v>
      </c>
      <c r="K105" s="84">
        <f t="shared" si="21"/>
        <v>-0.56656408777885958</v>
      </c>
      <c r="L105" s="84">
        <f t="shared" si="21"/>
        <v>-0.56656408777885958</v>
      </c>
      <c r="M105" s="182"/>
    </row>
    <row r="106" spans="1:13" ht="12.75" hidden="1" customHeight="1" x14ac:dyDescent="0.25">
      <c r="A106" s="26"/>
      <c r="B106" s="83"/>
      <c r="C106" s="52">
        <v>0</v>
      </c>
      <c r="D106" s="52">
        <v>0</v>
      </c>
      <c r="E106" s="52"/>
      <c r="F106" s="52"/>
      <c r="G106" s="52"/>
      <c r="H106" s="52"/>
      <c r="I106" s="52"/>
      <c r="J106" s="52"/>
      <c r="K106" s="52"/>
      <c r="L106" s="52"/>
      <c r="M106" s="182"/>
    </row>
    <row r="107" spans="1:13" ht="12.75" hidden="1" customHeight="1" x14ac:dyDescent="0.25">
      <c r="A107" s="26"/>
      <c r="B107" s="83" t="s">
        <v>132</v>
      </c>
      <c r="C107" s="52">
        <v>0</v>
      </c>
      <c r="D107" s="52">
        <v>0</v>
      </c>
      <c r="E107" s="52"/>
      <c r="F107" s="52"/>
      <c r="G107" s="52"/>
      <c r="H107" s="52"/>
      <c r="I107" s="52"/>
      <c r="J107" s="52"/>
      <c r="K107" s="52"/>
      <c r="L107" s="52"/>
      <c r="M107" s="182"/>
    </row>
    <row r="108" spans="1:13" ht="12.75" hidden="1" customHeight="1" x14ac:dyDescent="0.25">
      <c r="A108" s="26"/>
      <c r="B108" s="83"/>
      <c r="C108" s="52">
        <v>0</v>
      </c>
      <c r="D108" s="52">
        <v>0</v>
      </c>
      <c r="E108" s="52"/>
      <c r="F108" s="52"/>
      <c r="G108" s="52"/>
      <c r="H108" s="52"/>
      <c r="I108" s="52"/>
      <c r="J108" s="52"/>
      <c r="K108" s="52"/>
      <c r="L108" s="52"/>
      <c r="M108" s="182"/>
    </row>
    <row r="109" spans="1:13" ht="12.75" customHeight="1" x14ac:dyDescent="0.25">
      <c r="A109" s="26"/>
      <c r="B109" s="83" t="s">
        <v>133</v>
      </c>
      <c r="C109" s="56">
        <v>1281872</v>
      </c>
      <c r="D109" s="56">
        <v>947969</v>
      </c>
      <c r="E109" s="52"/>
      <c r="F109" s="52"/>
      <c r="G109" s="52"/>
      <c r="H109" s="52"/>
      <c r="I109" s="52"/>
      <c r="J109" s="52"/>
      <c r="K109" s="52"/>
      <c r="L109" s="52"/>
      <c r="M109" s="182"/>
    </row>
    <row r="110" spans="1:13" ht="12.75" customHeight="1" x14ac:dyDescent="0.25">
      <c r="A110" s="26"/>
      <c r="B110" s="51" t="s">
        <v>134</v>
      </c>
      <c r="C110" s="56">
        <v>523639</v>
      </c>
      <c r="D110" s="56">
        <v>105177</v>
      </c>
      <c r="E110" s="52"/>
      <c r="F110" s="52"/>
      <c r="G110" s="52"/>
      <c r="H110" s="52"/>
      <c r="I110" s="52"/>
      <c r="J110" s="52"/>
      <c r="K110" s="52"/>
      <c r="L110" s="52"/>
      <c r="M110" s="182"/>
    </row>
    <row r="111" spans="1:13" ht="12.75" hidden="1" customHeight="1" x14ac:dyDescent="0.25">
      <c r="A111" s="26"/>
      <c r="B111" s="81" t="s">
        <v>135</v>
      </c>
      <c r="C111" s="52">
        <v>394759</v>
      </c>
      <c r="D111" s="52">
        <v>0</v>
      </c>
      <c r="E111" s="52"/>
      <c r="F111" s="52"/>
      <c r="G111" s="52"/>
      <c r="H111" s="52"/>
      <c r="I111" s="52"/>
      <c r="J111" s="52"/>
      <c r="K111" s="52"/>
      <c r="L111" s="52"/>
      <c r="M111" s="182"/>
    </row>
    <row r="112" spans="1:13" ht="12.75" customHeight="1" x14ac:dyDescent="0.25">
      <c r="A112" s="26"/>
      <c r="B112" s="81" t="s">
        <v>210</v>
      </c>
      <c r="C112" s="52">
        <v>75011</v>
      </c>
      <c r="D112" s="52">
        <v>105177</v>
      </c>
      <c r="E112" s="84">
        <f>$D$112/$D$5</f>
        <v>8.4167052116560045E-2</v>
      </c>
      <c r="F112" s="84">
        <f t="shared" ref="F112:L112" si="22">$D$112/$D$5</f>
        <v>8.4167052116560045E-2</v>
      </c>
      <c r="G112" s="84">
        <f t="shared" si="22"/>
        <v>8.4167052116560045E-2</v>
      </c>
      <c r="H112" s="84">
        <f t="shared" si="22"/>
        <v>8.4167052116560045E-2</v>
      </c>
      <c r="I112" s="84">
        <f t="shared" si="22"/>
        <v>8.4167052116560045E-2</v>
      </c>
      <c r="J112" s="84">
        <f t="shared" si="22"/>
        <v>8.4167052116560045E-2</v>
      </c>
      <c r="K112" s="84">
        <f t="shared" si="22"/>
        <v>8.4167052116560045E-2</v>
      </c>
      <c r="L112" s="84">
        <f t="shared" si="22"/>
        <v>8.4167052116560045E-2</v>
      </c>
      <c r="M112" s="182"/>
    </row>
    <row r="113" spans="1:13" ht="12.75" hidden="1" customHeight="1" x14ac:dyDescent="0.25">
      <c r="A113" s="26"/>
      <c r="B113" s="81" t="s">
        <v>211</v>
      </c>
      <c r="C113" s="52">
        <v>53869</v>
      </c>
      <c r="D113" s="52">
        <v>0</v>
      </c>
      <c r="E113" s="52"/>
      <c r="F113" s="52"/>
      <c r="G113" s="52"/>
      <c r="H113" s="52"/>
      <c r="I113" s="52"/>
      <c r="J113" s="52"/>
      <c r="K113" s="52"/>
      <c r="L113" s="52"/>
      <c r="M113" s="182"/>
    </row>
    <row r="114" spans="1:13" ht="12.75" customHeight="1" x14ac:dyDescent="0.25">
      <c r="A114" s="26"/>
      <c r="B114" s="51" t="s">
        <v>137</v>
      </c>
      <c r="C114" s="56">
        <v>758233</v>
      </c>
      <c r="D114" s="56">
        <v>842791</v>
      </c>
      <c r="E114" s="52"/>
      <c r="F114" s="52"/>
      <c r="G114" s="52"/>
      <c r="H114" s="52"/>
      <c r="I114" s="52"/>
      <c r="J114" s="52"/>
      <c r="K114" s="52"/>
      <c r="L114" s="52"/>
      <c r="M114" s="182"/>
    </row>
    <row r="115" spans="1:13" ht="12.75" hidden="1" customHeight="1" x14ac:dyDescent="0.25">
      <c r="A115" s="26"/>
      <c r="B115" s="81" t="s">
        <v>138</v>
      </c>
      <c r="C115" s="52">
        <v>42556</v>
      </c>
      <c r="D115" s="52">
        <v>54738</v>
      </c>
      <c r="E115" s="52"/>
      <c r="F115" s="52"/>
      <c r="G115" s="52"/>
      <c r="H115" s="52"/>
      <c r="I115" s="52"/>
      <c r="J115" s="52"/>
      <c r="K115" s="52"/>
      <c r="L115" s="52"/>
      <c r="M115" s="182"/>
    </row>
    <row r="116" spans="1:13" ht="12.75" hidden="1" customHeight="1" x14ac:dyDescent="0.25">
      <c r="A116" s="26"/>
      <c r="B116" s="81" t="s">
        <v>135</v>
      </c>
      <c r="C116" s="52">
        <v>89784</v>
      </c>
      <c r="D116" s="52">
        <v>0</v>
      </c>
      <c r="E116" s="52"/>
      <c r="F116" s="52"/>
      <c r="G116" s="52"/>
      <c r="H116" s="52"/>
      <c r="I116" s="52"/>
      <c r="J116" s="52"/>
      <c r="K116" s="52"/>
      <c r="L116" s="52"/>
      <c r="M116" s="182"/>
    </row>
    <row r="117" spans="1:13" ht="12.75" customHeight="1" x14ac:dyDescent="0.25">
      <c r="A117" s="26"/>
      <c r="B117" s="81" t="s">
        <v>204</v>
      </c>
      <c r="C117" s="52">
        <v>267060</v>
      </c>
      <c r="D117" s="52">
        <v>391348</v>
      </c>
      <c r="E117" s="84">
        <f>$D$117/'Income Statement - FACTORY'!$E$7</f>
        <v>0.34881304024628723</v>
      </c>
      <c r="F117" s="84">
        <f>$D$117/'Income Statement - FACTORY'!$E$7</f>
        <v>0.34881304024628723</v>
      </c>
      <c r="G117" s="84">
        <f>$D$117/'Income Statement - FACTORY'!$E$7</f>
        <v>0.34881304024628723</v>
      </c>
      <c r="H117" s="84">
        <f>$D$117/'Income Statement - FACTORY'!$E$7</f>
        <v>0.34881304024628723</v>
      </c>
      <c r="I117" s="84">
        <f>$D$117/'Income Statement - FACTORY'!$E$7</f>
        <v>0.34881304024628723</v>
      </c>
      <c r="J117" s="84">
        <f>$D$117/'Income Statement - FACTORY'!$E$7</f>
        <v>0.34881304024628723</v>
      </c>
      <c r="K117" s="84">
        <f>$D$117/'Income Statement - FACTORY'!$E$7</f>
        <v>0.34881304024628723</v>
      </c>
      <c r="L117" s="84">
        <f>$D$117/'Income Statement - FACTORY'!$E$7</f>
        <v>0.34881304024628723</v>
      </c>
      <c r="M117" s="182"/>
    </row>
    <row r="118" spans="1:13" ht="12.75" customHeight="1" x14ac:dyDescent="0.25">
      <c r="A118" s="26"/>
      <c r="B118" s="81" t="s">
        <v>212</v>
      </c>
      <c r="C118" s="52">
        <v>358832</v>
      </c>
      <c r="D118" s="52">
        <v>396704</v>
      </c>
      <c r="E118" s="84">
        <f>$D$118/$D$20</f>
        <v>0.7627617580837126</v>
      </c>
      <c r="F118" s="84">
        <f t="shared" ref="F118:L118" si="23">$D$118/$D$20</f>
        <v>0.7627617580837126</v>
      </c>
      <c r="G118" s="84">
        <f t="shared" si="23"/>
        <v>0.7627617580837126</v>
      </c>
      <c r="H118" s="84">
        <f t="shared" si="23"/>
        <v>0.7627617580837126</v>
      </c>
      <c r="I118" s="84">
        <f t="shared" si="23"/>
        <v>0.7627617580837126</v>
      </c>
      <c r="J118" s="84">
        <f t="shared" si="23"/>
        <v>0.7627617580837126</v>
      </c>
      <c r="K118" s="84">
        <f t="shared" si="23"/>
        <v>0.7627617580837126</v>
      </c>
      <c r="L118" s="84">
        <f t="shared" si="23"/>
        <v>0.7627617580837126</v>
      </c>
      <c r="M118" s="182"/>
    </row>
    <row r="119" spans="1:13" ht="12.75" customHeight="1" x14ac:dyDescent="0.25">
      <c r="A119" s="26"/>
      <c r="B119" s="86" t="s">
        <v>140</v>
      </c>
      <c r="C119" s="55">
        <v>1738231.5801668209</v>
      </c>
      <c r="D119" s="55">
        <v>1769712.8280815571</v>
      </c>
      <c r="E119" s="52"/>
      <c r="F119" s="52"/>
      <c r="G119" s="52"/>
      <c r="H119" s="52"/>
      <c r="I119" s="52"/>
      <c r="J119" s="52"/>
      <c r="K119" s="52"/>
      <c r="L119" s="52"/>
      <c r="M119" s="26"/>
    </row>
    <row r="120" spans="1:13" ht="12.75" customHeight="1" x14ac:dyDescent="0.25">
      <c r="A120" s="26"/>
      <c r="B120" s="26"/>
      <c r="C120" s="26"/>
      <c r="D120" s="26"/>
      <c r="E120" s="26"/>
      <c r="F120" s="26"/>
      <c r="G120" s="26"/>
      <c r="H120" s="26"/>
      <c r="I120" s="26"/>
      <c r="J120" s="26"/>
      <c r="K120" s="26"/>
      <c r="L120" s="26"/>
      <c r="M120" s="26"/>
    </row>
    <row r="121" spans="1:13" ht="12.75" customHeight="1" x14ac:dyDescent="0.25">
      <c r="A121" s="26"/>
      <c r="B121" s="26"/>
      <c r="C121" s="26"/>
      <c r="D121" s="26"/>
      <c r="E121" s="26"/>
      <c r="F121" s="26"/>
      <c r="G121" s="26"/>
      <c r="H121" s="26"/>
      <c r="I121" s="26"/>
      <c r="J121" s="26"/>
      <c r="K121" s="26"/>
      <c r="L121" s="26"/>
      <c r="M121" s="26"/>
    </row>
    <row r="122" spans="1:13" ht="12.6" customHeight="1" x14ac:dyDescent="0.25">
      <c r="A122" s="26"/>
      <c r="B122" s="26"/>
      <c r="C122" s="26"/>
      <c r="D122" s="26"/>
      <c r="E122" s="26"/>
      <c r="F122" s="26"/>
      <c r="G122" s="26"/>
      <c r="H122" s="26"/>
      <c r="I122" s="26"/>
      <c r="J122" s="26"/>
      <c r="K122" s="26"/>
      <c r="L122" s="26"/>
      <c r="M122" s="26"/>
    </row>
    <row r="123" spans="1:13" ht="12.75" customHeight="1" x14ac:dyDescent="0.25">
      <c r="A123" s="26"/>
      <c r="B123" s="26"/>
      <c r="D123" s="89"/>
      <c r="E123" s="89"/>
      <c r="F123" s="89"/>
      <c r="G123" s="89"/>
      <c r="H123" s="89"/>
      <c r="I123" s="89"/>
      <c r="J123" s="89"/>
      <c r="K123" s="89"/>
      <c r="L123" s="89"/>
      <c r="M123" s="26"/>
    </row>
    <row r="124" spans="1:13" ht="12.75" customHeight="1" x14ac:dyDescent="0.25">
      <c r="A124" s="26"/>
      <c r="B124" s="26"/>
      <c r="D124" s="88"/>
      <c r="E124" s="74"/>
      <c r="F124" s="74"/>
      <c r="G124" s="74"/>
      <c r="H124" s="74"/>
      <c r="I124" s="74"/>
      <c r="J124" s="74"/>
      <c r="K124" s="74"/>
      <c r="L124" s="74"/>
      <c r="M124" s="74"/>
    </row>
    <row r="125" spans="1:13" ht="12.75" customHeight="1" x14ac:dyDescent="0.25">
      <c r="A125" s="26"/>
      <c r="B125" s="26"/>
      <c r="D125" s="88"/>
      <c r="E125" s="74"/>
      <c r="F125" s="74"/>
      <c r="G125" s="74"/>
      <c r="H125" s="74"/>
      <c r="I125" s="74"/>
      <c r="J125" s="74"/>
      <c r="K125" s="74"/>
      <c r="L125" s="74"/>
      <c r="M125" s="74"/>
    </row>
    <row r="126" spans="1:13" ht="12.75" customHeight="1" x14ac:dyDescent="0.25">
      <c r="A126" s="26"/>
      <c r="B126" s="26"/>
      <c r="D126" s="88"/>
      <c r="E126" s="74"/>
      <c r="F126" s="74"/>
      <c r="G126" s="74"/>
      <c r="H126" s="74"/>
      <c r="I126" s="74"/>
      <c r="J126" s="74"/>
      <c r="K126" s="74"/>
      <c r="L126" s="74"/>
      <c r="M126" s="74"/>
    </row>
    <row r="127" spans="1:13" ht="12.75" customHeight="1" x14ac:dyDescent="0.25">
      <c r="A127" s="26"/>
      <c r="B127" s="26"/>
      <c r="D127" s="88"/>
      <c r="E127" s="74"/>
      <c r="F127" s="74"/>
      <c r="G127" s="74"/>
      <c r="H127" s="74"/>
      <c r="I127" s="74"/>
      <c r="J127" s="74"/>
      <c r="K127" s="74"/>
      <c r="L127" s="74"/>
      <c r="M127" s="74"/>
    </row>
    <row r="128" spans="1:13" ht="12.75" customHeight="1" x14ac:dyDescent="0.25">
      <c r="A128" s="26"/>
      <c r="B128" s="26"/>
      <c r="D128" s="88"/>
      <c r="E128" s="74"/>
      <c r="F128" s="74"/>
      <c r="G128" s="74"/>
      <c r="H128" s="74"/>
      <c r="I128" s="74"/>
      <c r="J128" s="74"/>
      <c r="K128" s="74"/>
      <c r="L128" s="74"/>
      <c r="M128" s="74"/>
    </row>
    <row r="129" spans="1:13" ht="12.75" customHeight="1" x14ac:dyDescent="0.25">
      <c r="A129" s="26"/>
      <c r="B129" s="26"/>
      <c r="D129" s="74"/>
      <c r="E129" s="74"/>
      <c r="F129" s="74"/>
      <c r="G129" s="74"/>
      <c r="H129" s="74"/>
      <c r="I129" s="74"/>
      <c r="J129" s="74"/>
      <c r="K129" s="74"/>
      <c r="L129" s="74"/>
      <c r="M129" s="74"/>
    </row>
    <row r="130" spans="1:13" ht="12.75" customHeight="1" x14ac:dyDescent="0.25">
      <c r="A130" s="26"/>
      <c r="B130" s="26"/>
      <c r="D130" s="74"/>
      <c r="E130" s="74"/>
      <c r="F130" s="74"/>
      <c r="G130" s="74"/>
      <c r="H130" s="74"/>
      <c r="I130" s="74"/>
      <c r="J130" s="74"/>
      <c r="K130" s="74"/>
      <c r="L130" s="74"/>
      <c r="M130" s="74"/>
    </row>
    <row r="131" spans="1:13" ht="12.75" customHeight="1" x14ac:dyDescent="0.25">
      <c r="A131" s="26"/>
      <c r="B131" s="26"/>
      <c r="D131" s="88"/>
      <c r="E131" s="74"/>
      <c r="F131" s="74"/>
      <c r="G131" s="74"/>
      <c r="H131" s="74"/>
      <c r="I131" s="74"/>
      <c r="J131" s="74"/>
      <c r="K131" s="74"/>
      <c r="L131" s="74"/>
      <c r="M131" s="74"/>
    </row>
    <row r="132" spans="1:13" ht="12.75" customHeight="1" x14ac:dyDescent="0.25">
      <c r="A132" s="26"/>
      <c r="B132" s="26"/>
      <c r="D132" s="74"/>
      <c r="E132" s="74"/>
      <c r="F132" s="74"/>
      <c r="G132" s="74"/>
      <c r="H132" s="74"/>
      <c r="I132" s="74"/>
      <c r="J132" s="74"/>
      <c r="K132" s="74"/>
      <c r="L132" s="74"/>
      <c r="M132" s="74"/>
    </row>
    <row r="133" spans="1:13" ht="12.75" customHeight="1" x14ac:dyDescent="0.25">
      <c r="A133" s="26"/>
      <c r="B133" s="26"/>
      <c r="D133" s="74"/>
      <c r="E133" s="74"/>
      <c r="F133" s="74"/>
      <c r="G133" s="74"/>
      <c r="H133" s="74"/>
      <c r="I133" s="74"/>
      <c r="J133" s="74"/>
      <c r="K133" s="74"/>
      <c r="L133" s="74"/>
      <c r="M133" s="74"/>
    </row>
    <row r="134" spans="1:13" ht="12.75" customHeight="1" x14ac:dyDescent="0.25">
      <c r="A134" s="26"/>
      <c r="B134" s="26"/>
      <c r="D134" s="74"/>
      <c r="E134" s="74"/>
      <c r="F134" s="74"/>
      <c r="G134" s="74"/>
      <c r="H134" s="74"/>
      <c r="I134" s="74"/>
      <c r="J134" s="74"/>
      <c r="K134" s="74"/>
      <c r="L134" s="74"/>
      <c r="M134" s="74"/>
    </row>
    <row r="135" spans="1:13" ht="12.75" customHeight="1" x14ac:dyDescent="0.25">
      <c r="A135" s="26"/>
      <c r="B135" s="26"/>
      <c r="D135" s="88"/>
      <c r="E135" s="74"/>
      <c r="F135" s="74"/>
      <c r="G135" s="74"/>
      <c r="H135" s="74"/>
      <c r="I135" s="74"/>
      <c r="J135" s="74"/>
      <c r="K135" s="74"/>
      <c r="L135" s="74"/>
      <c r="M135" s="74"/>
    </row>
    <row r="136" spans="1:13" ht="12.75" customHeight="1" x14ac:dyDescent="0.25">
      <c r="A136" s="26"/>
      <c r="B136" s="26"/>
      <c r="D136" s="74"/>
      <c r="E136" s="74"/>
      <c r="F136" s="74"/>
      <c r="G136" s="74"/>
      <c r="H136" s="74"/>
      <c r="I136" s="74"/>
      <c r="J136" s="74"/>
      <c r="K136" s="74"/>
      <c r="L136" s="74"/>
      <c r="M136" s="74"/>
    </row>
    <row r="137" spans="1:13" ht="12.75" customHeight="1" x14ac:dyDescent="0.25">
      <c r="A137" s="26"/>
      <c r="B137" s="26"/>
      <c r="D137" s="74"/>
      <c r="E137" s="74"/>
      <c r="F137" s="74"/>
      <c r="G137" s="74"/>
      <c r="H137" s="74"/>
      <c r="I137" s="74"/>
      <c r="J137" s="74"/>
      <c r="K137" s="74"/>
      <c r="L137" s="74"/>
      <c r="M137" s="74"/>
    </row>
    <row r="138" spans="1:13" ht="12.75" customHeight="1" x14ac:dyDescent="0.25">
      <c r="A138" s="26"/>
      <c r="B138" s="26"/>
      <c r="C138" s="26"/>
      <c r="D138" s="26"/>
      <c r="E138" s="26"/>
      <c r="F138" s="26"/>
      <c r="G138" s="26"/>
      <c r="H138" s="26"/>
      <c r="I138" s="26"/>
      <c r="J138" s="26"/>
      <c r="K138" s="26"/>
      <c r="L138" s="26"/>
      <c r="M138" s="26"/>
    </row>
    <row r="139" spans="1:13" ht="12.75" customHeight="1" x14ac:dyDescent="0.25">
      <c r="A139" s="26"/>
      <c r="B139" s="26"/>
      <c r="C139" s="26"/>
      <c r="D139" s="26"/>
      <c r="E139" s="26"/>
      <c r="F139" s="26"/>
      <c r="G139" s="26"/>
      <c r="H139" s="26"/>
      <c r="I139" s="26"/>
      <c r="J139" s="26"/>
      <c r="K139" s="26"/>
      <c r="L139" s="26"/>
      <c r="M139" s="26"/>
    </row>
    <row r="140" spans="1:13" ht="12.75" customHeight="1" x14ac:dyDescent="0.25">
      <c r="A140" s="26"/>
      <c r="B140" s="26"/>
      <c r="C140" s="26"/>
      <c r="D140" s="89"/>
      <c r="E140" s="89"/>
      <c r="F140" s="89"/>
      <c r="G140" s="89"/>
      <c r="H140" s="89"/>
      <c r="I140" s="89"/>
      <c r="J140" s="89"/>
      <c r="K140" s="89"/>
      <c r="L140" s="89"/>
      <c r="M140" s="26"/>
    </row>
    <row r="141" spans="1:13" ht="12.75" customHeight="1" x14ac:dyDescent="0.25">
      <c r="A141" s="26"/>
      <c r="B141" s="34"/>
      <c r="C141" s="35"/>
      <c r="D141" s="35"/>
      <c r="E141" s="26"/>
      <c r="F141" s="26"/>
      <c r="G141" s="26"/>
      <c r="H141" s="26"/>
      <c r="I141" s="26"/>
      <c r="J141" s="26"/>
      <c r="K141" s="26"/>
      <c r="L141" s="26"/>
      <c r="M141" s="26"/>
    </row>
    <row r="142" spans="1:13" ht="12.75" customHeight="1" x14ac:dyDescent="0.25">
      <c r="A142" s="26"/>
      <c r="B142" s="45"/>
      <c r="C142" s="35"/>
      <c r="D142" s="35"/>
      <c r="E142" s="91"/>
      <c r="F142" s="91"/>
      <c r="G142" s="91"/>
      <c r="H142" s="91"/>
      <c r="I142" s="91"/>
      <c r="J142" s="91"/>
      <c r="K142" s="91"/>
      <c r="L142" s="91"/>
      <c r="M142" s="26"/>
    </row>
    <row r="143" spans="1:13" ht="12.75" customHeight="1" x14ac:dyDescent="0.25">
      <c r="A143" s="26"/>
      <c r="B143" s="34"/>
      <c r="C143" s="35"/>
      <c r="D143" s="35"/>
      <c r="E143" s="26"/>
      <c r="F143" s="26"/>
      <c r="G143" s="26"/>
      <c r="H143" s="26"/>
      <c r="I143" s="26"/>
      <c r="J143" s="26"/>
      <c r="K143" s="26"/>
      <c r="L143" s="26"/>
      <c r="M143" s="26"/>
    </row>
    <row r="144" spans="1:13" ht="12.75" customHeight="1" x14ac:dyDescent="0.25">
      <c r="A144" s="26"/>
      <c r="B144" s="45"/>
      <c r="C144" s="35"/>
      <c r="D144" s="35"/>
      <c r="E144" s="91"/>
      <c r="F144" s="91"/>
      <c r="G144" s="91"/>
      <c r="H144" s="91"/>
      <c r="I144" s="91"/>
      <c r="J144" s="91"/>
      <c r="K144" s="91"/>
      <c r="L144" s="91"/>
      <c r="M144" s="26"/>
    </row>
    <row r="145" spans="1:13" ht="12.75" customHeight="1" x14ac:dyDescent="0.25">
      <c r="A145" s="26"/>
      <c r="B145" s="45"/>
      <c r="C145" s="35"/>
      <c r="D145" s="35"/>
      <c r="E145" s="35"/>
      <c r="F145" s="35"/>
      <c r="G145" s="35"/>
      <c r="H145" s="35"/>
      <c r="I145" s="35"/>
      <c r="J145" s="35"/>
      <c r="K145" s="35"/>
      <c r="L145" s="35"/>
      <c r="M145" s="26"/>
    </row>
    <row r="146" spans="1:13" ht="12.75" customHeight="1" x14ac:dyDescent="0.25">
      <c r="A146" s="26"/>
      <c r="B146" s="45"/>
      <c r="C146" s="35"/>
      <c r="D146" s="35"/>
      <c r="E146" s="26"/>
      <c r="F146" s="26"/>
      <c r="G146" s="26"/>
      <c r="H146" s="26"/>
      <c r="I146" s="26"/>
      <c r="J146" s="26"/>
      <c r="K146" s="26"/>
      <c r="L146" s="26"/>
      <c r="M146" s="26"/>
    </row>
    <row r="147" spans="1:13" ht="12.75" customHeight="1" x14ac:dyDescent="0.25">
      <c r="A147" s="26"/>
      <c r="B147" s="45"/>
      <c r="C147" s="35"/>
      <c r="D147" s="35"/>
      <c r="E147" s="26"/>
      <c r="F147" s="26"/>
      <c r="G147" s="26"/>
      <c r="H147" s="26"/>
      <c r="I147" s="26"/>
      <c r="J147" s="26"/>
      <c r="K147" s="26"/>
      <c r="L147" s="26"/>
      <c r="M147" s="26"/>
    </row>
    <row r="148" spans="1:13" ht="12.75" customHeight="1" x14ac:dyDescent="0.25">
      <c r="A148" s="26"/>
      <c r="B148" s="26"/>
      <c r="C148" s="26"/>
      <c r="D148" s="26"/>
      <c r="E148" s="26"/>
      <c r="F148" s="26"/>
      <c r="G148" s="26"/>
      <c r="H148" s="26"/>
      <c r="I148" s="26"/>
      <c r="J148" s="26"/>
      <c r="K148" s="26"/>
      <c r="L148" s="26"/>
      <c r="M148" s="26"/>
    </row>
    <row r="149" spans="1:13" ht="12.75" customHeight="1" x14ac:dyDescent="0.25">
      <c r="A149" s="26"/>
      <c r="B149" s="26"/>
      <c r="C149" s="26"/>
      <c r="D149" s="89"/>
      <c r="E149" s="89"/>
      <c r="F149" s="89"/>
      <c r="G149" s="89"/>
      <c r="H149" s="89"/>
      <c r="I149" s="89"/>
      <c r="J149" s="89"/>
      <c r="K149" s="89"/>
      <c r="L149" s="89"/>
      <c r="M149" s="26"/>
    </row>
    <row r="150" spans="1:13" ht="12.75" customHeight="1" x14ac:dyDescent="0.25">
      <c r="A150" s="26"/>
      <c r="B150" s="26"/>
      <c r="C150" s="26"/>
      <c r="D150" s="26"/>
      <c r="E150" s="74"/>
      <c r="F150" s="74"/>
      <c r="G150" s="74"/>
      <c r="H150" s="74"/>
      <c r="I150" s="74"/>
      <c r="J150" s="74"/>
      <c r="K150" s="74"/>
      <c r="L150" s="74"/>
      <c r="M150" s="26"/>
    </row>
    <row r="151" spans="1:13" ht="12.75" customHeight="1" x14ac:dyDescent="0.25">
      <c r="A151" s="26"/>
      <c r="B151" s="26"/>
      <c r="C151" s="26"/>
      <c r="D151" s="26"/>
      <c r="E151" s="74"/>
      <c r="F151" s="74"/>
      <c r="G151" s="74"/>
      <c r="H151" s="74"/>
      <c r="I151" s="74"/>
      <c r="J151" s="74"/>
      <c r="K151" s="74"/>
      <c r="L151" s="74"/>
      <c r="M151" s="26"/>
    </row>
    <row r="152" spans="1:13" ht="12.75" customHeight="1" x14ac:dyDescent="0.25">
      <c r="A152" s="26"/>
      <c r="B152" s="26"/>
      <c r="C152" s="26"/>
      <c r="D152" s="26"/>
      <c r="E152" s="74"/>
      <c r="F152" s="74"/>
      <c r="G152" s="74"/>
      <c r="H152" s="74"/>
      <c r="I152" s="74"/>
      <c r="J152" s="74"/>
      <c r="K152" s="74"/>
      <c r="L152" s="74"/>
      <c r="M152" s="26"/>
    </row>
    <row r="153" spans="1:13" ht="12.75" customHeight="1" x14ac:dyDescent="0.25">
      <c r="A153" s="26"/>
      <c r="B153" s="26"/>
      <c r="C153" s="26"/>
      <c r="D153" s="26"/>
      <c r="E153" s="26"/>
      <c r="F153" s="26"/>
      <c r="G153" s="26"/>
      <c r="H153" s="26"/>
      <c r="I153" s="26"/>
      <c r="J153" s="26"/>
      <c r="K153" s="26"/>
      <c r="L153" s="26"/>
      <c r="M153" s="26"/>
    </row>
    <row r="154" spans="1:13" ht="12.75" customHeight="1" x14ac:dyDescent="0.25">
      <c r="A154" s="26"/>
      <c r="B154" s="26"/>
      <c r="C154" s="26"/>
      <c r="D154" s="26"/>
      <c r="E154" s="26"/>
      <c r="F154" s="26"/>
      <c r="G154" s="26"/>
      <c r="H154" s="26"/>
      <c r="I154" s="26"/>
      <c r="J154" s="26"/>
      <c r="K154" s="26"/>
      <c r="L154" s="26"/>
      <c r="M154" s="26"/>
    </row>
    <row r="155" spans="1:13" ht="12.75" customHeight="1" x14ac:dyDescent="0.25">
      <c r="A155" s="26"/>
      <c r="B155" s="26"/>
      <c r="C155" s="26"/>
      <c r="D155" s="26"/>
      <c r="E155" s="26"/>
      <c r="G155" s="91"/>
      <c r="H155" s="91"/>
      <c r="I155" s="91"/>
      <c r="J155" s="26"/>
      <c r="K155" s="26"/>
      <c r="L155" s="26"/>
      <c r="M155" s="26"/>
    </row>
    <row r="156" spans="1:13" ht="12.75" customHeight="1" x14ac:dyDescent="0.25">
      <c r="A156" s="26"/>
      <c r="B156" s="26"/>
      <c r="C156" s="26"/>
      <c r="D156" s="26"/>
      <c r="E156" s="26"/>
      <c r="F156" s="26"/>
      <c r="G156" s="26"/>
      <c r="H156" s="26"/>
      <c r="I156" s="26"/>
      <c r="J156" s="26"/>
      <c r="K156" s="26"/>
      <c r="L156" s="26"/>
      <c r="M156" s="26"/>
    </row>
    <row r="157" spans="1:13" ht="12.75" customHeight="1" x14ac:dyDescent="0.25">
      <c r="A157" s="26"/>
      <c r="B157" s="26"/>
      <c r="C157" s="26"/>
      <c r="D157" s="26"/>
      <c r="E157" s="26"/>
      <c r="F157" s="26"/>
      <c r="G157" s="26"/>
      <c r="H157" s="26"/>
      <c r="I157" s="26"/>
      <c r="J157" s="26"/>
      <c r="K157" s="26"/>
      <c r="L157" s="26"/>
      <c r="M157" s="26"/>
    </row>
    <row r="158" spans="1:13" ht="12.75" customHeight="1" x14ac:dyDescent="0.25">
      <c r="A158" s="26"/>
      <c r="B158" s="26"/>
      <c r="C158" s="26"/>
      <c r="D158" s="26"/>
      <c r="E158" s="26"/>
      <c r="F158" s="26"/>
      <c r="G158" s="26"/>
      <c r="H158" s="26"/>
      <c r="I158" s="26"/>
      <c r="J158" s="26"/>
      <c r="K158" s="26"/>
      <c r="L158" s="26"/>
      <c r="M158" s="26"/>
    </row>
    <row r="159" spans="1:13" ht="12.75" customHeight="1" x14ac:dyDescent="0.25">
      <c r="A159" s="26"/>
      <c r="B159" s="26"/>
      <c r="C159" s="26"/>
      <c r="D159" s="26"/>
      <c r="E159" s="26"/>
      <c r="F159" s="26"/>
      <c r="G159" s="26"/>
      <c r="H159" s="26"/>
      <c r="I159" s="26"/>
      <c r="J159" s="26"/>
      <c r="K159" s="26"/>
      <c r="L159" s="26"/>
      <c r="M159" s="26"/>
    </row>
    <row r="160" spans="1:13" ht="12.75" customHeight="1" x14ac:dyDescent="0.25">
      <c r="A160" s="26"/>
      <c r="B160" s="26"/>
      <c r="C160" s="26"/>
      <c r="D160" s="26"/>
      <c r="E160" s="26"/>
      <c r="F160" s="26"/>
      <c r="G160" s="26"/>
      <c r="H160" s="26"/>
      <c r="I160" s="26"/>
      <c r="J160" s="26"/>
      <c r="K160" s="26"/>
      <c r="L160" s="26"/>
      <c r="M160" s="26"/>
    </row>
    <row r="161" spans="1:13" ht="12.75" customHeight="1" x14ac:dyDescent="0.25">
      <c r="A161" s="26"/>
      <c r="B161" s="26"/>
      <c r="C161" s="26"/>
      <c r="D161" s="26"/>
      <c r="E161" s="26"/>
      <c r="F161" s="26"/>
      <c r="G161" s="26"/>
      <c r="H161" s="26"/>
      <c r="I161" s="26"/>
      <c r="J161" s="26"/>
      <c r="K161" s="26"/>
      <c r="L161" s="26"/>
      <c r="M161" s="26"/>
    </row>
    <row r="162" spans="1:13" ht="12.75" customHeight="1" x14ac:dyDescent="0.25">
      <c r="A162" s="26"/>
      <c r="B162" s="26"/>
      <c r="C162" s="26"/>
      <c r="D162" s="26"/>
      <c r="E162" s="26"/>
      <c r="F162" s="26"/>
      <c r="G162" s="26"/>
      <c r="H162" s="26"/>
      <c r="I162" s="26"/>
      <c r="J162" s="26"/>
      <c r="K162" s="26"/>
      <c r="L162" s="26"/>
      <c r="M162" s="26"/>
    </row>
    <row r="163" spans="1:13" ht="12.75" customHeight="1" x14ac:dyDescent="0.25">
      <c r="A163" s="26"/>
      <c r="B163" s="26"/>
      <c r="C163" s="26"/>
      <c r="D163" s="26"/>
      <c r="E163" s="26"/>
      <c r="F163" s="26"/>
      <c r="G163" s="26"/>
      <c r="H163" s="26"/>
      <c r="I163" s="26"/>
      <c r="J163" s="26"/>
      <c r="K163" s="26"/>
      <c r="L163" s="26"/>
      <c r="M163" s="26"/>
    </row>
    <row r="164" spans="1:13" ht="12.75" customHeight="1" x14ac:dyDescent="0.25">
      <c r="A164" s="26"/>
      <c r="B164" s="26"/>
      <c r="C164" s="26"/>
      <c r="D164" s="26"/>
      <c r="E164" s="26"/>
      <c r="F164" s="26"/>
      <c r="G164" s="26"/>
      <c r="H164" s="26"/>
      <c r="I164" s="26"/>
      <c r="J164" s="26"/>
      <c r="K164" s="26"/>
      <c r="L164" s="26"/>
      <c r="M164" s="26"/>
    </row>
    <row r="165" spans="1:13" ht="12.75" customHeight="1" x14ac:dyDescent="0.25">
      <c r="A165" s="26"/>
      <c r="B165" s="26"/>
      <c r="C165" s="26"/>
      <c r="D165" s="26"/>
      <c r="E165" s="26"/>
      <c r="F165" s="26"/>
      <c r="G165" s="26"/>
      <c r="H165" s="26"/>
      <c r="I165" s="26"/>
      <c r="J165" s="26"/>
      <c r="K165" s="26"/>
      <c r="L165" s="26"/>
      <c r="M165" s="26"/>
    </row>
    <row r="166" spans="1:13" ht="12.75" customHeight="1" x14ac:dyDescent="0.25">
      <c r="A166" s="26"/>
      <c r="B166" s="26"/>
      <c r="C166" s="26"/>
      <c r="D166" s="26"/>
      <c r="E166" s="26"/>
      <c r="F166" s="26"/>
      <c r="G166" s="26"/>
      <c r="H166" s="26"/>
      <c r="I166" s="26"/>
      <c r="J166" s="26"/>
      <c r="K166" s="26"/>
      <c r="L166" s="26"/>
      <c r="M166" s="26"/>
    </row>
    <row r="167" spans="1:13" ht="12.75" customHeight="1" x14ac:dyDescent="0.25">
      <c r="A167" s="26"/>
      <c r="B167" s="26"/>
      <c r="C167" s="26"/>
      <c r="D167" s="26"/>
      <c r="E167" s="26"/>
      <c r="F167" s="26"/>
      <c r="G167" s="26"/>
      <c r="H167" s="26"/>
      <c r="I167" s="26"/>
      <c r="J167" s="26"/>
      <c r="K167" s="26"/>
      <c r="L167" s="26"/>
      <c r="M167" s="26"/>
    </row>
    <row r="168" spans="1:13" ht="12.75" customHeight="1" x14ac:dyDescent="0.25">
      <c r="A168" s="26"/>
      <c r="B168" s="26"/>
      <c r="C168" s="26"/>
      <c r="D168" s="26"/>
      <c r="E168" s="26"/>
      <c r="F168" s="26"/>
      <c r="G168" s="26"/>
      <c r="H168" s="26"/>
      <c r="I168" s="26"/>
      <c r="J168" s="26"/>
      <c r="K168" s="26"/>
      <c r="L168" s="26"/>
      <c r="M168" s="26"/>
    </row>
    <row r="169" spans="1:13" ht="12.75" customHeight="1" x14ac:dyDescent="0.25">
      <c r="A169" s="26"/>
      <c r="B169" s="26"/>
      <c r="C169" s="26"/>
      <c r="D169" s="26"/>
      <c r="E169" s="26"/>
      <c r="F169" s="26"/>
      <c r="G169" s="26"/>
      <c r="H169" s="26"/>
      <c r="I169" s="26"/>
      <c r="J169" s="26"/>
      <c r="K169" s="26"/>
      <c r="L169" s="26"/>
      <c r="M169" s="26"/>
    </row>
    <row r="170" spans="1:13" ht="12.75" customHeight="1" x14ac:dyDescent="0.25">
      <c r="A170" s="26"/>
      <c r="B170" s="26"/>
      <c r="C170" s="26"/>
      <c r="D170" s="26"/>
      <c r="E170" s="26"/>
      <c r="F170" s="26"/>
      <c r="G170" s="26"/>
      <c r="H170" s="26"/>
      <c r="I170" s="26"/>
      <c r="J170" s="26"/>
      <c r="K170" s="26"/>
      <c r="L170" s="26"/>
      <c r="M170" s="26"/>
    </row>
    <row r="171" spans="1:13" ht="12.75" customHeight="1" x14ac:dyDescent="0.25">
      <c r="A171" s="26"/>
      <c r="B171" s="26"/>
      <c r="C171" s="26"/>
      <c r="D171" s="26"/>
      <c r="E171" s="26"/>
      <c r="F171" s="26"/>
      <c r="G171" s="26"/>
      <c r="H171" s="26"/>
      <c r="I171" s="26"/>
      <c r="J171" s="26"/>
      <c r="K171" s="26"/>
      <c r="L171" s="26"/>
      <c r="M171" s="26"/>
    </row>
    <row r="172" spans="1:13" ht="12.75" customHeight="1" x14ac:dyDescent="0.25">
      <c r="A172" s="26"/>
      <c r="B172" s="26"/>
      <c r="C172" s="26"/>
      <c r="D172" s="26"/>
      <c r="E172" s="26"/>
      <c r="F172" s="26"/>
      <c r="G172" s="26"/>
      <c r="H172" s="26"/>
      <c r="I172" s="26"/>
      <c r="J172" s="26"/>
      <c r="K172" s="26"/>
      <c r="L172" s="26"/>
      <c r="M172" s="26"/>
    </row>
    <row r="173" spans="1:13" ht="12.75" customHeight="1" x14ac:dyDescent="0.25">
      <c r="A173" s="26"/>
      <c r="B173" s="26"/>
      <c r="C173" s="26"/>
      <c r="D173" s="26"/>
      <c r="E173" s="26"/>
      <c r="F173" s="26"/>
      <c r="G173" s="26"/>
      <c r="H173" s="26"/>
      <c r="I173" s="26"/>
      <c r="J173" s="26"/>
      <c r="K173" s="26"/>
      <c r="L173" s="26"/>
      <c r="M173" s="26"/>
    </row>
    <row r="174" spans="1:13" ht="12.75" customHeight="1" x14ac:dyDescent="0.25">
      <c r="A174" s="26"/>
      <c r="B174" s="26"/>
      <c r="C174" s="26"/>
      <c r="D174" s="26"/>
      <c r="E174" s="26"/>
      <c r="F174" s="26"/>
      <c r="G174" s="26"/>
      <c r="H174" s="26"/>
      <c r="I174" s="26"/>
      <c r="J174" s="26"/>
      <c r="K174" s="26"/>
      <c r="L174" s="26"/>
      <c r="M174" s="26"/>
    </row>
    <row r="175" spans="1:13" ht="12.75" customHeight="1" x14ac:dyDescent="0.25">
      <c r="A175" s="26"/>
      <c r="B175" s="26"/>
      <c r="C175" s="26"/>
      <c r="D175" s="26"/>
      <c r="E175" s="26"/>
      <c r="F175" s="26"/>
      <c r="G175" s="26"/>
      <c r="H175" s="26"/>
      <c r="I175" s="26"/>
      <c r="J175" s="26"/>
      <c r="K175" s="26"/>
      <c r="L175" s="26"/>
      <c r="M175" s="26"/>
    </row>
    <row r="176" spans="1:13" ht="12.75" customHeight="1" x14ac:dyDescent="0.25">
      <c r="A176" s="26"/>
      <c r="B176" s="26"/>
      <c r="C176" s="26"/>
      <c r="D176" s="26"/>
      <c r="E176" s="26"/>
      <c r="F176" s="26"/>
      <c r="G176" s="26"/>
      <c r="H176" s="26"/>
      <c r="I176" s="26"/>
      <c r="J176" s="26"/>
      <c r="K176" s="26"/>
      <c r="L176" s="26"/>
      <c r="M176" s="26"/>
    </row>
    <row r="177" spans="1:13" ht="12.75" customHeight="1" x14ac:dyDescent="0.25">
      <c r="A177" s="26"/>
      <c r="B177" s="26"/>
      <c r="C177" s="26"/>
      <c r="D177" s="26"/>
      <c r="E177" s="26"/>
      <c r="F177" s="26"/>
      <c r="G177" s="26"/>
      <c r="H177" s="26"/>
      <c r="I177" s="26"/>
      <c r="J177" s="26"/>
      <c r="K177" s="26"/>
      <c r="L177" s="26"/>
      <c r="M177" s="26"/>
    </row>
    <row r="178" spans="1:13" ht="12.75" customHeight="1" x14ac:dyDescent="0.25">
      <c r="A178" s="26"/>
      <c r="B178" s="26"/>
      <c r="C178" s="26"/>
      <c r="D178" s="26"/>
      <c r="E178" s="26"/>
      <c r="F178" s="26"/>
      <c r="G178" s="26"/>
      <c r="H178" s="26"/>
      <c r="I178" s="26"/>
      <c r="J178" s="26"/>
      <c r="K178" s="26"/>
      <c r="L178" s="26"/>
      <c r="M178" s="26"/>
    </row>
    <row r="179" spans="1:13" ht="12.75" customHeight="1" x14ac:dyDescent="0.25">
      <c r="A179" s="26"/>
      <c r="B179" s="26"/>
      <c r="C179" s="26"/>
      <c r="D179" s="26"/>
      <c r="E179" s="26"/>
      <c r="F179" s="26"/>
      <c r="G179" s="26"/>
      <c r="H179" s="26"/>
      <c r="I179" s="26"/>
      <c r="J179" s="26"/>
      <c r="K179" s="26"/>
      <c r="L179" s="26"/>
      <c r="M179" s="26"/>
    </row>
    <row r="180" spans="1:13" ht="12.75" customHeight="1" x14ac:dyDescent="0.25">
      <c r="A180" s="26"/>
      <c r="B180" s="26"/>
      <c r="C180" s="26"/>
      <c r="D180" s="26"/>
      <c r="E180" s="26"/>
      <c r="F180" s="26"/>
      <c r="G180" s="26"/>
      <c r="H180" s="26"/>
      <c r="I180" s="26"/>
      <c r="J180" s="26"/>
      <c r="K180" s="26"/>
      <c r="L180" s="26"/>
      <c r="M180" s="26"/>
    </row>
    <row r="181" spans="1:13" ht="12.75" customHeight="1" x14ac:dyDescent="0.25">
      <c r="A181" s="26"/>
      <c r="B181" s="26"/>
      <c r="C181" s="26"/>
      <c r="D181" s="26"/>
      <c r="E181" s="26"/>
      <c r="F181" s="26"/>
      <c r="G181" s="26"/>
      <c r="H181" s="26"/>
      <c r="I181" s="26"/>
      <c r="J181" s="26"/>
      <c r="K181" s="26"/>
      <c r="L181" s="26"/>
      <c r="M181" s="26"/>
    </row>
    <row r="182" spans="1:13" ht="12.75" customHeight="1" x14ac:dyDescent="0.25">
      <c r="A182" s="26"/>
      <c r="B182" s="26"/>
      <c r="C182" s="26"/>
      <c r="D182" s="26"/>
      <c r="E182" s="26"/>
      <c r="F182" s="26"/>
      <c r="G182" s="26"/>
      <c r="H182" s="26"/>
      <c r="I182" s="26"/>
      <c r="J182" s="26"/>
      <c r="K182" s="26"/>
      <c r="L182" s="26"/>
      <c r="M182" s="26"/>
    </row>
    <row r="183" spans="1:13" ht="12.75" customHeight="1" x14ac:dyDescent="0.25">
      <c r="A183" s="26"/>
      <c r="B183" s="26"/>
      <c r="C183" s="26"/>
      <c r="D183" s="26"/>
      <c r="E183" s="26"/>
      <c r="F183" s="26"/>
      <c r="G183" s="26"/>
      <c r="H183" s="26"/>
      <c r="I183" s="26"/>
      <c r="J183" s="26"/>
      <c r="K183" s="26"/>
      <c r="L183" s="26"/>
      <c r="M183" s="26"/>
    </row>
    <row r="184" spans="1:13" ht="12.75" customHeight="1" x14ac:dyDescent="0.25">
      <c r="A184" s="26"/>
      <c r="B184" s="26"/>
      <c r="C184" s="26"/>
      <c r="D184" s="26"/>
      <c r="E184" s="26"/>
      <c r="F184" s="26"/>
      <c r="G184" s="26"/>
      <c r="H184" s="26"/>
      <c r="I184" s="26"/>
      <c r="J184" s="26"/>
      <c r="K184" s="26"/>
      <c r="L184" s="26"/>
      <c r="M184" s="26"/>
    </row>
    <row r="185" spans="1:13" ht="12.75" customHeight="1" x14ac:dyDescent="0.25">
      <c r="A185" s="26"/>
      <c r="B185" s="26"/>
      <c r="C185" s="26"/>
      <c r="D185" s="26"/>
      <c r="E185" s="26"/>
      <c r="F185" s="26"/>
      <c r="G185" s="26"/>
      <c r="H185" s="26"/>
      <c r="I185" s="26"/>
      <c r="J185" s="26"/>
      <c r="K185" s="26"/>
      <c r="L185" s="26"/>
      <c r="M185" s="26"/>
    </row>
    <row r="186" spans="1:13" ht="12.75" customHeight="1" x14ac:dyDescent="0.25">
      <c r="A186" s="26"/>
      <c r="B186" s="26"/>
      <c r="C186" s="26"/>
      <c r="D186" s="26"/>
      <c r="E186" s="26"/>
      <c r="F186" s="26"/>
      <c r="G186" s="26"/>
      <c r="H186" s="26"/>
      <c r="I186" s="26"/>
      <c r="J186" s="26"/>
      <c r="K186" s="26"/>
      <c r="L186" s="26"/>
      <c r="M186" s="26"/>
    </row>
    <row r="187" spans="1:13" ht="12.75" customHeight="1" x14ac:dyDescent="0.25">
      <c r="A187" s="26"/>
      <c r="B187" s="26"/>
      <c r="C187" s="26"/>
      <c r="D187" s="26"/>
      <c r="E187" s="26"/>
      <c r="F187" s="26"/>
      <c r="G187" s="26"/>
      <c r="H187" s="26"/>
      <c r="I187" s="26"/>
      <c r="J187" s="26"/>
      <c r="K187" s="26"/>
      <c r="L187" s="26"/>
      <c r="M187" s="26"/>
    </row>
    <row r="188" spans="1:13" ht="12.75" customHeight="1" x14ac:dyDescent="0.25">
      <c r="A188" s="26"/>
      <c r="B188" s="26"/>
      <c r="C188" s="26"/>
      <c r="D188" s="26"/>
      <c r="E188" s="26"/>
      <c r="F188" s="26"/>
      <c r="G188" s="26"/>
      <c r="H188" s="26"/>
      <c r="I188" s="26"/>
      <c r="J188" s="26"/>
      <c r="K188" s="26"/>
      <c r="L188" s="26"/>
      <c r="M188" s="26"/>
    </row>
    <row r="189" spans="1:13" ht="12.75" customHeight="1" x14ac:dyDescent="0.25">
      <c r="A189" s="26"/>
      <c r="B189" s="26"/>
      <c r="C189" s="26"/>
      <c r="D189" s="26"/>
      <c r="E189" s="26"/>
      <c r="F189" s="26"/>
      <c r="G189" s="26"/>
      <c r="H189" s="26"/>
      <c r="I189" s="26"/>
      <c r="J189" s="26"/>
      <c r="K189" s="26"/>
      <c r="L189" s="26"/>
      <c r="M189" s="26"/>
    </row>
    <row r="190" spans="1:13" ht="12.75" customHeight="1" x14ac:dyDescent="0.25">
      <c r="A190" s="26"/>
      <c r="B190" s="26"/>
      <c r="C190" s="26"/>
      <c r="D190" s="26"/>
      <c r="E190" s="26"/>
      <c r="F190" s="26"/>
      <c r="G190" s="26"/>
      <c r="H190" s="26"/>
      <c r="I190" s="26"/>
      <c r="J190" s="26"/>
      <c r="K190" s="26"/>
      <c r="L190" s="26"/>
      <c r="M190" s="26"/>
    </row>
    <row r="191" spans="1:13" ht="12.75" customHeight="1" x14ac:dyDescent="0.25">
      <c r="A191" s="26"/>
      <c r="B191" s="26"/>
      <c r="C191" s="26"/>
      <c r="D191" s="26"/>
      <c r="E191" s="26"/>
      <c r="F191" s="26"/>
      <c r="G191" s="26"/>
      <c r="H191" s="26"/>
      <c r="I191" s="26"/>
      <c r="J191" s="26"/>
      <c r="K191" s="26"/>
      <c r="L191" s="26"/>
      <c r="M191" s="26"/>
    </row>
    <row r="192" spans="1:13" ht="12.75" customHeight="1" x14ac:dyDescent="0.25">
      <c r="A192" s="26"/>
      <c r="B192" s="26"/>
      <c r="C192" s="26"/>
      <c r="D192" s="26"/>
      <c r="E192" s="26"/>
      <c r="F192" s="26"/>
      <c r="G192" s="26"/>
      <c r="H192" s="26"/>
      <c r="I192" s="26"/>
      <c r="J192" s="26"/>
      <c r="K192" s="26"/>
      <c r="L192" s="26"/>
      <c r="M192" s="26"/>
    </row>
    <row r="193" spans="1:13" ht="12.75" customHeight="1" x14ac:dyDescent="0.25">
      <c r="A193" s="26"/>
      <c r="B193" s="26"/>
      <c r="C193" s="26"/>
      <c r="D193" s="26"/>
      <c r="E193" s="26"/>
      <c r="F193" s="26"/>
      <c r="G193" s="26"/>
      <c r="H193" s="26"/>
      <c r="I193" s="26"/>
      <c r="J193" s="26"/>
      <c r="K193" s="26"/>
      <c r="L193" s="26"/>
      <c r="M193" s="26"/>
    </row>
    <row r="194" spans="1:13" ht="12.75" customHeight="1" x14ac:dyDescent="0.25">
      <c r="A194" s="26"/>
      <c r="B194" s="26"/>
      <c r="C194" s="26"/>
      <c r="D194" s="26"/>
      <c r="E194" s="26"/>
      <c r="F194" s="26"/>
      <c r="G194" s="26"/>
      <c r="H194" s="26"/>
      <c r="I194" s="26"/>
      <c r="J194" s="26"/>
      <c r="K194" s="26"/>
      <c r="L194" s="26"/>
      <c r="M194" s="26"/>
    </row>
    <row r="195" spans="1:13" ht="12.75" customHeight="1" x14ac:dyDescent="0.25">
      <c r="A195" s="26"/>
      <c r="B195" s="26"/>
      <c r="C195" s="26"/>
      <c r="D195" s="26"/>
      <c r="E195" s="26"/>
      <c r="F195" s="26"/>
      <c r="G195" s="26"/>
      <c r="H195" s="26"/>
      <c r="I195" s="26"/>
      <c r="J195" s="26"/>
      <c r="K195" s="26"/>
      <c r="L195" s="26"/>
      <c r="M195" s="26"/>
    </row>
    <row r="196" spans="1:13" ht="12.75" customHeight="1" x14ac:dyDescent="0.25">
      <c r="A196" s="26"/>
      <c r="B196" s="26"/>
      <c r="C196" s="26"/>
      <c r="D196" s="26"/>
      <c r="E196" s="26"/>
      <c r="F196" s="26"/>
      <c r="G196" s="26"/>
      <c r="H196" s="26"/>
      <c r="I196" s="26"/>
      <c r="J196" s="26"/>
      <c r="K196" s="26"/>
      <c r="L196" s="26"/>
      <c r="M196" s="26"/>
    </row>
    <row r="197" spans="1:13" ht="12.75" customHeight="1" x14ac:dyDescent="0.25">
      <c r="A197" s="26"/>
      <c r="B197" s="26"/>
      <c r="C197" s="26"/>
      <c r="D197" s="26"/>
      <c r="E197" s="26"/>
      <c r="F197" s="26"/>
      <c r="G197" s="26"/>
      <c r="H197" s="26"/>
      <c r="I197" s="26"/>
      <c r="J197" s="26"/>
      <c r="K197" s="26"/>
      <c r="L197" s="26"/>
      <c r="M197" s="26"/>
    </row>
    <row r="198" spans="1:13" ht="12.75" customHeight="1" x14ac:dyDescent="0.25">
      <c r="A198" s="26"/>
      <c r="B198" s="26"/>
      <c r="C198" s="26"/>
      <c r="D198" s="26"/>
      <c r="E198" s="26"/>
      <c r="F198" s="26"/>
      <c r="G198" s="26"/>
      <c r="H198" s="26"/>
      <c r="I198" s="26"/>
      <c r="J198" s="26"/>
      <c r="K198" s="26"/>
      <c r="L198" s="26"/>
      <c r="M198" s="26"/>
    </row>
    <row r="199" spans="1:13" ht="12.75" customHeight="1" x14ac:dyDescent="0.25">
      <c r="A199" s="26"/>
      <c r="B199" s="26"/>
      <c r="C199" s="26"/>
      <c r="D199" s="26"/>
      <c r="E199" s="26"/>
      <c r="F199" s="26"/>
      <c r="G199" s="26"/>
      <c r="H199" s="26"/>
      <c r="I199" s="26"/>
      <c r="J199" s="26"/>
      <c r="K199" s="26"/>
      <c r="L199" s="26"/>
      <c r="M199" s="26"/>
    </row>
    <row r="200" spans="1:13" ht="12.75" customHeight="1" x14ac:dyDescent="0.25">
      <c r="A200" s="26"/>
      <c r="B200" s="26"/>
      <c r="C200" s="26"/>
      <c r="D200" s="26"/>
      <c r="E200" s="26"/>
      <c r="F200" s="26"/>
      <c r="G200" s="26"/>
      <c r="H200" s="26"/>
      <c r="I200" s="26"/>
      <c r="J200" s="26"/>
      <c r="K200" s="26"/>
      <c r="L200" s="26"/>
      <c r="M200" s="26"/>
    </row>
    <row r="201" spans="1:13" ht="12.75" customHeight="1" x14ac:dyDescent="0.25">
      <c r="A201" s="26"/>
      <c r="B201" s="26"/>
      <c r="C201" s="26"/>
      <c r="D201" s="26"/>
      <c r="E201" s="26"/>
      <c r="F201" s="26"/>
      <c r="G201" s="26"/>
      <c r="H201" s="26"/>
      <c r="I201" s="26"/>
      <c r="J201" s="26"/>
      <c r="K201" s="26"/>
      <c r="L201" s="26"/>
      <c r="M201" s="26"/>
    </row>
    <row r="202" spans="1:13" ht="12.75" customHeight="1" x14ac:dyDescent="0.25">
      <c r="A202" s="26"/>
      <c r="B202" s="26"/>
      <c r="C202" s="26"/>
      <c r="D202" s="26"/>
      <c r="E202" s="26"/>
      <c r="F202" s="26"/>
      <c r="G202" s="26"/>
      <c r="H202" s="26"/>
      <c r="I202" s="26"/>
      <c r="J202" s="26"/>
      <c r="K202" s="26"/>
      <c r="L202" s="26"/>
      <c r="M202" s="26"/>
    </row>
    <row r="203" spans="1:13" ht="12.75" customHeight="1" x14ac:dyDescent="0.25">
      <c r="A203" s="26"/>
      <c r="B203" s="26"/>
      <c r="C203" s="26"/>
      <c r="D203" s="26"/>
      <c r="E203" s="26"/>
      <c r="F203" s="26"/>
      <c r="G203" s="26"/>
      <c r="H203" s="26"/>
      <c r="I203" s="26"/>
      <c r="J203" s="26"/>
      <c r="K203" s="26"/>
      <c r="L203" s="26"/>
      <c r="M203" s="26"/>
    </row>
    <row r="204" spans="1:13" ht="12.75" customHeight="1" x14ac:dyDescent="0.25">
      <c r="A204" s="26"/>
      <c r="B204" s="26"/>
      <c r="C204" s="26"/>
      <c r="D204" s="26"/>
      <c r="E204" s="26"/>
      <c r="F204" s="26"/>
      <c r="G204" s="26"/>
      <c r="H204" s="26"/>
      <c r="I204" s="26"/>
      <c r="J204" s="26"/>
      <c r="K204" s="26"/>
      <c r="L204" s="26"/>
      <c r="M204" s="26"/>
    </row>
    <row r="205" spans="1:13" ht="12.75" customHeight="1" x14ac:dyDescent="0.25">
      <c r="A205" s="26"/>
      <c r="B205" s="26"/>
      <c r="C205" s="26"/>
      <c r="D205" s="26"/>
      <c r="E205" s="26"/>
      <c r="F205" s="26"/>
      <c r="G205" s="26"/>
      <c r="H205" s="26"/>
      <c r="I205" s="26"/>
      <c r="J205" s="26"/>
      <c r="K205" s="26"/>
      <c r="L205" s="26"/>
      <c r="M205" s="26"/>
    </row>
    <row r="206" spans="1:13" ht="12.75" customHeight="1" x14ac:dyDescent="0.25">
      <c r="A206" s="26"/>
      <c r="B206" s="26"/>
      <c r="C206" s="26"/>
      <c r="D206" s="26"/>
      <c r="E206" s="26"/>
      <c r="F206" s="26"/>
      <c r="G206" s="26"/>
      <c r="H206" s="26"/>
      <c r="I206" s="26"/>
      <c r="J206" s="26"/>
      <c r="K206" s="26"/>
      <c r="L206" s="26"/>
      <c r="M206" s="26"/>
    </row>
    <row r="207" spans="1:13" ht="12.75" customHeight="1" x14ac:dyDescent="0.25">
      <c r="A207" s="26"/>
      <c r="B207" s="26"/>
      <c r="C207" s="26"/>
      <c r="D207" s="26"/>
      <c r="E207" s="26"/>
      <c r="F207" s="26"/>
      <c r="G207" s="26"/>
      <c r="H207" s="26"/>
      <c r="I207" s="26"/>
      <c r="J207" s="26"/>
      <c r="K207" s="26"/>
      <c r="L207" s="26"/>
      <c r="M207" s="26"/>
    </row>
    <row r="208" spans="1:13" ht="12.75" customHeight="1" x14ac:dyDescent="0.25">
      <c r="A208" s="26"/>
      <c r="B208" s="26"/>
      <c r="C208" s="26"/>
      <c r="D208" s="26"/>
      <c r="E208" s="26"/>
      <c r="F208" s="26"/>
      <c r="G208" s="26"/>
      <c r="H208" s="26"/>
      <c r="I208" s="26"/>
      <c r="J208" s="26"/>
      <c r="K208" s="26"/>
      <c r="L208" s="26"/>
      <c r="M208" s="26"/>
    </row>
    <row r="209" spans="1:13" ht="12.75" customHeight="1" x14ac:dyDescent="0.25">
      <c r="A209" s="26"/>
      <c r="B209" s="26"/>
      <c r="C209" s="26"/>
      <c r="D209" s="26"/>
      <c r="E209" s="26"/>
      <c r="F209" s="26"/>
      <c r="G209" s="26"/>
      <c r="H209" s="26"/>
      <c r="I209" s="26"/>
      <c r="J209" s="26"/>
      <c r="K209" s="26"/>
      <c r="L209" s="26"/>
      <c r="M209" s="26"/>
    </row>
    <row r="210" spans="1:13" ht="12.75" customHeight="1" x14ac:dyDescent="0.25">
      <c r="A210" s="26"/>
      <c r="B210" s="26"/>
      <c r="C210" s="26"/>
      <c r="D210" s="26"/>
      <c r="E210" s="26"/>
      <c r="F210" s="26"/>
      <c r="G210" s="26"/>
      <c r="H210" s="26"/>
      <c r="I210" s="26"/>
      <c r="J210" s="26"/>
      <c r="K210" s="26"/>
      <c r="L210" s="26"/>
      <c r="M210" s="26"/>
    </row>
    <row r="211" spans="1:13" ht="12.75" customHeight="1" x14ac:dyDescent="0.25">
      <c r="A211" s="26"/>
      <c r="B211" s="26"/>
      <c r="C211" s="26"/>
      <c r="D211" s="26"/>
      <c r="E211" s="26"/>
      <c r="F211" s="26"/>
      <c r="G211" s="26"/>
      <c r="H211" s="26"/>
      <c r="I211" s="26"/>
      <c r="J211" s="26"/>
      <c r="K211" s="26"/>
      <c r="L211" s="26"/>
      <c r="M211" s="26"/>
    </row>
    <row r="212" spans="1:13" ht="12.75" customHeight="1" x14ac:dyDescent="0.25">
      <c r="A212" s="26"/>
      <c r="B212" s="26"/>
      <c r="C212" s="26"/>
      <c r="D212" s="26"/>
      <c r="E212" s="26"/>
      <c r="F212" s="26"/>
      <c r="G212" s="26"/>
      <c r="H212" s="26"/>
      <c r="I212" s="26"/>
      <c r="J212" s="26"/>
      <c r="K212" s="26"/>
      <c r="L212" s="26"/>
      <c r="M212" s="26"/>
    </row>
    <row r="213" spans="1:13" ht="12.75" customHeight="1" x14ac:dyDescent="0.25">
      <c r="A213" s="26"/>
      <c r="B213" s="26"/>
      <c r="C213" s="26"/>
      <c r="D213" s="26"/>
      <c r="E213" s="26"/>
      <c r="F213" s="26"/>
      <c r="G213" s="26"/>
      <c r="H213" s="26"/>
      <c r="I213" s="26"/>
      <c r="J213" s="26"/>
      <c r="K213" s="26"/>
      <c r="L213" s="26"/>
      <c r="M213" s="26"/>
    </row>
    <row r="214" spans="1:13" ht="12.75" customHeight="1" x14ac:dyDescent="0.25">
      <c r="A214" s="26"/>
      <c r="B214" s="26"/>
      <c r="C214" s="26"/>
      <c r="D214" s="26"/>
      <c r="E214" s="26"/>
      <c r="F214" s="26"/>
      <c r="G214" s="26"/>
      <c r="H214" s="26"/>
      <c r="I214" s="26"/>
      <c r="J214" s="26"/>
      <c r="K214" s="26"/>
      <c r="L214" s="26"/>
      <c r="M214" s="26"/>
    </row>
    <row r="215" spans="1:13" ht="12.75" customHeight="1" x14ac:dyDescent="0.25">
      <c r="A215" s="26"/>
      <c r="B215" s="26"/>
      <c r="C215" s="26"/>
      <c r="D215" s="26"/>
      <c r="E215" s="26"/>
      <c r="F215" s="26"/>
      <c r="G215" s="26"/>
      <c r="H215" s="26"/>
      <c r="I215" s="26"/>
      <c r="J215" s="26"/>
      <c r="K215" s="26"/>
      <c r="L215" s="26"/>
      <c r="M215" s="26"/>
    </row>
    <row r="216" spans="1:13" ht="12.75" customHeight="1" x14ac:dyDescent="0.25">
      <c r="A216" s="26"/>
      <c r="B216" s="26"/>
      <c r="C216" s="26"/>
      <c r="D216" s="26"/>
      <c r="E216" s="26"/>
      <c r="F216" s="26"/>
      <c r="G216" s="26"/>
      <c r="H216" s="26"/>
      <c r="I216" s="26"/>
      <c r="J216" s="26"/>
      <c r="K216" s="26"/>
      <c r="L216" s="26"/>
      <c r="M216" s="26"/>
    </row>
    <row r="217" spans="1:13" ht="12.75" customHeight="1" x14ac:dyDescent="0.25">
      <c r="A217" s="26"/>
      <c r="B217" s="26"/>
      <c r="C217" s="26"/>
      <c r="D217" s="26"/>
      <c r="E217" s="26"/>
      <c r="F217" s="26"/>
      <c r="G217" s="26"/>
      <c r="H217" s="26"/>
      <c r="I217" s="26"/>
      <c r="J217" s="26"/>
      <c r="K217" s="26"/>
      <c r="L217" s="26"/>
      <c r="M217" s="26"/>
    </row>
    <row r="218" spans="1:13" ht="12.75" customHeight="1" x14ac:dyDescent="0.25">
      <c r="A218" s="26"/>
      <c r="B218" s="26"/>
      <c r="C218" s="26"/>
      <c r="D218" s="26"/>
      <c r="E218" s="26"/>
      <c r="F218" s="26"/>
      <c r="G218" s="26"/>
      <c r="H218" s="26"/>
      <c r="I218" s="26"/>
      <c r="J218" s="26"/>
      <c r="K218" s="26"/>
      <c r="L218" s="26"/>
      <c r="M218" s="26"/>
    </row>
    <row r="219" spans="1:13" ht="12.75" customHeight="1" x14ac:dyDescent="0.25">
      <c r="A219" s="26"/>
      <c r="B219" s="26"/>
      <c r="C219" s="26"/>
      <c r="D219" s="26"/>
      <c r="E219" s="26"/>
      <c r="F219" s="26"/>
      <c r="G219" s="26"/>
      <c r="H219" s="26"/>
      <c r="I219" s="26"/>
      <c r="J219" s="26"/>
      <c r="K219" s="26"/>
      <c r="L219" s="26"/>
      <c r="M219" s="26"/>
    </row>
    <row r="220" spans="1:13" ht="12.75" customHeight="1" x14ac:dyDescent="0.25">
      <c r="A220" s="26"/>
      <c r="B220" s="26"/>
      <c r="C220" s="26"/>
      <c r="D220" s="26"/>
      <c r="E220" s="26"/>
      <c r="F220" s="26"/>
      <c r="G220" s="26"/>
      <c r="H220" s="26"/>
      <c r="I220" s="26"/>
      <c r="J220" s="26"/>
      <c r="K220" s="26"/>
      <c r="L220" s="26"/>
      <c r="M220" s="26"/>
    </row>
    <row r="221" spans="1:13" ht="12.75" customHeight="1" x14ac:dyDescent="0.25">
      <c r="A221" s="26"/>
      <c r="B221" s="26"/>
      <c r="C221" s="26"/>
      <c r="D221" s="26"/>
      <c r="E221" s="26"/>
      <c r="F221" s="26"/>
      <c r="G221" s="26"/>
      <c r="H221" s="26"/>
      <c r="I221" s="26"/>
      <c r="J221" s="26"/>
      <c r="K221" s="26"/>
      <c r="L221" s="26"/>
      <c r="M221" s="26"/>
    </row>
    <row r="222" spans="1:13" ht="12.75" customHeight="1" x14ac:dyDescent="0.25">
      <c r="A222" s="26"/>
      <c r="B222" s="26"/>
      <c r="C222" s="26"/>
      <c r="D222" s="26"/>
      <c r="E222" s="26"/>
      <c r="F222" s="26"/>
      <c r="G222" s="26"/>
      <c r="H222" s="26"/>
      <c r="I222" s="26"/>
      <c r="J222" s="26"/>
      <c r="K222" s="26"/>
      <c r="L222" s="26"/>
      <c r="M222" s="26"/>
    </row>
    <row r="223" spans="1:13" ht="12.75" customHeight="1" x14ac:dyDescent="0.25">
      <c r="A223" s="26"/>
      <c r="B223" s="26"/>
      <c r="C223" s="26"/>
      <c r="D223" s="26"/>
      <c r="E223" s="26"/>
      <c r="F223" s="26"/>
      <c r="G223" s="26"/>
      <c r="H223" s="26"/>
      <c r="I223" s="26"/>
      <c r="J223" s="26"/>
      <c r="K223" s="26"/>
      <c r="L223" s="26"/>
      <c r="M223" s="26"/>
    </row>
    <row r="224" spans="1:13" ht="12.75" customHeight="1" x14ac:dyDescent="0.25">
      <c r="A224" s="26"/>
      <c r="B224" s="26"/>
      <c r="C224" s="26"/>
      <c r="D224" s="26"/>
      <c r="E224" s="26"/>
      <c r="F224" s="26"/>
      <c r="G224" s="26"/>
      <c r="H224" s="26"/>
      <c r="I224" s="26"/>
      <c r="J224" s="26"/>
      <c r="K224" s="26"/>
      <c r="L224" s="26"/>
      <c r="M224" s="26"/>
    </row>
    <row r="225" spans="1:13" ht="12.75" customHeight="1" x14ac:dyDescent="0.25">
      <c r="A225" s="26"/>
      <c r="B225" s="26"/>
      <c r="C225" s="26"/>
      <c r="D225" s="26"/>
      <c r="E225" s="26"/>
      <c r="F225" s="26"/>
      <c r="G225" s="26"/>
      <c r="H225" s="26"/>
      <c r="I225" s="26"/>
      <c r="J225" s="26"/>
      <c r="K225" s="26"/>
      <c r="L225" s="26"/>
      <c r="M225" s="26"/>
    </row>
    <row r="226" spans="1:13" ht="12.75" customHeight="1" x14ac:dyDescent="0.25">
      <c r="A226" s="26"/>
      <c r="B226" s="26"/>
      <c r="C226" s="26"/>
      <c r="D226" s="26"/>
      <c r="E226" s="26"/>
      <c r="F226" s="26"/>
      <c r="G226" s="26"/>
      <c r="H226" s="26"/>
      <c r="I226" s="26"/>
      <c r="J226" s="26"/>
      <c r="K226" s="26"/>
      <c r="L226" s="26"/>
      <c r="M226" s="26"/>
    </row>
    <row r="227" spans="1:13" ht="12.75" customHeight="1" x14ac:dyDescent="0.25">
      <c r="A227" s="26"/>
      <c r="B227" s="26"/>
      <c r="C227" s="26"/>
      <c r="D227" s="26"/>
      <c r="E227" s="26"/>
      <c r="F227" s="26"/>
      <c r="G227" s="26"/>
      <c r="H227" s="26"/>
      <c r="I227" s="26"/>
      <c r="J227" s="26"/>
      <c r="K227" s="26"/>
      <c r="L227" s="26"/>
      <c r="M227" s="26"/>
    </row>
    <row r="228" spans="1:13" ht="12.75" customHeight="1" x14ac:dyDescent="0.25">
      <c r="A228" s="26"/>
      <c r="B228" s="26"/>
      <c r="C228" s="26"/>
      <c r="D228" s="26"/>
      <c r="E228" s="26"/>
      <c r="F228" s="26"/>
      <c r="G228" s="26"/>
      <c r="H228" s="26"/>
      <c r="I228" s="26"/>
      <c r="J228" s="26"/>
      <c r="K228" s="26"/>
      <c r="L228" s="26"/>
      <c r="M228" s="26"/>
    </row>
    <row r="229" spans="1:13" ht="12.75" customHeight="1" x14ac:dyDescent="0.25">
      <c r="A229" s="26"/>
      <c r="B229" s="26"/>
      <c r="C229" s="26"/>
      <c r="D229" s="26"/>
      <c r="E229" s="26"/>
      <c r="F229" s="26"/>
      <c r="G229" s="26"/>
      <c r="H229" s="26"/>
      <c r="I229" s="26"/>
      <c r="J229" s="26"/>
      <c r="K229" s="26"/>
      <c r="L229" s="26"/>
      <c r="M229" s="26"/>
    </row>
    <row r="230" spans="1:13" ht="12.75" customHeight="1" x14ac:dyDescent="0.25">
      <c r="A230" s="26"/>
      <c r="B230" s="26"/>
      <c r="C230" s="26"/>
      <c r="D230" s="26"/>
      <c r="E230" s="26"/>
      <c r="F230" s="26"/>
      <c r="G230" s="26"/>
      <c r="H230" s="26"/>
      <c r="I230" s="26"/>
      <c r="J230" s="26"/>
      <c r="K230" s="26"/>
      <c r="L230" s="26"/>
      <c r="M230" s="26"/>
    </row>
    <row r="231" spans="1:13" ht="12.75" customHeight="1" x14ac:dyDescent="0.25">
      <c r="A231" s="26"/>
      <c r="B231" s="26"/>
      <c r="C231" s="26"/>
      <c r="D231" s="26"/>
      <c r="E231" s="26"/>
      <c r="F231" s="26"/>
      <c r="G231" s="26"/>
      <c r="H231" s="26"/>
      <c r="I231" s="26"/>
      <c r="J231" s="26"/>
      <c r="K231" s="26"/>
      <c r="L231" s="26"/>
      <c r="M231" s="26"/>
    </row>
    <row r="232" spans="1:13" ht="12.75" customHeight="1" x14ac:dyDescent="0.25">
      <c r="A232" s="26"/>
      <c r="B232" s="26"/>
      <c r="C232" s="26"/>
      <c r="D232" s="26"/>
      <c r="E232" s="26"/>
      <c r="F232" s="26"/>
      <c r="G232" s="26"/>
      <c r="H232" s="26"/>
      <c r="I232" s="26"/>
      <c r="J232" s="26"/>
      <c r="K232" s="26"/>
      <c r="L232" s="26"/>
      <c r="M232" s="26"/>
    </row>
    <row r="233" spans="1:13" ht="12.75" customHeight="1" x14ac:dyDescent="0.25">
      <c r="A233" s="26"/>
      <c r="B233" s="26"/>
      <c r="C233" s="26"/>
      <c r="D233" s="26"/>
      <c r="E233" s="26"/>
      <c r="F233" s="26"/>
      <c r="G233" s="26"/>
      <c r="H233" s="26"/>
      <c r="I233" s="26"/>
      <c r="J233" s="26"/>
      <c r="K233" s="26"/>
      <c r="L233" s="26"/>
      <c r="M233" s="26"/>
    </row>
    <row r="234" spans="1:13" ht="12.75" customHeight="1" x14ac:dyDescent="0.25">
      <c r="A234" s="26"/>
      <c r="B234" s="26"/>
      <c r="C234" s="26"/>
      <c r="D234" s="26"/>
      <c r="E234" s="26"/>
      <c r="F234" s="26"/>
      <c r="G234" s="26"/>
      <c r="H234" s="26"/>
      <c r="I234" s="26"/>
      <c r="J234" s="26"/>
      <c r="K234" s="26"/>
      <c r="L234" s="26"/>
      <c r="M234" s="26"/>
    </row>
    <row r="235" spans="1:13" ht="12.75" customHeight="1" x14ac:dyDescent="0.25">
      <c r="A235" s="26"/>
      <c r="B235" s="26"/>
      <c r="C235" s="26"/>
      <c r="D235" s="26"/>
      <c r="E235" s="26"/>
      <c r="F235" s="26"/>
      <c r="G235" s="26"/>
      <c r="H235" s="26"/>
      <c r="I235" s="26"/>
      <c r="J235" s="26"/>
      <c r="K235" s="26"/>
      <c r="L235" s="26"/>
      <c r="M235" s="26"/>
    </row>
    <row r="236" spans="1:13" ht="12.75" customHeight="1" x14ac:dyDescent="0.25">
      <c r="A236" s="26"/>
      <c r="B236" s="26"/>
      <c r="C236" s="26"/>
      <c r="D236" s="26"/>
      <c r="E236" s="26"/>
      <c r="F236" s="26"/>
      <c r="G236" s="26"/>
      <c r="H236" s="26"/>
      <c r="I236" s="26"/>
      <c r="J236" s="26"/>
      <c r="K236" s="26"/>
      <c r="L236" s="26"/>
      <c r="M236" s="26"/>
    </row>
    <row r="237" spans="1:13" ht="12.75" customHeight="1" x14ac:dyDescent="0.25">
      <c r="A237" s="26"/>
      <c r="B237" s="26"/>
      <c r="C237" s="26"/>
      <c r="D237" s="26"/>
      <c r="E237" s="26"/>
      <c r="F237" s="26"/>
      <c r="G237" s="26"/>
      <c r="H237" s="26"/>
      <c r="I237" s="26"/>
      <c r="J237" s="26"/>
      <c r="K237" s="26"/>
      <c r="L237" s="26"/>
      <c r="M237" s="26"/>
    </row>
    <row r="238" spans="1:13" ht="12.75" customHeight="1" x14ac:dyDescent="0.25">
      <c r="A238" s="26"/>
      <c r="B238" s="26"/>
      <c r="C238" s="26"/>
      <c r="D238" s="26"/>
      <c r="E238" s="26"/>
      <c r="F238" s="26"/>
      <c r="G238" s="26"/>
      <c r="H238" s="26"/>
      <c r="I238" s="26"/>
      <c r="J238" s="26"/>
      <c r="K238" s="26"/>
      <c r="L238" s="26"/>
      <c r="M238" s="26"/>
    </row>
    <row r="239" spans="1:13" ht="12.75" customHeight="1" x14ac:dyDescent="0.25">
      <c r="A239" s="26"/>
      <c r="B239" s="26"/>
      <c r="C239" s="26"/>
      <c r="D239" s="26"/>
      <c r="E239" s="26"/>
      <c r="F239" s="26"/>
      <c r="G239" s="26"/>
      <c r="H239" s="26"/>
      <c r="I239" s="26"/>
      <c r="J239" s="26"/>
      <c r="K239" s="26"/>
      <c r="L239" s="26"/>
      <c r="M239" s="26"/>
    </row>
    <row r="240" spans="1:13" ht="12.75" customHeight="1" x14ac:dyDescent="0.25">
      <c r="A240" s="26"/>
      <c r="B240" s="26"/>
      <c r="C240" s="26"/>
      <c r="D240" s="26"/>
      <c r="E240" s="26"/>
      <c r="F240" s="26"/>
      <c r="G240" s="26"/>
      <c r="H240" s="26"/>
      <c r="I240" s="26"/>
      <c r="J240" s="26"/>
      <c r="K240" s="26"/>
      <c r="L240" s="26"/>
      <c r="M240" s="26"/>
    </row>
    <row r="241" spans="1:13" ht="12.75" customHeight="1" x14ac:dyDescent="0.25">
      <c r="A241" s="26"/>
      <c r="B241" s="26"/>
      <c r="C241" s="26"/>
      <c r="D241" s="26"/>
      <c r="E241" s="26"/>
      <c r="F241" s="26"/>
      <c r="G241" s="26"/>
      <c r="H241" s="26"/>
      <c r="I241" s="26"/>
      <c r="J241" s="26"/>
      <c r="K241" s="26"/>
      <c r="L241" s="26"/>
      <c r="M241" s="26"/>
    </row>
    <row r="242" spans="1:13" ht="12.75" customHeight="1" x14ac:dyDescent="0.25">
      <c r="A242" s="26"/>
      <c r="B242" s="26"/>
      <c r="C242" s="26"/>
      <c r="D242" s="26"/>
      <c r="E242" s="26"/>
      <c r="F242" s="26"/>
      <c r="G242" s="26"/>
      <c r="H242" s="26"/>
      <c r="I242" s="26"/>
      <c r="J242" s="26"/>
      <c r="K242" s="26"/>
      <c r="L242" s="26"/>
      <c r="M242" s="26"/>
    </row>
    <row r="243" spans="1:13" ht="12.75" customHeight="1" x14ac:dyDescent="0.25">
      <c r="A243" s="26"/>
      <c r="B243" s="26"/>
      <c r="C243" s="26"/>
      <c r="D243" s="26"/>
      <c r="E243" s="26"/>
      <c r="F243" s="26"/>
      <c r="G243" s="26"/>
      <c r="H243" s="26"/>
      <c r="I243" s="26"/>
      <c r="J243" s="26"/>
      <c r="K243" s="26"/>
      <c r="L243" s="26"/>
      <c r="M243" s="26"/>
    </row>
    <row r="244" spans="1:13" ht="12.75" customHeight="1" x14ac:dyDescent="0.25">
      <c r="A244" s="26"/>
      <c r="B244" s="26"/>
      <c r="C244" s="26"/>
      <c r="D244" s="26"/>
      <c r="E244" s="26"/>
      <c r="F244" s="26"/>
      <c r="G244" s="26"/>
      <c r="H244" s="26"/>
      <c r="I244" s="26"/>
      <c r="J244" s="26"/>
      <c r="K244" s="26"/>
      <c r="L244" s="26"/>
      <c r="M244" s="26"/>
    </row>
    <row r="245" spans="1:13" ht="12.75" customHeight="1" x14ac:dyDescent="0.25">
      <c r="A245" s="26"/>
      <c r="B245" s="26"/>
      <c r="C245" s="26"/>
      <c r="D245" s="26"/>
      <c r="E245" s="26"/>
      <c r="F245" s="26"/>
      <c r="G245" s="26"/>
      <c r="H245" s="26"/>
      <c r="I245" s="26"/>
      <c r="J245" s="26"/>
      <c r="K245" s="26"/>
      <c r="L245" s="26"/>
      <c r="M245" s="26"/>
    </row>
    <row r="246" spans="1:13" ht="12.75" customHeight="1" x14ac:dyDescent="0.25">
      <c r="A246" s="26"/>
      <c r="B246" s="26"/>
      <c r="C246" s="26"/>
      <c r="D246" s="26"/>
      <c r="E246" s="26"/>
      <c r="F246" s="26"/>
      <c r="G246" s="26"/>
      <c r="H246" s="26"/>
      <c r="I246" s="26"/>
      <c r="J246" s="26"/>
      <c r="K246" s="26"/>
      <c r="L246" s="26"/>
      <c r="M246" s="26"/>
    </row>
    <row r="247" spans="1:13" ht="12.75" customHeight="1" x14ac:dyDescent="0.25">
      <c r="A247" s="26"/>
      <c r="B247" s="26"/>
      <c r="C247" s="26"/>
      <c r="D247" s="26"/>
      <c r="E247" s="26"/>
      <c r="F247" s="26"/>
      <c r="G247" s="26"/>
      <c r="H247" s="26"/>
      <c r="I247" s="26"/>
      <c r="J247" s="26"/>
      <c r="K247" s="26"/>
      <c r="L247" s="26"/>
      <c r="M247" s="26"/>
    </row>
    <row r="248" spans="1:13" ht="12.75" customHeight="1" x14ac:dyDescent="0.25">
      <c r="A248" s="26"/>
      <c r="B248" s="26"/>
      <c r="C248" s="26"/>
      <c r="D248" s="26"/>
      <c r="E248" s="26"/>
      <c r="F248" s="26"/>
      <c r="G248" s="26"/>
      <c r="H248" s="26"/>
      <c r="I248" s="26"/>
      <c r="J248" s="26"/>
      <c r="K248" s="26"/>
      <c r="L248" s="26"/>
      <c r="M248" s="26"/>
    </row>
    <row r="249" spans="1:13" ht="12.75" customHeight="1" x14ac:dyDescent="0.25">
      <c r="A249" s="26"/>
      <c r="B249" s="26"/>
      <c r="C249" s="26"/>
      <c r="D249" s="26"/>
      <c r="E249" s="26"/>
      <c r="F249" s="26"/>
      <c r="G249" s="26"/>
      <c r="H249" s="26"/>
      <c r="I249" s="26"/>
      <c r="J249" s="26"/>
      <c r="K249" s="26"/>
      <c r="L249" s="26"/>
      <c r="M249" s="26"/>
    </row>
    <row r="250" spans="1:13" ht="12.75" customHeight="1" x14ac:dyDescent="0.25">
      <c r="A250" s="26"/>
      <c r="B250" s="26"/>
      <c r="C250" s="26"/>
      <c r="D250" s="26"/>
      <c r="E250" s="26"/>
      <c r="F250" s="26"/>
      <c r="G250" s="26"/>
      <c r="H250" s="26"/>
      <c r="I250" s="26"/>
      <c r="J250" s="26"/>
      <c r="K250" s="26"/>
      <c r="L250" s="26"/>
      <c r="M250" s="26"/>
    </row>
    <row r="251" spans="1:13" ht="12.75" customHeight="1" x14ac:dyDescent="0.25">
      <c r="A251" s="26"/>
      <c r="B251" s="26"/>
      <c r="C251" s="26"/>
      <c r="D251" s="26"/>
      <c r="E251" s="26"/>
      <c r="F251" s="26"/>
      <c r="G251" s="26"/>
      <c r="H251" s="26"/>
      <c r="I251" s="26"/>
      <c r="J251" s="26"/>
      <c r="K251" s="26"/>
      <c r="L251" s="26"/>
      <c r="M251" s="26"/>
    </row>
    <row r="252" spans="1:13" ht="12.75" customHeight="1" x14ac:dyDescent="0.25">
      <c r="A252" s="26"/>
      <c r="B252" s="26"/>
      <c r="C252" s="26"/>
      <c r="D252" s="26"/>
      <c r="E252" s="26"/>
      <c r="F252" s="26"/>
      <c r="G252" s="26"/>
      <c r="H252" s="26"/>
      <c r="I252" s="26"/>
      <c r="J252" s="26"/>
      <c r="K252" s="26"/>
      <c r="L252" s="26"/>
      <c r="M252" s="26"/>
    </row>
    <row r="253" spans="1:13" ht="12.75" customHeight="1" x14ac:dyDescent="0.25">
      <c r="A253" s="26"/>
      <c r="B253" s="26"/>
      <c r="C253" s="26"/>
      <c r="D253" s="26"/>
      <c r="E253" s="26"/>
      <c r="F253" s="26"/>
      <c r="G253" s="26"/>
      <c r="H253" s="26"/>
      <c r="I253" s="26"/>
      <c r="J253" s="26"/>
      <c r="K253" s="26"/>
      <c r="L253" s="26"/>
      <c r="M253" s="26"/>
    </row>
    <row r="254" spans="1:13" ht="12.75" customHeight="1" x14ac:dyDescent="0.25">
      <c r="A254" s="26"/>
      <c r="B254" s="26"/>
      <c r="C254" s="26"/>
      <c r="D254" s="26"/>
      <c r="E254" s="26"/>
      <c r="F254" s="26"/>
      <c r="G254" s="26"/>
      <c r="H254" s="26"/>
      <c r="I254" s="26"/>
      <c r="J254" s="26"/>
      <c r="K254" s="26"/>
      <c r="L254" s="26"/>
      <c r="M254" s="26"/>
    </row>
    <row r="255" spans="1:13" ht="12.75" customHeight="1" x14ac:dyDescent="0.25">
      <c r="A255" s="26"/>
      <c r="B255" s="26"/>
      <c r="C255" s="26"/>
      <c r="D255" s="26"/>
      <c r="E255" s="26"/>
      <c r="F255" s="26"/>
      <c r="G255" s="26"/>
      <c r="H255" s="26"/>
      <c r="I255" s="26"/>
      <c r="J255" s="26"/>
      <c r="K255" s="26"/>
      <c r="L255" s="26"/>
      <c r="M255" s="26"/>
    </row>
    <row r="256" spans="1:13" ht="12.75" customHeight="1" x14ac:dyDescent="0.25">
      <c r="A256" s="26"/>
      <c r="B256" s="26"/>
      <c r="C256" s="26"/>
      <c r="D256" s="26"/>
      <c r="E256" s="26"/>
      <c r="F256" s="26"/>
      <c r="G256" s="26"/>
      <c r="H256" s="26"/>
      <c r="I256" s="26"/>
      <c r="J256" s="26"/>
      <c r="K256" s="26"/>
      <c r="L256" s="26"/>
      <c r="M256" s="26"/>
    </row>
    <row r="257" spans="1:13" ht="12.75" customHeight="1" x14ac:dyDescent="0.25">
      <c r="A257" s="26"/>
      <c r="B257" s="26"/>
      <c r="C257" s="26"/>
      <c r="D257" s="26"/>
      <c r="E257" s="26"/>
      <c r="F257" s="26"/>
      <c r="G257" s="26"/>
      <c r="H257" s="26"/>
      <c r="I257" s="26"/>
      <c r="J257" s="26"/>
      <c r="K257" s="26"/>
      <c r="L257" s="26"/>
      <c r="M257" s="26"/>
    </row>
    <row r="258" spans="1:13" ht="12.75" customHeight="1" x14ac:dyDescent="0.25">
      <c r="A258" s="26"/>
      <c r="B258" s="26"/>
      <c r="C258" s="26"/>
      <c r="D258" s="26"/>
      <c r="E258" s="26"/>
      <c r="F258" s="26"/>
      <c r="G258" s="26"/>
      <c r="H258" s="26"/>
      <c r="I258" s="26"/>
      <c r="J258" s="26"/>
      <c r="K258" s="26"/>
      <c r="L258" s="26"/>
      <c r="M258" s="26"/>
    </row>
    <row r="259" spans="1:13" ht="12.75" customHeight="1" x14ac:dyDescent="0.25">
      <c r="A259" s="26"/>
      <c r="B259" s="26"/>
      <c r="C259" s="26"/>
      <c r="D259" s="26"/>
      <c r="E259" s="26"/>
      <c r="F259" s="26"/>
      <c r="G259" s="26"/>
      <c r="H259" s="26"/>
      <c r="I259" s="26"/>
      <c r="J259" s="26"/>
      <c r="K259" s="26"/>
      <c r="L259" s="26"/>
      <c r="M259" s="26"/>
    </row>
    <row r="260" spans="1:13" ht="12.75" customHeight="1" x14ac:dyDescent="0.25">
      <c r="A260" s="26"/>
      <c r="B260" s="26"/>
      <c r="C260" s="26"/>
      <c r="D260" s="26"/>
      <c r="E260" s="26"/>
      <c r="F260" s="26"/>
      <c r="G260" s="26"/>
      <c r="H260" s="26"/>
      <c r="I260" s="26"/>
      <c r="J260" s="26"/>
      <c r="K260" s="26"/>
      <c r="L260" s="26"/>
      <c r="M260" s="26"/>
    </row>
    <row r="261" spans="1:13" ht="12.75" customHeight="1" x14ac:dyDescent="0.25">
      <c r="A261" s="26"/>
      <c r="B261" s="26"/>
      <c r="C261" s="26"/>
      <c r="D261" s="26"/>
      <c r="E261" s="26"/>
      <c r="F261" s="26"/>
      <c r="G261" s="26"/>
      <c r="H261" s="26"/>
      <c r="I261" s="26"/>
      <c r="J261" s="26"/>
      <c r="K261" s="26"/>
      <c r="L261" s="26"/>
      <c r="M261" s="26"/>
    </row>
    <row r="262" spans="1:13" ht="12.75" customHeight="1" x14ac:dyDescent="0.25">
      <c r="A262" s="26"/>
      <c r="B262" s="26"/>
      <c r="C262" s="26"/>
      <c r="D262" s="26"/>
      <c r="E262" s="26"/>
      <c r="F262" s="26"/>
      <c r="G262" s="26"/>
      <c r="H262" s="26"/>
      <c r="I262" s="26"/>
      <c r="J262" s="26"/>
      <c r="K262" s="26"/>
      <c r="L262" s="26"/>
      <c r="M262" s="26"/>
    </row>
    <row r="263" spans="1:13" ht="12.75" customHeight="1" x14ac:dyDescent="0.25">
      <c r="A263" s="26"/>
      <c r="B263" s="26"/>
      <c r="C263" s="26"/>
      <c r="D263" s="26"/>
      <c r="E263" s="26"/>
      <c r="F263" s="26"/>
      <c r="G263" s="26"/>
      <c r="H263" s="26"/>
      <c r="I263" s="26"/>
      <c r="J263" s="26"/>
      <c r="K263" s="26"/>
      <c r="L263" s="26"/>
      <c r="M263" s="26"/>
    </row>
    <row r="264" spans="1:13" ht="12.75" customHeight="1" x14ac:dyDescent="0.25">
      <c r="A264" s="26"/>
      <c r="B264" s="26"/>
      <c r="C264" s="26"/>
      <c r="D264" s="26"/>
      <c r="E264" s="26"/>
      <c r="F264" s="26"/>
      <c r="G264" s="26"/>
      <c r="H264" s="26"/>
      <c r="I264" s="26"/>
      <c r="J264" s="26"/>
      <c r="K264" s="26"/>
      <c r="L264" s="26"/>
      <c r="M264" s="26"/>
    </row>
    <row r="265" spans="1:13" ht="12.75" customHeight="1" x14ac:dyDescent="0.25">
      <c r="A265" s="26"/>
      <c r="B265" s="26"/>
      <c r="C265" s="26"/>
      <c r="D265" s="26"/>
      <c r="E265" s="26"/>
      <c r="F265" s="26"/>
      <c r="G265" s="26"/>
      <c r="H265" s="26"/>
      <c r="I265" s="26"/>
      <c r="J265" s="26"/>
      <c r="K265" s="26"/>
      <c r="L265" s="26"/>
      <c r="M265" s="26"/>
    </row>
    <row r="266" spans="1:13" ht="12.75" customHeight="1" x14ac:dyDescent="0.25">
      <c r="A266" s="26"/>
      <c r="B266" s="26"/>
      <c r="C266" s="26"/>
      <c r="D266" s="26"/>
      <c r="E266" s="26"/>
      <c r="F266" s="26"/>
      <c r="G266" s="26"/>
      <c r="H266" s="26"/>
      <c r="I266" s="26"/>
      <c r="J266" s="26"/>
      <c r="K266" s="26"/>
      <c r="L266" s="26"/>
      <c r="M266" s="26"/>
    </row>
    <row r="267" spans="1:13" ht="12.75" customHeight="1" x14ac:dyDescent="0.25">
      <c r="A267" s="26"/>
      <c r="B267" s="26"/>
      <c r="C267" s="26"/>
      <c r="D267" s="26"/>
      <c r="E267" s="26"/>
      <c r="F267" s="26"/>
      <c r="G267" s="26"/>
      <c r="H267" s="26"/>
      <c r="I267" s="26"/>
      <c r="J267" s="26"/>
      <c r="K267" s="26"/>
      <c r="L267" s="26"/>
      <c r="M267" s="26"/>
    </row>
    <row r="268" spans="1:13" ht="12.75" customHeight="1" x14ac:dyDescent="0.25">
      <c r="A268" s="26"/>
      <c r="B268" s="26"/>
      <c r="C268" s="26"/>
      <c r="D268" s="26"/>
      <c r="E268" s="26"/>
      <c r="F268" s="26"/>
      <c r="G268" s="26"/>
      <c r="H268" s="26"/>
      <c r="I268" s="26"/>
      <c r="J268" s="26"/>
      <c r="K268" s="26"/>
      <c r="L268" s="26"/>
      <c r="M268" s="26"/>
    </row>
    <row r="269" spans="1:13" ht="12.75" customHeight="1" x14ac:dyDescent="0.25">
      <c r="A269" s="26"/>
      <c r="B269" s="26"/>
      <c r="C269" s="26"/>
      <c r="D269" s="26"/>
      <c r="E269" s="26"/>
      <c r="F269" s="26"/>
      <c r="G269" s="26"/>
      <c r="H269" s="26"/>
      <c r="I269" s="26"/>
      <c r="J269" s="26"/>
      <c r="K269" s="26"/>
      <c r="L269" s="26"/>
      <c r="M269" s="26"/>
    </row>
    <row r="270" spans="1:13" ht="12.75" customHeight="1" x14ac:dyDescent="0.25">
      <c r="A270" s="26"/>
      <c r="B270" s="26"/>
      <c r="C270" s="26"/>
      <c r="D270" s="26"/>
      <c r="E270" s="26"/>
      <c r="F270" s="26"/>
      <c r="G270" s="26"/>
      <c r="H270" s="26"/>
      <c r="I270" s="26"/>
      <c r="J270" s="26"/>
      <c r="K270" s="26"/>
      <c r="L270" s="26"/>
      <c r="M270" s="26"/>
    </row>
    <row r="271" spans="1:13" ht="12.75" customHeight="1" x14ac:dyDescent="0.25">
      <c r="A271" s="26"/>
      <c r="B271" s="26"/>
      <c r="C271" s="26"/>
      <c r="D271" s="26"/>
      <c r="E271" s="26"/>
      <c r="F271" s="26"/>
      <c r="G271" s="26"/>
      <c r="H271" s="26"/>
      <c r="I271" s="26"/>
      <c r="J271" s="26"/>
      <c r="K271" s="26"/>
      <c r="L271" s="26"/>
      <c r="M271" s="26"/>
    </row>
    <row r="272" spans="1:13" ht="12.75" customHeight="1" x14ac:dyDescent="0.25">
      <c r="A272" s="26"/>
      <c r="B272" s="26"/>
      <c r="C272" s="26"/>
      <c r="D272" s="26"/>
      <c r="E272" s="26"/>
      <c r="F272" s="26"/>
      <c r="G272" s="26"/>
      <c r="H272" s="26"/>
      <c r="I272" s="26"/>
      <c r="J272" s="26"/>
      <c r="K272" s="26"/>
      <c r="L272" s="26"/>
      <c r="M272" s="26"/>
    </row>
    <row r="273" spans="1:13" ht="12.75" customHeight="1" x14ac:dyDescent="0.25">
      <c r="A273" s="26"/>
      <c r="B273" s="26"/>
      <c r="C273" s="26"/>
      <c r="D273" s="26"/>
      <c r="E273" s="26"/>
      <c r="F273" s="26"/>
      <c r="G273" s="26"/>
      <c r="H273" s="26"/>
      <c r="I273" s="26"/>
      <c r="J273" s="26"/>
      <c r="K273" s="26"/>
      <c r="L273" s="26"/>
      <c r="M273" s="26"/>
    </row>
    <row r="274" spans="1:13" ht="12.75" customHeight="1" x14ac:dyDescent="0.25">
      <c r="A274" s="26"/>
      <c r="B274" s="26"/>
      <c r="C274" s="26"/>
      <c r="D274" s="26"/>
      <c r="E274" s="26"/>
      <c r="F274" s="26"/>
      <c r="G274" s="26"/>
      <c r="H274" s="26"/>
      <c r="I274" s="26"/>
      <c r="J274" s="26"/>
      <c r="K274" s="26"/>
      <c r="L274" s="26"/>
      <c r="M274" s="26"/>
    </row>
    <row r="275" spans="1:13" ht="12.75" customHeight="1" x14ac:dyDescent="0.25">
      <c r="A275" s="26"/>
      <c r="B275" s="26"/>
      <c r="C275" s="26"/>
      <c r="D275" s="26"/>
      <c r="E275" s="26"/>
      <c r="F275" s="26"/>
      <c r="G275" s="26"/>
      <c r="H275" s="26"/>
      <c r="I275" s="26"/>
      <c r="J275" s="26"/>
      <c r="K275" s="26"/>
      <c r="L275" s="26"/>
      <c r="M275" s="26"/>
    </row>
    <row r="276" spans="1:13" ht="12.75" customHeight="1" x14ac:dyDescent="0.25">
      <c r="A276" s="26"/>
      <c r="B276" s="26"/>
      <c r="C276" s="26"/>
      <c r="D276" s="26"/>
      <c r="E276" s="26"/>
      <c r="F276" s="26"/>
      <c r="G276" s="26"/>
      <c r="H276" s="26"/>
      <c r="I276" s="26"/>
      <c r="J276" s="26"/>
      <c r="K276" s="26"/>
      <c r="L276" s="26"/>
      <c r="M276" s="26"/>
    </row>
    <row r="277" spans="1:13" ht="12.75" customHeight="1" x14ac:dyDescent="0.25">
      <c r="A277" s="26"/>
      <c r="B277" s="26"/>
      <c r="C277" s="26"/>
      <c r="D277" s="26"/>
      <c r="E277" s="26"/>
      <c r="F277" s="26"/>
      <c r="G277" s="26"/>
      <c r="H277" s="26"/>
      <c r="I277" s="26"/>
      <c r="J277" s="26"/>
      <c r="K277" s="26"/>
      <c r="L277" s="26"/>
      <c r="M277" s="26"/>
    </row>
    <row r="278" spans="1:13" ht="12.75" customHeight="1" x14ac:dyDescent="0.25">
      <c r="A278" s="26"/>
      <c r="B278" s="26"/>
      <c r="C278" s="26"/>
      <c r="D278" s="26"/>
      <c r="E278" s="26"/>
      <c r="F278" s="26"/>
      <c r="G278" s="26"/>
      <c r="H278" s="26"/>
      <c r="I278" s="26"/>
      <c r="J278" s="26"/>
      <c r="K278" s="26"/>
      <c r="L278" s="26"/>
      <c r="M278" s="26"/>
    </row>
    <row r="279" spans="1:13" ht="12.75" customHeight="1" x14ac:dyDescent="0.25">
      <c r="A279" s="26"/>
      <c r="B279" s="26"/>
      <c r="C279" s="26"/>
      <c r="D279" s="26"/>
      <c r="E279" s="26"/>
      <c r="F279" s="26"/>
      <c r="G279" s="26"/>
      <c r="H279" s="26"/>
      <c r="I279" s="26"/>
      <c r="J279" s="26"/>
      <c r="K279" s="26"/>
      <c r="L279" s="26"/>
      <c r="M279" s="26"/>
    </row>
    <row r="280" spans="1:13" ht="12.75" customHeight="1" x14ac:dyDescent="0.25">
      <c r="A280" s="26"/>
      <c r="B280" s="26"/>
      <c r="C280" s="26"/>
      <c r="D280" s="26"/>
      <c r="E280" s="26"/>
      <c r="F280" s="26"/>
      <c r="G280" s="26"/>
      <c r="H280" s="26"/>
      <c r="I280" s="26"/>
      <c r="J280" s="26"/>
      <c r="K280" s="26"/>
      <c r="L280" s="26"/>
      <c r="M280" s="26"/>
    </row>
    <row r="281" spans="1:13" ht="12.75" customHeight="1" x14ac:dyDescent="0.25">
      <c r="A281" s="26"/>
      <c r="B281" s="26"/>
      <c r="C281" s="26"/>
      <c r="D281" s="26"/>
      <c r="E281" s="26"/>
      <c r="F281" s="26"/>
      <c r="G281" s="26"/>
      <c r="H281" s="26"/>
      <c r="I281" s="26"/>
      <c r="J281" s="26"/>
      <c r="K281" s="26"/>
      <c r="L281" s="26"/>
      <c r="M281" s="26"/>
    </row>
    <row r="282" spans="1:13" ht="12.75" customHeight="1" x14ac:dyDescent="0.25">
      <c r="A282" s="26"/>
      <c r="B282" s="26"/>
      <c r="C282" s="26"/>
      <c r="D282" s="26"/>
      <c r="E282" s="26"/>
      <c r="F282" s="26"/>
      <c r="G282" s="26"/>
      <c r="H282" s="26"/>
      <c r="I282" s="26"/>
      <c r="J282" s="26"/>
      <c r="K282" s="26"/>
      <c r="L282" s="26"/>
      <c r="M282" s="26"/>
    </row>
    <row r="283" spans="1:13" ht="12.75" customHeight="1" x14ac:dyDescent="0.25">
      <c r="A283" s="26"/>
      <c r="B283" s="26"/>
      <c r="C283" s="26"/>
      <c r="D283" s="26"/>
      <c r="E283" s="26"/>
      <c r="F283" s="26"/>
      <c r="G283" s="26"/>
      <c r="H283" s="26"/>
      <c r="I283" s="26"/>
      <c r="J283" s="26"/>
      <c r="K283" s="26"/>
      <c r="L283" s="26"/>
      <c r="M283" s="26"/>
    </row>
    <row r="284" spans="1:13" ht="12.75" customHeight="1" x14ac:dyDescent="0.25">
      <c r="A284" s="26"/>
      <c r="B284" s="26"/>
      <c r="C284" s="26"/>
      <c r="D284" s="26"/>
      <c r="E284" s="26"/>
      <c r="F284" s="26"/>
      <c r="G284" s="26"/>
      <c r="H284" s="26"/>
      <c r="I284" s="26"/>
      <c r="J284" s="26"/>
      <c r="K284" s="26"/>
      <c r="L284" s="26"/>
      <c r="M284" s="26"/>
    </row>
    <row r="285" spans="1:13" ht="12.75" customHeight="1" x14ac:dyDescent="0.25">
      <c r="A285" s="26"/>
      <c r="B285" s="26"/>
      <c r="C285" s="26"/>
      <c r="D285" s="26"/>
      <c r="E285" s="26"/>
      <c r="F285" s="26"/>
      <c r="G285" s="26"/>
      <c r="H285" s="26"/>
      <c r="I285" s="26"/>
      <c r="J285" s="26"/>
      <c r="K285" s="26"/>
      <c r="L285" s="26"/>
      <c r="M285" s="26"/>
    </row>
    <row r="286" spans="1:13" ht="12.75" customHeight="1" x14ac:dyDescent="0.25">
      <c r="A286" s="26"/>
      <c r="B286" s="26"/>
      <c r="C286" s="26"/>
      <c r="D286" s="26"/>
      <c r="E286" s="26"/>
      <c r="F286" s="26"/>
      <c r="G286" s="26"/>
      <c r="H286" s="26"/>
      <c r="I286" s="26"/>
      <c r="J286" s="26"/>
      <c r="K286" s="26"/>
      <c r="L286" s="26"/>
      <c r="M286" s="26"/>
    </row>
    <row r="287" spans="1:13" ht="12.75" customHeight="1" x14ac:dyDescent="0.25">
      <c r="A287" s="26"/>
      <c r="B287" s="26"/>
      <c r="C287" s="26"/>
      <c r="D287" s="26"/>
      <c r="E287" s="26"/>
      <c r="F287" s="26"/>
      <c r="G287" s="26"/>
      <c r="H287" s="26"/>
      <c r="I287" s="26"/>
      <c r="J287" s="26"/>
      <c r="K287" s="26"/>
      <c r="L287" s="26"/>
      <c r="M287" s="26"/>
    </row>
    <row r="288" spans="1:13" ht="12.75" customHeight="1" x14ac:dyDescent="0.25">
      <c r="A288" s="26"/>
      <c r="B288" s="26"/>
      <c r="C288" s="26"/>
      <c r="D288" s="26"/>
      <c r="E288" s="26"/>
      <c r="F288" s="26"/>
      <c r="G288" s="26"/>
      <c r="H288" s="26"/>
      <c r="I288" s="26"/>
      <c r="J288" s="26"/>
      <c r="K288" s="26"/>
      <c r="L288" s="26"/>
      <c r="M288" s="26"/>
    </row>
    <row r="289" spans="1:13" ht="12.75" customHeight="1" x14ac:dyDescent="0.25">
      <c r="A289" s="26"/>
      <c r="B289" s="26"/>
      <c r="C289" s="26"/>
      <c r="D289" s="26"/>
      <c r="E289" s="26"/>
      <c r="F289" s="26"/>
      <c r="G289" s="26"/>
      <c r="H289" s="26"/>
      <c r="I289" s="26"/>
      <c r="J289" s="26"/>
      <c r="K289" s="26"/>
      <c r="L289" s="26"/>
      <c r="M289" s="26"/>
    </row>
    <row r="290" spans="1:13" ht="12.75" customHeight="1" x14ac:dyDescent="0.25">
      <c r="A290" s="26"/>
      <c r="B290" s="26"/>
      <c r="C290" s="26"/>
      <c r="D290" s="26"/>
      <c r="E290" s="26"/>
      <c r="F290" s="26"/>
      <c r="G290" s="26"/>
      <c r="H290" s="26"/>
      <c r="I290" s="26"/>
      <c r="J290" s="26"/>
      <c r="K290" s="26"/>
      <c r="L290" s="26"/>
      <c r="M290" s="26"/>
    </row>
    <row r="291" spans="1:13" ht="12.75" customHeight="1" x14ac:dyDescent="0.25">
      <c r="A291" s="26"/>
      <c r="B291" s="26"/>
      <c r="C291" s="26"/>
      <c r="D291" s="26"/>
      <c r="E291" s="26"/>
      <c r="F291" s="26"/>
      <c r="G291" s="26"/>
      <c r="H291" s="26"/>
      <c r="I291" s="26"/>
      <c r="J291" s="26"/>
      <c r="K291" s="26"/>
      <c r="L291" s="26"/>
      <c r="M291" s="26"/>
    </row>
    <row r="292" spans="1:13" ht="12.75" customHeight="1" x14ac:dyDescent="0.25">
      <c r="A292" s="26"/>
      <c r="B292" s="26"/>
      <c r="C292" s="26"/>
      <c r="D292" s="26"/>
      <c r="E292" s="26"/>
      <c r="F292" s="26"/>
      <c r="G292" s="26"/>
      <c r="H292" s="26"/>
      <c r="I292" s="26"/>
      <c r="J292" s="26"/>
      <c r="K292" s="26"/>
      <c r="L292" s="26"/>
      <c r="M292" s="26"/>
    </row>
    <row r="293" spans="1:13" ht="12.75" customHeight="1" x14ac:dyDescent="0.25">
      <c r="A293" s="26"/>
      <c r="B293" s="26"/>
      <c r="C293" s="26"/>
      <c r="D293" s="26"/>
      <c r="E293" s="26"/>
      <c r="F293" s="26"/>
      <c r="G293" s="26"/>
      <c r="H293" s="26"/>
      <c r="I293" s="26"/>
      <c r="J293" s="26"/>
      <c r="K293" s="26"/>
      <c r="L293" s="26"/>
      <c r="M293" s="26"/>
    </row>
    <row r="294" spans="1:13" ht="12.75" customHeight="1" x14ac:dyDescent="0.25">
      <c r="A294" s="26"/>
      <c r="B294" s="26"/>
      <c r="C294" s="26"/>
      <c r="D294" s="26"/>
      <c r="E294" s="26"/>
      <c r="F294" s="26"/>
      <c r="G294" s="26"/>
      <c r="H294" s="26"/>
      <c r="I294" s="26"/>
      <c r="J294" s="26"/>
      <c r="K294" s="26"/>
      <c r="L294" s="26"/>
      <c r="M294" s="26"/>
    </row>
    <row r="295" spans="1:13" ht="12.75" customHeight="1" x14ac:dyDescent="0.25">
      <c r="A295" s="26"/>
      <c r="B295" s="26"/>
      <c r="C295" s="26"/>
      <c r="D295" s="26"/>
      <c r="E295" s="26"/>
      <c r="F295" s="26"/>
      <c r="G295" s="26"/>
      <c r="H295" s="26"/>
      <c r="I295" s="26"/>
      <c r="J295" s="26"/>
      <c r="K295" s="26"/>
      <c r="L295" s="26"/>
      <c r="M295" s="26"/>
    </row>
    <row r="296" spans="1:13" ht="12.75" customHeight="1" x14ac:dyDescent="0.25">
      <c r="A296" s="26"/>
      <c r="B296" s="26"/>
      <c r="C296" s="26"/>
      <c r="D296" s="26"/>
      <c r="E296" s="26"/>
      <c r="F296" s="26"/>
      <c r="G296" s="26"/>
      <c r="H296" s="26"/>
      <c r="I296" s="26"/>
      <c r="J296" s="26"/>
      <c r="K296" s="26"/>
      <c r="L296" s="26"/>
      <c r="M296" s="26"/>
    </row>
    <row r="297" spans="1:13" ht="12.75" customHeight="1" x14ac:dyDescent="0.25">
      <c r="A297" s="26"/>
      <c r="B297" s="26"/>
      <c r="C297" s="26"/>
      <c r="D297" s="26"/>
      <c r="E297" s="26"/>
      <c r="F297" s="26"/>
      <c r="G297" s="26"/>
      <c r="H297" s="26"/>
      <c r="I297" s="26"/>
      <c r="J297" s="26"/>
      <c r="K297" s="26"/>
      <c r="L297" s="26"/>
      <c r="M297" s="26"/>
    </row>
    <row r="298" spans="1:13" ht="12.75" customHeight="1" x14ac:dyDescent="0.25">
      <c r="A298" s="26"/>
      <c r="B298" s="26"/>
      <c r="C298" s="26"/>
      <c r="D298" s="26"/>
      <c r="E298" s="26"/>
      <c r="F298" s="26"/>
      <c r="G298" s="26"/>
      <c r="H298" s="26"/>
      <c r="I298" s="26"/>
      <c r="J298" s="26"/>
      <c r="K298" s="26"/>
      <c r="L298" s="26"/>
      <c r="M298" s="26"/>
    </row>
    <row r="299" spans="1:13" ht="12.75" customHeight="1" x14ac:dyDescent="0.25">
      <c r="A299" s="26"/>
      <c r="B299" s="26"/>
      <c r="C299" s="26"/>
      <c r="D299" s="26"/>
      <c r="E299" s="26"/>
      <c r="F299" s="26"/>
      <c r="G299" s="26"/>
      <c r="H299" s="26"/>
      <c r="I299" s="26"/>
      <c r="J299" s="26"/>
      <c r="K299" s="26"/>
      <c r="L299" s="26"/>
      <c r="M299" s="26"/>
    </row>
    <row r="300" spans="1:13" ht="12.75" customHeight="1" x14ac:dyDescent="0.25">
      <c r="A300" s="26"/>
      <c r="B300" s="26"/>
      <c r="C300" s="26"/>
      <c r="D300" s="26"/>
      <c r="E300" s="26"/>
      <c r="F300" s="26"/>
      <c r="G300" s="26"/>
      <c r="H300" s="26"/>
      <c r="I300" s="26"/>
      <c r="J300" s="26"/>
      <c r="K300" s="26"/>
      <c r="L300" s="26"/>
      <c r="M300" s="26"/>
    </row>
    <row r="301" spans="1:13" ht="12.75" customHeight="1" x14ac:dyDescent="0.25">
      <c r="A301" s="26"/>
      <c r="B301" s="26"/>
      <c r="C301" s="26"/>
      <c r="D301" s="26"/>
      <c r="E301" s="26"/>
      <c r="F301" s="26"/>
      <c r="G301" s="26"/>
      <c r="H301" s="26"/>
      <c r="I301" s="26"/>
      <c r="J301" s="26"/>
      <c r="K301" s="26"/>
      <c r="L301" s="26"/>
      <c r="M301" s="26"/>
    </row>
    <row r="302" spans="1:13" ht="12.75" customHeight="1" x14ac:dyDescent="0.25">
      <c r="A302" s="26"/>
      <c r="B302" s="26"/>
      <c r="C302" s="26"/>
      <c r="D302" s="26"/>
      <c r="E302" s="26"/>
      <c r="F302" s="26"/>
      <c r="G302" s="26"/>
      <c r="H302" s="26"/>
      <c r="I302" s="26"/>
      <c r="J302" s="26"/>
      <c r="K302" s="26"/>
      <c r="L302" s="26"/>
      <c r="M302" s="26"/>
    </row>
    <row r="303" spans="1:13" ht="12.75" customHeight="1" x14ac:dyDescent="0.25">
      <c r="A303" s="26"/>
      <c r="B303" s="26"/>
      <c r="C303" s="26"/>
      <c r="D303" s="26"/>
      <c r="E303" s="26"/>
      <c r="F303" s="26"/>
      <c r="G303" s="26"/>
      <c r="H303" s="26"/>
      <c r="I303" s="26"/>
      <c r="J303" s="26"/>
      <c r="K303" s="26"/>
      <c r="L303" s="26"/>
      <c r="M303" s="26"/>
    </row>
    <row r="304" spans="1:13" ht="12.75" customHeight="1" x14ac:dyDescent="0.25">
      <c r="A304" s="26"/>
      <c r="B304" s="26"/>
      <c r="C304" s="26"/>
      <c r="D304" s="26"/>
      <c r="E304" s="26"/>
      <c r="F304" s="26"/>
      <c r="G304" s="26"/>
      <c r="H304" s="26"/>
      <c r="I304" s="26"/>
      <c r="J304" s="26"/>
      <c r="K304" s="26"/>
      <c r="L304" s="26"/>
      <c r="M304" s="26"/>
    </row>
    <row r="305" spans="1:13" ht="12.75" customHeight="1" x14ac:dyDescent="0.25">
      <c r="A305" s="26"/>
      <c r="B305" s="26"/>
      <c r="C305" s="26"/>
      <c r="D305" s="26"/>
      <c r="E305" s="26"/>
      <c r="F305" s="26"/>
      <c r="G305" s="26"/>
      <c r="H305" s="26"/>
      <c r="I305" s="26"/>
      <c r="J305" s="26"/>
      <c r="K305" s="26"/>
      <c r="L305" s="26"/>
      <c r="M305" s="26"/>
    </row>
    <row r="306" spans="1:13" ht="12.75" customHeight="1" x14ac:dyDescent="0.25">
      <c r="A306" s="26"/>
      <c r="B306" s="26"/>
      <c r="C306" s="26"/>
      <c r="D306" s="26"/>
      <c r="E306" s="26"/>
      <c r="F306" s="26"/>
      <c r="G306" s="26"/>
      <c r="H306" s="26"/>
      <c r="I306" s="26"/>
      <c r="J306" s="26"/>
      <c r="K306" s="26"/>
      <c r="L306" s="26"/>
      <c r="M306" s="26"/>
    </row>
    <row r="307" spans="1:13" ht="12.75" customHeight="1" x14ac:dyDescent="0.25">
      <c r="A307" s="26"/>
      <c r="B307" s="26"/>
      <c r="C307" s="26"/>
      <c r="D307" s="26"/>
      <c r="E307" s="26"/>
      <c r="F307" s="26"/>
      <c r="G307" s="26"/>
      <c r="H307" s="26"/>
      <c r="I307" s="26"/>
      <c r="J307" s="26"/>
      <c r="K307" s="26"/>
      <c r="L307" s="26"/>
      <c r="M307" s="26"/>
    </row>
    <row r="308" spans="1:13" ht="12.75" customHeight="1" x14ac:dyDescent="0.25">
      <c r="A308" s="26"/>
      <c r="B308" s="26"/>
      <c r="C308" s="26"/>
      <c r="D308" s="26"/>
      <c r="E308" s="26"/>
      <c r="F308" s="26"/>
      <c r="G308" s="26"/>
      <c r="H308" s="26"/>
      <c r="I308" s="26"/>
      <c r="J308" s="26"/>
      <c r="K308" s="26"/>
      <c r="L308" s="26"/>
      <c r="M308" s="26"/>
    </row>
    <row r="309" spans="1:13" ht="12.75" customHeight="1" x14ac:dyDescent="0.25">
      <c r="A309" s="26"/>
      <c r="B309" s="26"/>
      <c r="C309" s="26"/>
      <c r="D309" s="26"/>
      <c r="E309" s="26"/>
      <c r="F309" s="26"/>
      <c r="G309" s="26"/>
      <c r="H309" s="26"/>
      <c r="I309" s="26"/>
      <c r="J309" s="26"/>
      <c r="K309" s="26"/>
      <c r="L309" s="26"/>
      <c r="M309" s="26"/>
    </row>
    <row r="310" spans="1:13" ht="12.75" customHeight="1" x14ac:dyDescent="0.25">
      <c r="A310" s="26"/>
      <c r="B310" s="26"/>
      <c r="C310" s="26"/>
      <c r="D310" s="26"/>
      <c r="E310" s="26"/>
      <c r="F310" s="26"/>
      <c r="G310" s="26"/>
      <c r="H310" s="26"/>
      <c r="I310" s="26"/>
      <c r="J310" s="26"/>
      <c r="K310" s="26"/>
      <c r="L310" s="26"/>
      <c r="M310" s="26"/>
    </row>
    <row r="311" spans="1:13" ht="12.75" customHeight="1" x14ac:dyDescent="0.25">
      <c r="A311" s="26"/>
      <c r="B311" s="26"/>
      <c r="C311" s="26"/>
      <c r="D311" s="26"/>
      <c r="E311" s="26"/>
      <c r="F311" s="26"/>
      <c r="G311" s="26"/>
      <c r="H311" s="26"/>
      <c r="I311" s="26"/>
      <c r="J311" s="26"/>
      <c r="K311" s="26"/>
      <c r="L311" s="26"/>
      <c r="M311" s="26"/>
    </row>
    <row r="312" spans="1:13" ht="12.75" customHeight="1" x14ac:dyDescent="0.25">
      <c r="A312" s="26"/>
      <c r="B312" s="26"/>
      <c r="C312" s="26"/>
      <c r="D312" s="26"/>
      <c r="E312" s="26"/>
      <c r="F312" s="26"/>
      <c r="G312" s="26"/>
      <c r="H312" s="26"/>
      <c r="I312" s="26"/>
      <c r="J312" s="26"/>
      <c r="K312" s="26"/>
      <c r="L312" s="26"/>
      <c r="M312" s="26"/>
    </row>
    <row r="313" spans="1:13" ht="12.75" customHeight="1" x14ac:dyDescent="0.25">
      <c r="A313" s="26"/>
      <c r="B313" s="26"/>
      <c r="C313" s="26"/>
      <c r="D313" s="26"/>
      <c r="E313" s="26"/>
      <c r="F313" s="26"/>
      <c r="G313" s="26"/>
      <c r="H313" s="26"/>
      <c r="I313" s="26"/>
      <c r="J313" s="26"/>
      <c r="K313" s="26"/>
      <c r="L313" s="26"/>
      <c r="M313" s="26"/>
    </row>
    <row r="314" spans="1:13" ht="12.75" customHeight="1" x14ac:dyDescent="0.25">
      <c r="A314" s="26"/>
      <c r="B314" s="26"/>
      <c r="C314" s="26"/>
      <c r="D314" s="26"/>
      <c r="E314" s="26"/>
      <c r="F314" s="26"/>
      <c r="G314" s="26"/>
      <c r="H314" s="26"/>
      <c r="I314" s="26"/>
      <c r="J314" s="26"/>
      <c r="K314" s="26"/>
      <c r="L314" s="26"/>
      <c r="M314" s="26"/>
    </row>
    <row r="315" spans="1:13" ht="12.75" customHeight="1" x14ac:dyDescent="0.25">
      <c r="A315" s="26"/>
      <c r="B315" s="26"/>
      <c r="C315" s="26"/>
      <c r="D315" s="26"/>
      <c r="E315" s="26"/>
      <c r="F315" s="26"/>
      <c r="G315" s="26"/>
      <c r="H315" s="26"/>
      <c r="I315" s="26"/>
      <c r="J315" s="26"/>
      <c r="K315" s="26"/>
      <c r="L315" s="26"/>
      <c r="M315" s="26"/>
    </row>
    <row r="316" spans="1:13" ht="12.75" customHeight="1" x14ac:dyDescent="0.25">
      <c r="A316" s="26"/>
      <c r="B316" s="26"/>
      <c r="C316" s="26"/>
      <c r="D316" s="26"/>
      <c r="E316" s="26"/>
      <c r="F316" s="26"/>
      <c r="G316" s="26"/>
      <c r="H316" s="26"/>
      <c r="I316" s="26"/>
      <c r="J316" s="26"/>
      <c r="K316" s="26"/>
      <c r="L316" s="26"/>
      <c r="M316" s="26"/>
    </row>
    <row r="317" spans="1:13" ht="12.75" customHeight="1" x14ac:dyDescent="0.25">
      <c r="A317" s="26"/>
      <c r="B317" s="26"/>
      <c r="C317" s="26"/>
      <c r="D317" s="26"/>
      <c r="E317" s="26"/>
      <c r="F317" s="26"/>
      <c r="G317" s="26"/>
      <c r="H317" s="26"/>
      <c r="I317" s="26"/>
      <c r="J317" s="26"/>
      <c r="K317" s="26"/>
      <c r="L317" s="26"/>
      <c r="M317" s="26"/>
    </row>
    <row r="318" spans="1:13" ht="12.75" customHeight="1" x14ac:dyDescent="0.25">
      <c r="A318" s="26"/>
      <c r="B318" s="26"/>
      <c r="C318" s="26"/>
      <c r="D318" s="26"/>
      <c r="E318" s="26"/>
      <c r="F318" s="26"/>
      <c r="G318" s="26"/>
      <c r="H318" s="26"/>
      <c r="I318" s="26"/>
      <c r="J318" s="26"/>
      <c r="K318" s="26"/>
      <c r="L318" s="26"/>
      <c r="M318" s="26"/>
    </row>
    <row r="319" spans="1:13" ht="12.75" customHeight="1" x14ac:dyDescent="0.25">
      <c r="A319" s="26"/>
      <c r="B319" s="26"/>
      <c r="C319" s="26"/>
      <c r="D319" s="26"/>
      <c r="E319" s="26"/>
      <c r="F319" s="26"/>
      <c r="G319" s="26"/>
      <c r="H319" s="26"/>
      <c r="I319" s="26"/>
      <c r="J319" s="26"/>
      <c r="K319" s="26"/>
      <c r="L319" s="26"/>
      <c r="M319" s="26"/>
    </row>
    <row r="320" spans="1:13" ht="12.75" customHeight="1" x14ac:dyDescent="0.25">
      <c r="A320" s="26"/>
      <c r="B320" s="26"/>
      <c r="C320" s="26"/>
      <c r="D320" s="26"/>
      <c r="E320" s="26"/>
      <c r="F320" s="26"/>
      <c r="G320" s="26"/>
      <c r="H320" s="26"/>
      <c r="I320" s="26"/>
      <c r="J320" s="26"/>
      <c r="K320" s="26"/>
      <c r="L320" s="26"/>
      <c r="M320" s="26"/>
    </row>
    <row r="321" spans="1:13" ht="12.75" customHeight="1" x14ac:dyDescent="0.25">
      <c r="A321" s="26"/>
      <c r="B321" s="26"/>
      <c r="C321" s="26"/>
      <c r="D321" s="26"/>
      <c r="E321" s="26"/>
      <c r="F321" s="26"/>
      <c r="G321" s="26"/>
      <c r="H321" s="26"/>
      <c r="I321" s="26"/>
      <c r="J321" s="26"/>
      <c r="K321" s="26"/>
      <c r="L321" s="26"/>
      <c r="M321" s="26"/>
    </row>
    <row r="322" spans="1:13" ht="12.75" customHeight="1" x14ac:dyDescent="0.25">
      <c r="A322" s="26"/>
      <c r="B322" s="26"/>
      <c r="C322" s="26"/>
      <c r="D322" s="26"/>
      <c r="E322" s="26"/>
      <c r="F322" s="26"/>
      <c r="G322" s="26"/>
      <c r="H322" s="26"/>
      <c r="I322" s="26"/>
      <c r="J322" s="26"/>
      <c r="K322" s="26"/>
      <c r="L322" s="26"/>
      <c r="M322" s="26"/>
    </row>
    <row r="323" spans="1:13" ht="12.75" customHeight="1" x14ac:dyDescent="0.25">
      <c r="A323" s="26"/>
      <c r="B323" s="26"/>
      <c r="C323" s="26"/>
      <c r="D323" s="26"/>
      <c r="E323" s="26"/>
      <c r="F323" s="26"/>
      <c r="G323" s="26"/>
      <c r="H323" s="26"/>
      <c r="I323" s="26"/>
      <c r="J323" s="26"/>
      <c r="K323" s="26"/>
      <c r="L323" s="26"/>
      <c r="M323" s="26"/>
    </row>
    <row r="324" spans="1:13" ht="12.75" customHeight="1" x14ac:dyDescent="0.25">
      <c r="A324" s="26"/>
      <c r="B324" s="26"/>
      <c r="C324" s="26"/>
      <c r="D324" s="26"/>
      <c r="E324" s="26"/>
      <c r="F324" s="26"/>
      <c r="G324" s="26"/>
      <c r="H324" s="26"/>
      <c r="I324" s="26"/>
      <c r="J324" s="26"/>
      <c r="K324" s="26"/>
      <c r="L324" s="26"/>
      <c r="M324" s="26"/>
    </row>
    <row r="325" spans="1:13" ht="12.75" customHeight="1" x14ac:dyDescent="0.25">
      <c r="A325" s="26"/>
      <c r="B325" s="26"/>
      <c r="C325" s="26"/>
      <c r="D325" s="26"/>
      <c r="E325" s="26"/>
      <c r="F325" s="26"/>
      <c r="G325" s="26"/>
      <c r="H325" s="26"/>
      <c r="I325" s="26"/>
      <c r="J325" s="26"/>
      <c r="K325" s="26"/>
      <c r="L325" s="26"/>
      <c r="M325" s="26"/>
    </row>
    <row r="326" spans="1:13" ht="12.75" customHeight="1" x14ac:dyDescent="0.25">
      <c r="A326" s="26"/>
      <c r="B326" s="26"/>
      <c r="C326" s="26"/>
      <c r="D326" s="26"/>
      <c r="E326" s="26"/>
      <c r="F326" s="26"/>
      <c r="G326" s="26"/>
      <c r="H326" s="26"/>
      <c r="I326" s="26"/>
      <c r="J326" s="26"/>
      <c r="K326" s="26"/>
      <c r="L326" s="26"/>
      <c r="M326" s="26"/>
    </row>
    <row r="327" spans="1:13" ht="12.75" customHeight="1" x14ac:dyDescent="0.25">
      <c r="A327" s="26"/>
      <c r="B327" s="26"/>
      <c r="C327" s="26"/>
      <c r="D327" s="26"/>
      <c r="E327" s="26"/>
      <c r="F327" s="26"/>
      <c r="G327" s="26"/>
      <c r="H327" s="26"/>
      <c r="I327" s="26"/>
      <c r="J327" s="26"/>
      <c r="K327" s="26"/>
      <c r="L327" s="26"/>
      <c r="M327" s="26"/>
    </row>
    <row r="328" spans="1:13" ht="12.75" customHeight="1" x14ac:dyDescent="0.25">
      <c r="A328" s="26"/>
      <c r="B328" s="26"/>
      <c r="C328" s="26"/>
      <c r="D328" s="26"/>
      <c r="E328" s="26"/>
      <c r="F328" s="26"/>
      <c r="G328" s="26"/>
      <c r="H328" s="26"/>
      <c r="I328" s="26"/>
      <c r="J328" s="26"/>
      <c r="K328" s="26"/>
      <c r="L328" s="26"/>
      <c r="M328" s="26"/>
    </row>
    <row r="329" spans="1:13" ht="12.75" customHeight="1" x14ac:dyDescent="0.25">
      <c r="A329" s="26"/>
      <c r="B329" s="26"/>
      <c r="C329" s="26"/>
      <c r="D329" s="26"/>
      <c r="E329" s="26"/>
      <c r="F329" s="26"/>
      <c r="G329" s="26"/>
      <c r="H329" s="26"/>
      <c r="I329" s="26"/>
      <c r="J329" s="26"/>
      <c r="K329" s="26"/>
      <c r="L329" s="26"/>
      <c r="M329" s="26"/>
    </row>
    <row r="330" spans="1:13" ht="12.75" customHeight="1" x14ac:dyDescent="0.25">
      <c r="A330" s="26"/>
      <c r="B330" s="26"/>
      <c r="C330" s="26"/>
      <c r="D330" s="26"/>
      <c r="E330" s="26"/>
      <c r="F330" s="26"/>
      <c r="G330" s="26"/>
      <c r="H330" s="26"/>
      <c r="I330" s="26"/>
      <c r="J330" s="26"/>
      <c r="K330" s="26"/>
      <c r="L330" s="26"/>
      <c r="M330" s="26"/>
    </row>
    <row r="331" spans="1:13" ht="12.75" customHeight="1" x14ac:dyDescent="0.25">
      <c r="A331" s="26"/>
      <c r="B331" s="26"/>
      <c r="C331" s="26"/>
      <c r="D331" s="26"/>
      <c r="E331" s="26"/>
      <c r="F331" s="26"/>
      <c r="G331" s="26"/>
      <c r="H331" s="26"/>
      <c r="I331" s="26"/>
      <c r="J331" s="26"/>
      <c r="K331" s="26"/>
      <c r="L331" s="26"/>
      <c r="M331" s="26"/>
    </row>
    <row r="332" spans="1:13" ht="12.75" customHeight="1" x14ac:dyDescent="0.25">
      <c r="A332" s="26"/>
      <c r="B332" s="26"/>
      <c r="C332" s="26"/>
      <c r="D332" s="26"/>
      <c r="E332" s="26"/>
      <c r="F332" s="26"/>
      <c r="G332" s="26"/>
      <c r="H332" s="26"/>
      <c r="I332" s="26"/>
      <c r="J332" s="26"/>
      <c r="K332" s="26"/>
      <c r="L332" s="26"/>
      <c r="M332" s="26"/>
    </row>
    <row r="333" spans="1:13" ht="12.75" customHeight="1" x14ac:dyDescent="0.25">
      <c r="A333" s="26"/>
      <c r="B333" s="26"/>
      <c r="C333" s="26"/>
      <c r="D333" s="26"/>
      <c r="E333" s="26"/>
      <c r="F333" s="26"/>
      <c r="G333" s="26"/>
      <c r="H333" s="26"/>
      <c r="I333" s="26"/>
      <c r="J333" s="26"/>
      <c r="K333" s="26"/>
      <c r="L333" s="26"/>
      <c r="M333" s="26"/>
    </row>
    <row r="334" spans="1:13" ht="12.75" customHeight="1" x14ac:dyDescent="0.25">
      <c r="A334" s="26"/>
      <c r="B334" s="26"/>
      <c r="C334" s="26"/>
      <c r="D334" s="26"/>
      <c r="E334" s="26"/>
      <c r="F334" s="26"/>
      <c r="G334" s="26"/>
      <c r="H334" s="26"/>
      <c r="I334" s="26"/>
      <c r="J334" s="26"/>
      <c r="K334" s="26"/>
      <c r="L334" s="26"/>
      <c r="M334" s="26"/>
    </row>
    <row r="335" spans="1:13" ht="12.75" customHeight="1" x14ac:dyDescent="0.25">
      <c r="A335" s="26"/>
      <c r="B335" s="26"/>
      <c r="C335" s="26"/>
      <c r="D335" s="26"/>
      <c r="E335" s="26"/>
      <c r="F335" s="26"/>
      <c r="G335" s="26"/>
      <c r="H335" s="26"/>
      <c r="I335" s="26"/>
      <c r="J335" s="26"/>
      <c r="K335" s="26"/>
      <c r="L335" s="26"/>
      <c r="M335" s="26"/>
    </row>
    <row r="336" spans="1:13" ht="12.75" customHeight="1" x14ac:dyDescent="0.25">
      <c r="A336" s="26"/>
      <c r="B336" s="26"/>
      <c r="C336" s="26"/>
      <c r="D336" s="26"/>
      <c r="E336" s="26"/>
      <c r="F336" s="26"/>
      <c r="G336" s="26"/>
      <c r="H336" s="26"/>
      <c r="I336" s="26"/>
      <c r="J336" s="26"/>
      <c r="K336" s="26"/>
      <c r="L336" s="26"/>
      <c r="M336" s="26"/>
    </row>
    <row r="337" spans="1:13" ht="12.75" customHeight="1" x14ac:dyDescent="0.25">
      <c r="A337" s="26"/>
      <c r="B337" s="26"/>
      <c r="C337" s="26"/>
      <c r="D337" s="26"/>
      <c r="E337" s="26"/>
      <c r="F337" s="26"/>
      <c r="G337" s="26"/>
      <c r="H337" s="26"/>
      <c r="I337" s="26"/>
      <c r="J337" s="26"/>
      <c r="K337" s="26"/>
      <c r="L337" s="26"/>
      <c r="M337" s="26"/>
    </row>
    <row r="338" spans="1:13" ht="12.75" customHeight="1" x14ac:dyDescent="0.25">
      <c r="A338" s="26"/>
      <c r="B338" s="26"/>
      <c r="C338" s="26"/>
      <c r="D338" s="26"/>
      <c r="E338" s="26"/>
      <c r="F338" s="26"/>
      <c r="G338" s="26"/>
      <c r="H338" s="26"/>
      <c r="I338" s="26"/>
      <c r="J338" s="26"/>
      <c r="K338" s="26"/>
      <c r="L338" s="26"/>
      <c r="M338" s="26"/>
    </row>
    <row r="339" spans="1:13" ht="12.75" customHeight="1" x14ac:dyDescent="0.25">
      <c r="A339" s="26"/>
      <c r="B339" s="26"/>
      <c r="C339" s="26"/>
      <c r="D339" s="26"/>
      <c r="E339" s="26"/>
      <c r="F339" s="26"/>
      <c r="G339" s="26"/>
      <c r="H339" s="26"/>
      <c r="I339" s="26"/>
      <c r="J339" s="26"/>
      <c r="K339" s="26"/>
      <c r="L339" s="26"/>
      <c r="M339" s="26"/>
    </row>
    <row r="340" spans="1:13" ht="12.75" customHeight="1" x14ac:dyDescent="0.25">
      <c r="A340" s="26"/>
      <c r="B340" s="26"/>
      <c r="C340" s="26"/>
      <c r="D340" s="26"/>
      <c r="E340" s="26"/>
      <c r="F340" s="26"/>
      <c r="G340" s="26"/>
      <c r="H340" s="26"/>
      <c r="I340" s="26"/>
      <c r="J340" s="26"/>
      <c r="K340" s="26"/>
      <c r="L340" s="26"/>
      <c r="M340" s="26"/>
    </row>
    <row r="341" spans="1:13" ht="12.75" customHeight="1" x14ac:dyDescent="0.25">
      <c r="A341" s="26"/>
      <c r="B341" s="26"/>
      <c r="C341" s="26"/>
      <c r="D341" s="26"/>
      <c r="E341" s="26"/>
      <c r="F341" s="26"/>
      <c r="G341" s="26"/>
      <c r="H341" s="26"/>
      <c r="I341" s="26"/>
      <c r="J341" s="26"/>
      <c r="K341" s="26"/>
      <c r="L341" s="26"/>
      <c r="M341" s="26"/>
    </row>
    <row r="342" spans="1:13" ht="12.75" customHeight="1" x14ac:dyDescent="0.25">
      <c r="A342" s="26"/>
      <c r="B342" s="26"/>
      <c r="C342" s="26"/>
      <c r="D342" s="26"/>
      <c r="E342" s="26"/>
      <c r="F342" s="26"/>
      <c r="G342" s="26"/>
      <c r="H342" s="26"/>
      <c r="I342" s="26"/>
      <c r="J342" s="26"/>
      <c r="K342" s="26"/>
      <c r="L342" s="26"/>
      <c r="M342" s="26"/>
    </row>
    <row r="343" spans="1:13" ht="12.75" customHeight="1" x14ac:dyDescent="0.25">
      <c r="A343" s="26"/>
      <c r="B343" s="26"/>
      <c r="C343" s="26"/>
      <c r="D343" s="26"/>
      <c r="E343" s="26"/>
      <c r="F343" s="26"/>
      <c r="G343" s="26"/>
      <c r="H343" s="26"/>
      <c r="I343" s="26"/>
      <c r="J343" s="26"/>
      <c r="K343" s="26"/>
      <c r="L343" s="26"/>
      <c r="M343" s="26"/>
    </row>
    <row r="344" spans="1:13" ht="12.75" customHeight="1" x14ac:dyDescent="0.25">
      <c r="A344" s="26"/>
      <c r="B344" s="26"/>
      <c r="C344" s="26"/>
      <c r="D344" s="26"/>
      <c r="E344" s="26"/>
      <c r="F344" s="26"/>
      <c r="G344" s="26"/>
      <c r="H344" s="26"/>
      <c r="I344" s="26"/>
      <c r="J344" s="26"/>
      <c r="K344" s="26"/>
      <c r="L344" s="26"/>
      <c r="M344" s="26"/>
    </row>
    <row r="345" spans="1:13" ht="12.75" customHeight="1" x14ac:dyDescent="0.25">
      <c r="A345" s="26"/>
      <c r="B345" s="26"/>
      <c r="C345" s="26"/>
      <c r="D345" s="26"/>
      <c r="E345" s="26"/>
      <c r="F345" s="26"/>
      <c r="G345" s="26"/>
      <c r="H345" s="26"/>
      <c r="I345" s="26"/>
      <c r="J345" s="26"/>
      <c r="K345" s="26"/>
      <c r="L345" s="26"/>
      <c r="M345" s="26"/>
    </row>
    <row r="346" spans="1:13" ht="12.75" customHeight="1" x14ac:dyDescent="0.25">
      <c r="A346" s="26"/>
      <c r="B346" s="26"/>
      <c r="C346" s="26"/>
      <c r="D346" s="26"/>
      <c r="E346" s="26"/>
      <c r="F346" s="26"/>
      <c r="G346" s="26"/>
      <c r="H346" s="26"/>
      <c r="I346" s="26"/>
      <c r="J346" s="26"/>
      <c r="K346" s="26"/>
      <c r="L346" s="26"/>
      <c r="M346" s="26"/>
    </row>
    <row r="347" spans="1:13" ht="12.75" customHeight="1" x14ac:dyDescent="0.25">
      <c r="A347" s="26"/>
      <c r="B347" s="26"/>
      <c r="C347" s="26"/>
      <c r="D347" s="26"/>
      <c r="E347" s="26"/>
      <c r="F347" s="26"/>
      <c r="G347" s="26"/>
      <c r="H347" s="26"/>
      <c r="I347" s="26"/>
      <c r="J347" s="26"/>
      <c r="K347" s="26"/>
      <c r="L347" s="26"/>
      <c r="M347" s="26"/>
    </row>
    <row r="348" spans="1:13" ht="12.75" customHeight="1" x14ac:dyDescent="0.25">
      <c r="A348" s="26"/>
      <c r="B348" s="26"/>
      <c r="C348" s="26"/>
      <c r="D348" s="26"/>
      <c r="E348" s="26"/>
      <c r="F348" s="26"/>
      <c r="G348" s="26"/>
      <c r="H348" s="26"/>
      <c r="I348" s="26"/>
      <c r="J348" s="26"/>
      <c r="K348" s="26"/>
      <c r="L348" s="26"/>
      <c r="M348" s="26"/>
    </row>
    <row r="349" spans="1:13" ht="12.75" customHeight="1" x14ac:dyDescent="0.25">
      <c r="A349" s="26"/>
      <c r="B349" s="26"/>
      <c r="C349" s="26"/>
      <c r="D349" s="26"/>
      <c r="E349" s="26"/>
      <c r="F349" s="26"/>
      <c r="G349" s="26"/>
      <c r="H349" s="26"/>
      <c r="I349" s="26"/>
      <c r="J349" s="26"/>
      <c r="K349" s="26"/>
      <c r="L349" s="26"/>
      <c r="M349" s="26"/>
    </row>
    <row r="350" spans="1:13" ht="12.75" customHeight="1" x14ac:dyDescent="0.25">
      <c r="A350" s="26"/>
      <c r="B350" s="26"/>
      <c r="C350" s="26"/>
      <c r="D350" s="26"/>
      <c r="E350" s="26"/>
      <c r="F350" s="26"/>
      <c r="G350" s="26"/>
      <c r="H350" s="26"/>
      <c r="I350" s="26"/>
      <c r="J350" s="26"/>
      <c r="K350" s="26"/>
      <c r="L350" s="26"/>
      <c r="M350" s="26"/>
    </row>
    <row r="351" spans="1:13" ht="12.75" customHeight="1" x14ac:dyDescent="0.25">
      <c r="A351" s="26"/>
      <c r="B351" s="26"/>
      <c r="C351" s="26"/>
      <c r="D351" s="26"/>
      <c r="E351" s="26"/>
      <c r="F351" s="26"/>
      <c r="G351" s="26"/>
      <c r="H351" s="26"/>
      <c r="I351" s="26"/>
      <c r="J351" s="26"/>
      <c r="K351" s="26"/>
      <c r="L351" s="26"/>
      <c r="M351" s="26"/>
    </row>
    <row r="352" spans="1:13" ht="12.75" customHeight="1" x14ac:dyDescent="0.25">
      <c r="A352" s="26"/>
      <c r="B352" s="26"/>
      <c r="C352" s="26"/>
      <c r="D352" s="26"/>
      <c r="E352" s="26"/>
      <c r="F352" s="26"/>
      <c r="G352" s="26"/>
      <c r="H352" s="26"/>
      <c r="I352" s="26"/>
      <c r="J352" s="26"/>
      <c r="K352" s="26"/>
      <c r="L352" s="26"/>
      <c r="M352" s="26"/>
    </row>
    <row r="353" spans="1:13" ht="12.75" customHeight="1" x14ac:dyDescent="0.25">
      <c r="A353" s="26"/>
      <c r="B353" s="26"/>
      <c r="C353" s="26"/>
      <c r="D353" s="26"/>
      <c r="E353" s="26"/>
      <c r="F353" s="26"/>
      <c r="G353" s="26"/>
      <c r="H353" s="26"/>
      <c r="I353" s="26"/>
      <c r="J353" s="26"/>
      <c r="K353" s="26"/>
      <c r="L353" s="26"/>
      <c r="M353" s="26"/>
    </row>
    <row r="354" spans="1:13" ht="12.75" customHeight="1" x14ac:dyDescent="0.25">
      <c r="A354" s="26"/>
      <c r="B354" s="26"/>
      <c r="C354" s="26"/>
      <c r="D354" s="26"/>
      <c r="E354" s="26"/>
      <c r="F354" s="26"/>
      <c r="G354" s="26"/>
      <c r="H354" s="26"/>
      <c r="I354" s="26"/>
      <c r="J354" s="26"/>
      <c r="K354" s="26"/>
      <c r="L354" s="26"/>
      <c r="M354" s="26"/>
    </row>
    <row r="355" spans="1:13" ht="12.75" customHeight="1" x14ac:dyDescent="0.25">
      <c r="A355" s="26"/>
      <c r="B355" s="26"/>
      <c r="C355" s="26"/>
      <c r="D355" s="26"/>
      <c r="E355" s="26"/>
      <c r="F355" s="26"/>
      <c r="G355" s="26"/>
      <c r="H355" s="26"/>
      <c r="I355" s="26"/>
      <c r="J355" s="26"/>
      <c r="K355" s="26"/>
      <c r="L355" s="26"/>
      <c r="M355" s="26"/>
    </row>
    <row r="356" spans="1:13" ht="12.75" customHeight="1" x14ac:dyDescent="0.25">
      <c r="A356" s="26"/>
      <c r="B356" s="26"/>
      <c r="C356" s="26"/>
      <c r="D356" s="26"/>
      <c r="E356" s="26"/>
      <c r="F356" s="26"/>
      <c r="G356" s="26"/>
      <c r="H356" s="26"/>
      <c r="I356" s="26"/>
      <c r="J356" s="26"/>
      <c r="K356" s="26"/>
      <c r="L356" s="26"/>
      <c r="M356" s="26"/>
    </row>
    <row r="357" spans="1:13" ht="12.75" customHeight="1" x14ac:dyDescent="0.25">
      <c r="A357" s="26"/>
      <c r="B357" s="26"/>
      <c r="C357" s="26"/>
      <c r="D357" s="26"/>
      <c r="E357" s="26"/>
      <c r="F357" s="26"/>
      <c r="G357" s="26"/>
      <c r="H357" s="26"/>
      <c r="I357" s="26"/>
      <c r="J357" s="26"/>
      <c r="K357" s="26"/>
      <c r="L357" s="26"/>
      <c r="M357" s="26"/>
    </row>
    <row r="358" spans="1:13" ht="12.75" customHeight="1" x14ac:dyDescent="0.25">
      <c r="A358" s="26"/>
      <c r="B358" s="26"/>
      <c r="C358" s="26"/>
      <c r="D358" s="26"/>
      <c r="E358" s="26"/>
      <c r="F358" s="26"/>
      <c r="G358" s="26"/>
      <c r="H358" s="26"/>
      <c r="I358" s="26"/>
      <c r="J358" s="26"/>
      <c r="K358" s="26"/>
      <c r="L358" s="26"/>
      <c r="M358" s="26"/>
    </row>
    <row r="359" spans="1:13" ht="12.75" customHeight="1" x14ac:dyDescent="0.25">
      <c r="A359" s="26"/>
      <c r="B359" s="26"/>
      <c r="C359" s="26"/>
      <c r="D359" s="26"/>
      <c r="E359" s="26"/>
      <c r="F359" s="26"/>
      <c r="G359" s="26"/>
      <c r="H359" s="26"/>
      <c r="I359" s="26"/>
      <c r="J359" s="26"/>
      <c r="K359" s="26"/>
      <c r="L359" s="26"/>
      <c r="M359" s="26"/>
    </row>
    <row r="360" spans="1:13" ht="12.75" customHeight="1" x14ac:dyDescent="0.25">
      <c r="A360" s="26"/>
      <c r="B360" s="26"/>
      <c r="C360" s="26"/>
      <c r="D360" s="26"/>
      <c r="E360" s="26"/>
      <c r="F360" s="26"/>
      <c r="G360" s="26"/>
      <c r="H360" s="26"/>
      <c r="I360" s="26"/>
      <c r="J360" s="26"/>
      <c r="K360" s="26"/>
      <c r="L360" s="26"/>
      <c r="M360" s="26"/>
    </row>
    <row r="361" spans="1:13" ht="12.75" customHeight="1" x14ac:dyDescent="0.25">
      <c r="A361" s="26"/>
      <c r="B361" s="26"/>
      <c r="C361" s="26"/>
      <c r="D361" s="26"/>
      <c r="E361" s="26"/>
      <c r="F361" s="26"/>
      <c r="G361" s="26"/>
      <c r="H361" s="26"/>
      <c r="I361" s="26"/>
      <c r="J361" s="26"/>
      <c r="K361" s="26"/>
      <c r="L361" s="26"/>
      <c r="M361" s="26"/>
    </row>
    <row r="362" spans="1:13" ht="12.75" customHeight="1" x14ac:dyDescent="0.25">
      <c r="A362" s="26"/>
      <c r="B362" s="26"/>
      <c r="C362" s="26"/>
      <c r="D362" s="26"/>
      <c r="E362" s="26"/>
      <c r="F362" s="26"/>
      <c r="G362" s="26"/>
      <c r="H362" s="26"/>
      <c r="I362" s="26"/>
      <c r="J362" s="26"/>
      <c r="K362" s="26"/>
      <c r="L362" s="26"/>
      <c r="M362" s="26"/>
    </row>
    <row r="363" spans="1:13" ht="12.75" customHeight="1" x14ac:dyDescent="0.25">
      <c r="A363" s="26"/>
      <c r="B363" s="26"/>
      <c r="C363" s="26"/>
      <c r="D363" s="26"/>
      <c r="E363" s="26"/>
      <c r="F363" s="26"/>
      <c r="G363" s="26"/>
      <c r="H363" s="26"/>
      <c r="I363" s="26"/>
      <c r="J363" s="26"/>
      <c r="K363" s="26"/>
      <c r="L363" s="26"/>
      <c r="M363" s="26"/>
    </row>
    <row r="364" spans="1:13" ht="12.75" customHeight="1" x14ac:dyDescent="0.25">
      <c r="A364" s="26"/>
      <c r="B364" s="26"/>
      <c r="C364" s="26"/>
      <c r="D364" s="26"/>
      <c r="E364" s="26"/>
      <c r="F364" s="26"/>
      <c r="G364" s="26"/>
      <c r="H364" s="26"/>
      <c r="I364" s="26"/>
      <c r="J364" s="26"/>
      <c r="K364" s="26"/>
      <c r="L364" s="26"/>
      <c r="M364" s="26"/>
    </row>
    <row r="365" spans="1:13" ht="12.75" customHeight="1" x14ac:dyDescent="0.25">
      <c r="A365" s="26"/>
      <c r="B365" s="26"/>
      <c r="C365" s="26"/>
      <c r="D365" s="26"/>
      <c r="E365" s="26"/>
      <c r="F365" s="26"/>
      <c r="G365" s="26"/>
      <c r="H365" s="26"/>
      <c r="I365" s="26"/>
      <c r="J365" s="26"/>
      <c r="K365" s="26"/>
      <c r="L365" s="26"/>
      <c r="M365" s="26"/>
    </row>
    <row r="366" spans="1:13" ht="12.75" customHeight="1" x14ac:dyDescent="0.25">
      <c r="A366" s="26"/>
      <c r="B366" s="26"/>
      <c r="C366" s="26"/>
      <c r="D366" s="26"/>
      <c r="E366" s="26"/>
      <c r="F366" s="26"/>
      <c r="G366" s="26"/>
      <c r="H366" s="26"/>
      <c r="I366" s="26"/>
      <c r="J366" s="26"/>
      <c r="K366" s="26"/>
      <c r="L366" s="26"/>
      <c r="M366" s="26"/>
    </row>
    <row r="367" spans="1:13" ht="12.75" customHeight="1" x14ac:dyDescent="0.25">
      <c r="A367" s="26"/>
      <c r="B367" s="26"/>
      <c r="C367" s="26"/>
      <c r="D367" s="26"/>
      <c r="E367" s="26"/>
      <c r="F367" s="26"/>
      <c r="G367" s="26"/>
      <c r="H367" s="26"/>
      <c r="I367" s="26"/>
      <c r="J367" s="26"/>
      <c r="K367" s="26"/>
      <c r="L367" s="26"/>
      <c r="M367" s="26"/>
    </row>
    <row r="368" spans="1:13" ht="12.75" customHeight="1" x14ac:dyDescent="0.25">
      <c r="A368" s="26"/>
      <c r="B368" s="26"/>
      <c r="C368" s="26"/>
      <c r="D368" s="26"/>
      <c r="E368" s="26"/>
      <c r="F368" s="26"/>
      <c r="G368" s="26"/>
      <c r="H368" s="26"/>
      <c r="I368" s="26"/>
      <c r="J368" s="26"/>
      <c r="K368" s="26"/>
      <c r="L368" s="26"/>
      <c r="M368" s="26"/>
    </row>
    <row r="369" spans="1:13" ht="12.75" customHeight="1" x14ac:dyDescent="0.25">
      <c r="A369" s="26"/>
      <c r="B369" s="26"/>
      <c r="C369" s="26"/>
      <c r="D369" s="26"/>
      <c r="E369" s="26"/>
      <c r="F369" s="26"/>
      <c r="G369" s="26"/>
      <c r="H369" s="26"/>
      <c r="I369" s="26"/>
      <c r="J369" s="26"/>
      <c r="K369" s="26"/>
      <c r="L369" s="26"/>
      <c r="M369" s="26"/>
    </row>
    <row r="370" spans="1:13" ht="12.75" customHeight="1" x14ac:dyDescent="0.25">
      <c r="A370" s="26"/>
      <c r="B370" s="26"/>
      <c r="C370" s="26"/>
      <c r="D370" s="26"/>
      <c r="E370" s="26"/>
      <c r="F370" s="26"/>
      <c r="G370" s="26"/>
      <c r="H370" s="26"/>
      <c r="I370" s="26"/>
      <c r="J370" s="26"/>
      <c r="K370" s="26"/>
      <c r="L370" s="26"/>
      <c r="M370" s="26"/>
    </row>
    <row r="371" spans="1:13" ht="12.75" customHeight="1" x14ac:dyDescent="0.25">
      <c r="A371" s="26"/>
      <c r="B371" s="26"/>
      <c r="C371" s="26"/>
      <c r="D371" s="26"/>
      <c r="E371" s="26"/>
      <c r="F371" s="26"/>
      <c r="G371" s="26"/>
      <c r="H371" s="26"/>
      <c r="I371" s="26"/>
      <c r="J371" s="26"/>
      <c r="K371" s="26"/>
      <c r="L371" s="26"/>
      <c r="M371" s="26"/>
    </row>
    <row r="372" spans="1:13" ht="12.75" customHeight="1" x14ac:dyDescent="0.25">
      <c r="A372" s="26"/>
      <c r="B372" s="26"/>
      <c r="C372" s="26"/>
      <c r="D372" s="26"/>
      <c r="E372" s="26"/>
      <c r="F372" s="26"/>
      <c r="G372" s="26"/>
      <c r="H372" s="26"/>
      <c r="I372" s="26"/>
      <c r="J372" s="26"/>
      <c r="K372" s="26"/>
      <c r="L372" s="26"/>
      <c r="M372" s="26"/>
    </row>
    <row r="373" spans="1:13" ht="12.75" customHeight="1" x14ac:dyDescent="0.25">
      <c r="A373" s="26"/>
      <c r="B373" s="26"/>
      <c r="C373" s="26"/>
      <c r="D373" s="26"/>
      <c r="E373" s="26"/>
      <c r="F373" s="26"/>
      <c r="G373" s="26"/>
      <c r="H373" s="26"/>
      <c r="I373" s="26"/>
      <c r="J373" s="26"/>
      <c r="K373" s="26"/>
      <c r="L373" s="26"/>
      <c r="M373" s="26"/>
    </row>
    <row r="374" spans="1:13" ht="12.75" customHeight="1" x14ac:dyDescent="0.25">
      <c r="A374" s="26"/>
      <c r="B374" s="26"/>
      <c r="C374" s="26"/>
      <c r="D374" s="26"/>
      <c r="E374" s="26"/>
      <c r="F374" s="26"/>
      <c r="G374" s="26"/>
      <c r="H374" s="26"/>
      <c r="I374" s="26"/>
      <c r="J374" s="26"/>
      <c r="K374" s="26"/>
      <c r="L374" s="26"/>
      <c r="M374" s="26"/>
    </row>
    <row r="375" spans="1:13" ht="12.75" customHeight="1" x14ac:dyDescent="0.25">
      <c r="A375" s="26"/>
      <c r="B375" s="26"/>
      <c r="C375" s="26"/>
      <c r="D375" s="26"/>
      <c r="E375" s="26"/>
      <c r="F375" s="26"/>
      <c r="G375" s="26"/>
      <c r="H375" s="26"/>
      <c r="I375" s="26"/>
      <c r="J375" s="26"/>
      <c r="K375" s="26"/>
      <c r="L375" s="26"/>
      <c r="M375" s="26"/>
    </row>
    <row r="376" spans="1:13" ht="12.75" customHeight="1" x14ac:dyDescent="0.25">
      <c r="A376" s="26"/>
      <c r="B376" s="26"/>
      <c r="C376" s="26"/>
      <c r="D376" s="26"/>
      <c r="E376" s="26"/>
      <c r="F376" s="26"/>
      <c r="G376" s="26"/>
      <c r="H376" s="26"/>
      <c r="I376" s="26"/>
      <c r="J376" s="26"/>
      <c r="K376" s="26"/>
      <c r="L376" s="26"/>
      <c r="M376" s="26"/>
    </row>
    <row r="377" spans="1:13" ht="12.75" customHeight="1" x14ac:dyDescent="0.25">
      <c r="A377" s="26"/>
      <c r="B377" s="26"/>
      <c r="C377" s="26"/>
      <c r="D377" s="26"/>
      <c r="E377" s="26"/>
      <c r="F377" s="26"/>
      <c r="G377" s="26"/>
      <c r="H377" s="26"/>
      <c r="I377" s="26"/>
      <c r="J377" s="26"/>
      <c r="K377" s="26"/>
      <c r="L377" s="26"/>
      <c r="M377" s="26"/>
    </row>
    <row r="378" spans="1:13" ht="12.75" customHeight="1" x14ac:dyDescent="0.25">
      <c r="A378" s="26"/>
      <c r="B378" s="26"/>
      <c r="C378" s="26"/>
      <c r="D378" s="26"/>
      <c r="E378" s="26"/>
      <c r="F378" s="26"/>
      <c r="G378" s="26"/>
      <c r="H378" s="26"/>
      <c r="I378" s="26"/>
      <c r="J378" s="26"/>
      <c r="K378" s="26"/>
      <c r="L378" s="26"/>
      <c r="M378" s="26"/>
    </row>
    <row r="379" spans="1:13" ht="12.75" customHeight="1" x14ac:dyDescent="0.25">
      <c r="A379" s="26"/>
      <c r="B379" s="26"/>
      <c r="C379" s="26"/>
      <c r="D379" s="26"/>
      <c r="E379" s="26"/>
      <c r="F379" s="26"/>
      <c r="G379" s="26"/>
      <c r="H379" s="26"/>
      <c r="I379" s="26"/>
      <c r="J379" s="26"/>
      <c r="K379" s="26"/>
      <c r="L379" s="26"/>
      <c r="M379" s="26"/>
    </row>
    <row r="380" spans="1:13" ht="12.75" customHeight="1" x14ac:dyDescent="0.25">
      <c r="A380" s="26"/>
      <c r="B380" s="26"/>
      <c r="C380" s="26"/>
      <c r="D380" s="26"/>
      <c r="E380" s="26"/>
      <c r="F380" s="26"/>
      <c r="G380" s="26"/>
      <c r="H380" s="26"/>
      <c r="I380" s="26"/>
      <c r="J380" s="26"/>
      <c r="K380" s="26"/>
      <c r="L380" s="26"/>
      <c r="M380" s="26"/>
    </row>
    <row r="381" spans="1:13" ht="12.75" customHeight="1" x14ac:dyDescent="0.25">
      <c r="A381" s="26"/>
      <c r="B381" s="26"/>
      <c r="C381" s="26"/>
      <c r="D381" s="26"/>
      <c r="E381" s="26"/>
      <c r="F381" s="26"/>
      <c r="G381" s="26"/>
      <c r="H381" s="26"/>
      <c r="I381" s="26"/>
      <c r="J381" s="26"/>
      <c r="K381" s="26"/>
      <c r="L381" s="26"/>
      <c r="M381" s="26"/>
    </row>
    <row r="382" spans="1:13" ht="12.75" customHeight="1" x14ac:dyDescent="0.25">
      <c r="A382" s="26"/>
      <c r="B382" s="26"/>
      <c r="C382" s="26"/>
      <c r="D382" s="26"/>
      <c r="E382" s="26"/>
      <c r="F382" s="26"/>
      <c r="G382" s="26"/>
      <c r="H382" s="26"/>
      <c r="I382" s="26"/>
      <c r="J382" s="26"/>
      <c r="K382" s="26"/>
      <c r="L382" s="26"/>
      <c r="M382" s="26"/>
    </row>
    <row r="383" spans="1:13" ht="12.75" customHeight="1" x14ac:dyDescent="0.25">
      <c r="A383" s="26"/>
      <c r="B383" s="26"/>
      <c r="C383" s="26"/>
      <c r="D383" s="26"/>
      <c r="E383" s="26"/>
      <c r="F383" s="26"/>
      <c r="G383" s="26"/>
      <c r="H383" s="26"/>
      <c r="I383" s="26"/>
      <c r="J383" s="26"/>
      <c r="K383" s="26"/>
      <c r="L383" s="26"/>
      <c r="M383" s="26"/>
    </row>
    <row r="384" spans="1:13" ht="12.75" customHeight="1" x14ac:dyDescent="0.25">
      <c r="A384" s="26"/>
      <c r="B384" s="26"/>
      <c r="C384" s="26"/>
      <c r="D384" s="26"/>
      <c r="E384" s="26"/>
      <c r="F384" s="26"/>
      <c r="G384" s="26"/>
      <c r="H384" s="26"/>
      <c r="I384" s="26"/>
      <c r="J384" s="26"/>
      <c r="K384" s="26"/>
      <c r="L384" s="26"/>
      <c r="M384" s="26"/>
    </row>
    <row r="385" spans="1:13" ht="12.75" customHeight="1" x14ac:dyDescent="0.25">
      <c r="A385" s="26"/>
      <c r="B385" s="26"/>
      <c r="C385" s="26"/>
      <c r="D385" s="26"/>
      <c r="E385" s="26"/>
      <c r="F385" s="26"/>
      <c r="G385" s="26"/>
      <c r="H385" s="26"/>
      <c r="I385" s="26"/>
      <c r="J385" s="26"/>
      <c r="K385" s="26"/>
      <c r="L385" s="26"/>
      <c r="M385" s="26"/>
    </row>
    <row r="386" spans="1:13" ht="12.75" customHeight="1" x14ac:dyDescent="0.25">
      <c r="A386" s="26"/>
      <c r="B386" s="26"/>
      <c r="C386" s="26"/>
      <c r="D386" s="26"/>
      <c r="E386" s="26"/>
      <c r="F386" s="26"/>
      <c r="G386" s="26"/>
      <c r="H386" s="26"/>
      <c r="I386" s="26"/>
      <c r="J386" s="26"/>
      <c r="K386" s="26"/>
      <c r="L386" s="26"/>
      <c r="M386" s="26"/>
    </row>
    <row r="387" spans="1:13" ht="12.75" customHeight="1" x14ac:dyDescent="0.25">
      <c r="A387" s="26"/>
      <c r="B387" s="26"/>
      <c r="C387" s="26"/>
      <c r="D387" s="26"/>
      <c r="E387" s="26"/>
      <c r="F387" s="26"/>
      <c r="G387" s="26"/>
      <c r="H387" s="26"/>
      <c r="I387" s="26"/>
      <c r="J387" s="26"/>
      <c r="K387" s="26"/>
      <c r="L387" s="26"/>
      <c r="M387" s="26"/>
    </row>
    <row r="388" spans="1:13" ht="12.75" customHeight="1" x14ac:dyDescent="0.25">
      <c r="A388" s="26"/>
      <c r="B388" s="26"/>
      <c r="C388" s="26"/>
      <c r="D388" s="26"/>
      <c r="E388" s="26"/>
      <c r="F388" s="26"/>
      <c r="G388" s="26"/>
      <c r="H388" s="26"/>
      <c r="I388" s="26"/>
      <c r="J388" s="26"/>
      <c r="K388" s="26"/>
      <c r="L388" s="26"/>
      <c r="M388" s="26"/>
    </row>
    <row r="389" spans="1:13" ht="12.75" customHeight="1" x14ac:dyDescent="0.25">
      <c r="A389" s="26"/>
      <c r="B389" s="26"/>
      <c r="C389" s="26"/>
      <c r="D389" s="26"/>
      <c r="E389" s="26"/>
      <c r="F389" s="26"/>
      <c r="G389" s="26"/>
      <c r="H389" s="26"/>
      <c r="I389" s="26"/>
      <c r="J389" s="26"/>
      <c r="K389" s="26"/>
      <c r="L389" s="26"/>
      <c r="M389" s="26"/>
    </row>
    <row r="390" spans="1:13" ht="12.75" customHeight="1" x14ac:dyDescent="0.25">
      <c r="A390" s="26"/>
      <c r="B390" s="26"/>
      <c r="C390" s="26"/>
      <c r="D390" s="26"/>
      <c r="E390" s="26"/>
      <c r="F390" s="26"/>
      <c r="G390" s="26"/>
      <c r="H390" s="26"/>
      <c r="I390" s="26"/>
      <c r="J390" s="26"/>
      <c r="K390" s="26"/>
      <c r="L390" s="26"/>
      <c r="M390" s="26"/>
    </row>
    <row r="391" spans="1:13" ht="12.75" customHeight="1" x14ac:dyDescent="0.25">
      <c r="A391" s="26"/>
      <c r="B391" s="26"/>
      <c r="C391" s="26"/>
      <c r="D391" s="26"/>
      <c r="E391" s="26"/>
      <c r="F391" s="26"/>
      <c r="G391" s="26"/>
      <c r="H391" s="26"/>
      <c r="I391" s="26"/>
      <c r="J391" s="26"/>
      <c r="K391" s="26"/>
      <c r="L391" s="26"/>
      <c r="M391" s="26"/>
    </row>
    <row r="392" spans="1:13" ht="12.75" customHeight="1" x14ac:dyDescent="0.25">
      <c r="A392" s="26"/>
      <c r="B392" s="26"/>
      <c r="C392" s="26"/>
      <c r="D392" s="26"/>
      <c r="E392" s="26"/>
      <c r="F392" s="26"/>
      <c r="G392" s="26"/>
      <c r="H392" s="26"/>
      <c r="I392" s="26"/>
      <c r="J392" s="26"/>
      <c r="K392" s="26"/>
      <c r="L392" s="26"/>
      <c r="M392" s="26"/>
    </row>
    <row r="393" spans="1:13" ht="12.75" customHeight="1" x14ac:dyDescent="0.25">
      <c r="A393" s="26"/>
      <c r="B393" s="26"/>
      <c r="C393" s="26"/>
      <c r="D393" s="26"/>
      <c r="E393" s="26"/>
      <c r="F393" s="26"/>
      <c r="G393" s="26"/>
      <c r="H393" s="26"/>
      <c r="I393" s="26"/>
      <c r="J393" s="26"/>
      <c r="K393" s="26"/>
      <c r="L393" s="26"/>
      <c r="M393" s="26"/>
    </row>
    <row r="394" spans="1:13" ht="12.75" customHeight="1" x14ac:dyDescent="0.25">
      <c r="A394" s="26"/>
      <c r="B394" s="26"/>
      <c r="C394" s="26"/>
      <c r="D394" s="26"/>
      <c r="E394" s="26"/>
      <c r="F394" s="26"/>
      <c r="G394" s="26"/>
      <c r="H394" s="26"/>
      <c r="I394" s="26"/>
      <c r="J394" s="26"/>
      <c r="K394" s="26"/>
      <c r="L394" s="26"/>
      <c r="M394" s="26"/>
    </row>
    <row r="395" spans="1:13" ht="12.75" customHeight="1" x14ac:dyDescent="0.25">
      <c r="A395" s="26"/>
      <c r="B395" s="26"/>
      <c r="C395" s="26"/>
      <c r="D395" s="26"/>
      <c r="E395" s="26"/>
      <c r="F395" s="26"/>
      <c r="G395" s="26"/>
      <c r="H395" s="26"/>
      <c r="I395" s="26"/>
      <c r="J395" s="26"/>
      <c r="K395" s="26"/>
      <c r="L395" s="26"/>
      <c r="M395" s="26"/>
    </row>
    <row r="396" spans="1:13" ht="12.75" customHeight="1" x14ac:dyDescent="0.25">
      <c r="A396" s="26"/>
      <c r="B396" s="26"/>
      <c r="C396" s="26"/>
      <c r="D396" s="26"/>
      <c r="E396" s="26"/>
      <c r="F396" s="26"/>
      <c r="G396" s="26"/>
      <c r="H396" s="26"/>
      <c r="I396" s="26"/>
      <c r="J396" s="26"/>
      <c r="K396" s="26"/>
      <c r="L396" s="26"/>
      <c r="M396" s="26"/>
    </row>
    <row r="397" spans="1:13" ht="12.75" customHeight="1" x14ac:dyDescent="0.25">
      <c r="A397" s="26"/>
      <c r="B397" s="26"/>
      <c r="C397" s="26"/>
      <c r="D397" s="26"/>
      <c r="E397" s="26"/>
      <c r="F397" s="26"/>
      <c r="G397" s="26"/>
      <c r="H397" s="26"/>
      <c r="I397" s="26"/>
      <c r="J397" s="26"/>
      <c r="K397" s="26"/>
      <c r="L397" s="26"/>
      <c r="M397" s="26"/>
    </row>
    <row r="398" spans="1:13" ht="12.75" customHeight="1" x14ac:dyDescent="0.25">
      <c r="A398" s="26"/>
      <c r="B398" s="26"/>
      <c r="C398" s="26"/>
      <c r="D398" s="26"/>
      <c r="E398" s="26"/>
      <c r="F398" s="26"/>
      <c r="G398" s="26"/>
      <c r="H398" s="26"/>
      <c r="I398" s="26"/>
      <c r="J398" s="26"/>
      <c r="K398" s="26"/>
      <c r="L398" s="26"/>
      <c r="M398" s="26"/>
    </row>
    <row r="399" spans="1:13" ht="12.75" customHeight="1" x14ac:dyDescent="0.25">
      <c r="A399" s="26"/>
      <c r="B399" s="26"/>
      <c r="C399" s="26"/>
      <c r="D399" s="26"/>
      <c r="E399" s="26"/>
      <c r="F399" s="26"/>
      <c r="G399" s="26"/>
      <c r="H399" s="26"/>
      <c r="I399" s="26"/>
      <c r="J399" s="26"/>
      <c r="K399" s="26"/>
      <c r="L399" s="26"/>
      <c r="M399" s="26"/>
    </row>
    <row r="400" spans="1:13" ht="12.75" customHeight="1" x14ac:dyDescent="0.25">
      <c r="A400" s="26"/>
      <c r="B400" s="26"/>
      <c r="C400" s="26"/>
      <c r="D400" s="26"/>
      <c r="E400" s="26"/>
      <c r="F400" s="26"/>
      <c r="G400" s="26"/>
      <c r="H400" s="26"/>
      <c r="I400" s="26"/>
      <c r="J400" s="26"/>
      <c r="K400" s="26"/>
      <c r="L400" s="26"/>
      <c r="M400" s="26"/>
    </row>
    <row r="401" spans="1:13" ht="12.75" customHeight="1" x14ac:dyDescent="0.25">
      <c r="A401" s="26"/>
      <c r="B401" s="26"/>
      <c r="C401" s="26"/>
      <c r="D401" s="26"/>
      <c r="E401" s="26"/>
      <c r="F401" s="26"/>
      <c r="G401" s="26"/>
      <c r="H401" s="26"/>
      <c r="I401" s="26"/>
      <c r="J401" s="26"/>
      <c r="K401" s="26"/>
      <c r="L401" s="26"/>
      <c r="M401" s="26"/>
    </row>
    <row r="402" spans="1:13" ht="12.75" customHeight="1" x14ac:dyDescent="0.25">
      <c r="A402" s="26"/>
      <c r="B402" s="26"/>
      <c r="C402" s="26"/>
      <c r="D402" s="26"/>
      <c r="E402" s="26"/>
      <c r="F402" s="26"/>
      <c r="G402" s="26"/>
      <c r="H402" s="26"/>
      <c r="I402" s="26"/>
      <c r="J402" s="26"/>
      <c r="K402" s="26"/>
      <c r="L402" s="26"/>
      <c r="M402" s="26"/>
    </row>
    <row r="403" spans="1:13" ht="12.75" customHeight="1" x14ac:dyDescent="0.25">
      <c r="A403" s="26"/>
      <c r="B403" s="26"/>
      <c r="C403" s="26"/>
      <c r="D403" s="26"/>
      <c r="E403" s="26"/>
      <c r="F403" s="26"/>
      <c r="G403" s="26"/>
      <c r="H403" s="26"/>
      <c r="I403" s="26"/>
      <c r="J403" s="26"/>
      <c r="K403" s="26"/>
      <c r="L403" s="26"/>
      <c r="M403" s="26"/>
    </row>
    <row r="404" spans="1:13" ht="12.75" customHeight="1" x14ac:dyDescent="0.25">
      <c r="A404" s="26"/>
      <c r="B404" s="26"/>
      <c r="C404" s="26"/>
      <c r="D404" s="26"/>
      <c r="E404" s="26"/>
      <c r="F404" s="26"/>
      <c r="G404" s="26"/>
      <c r="H404" s="26"/>
      <c r="I404" s="26"/>
      <c r="J404" s="26"/>
      <c r="K404" s="26"/>
      <c r="L404" s="26"/>
      <c r="M404" s="26"/>
    </row>
    <row r="405" spans="1:13" ht="12.75" customHeight="1" x14ac:dyDescent="0.25">
      <c r="A405" s="26"/>
      <c r="B405" s="26"/>
      <c r="C405" s="26"/>
      <c r="D405" s="26"/>
      <c r="E405" s="26"/>
      <c r="F405" s="26"/>
      <c r="G405" s="26"/>
      <c r="H405" s="26"/>
      <c r="I405" s="26"/>
      <c r="J405" s="26"/>
      <c r="K405" s="26"/>
      <c r="L405" s="26"/>
      <c r="M405" s="26"/>
    </row>
    <row r="406" spans="1:13" ht="12.75" customHeight="1" x14ac:dyDescent="0.25">
      <c r="A406" s="26"/>
      <c r="B406" s="26"/>
      <c r="C406" s="26"/>
      <c r="D406" s="26"/>
      <c r="E406" s="26"/>
      <c r="F406" s="26"/>
      <c r="G406" s="26"/>
      <c r="H406" s="26"/>
      <c r="I406" s="26"/>
      <c r="J406" s="26"/>
      <c r="K406" s="26"/>
      <c r="L406" s="26"/>
      <c r="M406" s="26"/>
    </row>
    <row r="407" spans="1:13" ht="12.75" customHeight="1" x14ac:dyDescent="0.25">
      <c r="A407" s="26"/>
      <c r="B407" s="26"/>
      <c r="C407" s="26"/>
      <c r="D407" s="26"/>
      <c r="E407" s="26"/>
      <c r="F407" s="26"/>
      <c r="G407" s="26"/>
      <c r="H407" s="26"/>
      <c r="I407" s="26"/>
      <c r="J407" s="26"/>
      <c r="K407" s="26"/>
      <c r="L407" s="26"/>
      <c r="M407" s="26"/>
    </row>
    <row r="408" spans="1:13" ht="12.75" customHeight="1" x14ac:dyDescent="0.25">
      <c r="A408" s="26"/>
      <c r="B408" s="26"/>
      <c r="C408" s="26"/>
      <c r="D408" s="26"/>
      <c r="E408" s="26"/>
      <c r="F408" s="26"/>
      <c r="G408" s="26"/>
      <c r="H408" s="26"/>
      <c r="I408" s="26"/>
      <c r="J408" s="26"/>
      <c r="K408" s="26"/>
      <c r="L408" s="26"/>
      <c r="M408" s="26"/>
    </row>
    <row r="409" spans="1:13" ht="12.75" customHeight="1" x14ac:dyDescent="0.25">
      <c r="A409" s="26"/>
      <c r="B409" s="26"/>
      <c r="C409" s="26"/>
      <c r="D409" s="26"/>
      <c r="E409" s="26"/>
      <c r="F409" s="26"/>
      <c r="G409" s="26"/>
      <c r="H409" s="26"/>
      <c r="I409" s="26"/>
      <c r="J409" s="26"/>
      <c r="K409" s="26"/>
      <c r="L409" s="26"/>
      <c r="M409" s="26"/>
    </row>
    <row r="410" spans="1:13" ht="12.75" customHeight="1" x14ac:dyDescent="0.25">
      <c r="A410" s="26"/>
      <c r="B410" s="26"/>
      <c r="C410" s="26"/>
      <c r="D410" s="26"/>
      <c r="E410" s="26"/>
      <c r="F410" s="26"/>
      <c r="G410" s="26"/>
      <c r="H410" s="26"/>
      <c r="I410" s="26"/>
      <c r="J410" s="26"/>
      <c r="K410" s="26"/>
      <c r="L410" s="26"/>
      <c r="M410" s="26"/>
    </row>
    <row r="411" spans="1:13" ht="12.75" customHeight="1" x14ac:dyDescent="0.25">
      <c r="A411" s="26"/>
      <c r="B411" s="26"/>
      <c r="C411" s="26"/>
      <c r="D411" s="26"/>
      <c r="E411" s="26"/>
      <c r="F411" s="26"/>
      <c r="G411" s="26"/>
      <c r="H411" s="26"/>
      <c r="I411" s="26"/>
      <c r="J411" s="26"/>
      <c r="K411" s="26"/>
      <c r="L411" s="26"/>
      <c r="M411" s="26"/>
    </row>
    <row r="412" spans="1:13" ht="12.75" customHeight="1" x14ac:dyDescent="0.25">
      <c r="A412" s="26"/>
      <c r="B412" s="26"/>
      <c r="C412" s="26"/>
      <c r="D412" s="26"/>
      <c r="E412" s="26"/>
      <c r="F412" s="26"/>
      <c r="G412" s="26"/>
      <c r="H412" s="26"/>
      <c r="I412" s="26"/>
      <c r="J412" s="26"/>
      <c r="K412" s="26"/>
      <c r="L412" s="26"/>
      <c r="M412" s="26"/>
    </row>
    <row r="413" spans="1:13" ht="12.75" customHeight="1" x14ac:dyDescent="0.25">
      <c r="A413" s="26"/>
      <c r="B413" s="26"/>
      <c r="C413" s="26"/>
      <c r="D413" s="26"/>
      <c r="E413" s="26"/>
      <c r="F413" s="26"/>
      <c r="G413" s="26"/>
      <c r="H413" s="26"/>
      <c r="I413" s="26"/>
      <c r="J413" s="26"/>
      <c r="K413" s="26"/>
      <c r="L413" s="26"/>
      <c r="M413" s="26"/>
    </row>
    <row r="414" spans="1:13" ht="12.75" customHeight="1" x14ac:dyDescent="0.25">
      <c r="A414" s="26"/>
      <c r="B414" s="26"/>
      <c r="C414" s="26"/>
      <c r="D414" s="26"/>
      <c r="E414" s="26"/>
      <c r="F414" s="26"/>
      <c r="G414" s="26"/>
      <c r="H414" s="26"/>
      <c r="I414" s="26"/>
      <c r="J414" s="26"/>
      <c r="K414" s="26"/>
      <c r="L414" s="26"/>
      <c r="M414" s="26"/>
    </row>
    <row r="415" spans="1:13" ht="12.75" customHeight="1" x14ac:dyDescent="0.25">
      <c r="A415" s="26"/>
      <c r="B415" s="26"/>
      <c r="C415" s="26"/>
      <c r="D415" s="26"/>
      <c r="E415" s="26"/>
      <c r="F415" s="26"/>
      <c r="G415" s="26"/>
      <c r="H415" s="26"/>
      <c r="I415" s="26"/>
      <c r="J415" s="26"/>
      <c r="K415" s="26"/>
      <c r="L415" s="26"/>
      <c r="M415" s="26"/>
    </row>
    <row r="416" spans="1:13" ht="12.75" customHeight="1" x14ac:dyDescent="0.25">
      <c r="A416" s="26"/>
      <c r="B416" s="26"/>
      <c r="C416" s="26"/>
      <c r="D416" s="26"/>
      <c r="E416" s="26"/>
      <c r="F416" s="26"/>
      <c r="G416" s="26"/>
      <c r="H416" s="26"/>
      <c r="I416" s="26"/>
      <c r="J416" s="26"/>
      <c r="K416" s="26"/>
      <c r="L416" s="26"/>
      <c r="M416" s="26"/>
    </row>
    <row r="417" spans="1:13" ht="12.75" customHeight="1" x14ac:dyDescent="0.25">
      <c r="A417" s="26"/>
      <c r="B417" s="26"/>
      <c r="C417" s="26"/>
      <c r="D417" s="26"/>
      <c r="E417" s="26"/>
      <c r="F417" s="26"/>
      <c r="G417" s="26"/>
      <c r="H417" s="26"/>
      <c r="I417" s="26"/>
      <c r="J417" s="26"/>
      <c r="K417" s="26"/>
      <c r="L417" s="26"/>
      <c r="M417" s="26"/>
    </row>
    <row r="418" spans="1:13" ht="12.75" customHeight="1" x14ac:dyDescent="0.25">
      <c r="A418" s="26"/>
      <c r="B418" s="26"/>
      <c r="C418" s="26"/>
      <c r="D418" s="26"/>
      <c r="E418" s="26"/>
      <c r="F418" s="26"/>
      <c r="G418" s="26"/>
      <c r="H418" s="26"/>
      <c r="I418" s="26"/>
      <c r="J418" s="26"/>
      <c r="K418" s="26"/>
      <c r="L418" s="26"/>
      <c r="M418" s="26"/>
    </row>
    <row r="419" spans="1:13" ht="12.75" customHeight="1" x14ac:dyDescent="0.25">
      <c r="A419" s="26"/>
      <c r="B419" s="26"/>
      <c r="C419" s="26"/>
      <c r="D419" s="26"/>
      <c r="E419" s="26"/>
      <c r="F419" s="26"/>
      <c r="G419" s="26"/>
      <c r="H419" s="26"/>
      <c r="I419" s="26"/>
      <c r="J419" s="26"/>
      <c r="K419" s="26"/>
      <c r="L419" s="26"/>
      <c r="M419" s="26"/>
    </row>
    <row r="420" spans="1:13" ht="12.75" customHeight="1" x14ac:dyDescent="0.25">
      <c r="A420" s="26"/>
      <c r="B420" s="26"/>
      <c r="C420" s="26"/>
      <c r="D420" s="26"/>
      <c r="E420" s="26"/>
      <c r="F420" s="26"/>
      <c r="G420" s="26"/>
      <c r="H420" s="26"/>
      <c r="I420" s="26"/>
      <c r="J420" s="26"/>
      <c r="K420" s="26"/>
      <c r="L420" s="26"/>
      <c r="M420" s="26"/>
    </row>
    <row r="421" spans="1:13" ht="12.75" customHeight="1" x14ac:dyDescent="0.25">
      <c r="A421" s="26"/>
      <c r="B421" s="26"/>
      <c r="C421" s="26"/>
      <c r="D421" s="26"/>
      <c r="E421" s="26"/>
      <c r="F421" s="26"/>
      <c r="G421" s="26"/>
      <c r="H421" s="26"/>
      <c r="I421" s="26"/>
      <c r="J421" s="26"/>
      <c r="K421" s="26"/>
      <c r="L421" s="26"/>
      <c r="M421" s="26"/>
    </row>
    <row r="422" spans="1:13" ht="12.75" customHeight="1" x14ac:dyDescent="0.25">
      <c r="A422" s="26"/>
      <c r="B422" s="26"/>
      <c r="C422" s="26"/>
      <c r="D422" s="26"/>
      <c r="E422" s="26"/>
      <c r="F422" s="26"/>
      <c r="G422" s="26"/>
      <c r="H422" s="26"/>
      <c r="I422" s="26"/>
      <c r="J422" s="26"/>
      <c r="K422" s="26"/>
      <c r="L422" s="26"/>
      <c r="M422" s="26"/>
    </row>
    <row r="423" spans="1:13" ht="12.75" customHeight="1" x14ac:dyDescent="0.25">
      <c r="A423" s="26"/>
      <c r="B423" s="26"/>
      <c r="C423" s="26"/>
      <c r="D423" s="26"/>
      <c r="E423" s="26"/>
      <c r="F423" s="26"/>
      <c r="G423" s="26"/>
      <c r="H423" s="26"/>
      <c r="I423" s="26"/>
      <c r="J423" s="26"/>
      <c r="K423" s="26"/>
      <c r="L423" s="26"/>
      <c r="M423" s="26"/>
    </row>
    <row r="424" spans="1:13" ht="12.75" customHeight="1" x14ac:dyDescent="0.25">
      <c r="A424" s="26"/>
      <c r="B424" s="26"/>
      <c r="C424" s="26"/>
      <c r="D424" s="26"/>
      <c r="E424" s="26"/>
      <c r="F424" s="26"/>
      <c r="G424" s="26"/>
      <c r="H424" s="26"/>
      <c r="I424" s="26"/>
      <c r="J424" s="26"/>
      <c r="K424" s="26"/>
      <c r="L424" s="26"/>
      <c r="M424" s="26"/>
    </row>
    <row r="425" spans="1:13" ht="12.75" customHeight="1" x14ac:dyDescent="0.25">
      <c r="A425" s="26"/>
      <c r="B425" s="26"/>
      <c r="C425" s="26"/>
      <c r="D425" s="26"/>
      <c r="E425" s="26"/>
      <c r="F425" s="26"/>
      <c r="G425" s="26"/>
      <c r="H425" s="26"/>
      <c r="I425" s="26"/>
      <c r="J425" s="26"/>
      <c r="K425" s="26"/>
      <c r="L425" s="26"/>
      <c r="M425" s="26"/>
    </row>
    <row r="426" spans="1:13" ht="12.75" customHeight="1" x14ac:dyDescent="0.25">
      <c r="A426" s="26"/>
      <c r="B426" s="26"/>
      <c r="C426" s="26"/>
      <c r="D426" s="26"/>
      <c r="E426" s="26"/>
      <c r="F426" s="26"/>
      <c r="G426" s="26"/>
      <c r="H426" s="26"/>
      <c r="I426" s="26"/>
      <c r="J426" s="26"/>
      <c r="K426" s="26"/>
      <c r="L426" s="26"/>
      <c r="M426" s="26"/>
    </row>
    <row r="427" spans="1:13" ht="12.75" customHeight="1" x14ac:dyDescent="0.25">
      <c r="A427" s="26"/>
      <c r="B427" s="26"/>
      <c r="C427" s="26"/>
      <c r="D427" s="26"/>
      <c r="E427" s="26"/>
      <c r="F427" s="26"/>
      <c r="G427" s="26"/>
      <c r="H427" s="26"/>
      <c r="I427" s="26"/>
      <c r="J427" s="26"/>
      <c r="K427" s="26"/>
      <c r="L427" s="26"/>
      <c r="M427" s="26"/>
    </row>
    <row r="428" spans="1:13" ht="12.75" customHeight="1" x14ac:dyDescent="0.25">
      <c r="A428" s="26"/>
      <c r="B428" s="26"/>
      <c r="C428" s="26"/>
      <c r="D428" s="26"/>
      <c r="E428" s="26"/>
      <c r="F428" s="26"/>
      <c r="G428" s="26"/>
      <c r="H428" s="26"/>
      <c r="I428" s="26"/>
      <c r="J428" s="26"/>
      <c r="K428" s="26"/>
      <c r="L428" s="26"/>
      <c r="M428" s="26"/>
    </row>
    <row r="429" spans="1:13" ht="12.75" customHeight="1" x14ac:dyDescent="0.25">
      <c r="A429" s="26"/>
      <c r="B429" s="26"/>
      <c r="C429" s="26"/>
      <c r="D429" s="26"/>
      <c r="E429" s="26"/>
      <c r="F429" s="26"/>
      <c r="G429" s="26"/>
      <c r="H429" s="26"/>
      <c r="I429" s="26"/>
      <c r="J429" s="26"/>
      <c r="K429" s="26"/>
      <c r="L429" s="26"/>
      <c r="M429" s="26"/>
    </row>
    <row r="430" spans="1:13" ht="12.75" customHeight="1" x14ac:dyDescent="0.25">
      <c r="A430" s="26"/>
      <c r="B430" s="26"/>
      <c r="C430" s="26"/>
      <c r="D430" s="26"/>
      <c r="E430" s="26"/>
      <c r="F430" s="26"/>
      <c r="G430" s="26"/>
      <c r="H430" s="26"/>
      <c r="I430" s="26"/>
      <c r="J430" s="26"/>
      <c r="K430" s="26"/>
      <c r="L430" s="26"/>
      <c r="M430" s="26"/>
    </row>
    <row r="431" spans="1:13" ht="12.75" customHeight="1" x14ac:dyDescent="0.25">
      <c r="A431" s="26"/>
      <c r="B431" s="26"/>
      <c r="C431" s="26"/>
      <c r="D431" s="26"/>
      <c r="E431" s="26"/>
      <c r="F431" s="26"/>
      <c r="G431" s="26"/>
      <c r="H431" s="26"/>
      <c r="I431" s="26"/>
      <c r="J431" s="26"/>
      <c r="K431" s="26"/>
      <c r="L431" s="26"/>
      <c r="M431" s="26"/>
    </row>
    <row r="432" spans="1:13" ht="12.75" customHeight="1" x14ac:dyDescent="0.25">
      <c r="A432" s="26"/>
      <c r="B432" s="26"/>
      <c r="C432" s="26"/>
      <c r="D432" s="26"/>
      <c r="E432" s="26"/>
      <c r="F432" s="26"/>
      <c r="G432" s="26"/>
      <c r="H432" s="26"/>
      <c r="I432" s="26"/>
      <c r="J432" s="26"/>
      <c r="K432" s="26"/>
      <c r="L432" s="26"/>
      <c r="M432" s="26"/>
    </row>
    <row r="433" spans="1:13" ht="12.75" customHeight="1" x14ac:dyDescent="0.25">
      <c r="A433" s="26"/>
      <c r="B433" s="26"/>
      <c r="C433" s="26"/>
      <c r="D433" s="26"/>
      <c r="E433" s="26"/>
      <c r="F433" s="26"/>
      <c r="G433" s="26"/>
      <c r="H433" s="26"/>
      <c r="I433" s="26"/>
      <c r="J433" s="26"/>
      <c r="K433" s="26"/>
      <c r="L433" s="26"/>
      <c r="M433" s="26"/>
    </row>
    <row r="434" spans="1:13" ht="12.75" customHeight="1" x14ac:dyDescent="0.25">
      <c r="A434" s="26"/>
      <c r="B434" s="26"/>
      <c r="C434" s="26"/>
      <c r="D434" s="26"/>
      <c r="E434" s="26"/>
      <c r="F434" s="26"/>
      <c r="G434" s="26"/>
      <c r="H434" s="26"/>
      <c r="I434" s="26"/>
      <c r="J434" s="26"/>
      <c r="K434" s="26"/>
      <c r="L434" s="26"/>
      <c r="M434" s="26"/>
    </row>
    <row r="435" spans="1:13" ht="12.75" customHeight="1" x14ac:dyDescent="0.25">
      <c r="A435" s="26"/>
      <c r="B435" s="26"/>
      <c r="C435" s="26"/>
      <c r="D435" s="26"/>
      <c r="E435" s="26"/>
      <c r="F435" s="26"/>
      <c r="G435" s="26"/>
      <c r="H435" s="26"/>
      <c r="I435" s="26"/>
      <c r="J435" s="26"/>
      <c r="K435" s="26"/>
      <c r="L435" s="26"/>
      <c r="M435" s="26"/>
    </row>
    <row r="436" spans="1:13" ht="12.75" customHeight="1" x14ac:dyDescent="0.25">
      <c r="A436" s="26"/>
      <c r="B436" s="26"/>
      <c r="C436" s="26"/>
      <c r="D436" s="26"/>
      <c r="E436" s="26"/>
      <c r="F436" s="26"/>
      <c r="G436" s="26"/>
      <c r="H436" s="26"/>
      <c r="I436" s="26"/>
      <c r="J436" s="26"/>
      <c r="K436" s="26"/>
      <c r="L436" s="26"/>
      <c r="M436" s="26"/>
    </row>
    <row r="437" spans="1:13" ht="12.75" customHeight="1" x14ac:dyDescent="0.25">
      <c r="A437" s="26"/>
      <c r="B437" s="26"/>
      <c r="C437" s="26"/>
      <c r="D437" s="26"/>
      <c r="E437" s="26"/>
      <c r="F437" s="26"/>
      <c r="G437" s="26"/>
      <c r="H437" s="26"/>
      <c r="I437" s="26"/>
      <c r="J437" s="26"/>
      <c r="K437" s="26"/>
      <c r="L437" s="26"/>
      <c r="M437" s="26"/>
    </row>
    <row r="438" spans="1:13" ht="12.75" customHeight="1" x14ac:dyDescent="0.25">
      <c r="A438" s="26"/>
      <c r="B438" s="26"/>
      <c r="C438" s="26"/>
      <c r="D438" s="26"/>
      <c r="E438" s="26"/>
      <c r="F438" s="26"/>
      <c r="G438" s="26"/>
      <c r="H438" s="26"/>
      <c r="I438" s="26"/>
      <c r="J438" s="26"/>
      <c r="K438" s="26"/>
      <c r="L438" s="26"/>
      <c r="M438" s="26"/>
    </row>
    <row r="439" spans="1:13" ht="12.75" customHeight="1" x14ac:dyDescent="0.25">
      <c r="A439" s="26"/>
      <c r="B439" s="26"/>
      <c r="C439" s="26"/>
      <c r="D439" s="26"/>
      <c r="E439" s="26"/>
      <c r="F439" s="26"/>
      <c r="G439" s="26"/>
      <c r="H439" s="26"/>
      <c r="I439" s="26"/>
      <c r="J439" s="26"/>
      <c r="K439" s="26"/>
      <c r="L439" s="26"/>
      <c r="M439" s="26"/>
    </row>
    <row r="440" spans="1:13" ht="12.75" customHeight="1" x14ac:dyDescent="0.25">
      <c r="A440" s="26"/>
      <c r="B440" s="26"/>
      <c r="C440" s="26"/>
      <c r="D440" s="26"/>
      <c r="E440" s="26"/>
      <c r="F440" s="26"/>
      <c r="G440" s="26"/>
      <c r="H440" s="26"/>
      <c r="I440" s="26"/>
      <c r="J440" s="26"/>
      <c r="K440" s="26"/>
      <c r="L440" s="26"/>
      <c r="M440" s="26"/>
    </row>
    <row r="441" spans="1:13" ht="12.75" customHeight="1" x14ac:dyDescent="0.25">
      <c r="A441" s="26"/>
      <c r="B441" s="26"/>
      <c r="C441" s="26"/>
      <c r="D441" s="26"/>
      <c r="E441" s="26"/>
      <c r="F441" s="26"/>
      <c r="G441" s="26"/>
      <c r="H441" s="26"/>
      <c r="I441" s="26"/>
      <c r="J441" s="26"/>
      <c r="K441" s="26"/>
      <c r="L441" s="26"/>
      <c r="M441" s="26"/>
    </row>
    <row r="442" spans="1:13" ht="12.75" customHeight="1" x14ac:dyDescent="0.25">
      <c r="A442" s="26"/>
      <c r="B442" s="26"/>
      <c r="C442" s="26"/>
      <c r="D442" s="26"/>
      <c r="E442" s="26"/>
      <c r="F442" s="26"/>
      <c r="G442" s="26"/>
      <c r="H442" s="26"/>
      <c r="I442" s="26"/>
      <c r="J442" s="26"/>
      <c r="K442" s="26"/>
      <c r="L442" s="26"/>
      <c r="M442" s="26"/>
    </row>
    <row r="443" spans="1:13" ht="12.75" customHeight="1" x14ac:dyDescent="0.25">
      <c r="A443" s="26"/>
      <c r="B443" s="26"/>
      <c r="C443" s="26"/>
      <c r="D443" s="26"/>
      <c r="E443" s="26"/>
      <c r="F443" s="26"/>
      <c r="G443" s="26"/>
      <c r="H443" s="26"/>
      <c r="I443" s="26"/>
      <c r="J443" s="26"/>
      <c r="K443" s="26"/>
      <c r="L443" s="26"/>
      <c r="M443" s="26"/>
    </row>
    <row r="444" spans="1:13" ht="12.75" customHeight="1" x14ac:dyDescent="0.25">
      <c r="A444" s="26"/>
      <c r="B444" s="26"/>
      <c r="C444" s="26"/>
      <c r="D444" s="26"/>
      <c r="E444" s="26"/>
      <c r="F444" s="26"/>
      <c r="G444" s="26"/>
      <c r="H444" s="26"/>
      <c r="I444" s="26"/>
      <c r="J444" s="26"/>
      <c r="K444" s="26"/>
      <c r="L444" s="26"/>
      <c r="M444" s="26"/>
    </row>
    <row r="445" spans="1:13" ht="12.75" customHeight="1" x14ac:dyDescent="0.25">
      <c r="A445" s="26"/>
      <c r="B445" s="26"/>
      <c r="C445" s="26"/>
      <c r="D445" s="26"/>
      <c r="E445" s="26"/>
      <c r="F445" s="26"/>
      <c r="G445" s="26"/>
      <c r="H445" s="26"/>
      <c r="I445" s="26"/>
      <c r="J445" s="26"/>
      <c r="K445" s="26"/>
      <c r="L445" s="26"/>
      <c r="M445" s="26"/>
    </row>
    <row r="446" spans="1:13" ht="12.75" customHeight="1" x14ac:dyDescent="0.25">
      <c r="A446" s="26"/>
      <c r="B446" s="26"/>
      <c r="C446" s="26"/>
      <c r="D446" s="26"/>
      <c r="E446" s="26"/>
      <c r="F446" s="26"/>
      <c r="G446" s="26"/>
      <c r="H446" s="26"/>
      <c r="I446" s="26"/>
      <c r="J446" s="26"/>
      <c r="K446" s="26"/>
      <c r="L446" s="26"/>
      <c r="M446" s="26"/>
    </row>
    <row r="447" spans="1:13" ht="12.75" customHeight="1" x14ac:dyDescent="0.25">
      <c r="A447" s="26"/>
      <c r="B447" s="26"/>
      <c r="C447" s="26"/>
      <c r="D447" s="26"/>
      <c r="E447" s="26"/>
      <c r="F447" s="26"/>
      <c r="G447" s="26"/>
      <c r="H447" s="26"/>
      <c r="I447" s="26"/>
      <c r="J447" s="26"/>
      <c r="K447" s="26"/>
      <c r="L447" s="26"/>
      <c r="M447" s="26"/>
    </row>
    <row r="448" spans="1:13" ht="12.75" customHeight="1" x14ac:dyDescent="0.25">
      <c r="A448" s="26"/>
      <c r="B448" s="26"/>
      <c r="C448" s="26"/>
      <c r="D448" s="26"/>
      <c r="E448" s="26"/>
      <c r="F448" s="26"/>
      <c r="G448" s="26"/>
      <c r="H448" s="26"/>
      <c r="I448" s="26"/>
      <c r="J448" s="26"/>
      <c r="K448" s="26"/>
      <c r="L448" s="26"/>
      <c r="M448" s="26"/>
    </row>
    <row r="449" spans="1:13" ht="12.75" customHeight="1" x14ac:dyDescent="0.25">
      <c r="A449" s="26"/>
      <c r="B449" s="26"/>
      <c r="C449" s="26"/>
      <c r="D449" s="26"/>
      <c r="E449" s="26"/>
      <c r="F449" s="26"/>
      <c r="G449" s="26"/>
      <c r="H449" s="26"/>
      <c r="I449" s="26"/>
      <c r="J449" s="26"/>
      <c r="K449" s="26"/>
      <c r="L449" s="26"/>
      <c r="M449" s="26"/>
    </row>
    <row r="450" spans="1:13" ht="12.75" customHeight="1" x14ac:dyDescent="0.25">
      <c r="A450" s="26"/>
      <c r="B450" s="26"/>
      <c r="C450" s="26"/>
      <c r="D450" s="26"/>
      <c r="E450" s="26"/>
      <c r="F450" s="26"/>
      <c r="G450" s="26"/>
      <c r="H450" s="26"/>
      <c r="I450" s="26"/>
      <c r="J450" s="26"/>
      <c r="K450" s="26"/>
      <c r="L450" s="26"/>
      <c r="M450" s="26"/>
    </row>
    <row r="451" spans="1:13" ht="12.75" customHeight="1" x14ac:dyDescent="0.25">
      <c r="A451" s="26"/>
      <c r="B451" s="26"/>
      <c r="C451" s="26"/>
      <c r="D451" s="26"/>
      <c r="E451" s="26"/>
      <c r="F451" s="26"/>
      <c r="G451" s="26"/>
      <c r="H451" s="26"/>
      <c r="I451" s="26"/>
      <c r="J451" s="26"/>
      <c r="K451" s="26"/>
      <c r="L451" s="26"/>
      <c r="M451" s="26"/>
    </row>
    <row r="452" spans="1:13" ht="12.75" customHeight="1" x14ac:dyDescent="0.25">
      <c r="A452" s="26"/>
      <c r="B452" s="26"/>
      <c r="C452" s="26"/>
      <c r="D452" s="26"/>
      <c r="E452" s="26"/>
      <c r="F452" s="26"/>
      <c r="G452" s="26"/>
      <c r="H452" s="26"/>
      <c r="I452" s="26"/>
      <c r="J452" s="26"/>
      <c r="K452" s="26"/>
      <c r="L452" s="26"/>
      <c r="M452" s="26"/>
    </row>
    <row r="453" spans="1:13" ht="12.75" customHeight="1" x14ac:dyDescent="0.25">
      <c r="A453" s="26"/>
      <c r="B453" s="26"/>
      <c r="C453" s="26"/>
      <c r="D453" s="26"/>
      <c r="E453" s="26"/>
      <c r="F453" s="26"/>
      <c r="G453" s="26"/>
      <c r="H453" s="26"/>
      <c r="I453" s="26"/>
      <c r="J453" s="26"/>
      <c r="K453" s="26"/>
      <c r="L453" s="26"/>
      <c r="M453" s="26"/>
    </row>
    <row r="454" spans="1:13" ht="12.75" customHeight="1" x14ac:dyDescent="0.25">
      <c r="A454" s="26"/>
      <c r="B454" s="26"/>
      <c r="C454" s="26"/>
      <c r="D454" s="26"/>
      <c r="E454" s="26"/>
      <c r="F454" s="26"/>
      <c r="G454" s="26"/>
      <c r="H454" s="26"/>
      <c r="I454" s="26"/>
      <c r="J454" s="26"/>
      <c r="K454" s="26"/>
      <c r="L454" s="26"/>
      <c r="M454" s="26"/>
    </row>
    <row r="455" spans="1:13" ht="12.75" customHeight="1" x14ac:dyDescent="0.25">
      <c r="A455" s="26"/>
      <c r="B455" s="26"/>
      <c r="C455" s="26"/>
      <c r="D455" s="26"/>
      <c r="E455" s="26"/>
      <c r="F455" s="26"/>
      <c r="G455" s="26"/>
      <c r="H455" s="26"/>
      <c r="I455" s="26"/>
      <c r="J455" s="26"/>
      <c r="K455" s="26"/>
      <c r="L455" s="26"/>
      <c r="M455" s="26"/>
    </row>
    <row r="456" spans="1:13" ht="12.75" customHeight="1" x14ac:dyDescent="0.25">
      <c r="A456" s="26"/>
      <c r="B456" s="26"/>
      <c r="C456" s="26"/>
      <c r="D456" s="26"/>
      <c r="E456" s="26"/>
      <c r="F456" s="26"/>
      <c r="G456" s="26"/>
      <c r="H456" s="26"/>
      <c r="I456" s="26"/>
      <c r="J456" s="26"/>
      <c r="K456" s="26"/>
      <c r="L456" s="26"/>
      <c r="M456" s="26"/>
    </row>
    <row r="457" spans="1:13" ht="12.75" customHeight="1" x14ac:dyDescent="0.25">
      <c r="A457" s="26"/>
      <c r="B457" s="26"/>
      <c r="C457" s="26"/>
      <c r="D457" s="26"/>
      <c r="E457" s="26"/>
      <c r="F457" s="26"/>
      <c r="G457" s="26"/>
      <c r="H457" s="26"/>
      <c r="I457" s="26"/>
      <c r="J457" s="26"/>
      <c r="K457" s="26"/>
      <c r="L457" s="26"/>
      <c r="M457" s="26"/>
    </row>
    <row r="458" spans="1:13" ht="12.75" customHeight="1" x14ac:dyDescent="0.25">
      <c r="A458" s="26"/>
      <c r="B458" s="26"/>
      <c r="C458" s="26"/>
      <c r="D458" s="26"/>
      <c r="E458" s="26"/>
      <c r="F458" s="26"/>
      <c r="G458" s="26"/>
      <c r="H458" s="26"/>
      <c r="I458" s="26"/>
      <c r="J458" s="26"/>
      <c r="K458" s="26"/>
      <c r="L458" s="26"/>
      <c r="M458" s="26"/>
    </row>
    <row r="459" spans="1:13" ht="12.75" customHeight="1" x14ac:dyDescent="0.25">
      <c r="A459" s="26"/>
      <c r="B459" s="26"/>
      <c r="C459" s="26"/>
      <c r="D459" s="26"/>
      <c r="E459" s="26"/>
      <c r="F459" s="26"/>
      <c r="G459" s="26"/>
      <c r="H459" s="26"/>
      <c r="I459" s="26"/>
      <c r="J459" s="26"/>
      <c r="K459" s="26"/>
      <c r="L459" s="26"/>
      <c r="M459" s="26"/>
    </row>
    <row r="460" spans="1:13" ht="12.75" customHeight="1" x14ac:dyDescent="0.25">
      <c r="A460" s="26"/>
      <c r="B460" s="26"/>
      <c r="C460" s="26"/>
      <c r="D460" s="26"/>
      <c r="E460" s="26"/>
      <c r="F460" s="26"/>
      <c r="G460" s="26"/>
      <c r="H460" s="26"/>
      <c r="I460" s="26"/>
      <c r="J460" s="26"/>
      <c r="K460" s="26"/>
      <c r="L460" s="26"/>
      <c r="M460" s="26"/>
    </row>
    <row r="461" spans="1:13" ht="12.75" customHeight="1" x14ac:dyDescent="0.25">
      <c r="A461" s="26"/>
      <c r="B461" s="26"/>
      <c r="C461" s="26"/>
      <c r="D461" s="26"/>
      <c r="E461" s="26"/>
      <c r="F461" s="26"/>
      <c r="G461" s="26"/>
      <c r="H461" s="26"/>
      <c r="I461" s="26"/>
      <c r="J461" s="26"/>
      <c r="K461" s="26"/>
      <c r="L461" s="26"/>
      <c r="M461" s="26"/>
    </row>
    <row r="462" spans="1:13" ht="12.75" customHeight="1" x14ac:dyDescent="0.25">
      <c r="A462" s="26"/>
      <c r="B462" s="26"/>
      <c r="C462" s="26"/>
      <c r="D462" s="26"/>
      <c r="E462" s="26"/>
      <c r="F462" s="26"/>
      <c r="G462" s="26"/>
      <c r="H462" s="26"/>
      <c r="I462" s="26"/>
      <c r="J462" s="26"/>
      <c r="K462" s="26"/>
      <c r="L462" s="26"/>
      <c r="M462" s="26"/>
    </row>
    <row r="463" spans="1:13" ht="12.75" customHeight="1" x14ac:dyDescent="0.25">
      <c r="A463" s="26"/>
      <c r="B463" s="26"/>
      <c r="C463" s="26"/>
      <c r="D463" s="26"/>
      <c r="E463" s="26"/>
      <c r="F463" s="26"/>
      <c r="G463" s="26"/>
      <c r="H463" s="26"/>
      <c r="I463" s="26"/>
      <c r="J463" s="26"/>
      <c r="K463" s="26"/>
      <c r="L463" s="26"/>
      <c r="M463" s="26"/>
    </row>
    <row r="464" spans="1:13" ht="12.75" customHeight="1" x14ac:dyDescent="0.25">
      <c r="A464" s="26"/>
      <c r="B464" s="26"/>
      <c r="C464" s="26"/>
      <c r="D464" s="26"/>
      <c r="E464" s="26"/>
      <c r="F464" s="26"/>
      <c r="G464" s="26"/>
      <c r="H464" s="26"/>
      <c r="I464" s="26"/>
      <c r="J464" s="26"/>
      <c r="K464" s="26"/>
      <c r="L464" s="26"/>
      <c r="M464" s="26"/>
    </row>
    <row r="465" spans="1:13" ht="12.75" customHeight="1" x14ac:dyDescent="0.25">
      <c r="A465" s="26"/>
      <c r="B465" s="26"/>
      <c r="C465" s="26"/>
      <c r="D465" s="26"/>
      <c r="E465" s="26"/>
      <c r="F465" s="26"/>
      <c r="G465" s="26"/>
      <c r="H465" s="26"/>
      <c r="I465" s="26"/>
      <c r="J465" s="26"/>
      <c r="K465" s="26"/>
      <c r="L465" s="26"/>
      <c r="M465" s="26"/>
    </row>
    <row r="466" spans="1:13" ht="12.75" customHeight="1" x14ac:dyDescent="0.25">
      <c r="A466" s="26"/>
      <c r="B466" s="26"/>
      <c r="C466" s="26"/>
      <c r="D466" s="26"/>
      <c r="E466" s="26"/>
      <c r="F466" s="26"/>
      <c r="G466" s="26"/>
      <c r="H466" s="26"/>
      <c r="I466" s="26"/>
      <c r="J466" s="26"/>
      <c r="K466" s="26"/>
      <c r="L466" s="26"/>
      <c r="M466" s="26"/>
    </row>
    <row r="467" spans="1:13" ht="12.75" customHeight="1" x14ac:dyDescent="0.25">
      <c r="A467" s="26"/>
      <c r="B467" s="26"/>
      <c r="C467" s="26"/>
      <c r="D467" s="26"/>
      <c r="E467" s="26"/>
      <c r="F467" s="26"/>
      <c r="G467" s="26"/>
      <c r="H467" s="26"/>
      <c r="I467" s="26"/>
      <c r="J467" s="26"/>
      <c r="K467" s="26"/>
      <c r="L467" s="26"/>
      <c r="M467" s="26"/>
    </row>
    <row r="468" spans="1:13" ht="12.75" customHeight="1" x14ac:dyDescent="0.25">
      <c r="A468" s="26"/>
      <c r="B468" s="26"/>
      <c r="C468" s="26"/>
      <c r="D468" s="26"/>
      <c r="E468" s="26"/>
      <c r="F468" s="26"/>
      <c r="G468" s="26"/>
      <c r="H468" s="26"/>
      <c r="I468" s="26"/>
      <c r="J468" s="26"/>
      <c r="K468" s="26"/>
      <c r="L468" s="26"/>
      <c r="M468" s="26"/>
    </row>
    <row r="469" spans="1:13" ht="12.75" customHeight="1" x14ac:dyDescent="0.25">
      <c r="A469" s="26"/>
      <c r="B469" s="26"/>
      <c r="C469" s="26"/>
      <c r="D469" s="26"/>
      <c r="E469" s="26"/>
      <c r="F469" s="26"/>
      <c r="G469" s="26"/>
      <c r="H469" s="26"/>
      <c r="I469" s="26"/>
      <c r="J469" s="26"/>
      <c r="K469" s="26"/>
      <c r="L469" s="26"/>
      <c r="M469" s="26"/>
    </row>
    <row r="470" spans="1:13" ht="12.75" customHeight="1" x14ac:dyDescent="0.25">
      <c r="A470" s="26"/>
      <c r="B470" s="26"/>
      <c r="C470" s="26"/>
      <c r="D470" s="26"/>
      <c r="E470" s="26"/>
      <c r="F470" s="26"/>
      <c r="G470" s="26"/>
      <c r="H470" s="26"/>
      <c r="I470" s="26"/>
      <c r="J470" s="26"/>
      <c r="K470" s="26"/>
      <c r="L470" s="26"/>
      <c r="M470" s="26"/>
    </row>
    <row r="471" spans="1:13" ht="12.75" customHeight="1" x14ac:dyDescent="0.25">
      <c r="A471" s="26"/>
      <c r="B471" s="26"/>
      <c r="C471" s="26"/>
      <c r="D471" s="26"/>
      <c r="E471" s="26"/>
      <c r="F471" s="26"/>
      <c r="G471" s="26"/>
      <c r="H471" s="26"/>
      <c r="I471" s="26"/>
      <c r="J471" s="26"/>
      <c r="K471" s="26"/>
      <c r="L471" s="26"/>
      <c r="M471" s="26"/>
    </row>
    <row r="472" spans="1:13" ht="12.75" customHeight="1" x14ac:dyDescent="0.25">
      <c r="A472" s="26"/>
      <c r="B472" s="26"/>
      <c r="C472" s="26"/>
      <c r="D472" s="26"/>
      <c r="E472" s="26"/>
      <c r="F472" s="26"/>
      <c r="G472" s="26"/>
      <c r="H472" s="26"/>
      <c r="I472" s="26"/>
      <c r="J472" s="26"/>
      <c r="K472" s="26"/>
      <c r="L472" s="26"/>
      <c r="M472" s="26"/>
    </row>
    <row r="473" spans="1:13" ht="12.75" customHeight="1" x14ac:dyDescent="0.25">
      <c r="A473" s="26"/>
      <c r="B473" s="26"/>
      <c r="C473" s="26"/>
      <c r="D473" s="26"/>
      <c r="E473" s="26"/>
      <c r="F473" s="26"/>
      <c r="G473" s="26"/>
      <c r="H473" s="26"/>
      <c r="I473" s="26"/>
      <c r="J473" s="26"/>
      <c r="K473" s="26"/>
      <c r="L473" s="26"/>
      <c r="M473" s="26"/>
    </row>
    <row r="474" spans="1:13" ht="12.75" customHeight="1" x14ac:dyDescent="0.25">
      <c r="A474" s="26"/>
      <c r="B474" s="26"/>
      <c r="C474" s="26"/>
      <c r="D474" s="26"/>
      <c r="E474" s="26"/>
      <c r="F474" s="26"/>
      <c r="G474" s="26"/>
      <c r="H474" s="26"/>
      <c r="I474" s="26"/>
      <c r="J474" s="26"/>
      <c r="K474" s="26"/>
      <c r="L474" s="26"/>
      <c r="M474" s="26"/>
    </row>
    <row r="475" spans="1:13" ht="12.75" customHeight="1" x14ac:dyDescent="0.25">
      <c r="A475" s="26"/>
      <c r="B475" s="26"/>
      <c r="C475" s="26"/>
      <c r="D475" s="26"/>
      <c r="E475" s="26"/>
      <c r="F475" s="26"/>
      <c r="G475" s="26"/>
      <c r="H475" s="26"/>
      <c r="I475" s="26"/>
      <c r="J475" s="26"/>
      <c r="K475" s="26"/>
      <c r="L475" s="26"/>
      <c r="M475" s="26"/>
    </row>
    <row r="476" spans="1:13" ht="12.75" customHeight="1" x14ac:dyDescent="0.25">
      <c r="A476" s="26"/>
      <c r="B476" s="26"/>
      <c r="C476" s="26"/>
      <c r="D476" s="26"/>
      <c r="E476" s="26"/>
      <c r="F476" s="26"/>
      <c r="G476" s="26"/>
      <c r="H476" s="26"/>
      <c r="I476" s="26"/>
      <c r="J476" s="26"/>
      <c r="K476" s="26"/>
      <c r="L476" s="26"/>
      <c r="M476" s="26"/>
    </row>
    <row r="477" spans="1:13" ht="12.75" customHeight="1" x14ac:dyDescent="0.25">
      <c r="A477" s="26"/>
      <c r="B477" s="26"/>
      <c r="C477" s="26"/>
      <c r="D477" s="26"/>
      <c r="E477" s="26"/>
      <c r="F477" s="26"/>
      <c r="G477" s="26"/>
      <c r="H477" s="26"/>
      <c r="I477" s="26"/>
      <c r="J477" s="26"/>
      <c r="K477" s="26"/>
      <c r="L477" s="26"/>
      <c r="M477" s="26"/>
    </row>
    <row r="478" spans="1:13" ht="12.75" customHeight="1" x14ac:dyDescent="0.25">
      <c r="A478" s="26"/>
      <c r="B478" s="26"/>
      <c r="C478" s="26"/>
      <c r="D478" s="26"/>
      <c r="E478" s="26"/>
      <c r="F478" s="26"/>
      <c r="G478" s="26"/>
      <c r="H478" s="26"/>
      <c r="I478" s="26"/>
      <c r="J478" s="26"/>
      <c r="K478" s="26"/>
      <c r="L478" s="26"/>
      <c r="M478" s="26"/>
    </row>
    <row r="479" spans="1:13" ht="12.75" customHeight="1" x14ac:dyDescent="0.25">
      <c r="A479" s="26"/>
      <c r="B479" s="26"/>
      <c r="C479" s="26"/>
      <c r="D479" s="26"/>
      <c r="E479" s="26"/>
      <c r="F479" s="26"/>
      <c r="G479" s="26"/>
      <c r="H479" s="26"/>
      <c r="I479" s="26"/>
      <c r="J479" s="26"/>
      <c r="K479" s="26"/>
      <c r="L479" s="26"/>
      <c r="M479" s="26"/>
    </row>
    <row r="480" spans="1:13" ht="12.75" customHeight="1" x14ac:dyDescent="0.25">
      <c r="A480" s="26"/>
      <c r="B480" s="26"/>
      <c r="C480" s="26"/>
      <c r="D480" s="26"/>
      <c r="E480" s="26"/>
      <c r="F480" s="26"/>
      <c r="G480" s="26"/>
      <c r="H480" s="26"/>
      <c r="I480" s="26"/>
      <c r="J480" s="26"/>
      <c r="K480" s="26"/>
      <c r="L480" s="26"/>
      <c r="M480" s="26"/>
    </row>
    <row r="481" spans="1:13" ht="12.75" customHeight="1" x14ac:dyDescent="0.25">
      <c r="A481" s="26"/>
      <c r="B481" s="26"/>
      <c r="C481" s="26"/>
      <c r="D481" s="26"/>
      <c r="E481" s="26"/>
      <c r="F481" s="26"/>
      <c r="G481" s="26"/>
      <c r="H481" s="26"/>
      <c r="I481" s="26"/>
      <c r="J481" s="26"/>
      <c r="K481" s="26"/>
      <c r="L481" s="26"/>
      <c r="M481" s="26"/>
    </row>
    <row r="482" spans="1:13" ht="12.75" customHeight="1" x14ac:dyDescent="0.25">
      <c r="A482" s="26"/>
      <c r="B482" s="26"/>
      <c r="C482" s="26"/>
      <c r="D482" s="26"/>
      <c r="E482" s="26"/>
      <c r="F482" s="26"/>
      <c r="G482" s="26"/>
      <c r="H482" s="26"/>
      <c r="I482" s="26"/>
      <c r="J482" s="26"/>
      <c r="K482" s="26"/>
      <c r="L482" s="26"/>
      <c r="M482" s="26"/>
    </row>
    <row r="483" spans="1:13" ht="12.75" customHeight="1" x14ac:dyDescent="0.25">
      <c r="A483" s="26"/>
      <c r="B483" s="26"/>
      <c r="C483" s="26"/>
      <c r="D483" s="26"/>
      <c r="E483" s="26"/>
      <c r="F483" s="26"/>
      <c r="G483" s="26"/>
      <c r="H483" s="26"/>
      <c r="I483" s="26"/>
      <c r="J483" s="26"/>
      <c r="K483" s="26"/>
      <c r="L483" s="26"/>
      <c r="M483" s="26"/>
    </row>
    <row r="484" spans="1:13" ht="12.75" customHeight="1" x14ac:dyDescent="0.25">
      <c r="A484" s="26"/>
      <c r="B484" s="26"/>
      <c r="C484" s="26"/>
      <c r="D484" s="26"/>
      <c r="E484" s="26"/>
      <c r="F484" s="26"/>
      <c r="G484" s="26"/>
      <c r="H484" s="26"/>
      <c r="I484" s="26"/>
      <c r="J484" s="26"/>
      <c r="K484" s="26"/>
      <c r="L484" s="26"/>
      <c r="M484" s="26"/>
    </row>
    <row r="485" spans="1:13" ht="12.75" customHeight="1" x14ac:dyDescent="0.25">
      <c r="A485" s="26"/>
      <c r="B485" s="26"/>
      <c r="C485" s="26"/>
      <c r="D485" s="26"/>
      <c r="E485" s="26"/>
      <c r="F485" s="26"/>
      <c r="G485" s="26"/>
      <c r="H485" s="26"/>
      <c r="I485" s="26"/>
      <c r="J485" s="26"/>
      <c r="K485" s="26"/>
      <c r="L485" s="26"/>
      <c r="M485" s="26"/>
    </row>
    <row r="486" spans="1:13" ht="12.75" customHeight="1" x14ac:dyDescent="0.25">
      <c r="A486" s="26"/>
      <c r="B486" s="26"/>
      <c r="C486" s="26"/>
      <c r="D486" s="26"/>
      <c r="E486" s="26"/>
      <c r="F486" s="26"/>
      <c r="G486" s="26"/>
      <c r="H486" s="26"/>
      <c r="I486" s="26"/>
      <c r="J486" s="26"/>
      <c r="K486" s="26"/>
      <c r="L486" s="26"/>
      <c r="M486" s="26"/>
    </row>
    <row r="487" spans="1:13" ht="12.75" customHeight="1" x14ac:dyDescent="0.25">
      <c r="A487" s="26"/>
      <c r="B487" s="26"/>
      <c r="C487" s="26"/>
      <c r="D487" s="26"/>
      <c r="E487" s="26"/>
      <c r="F487" s="26"/>
      <c r="G487" s="26"/>
      <c r="H487" s="26"/>
      <c r="I487" s="26"/>
      <c r="J487" s="26"/>
      <c r="K487" s="26"/>
      <c r="L487" s="26"/>
      <c r="M487" s="26"/>
    </row>
    <row r="488" spans="1:13" ht="12.75" customHeight="1" x14ac:dyDescent="0.25">
      <c r="A488" s="26"/>
      <c r="B488" s="26"/>
      <c r="C488" s="26"/>
      <c r="D488" s="26"/>
      <c r="E488" s="26"/>
      <c r="F488" s="26"/>
      <c r="G488" s="26"/>
      <c r="H488" s="26"/>
      <c r="I488" s="26"/>
      <c r="J488" s="26"/>
      <c r="K488" s="26"/>
      <c r="L488" s="26"/>
      <c r="M488" s="26"/>
    </row>
    <row r="489" spans="1:13" ht="12.75" customHeight="1" x14ac:dyDescent="0.25">
      <c r="A489" s="26"/>
      <c r="B489" s="26"/>
      <c r="C489" s="26"/>
      <c r="D489" s="26"/>
      <c r="E489" s="26"/>
      <c r="F489" s="26"/>
      <c r="G489" s="26"/>
      <c r="H489" s="26"/>
      <c r="I489" s="26"/>
      <c r="J489" s="26"/>
      <c r="K489" s="26"/>
      <c r="L489" s="26"/>
      <c r="M489" s="26"/>
    </row>
    <row r="490" spans="1:13" ht="12.75" customHeight="1" x14ac:dyDescent="0.25">
      <c r="A490" s="26"/>
      <c r="B490" s="26"/>
      <c r="C490" s="26"/>
      <c r="D490" s="26"/>
      <c r="E490" s="26"/>
      <c r="F490" s="26"/>
      <c r="G490" s="26"/>
      <c r="H490" s="26"/>
      <c r="I490" s="26"/>
      <c r="J490" s="26"/>
      <c r="K490" s="26"/>
      <c r="L490" s="26"/>
      <c r="M490" s="26"/>
    </row>
    <row r="491" spans="1:13" ht="12.75" customHeight="1" x14ac:dyDescent="0.25">
      <c r="A491" s="26"/>
      <c r="B491" s="26"/>
      <c r="C491" s="26"/>
      <c r="D491" s="26"/>
      <c r="E491" s="26"/>
      <c r="F491" s="26"/>
      <c r="G491" s="26"/>
      <c r="H491" s="26"/>
      <c r="I491" s="26"/>
      <c r="J491" s="26"/>
      <c r="K491" s="26"/>
      <c r="L491" s="26"/>
      <c r="M491" s="26"/>
    </row>
    <row r="492" spans="1:13" ht="12.75" customHeight="1" x14ac:dyDescent="0.25">
      <c r="A492" s="26"/>
      <c r="B492" s="26"/>
      <c r="C492" s="26"/>
      <c r="D492" s="26"/>
      <c r="E492" s="26"/>
      <c r="F492" s="26"/>
      <c r="G492" s="26"/>
      <c r="H492" s="26"/>
      <c r="I492" s="26"/>
      <c r="J492" s="26"/>
      <c r="K492" s="26"/>
      <c r="L492" s="26"/>
      <c r="M492" s="26"/>
    </row>
    <row r="493" spans="1:13" ht="12.75" customHeight="1" x14ac:dyDescent="0.25">
      <c r="A493" s="26"/>
      <c r="B493" s="26"/>
      <c r="C493" s="26"/>
      <c r="D493" s="26"/>
      <c r="E493" s="26"/>
      <c r="F493" s="26"/>
      <c r="G493" s="26"/>
      <c r="H493" s="26"/>
      <c r="I493" s="26"/>
      <c r="J493" s="26"/>
      <c r="K493" s="26"/>
      <c r="L493" s="26"/>
      <c r="M493" s="26"/>
    </row>
    <row r="494" spans="1:13" ht="12.75" customHeight="1" x14ac:dyDescent="0.25">
      <c r="A494" s="26"/>
      <c r="B494" s="26"/>
      <c r="C494" s="26"/>
      <c r="D494" s="26"/>
      <c r="E494" s="26"/>
      <c r="F494" s="26"/>
      <c r="G494" s="26"/>
      <c r="H494" s="26"/>
      <c r="I494" s="26"/>
      <c r="J494" s="26"/>
      <c r="K494" s="26"/>
      <c r="L494" s="26"/>
      <c r="M494" s="26"/>
    </row>
    <row r="495" spans="1:13" ht="12.75" customHeight="1" x14ac:dyDescent="0.25">
      <c r="A495" s="26"/>
      <c r="B495" s="26"/>
      <c r="C495" s="26"/>
      <c r="D495" s="26"/>
      <c r="E495" s="26"/>
      <c r="F495" s="26"/>
      <c r="G495" s="26"/>
      <c r="H495" s="26"/>
      <c r="I495" s="26"/>
      <c r="J495" s="26"/>
      <c r="K495" s="26"/>
      <c r="L495" s="26"/>
      <c r="M495" s="26"/>
    </row>
    <row r="496" spans="1:13" ht="12.75" customHeight="1" x14ac:dyDescent="0.25">
      <c r="A496" s="26"/>
      <c r="B496" s="26"/>
      <c r="C496" s="26"/>
      <c r="D496" s="26"/>
      <c r="E496" s="26"/>
      <c r="F496" s="26"/>
      <c r="G496" s="26"/>
      <c r="H496" s="26"/>
      <c r="I496" s="26"/>
      <c r="J496" s="26"/>
      <c r="K496" s="26"/>
      <c r="L496" s="26"/>
      <c r="M496" s="26"/>
    </row>
    <row r="497" spans="1:13" ht="12.75" customHeight="1" x14ac:dyDescent="0.25">
      <c r="A497" s="26"/>
      <c r="B497" s="26"/>
      <c r="C497" s="26"/>
      <c r="D497" s="26"/>
      <c r="E497" s="26"/>
      <c r="F497" s="26"/>
      <c r="G497" s="26"/>
      <c r="H497" s="26"/>
      <c r="I497" s="26"/>
      <c r="J497" s="26"/>
      <c r="K497" s="26"/>
      <c r="L497" s="26"/>
      <c r="M497" s="26"/>
    </row>
    <row r="498" spans="1:13" ht="12.75" customHeight="1" x14ac:dyDescent="0.25">
      <c r="A498" s="26"/>
      <c r="B498" s="26"/>
      <c r="C498" s="26"/>
      <c r="D498" s="26"/>
      <c r="E498" s="26"/>
      <c r="F498" s="26"/>
      <c r="G498" s="26"/>
      <c r="H498" s="26"/>
      <c r="I498" s="26"/>
      <c r="J498" s="26"/>
      <c r="K498" s="26"/>
      <c r="L498" s="26"/>
      <c r="M498" s="26"/>
    </row>
    <row r="499" spans="1:13" ht="12.75" customHeight="1" x14ac:dyDescent="0.25">
      <c r="A499" s="26"/>
      <c r="B499" s="26"/>
      <c r="C499" s="26"/>
      <c r="D499" s="26"/>
      <c r="E499" s="26"/>
      <c r="F499" s="26"/>
      <c r="G499" s="26"/>
      <c r="H499" s="26"/>
      <c r="I499" s="26"/>
      <c r="J499" s="26"/>
      <c r="K499" s="26"/>
      <c r="L499" s="26"/>
      <c r="M499" s="26"/>
    </row>
    <row r="500" spans="1:13" ht="12.75" customHeight="1" x14ac:dyDescent="0.25">
      <c r="A500" s="26"/>
      <c r="B500" s="26"/>
      <c r="C500" s="26"/>
      <c r="D500" s="26"/>
      <c r="E500" s="26"/>
      <c r="F500" s="26"/>
      <c r="G500" s="26"/>
      <c r="H500" s="26"/>
      <c r="I500" s="26"/>
      <c r="J500" s="26"/>
      <c r="K500" s="26"/>
      <c r="L500" s="26"/>
      <c r="M500" s="26"/>
    </row>
    <row r="501" spans="1:13" ht="12.75" customHeight="1" x14ac:dyDescent="0.25">
      <c r="A501" s="26"/>
      <c r="B501" s="26"/>
      <c r="C501" s="26"/>
      <c r="D501" s="26"/>
      <c r="E501" s="26"/>
      <c r="F501" s="26"/>
      <c r="G501" s="26"/>
      <c r="H501" s="26"/>
      <c r="I501" s="26"/>
      <c r="J501" s="26"/>
      <c r="K501" s="26"/>
      <c r="L501" s="26"/>
      <c r="M501" s="26"/>
    </row>
    <row r="502" spans="1:13" ht="12.75" customHeight="1" x14ac:dyDescent="0.25">
      <c r="A502" s="26"/>
      <c r="B502" s="26"/>
      <c r="C502" s="26"/>
      <c r="D502" s="26"/>
      <c r="E502" s="26"/>
      <c r="F502" s="26"/>
      <c r="G502" s="26"/>
      <c r="H502" s="26"/>
      <c r="I502" s="26"/>
      <c r="J502" s="26"/>
      <c r="K502" s="26"/>
      <c r="L502" s="26"/>
      <c r="M502" s="26"/>
    </row>
    <row r="503" spans="1:13" ht="12.75" customHeight="1" x14ac:dyDescent="0.25">
      <c r="A503" s="26"/>
      <c r="B503" s="26"/>
      <c r="C503" s="26"/>
      <c r="D503" s="26"/>
      <c r="E503" s="26"/>
      <c r="F503" s="26"/>
      <c r="G503" s="26"/>
      <c r="H503" s="26"/>
      <c r="I503" s="26"/>
      <c r="J503" s="26"/>
      <c r="K503" s="26"/>
      <c r="L503" s="26"/>
      <c r="M503" s="26"/>
    </row>
    <row r="504" spans="1:13" ht="12.75" customHeight="1" x14ac:dyDescent="0.25">
      <c r="A504" s="26"/>
      <c r="B504" s="26"/>
      <c r="C504" s="26"/>
      <c r="D504" s="26"/>
      <c r="E504" s="26"/>
      <c r="F504" s="26"/>
      <c r="G504" s="26"/>
      <c r="H504" s="26"/>
      <c r="I504" s="26"/>
      <c r="J504" s="26"/>
      <c r="K504" s="26"/>
      <c r="L504" s="26"/>
      <c r="M504" s="26"/>
    </row>
    <row r="505" spans="1:13" ht="12.75" customHeight="1" x14ac:dyDescent="0.25">
      <c r="A505" s="26"/>
      <c r="B505" s="26"/>
      <c r="C505" s="26"/>
      <c r="D505" s="26"/>
      <c r="E505" s="26"/>
      <c r="F505" s="26"/>
      <c r="G505" s="26"/>
      <c r="H505" s="26"/>
      <c r="I505" s="26"/>
      <c r="J505" s="26"/>
      <c r="K505" s="26"/>
      <c r="L505" s="26"/>
      <c r="M505" s="26"/>
    </row>
    <row r="506" spans="1:13" ht="12.75" customHeight="1" x14ac:dyDescent="0.25">
      <c r="A506" s="26"/>
      <c r="B506" s="26"/>
      <c r="C506" s="26"/>
      <c r="D506" s="26"/>
      <c r="E506" s="26"/>
      <c r="F506" s="26"/>
      <c r="G506" s="26"/>
      <c r="H506" s="26"/>
      <c r="I506" s="26"/>
      <c r="J506" s="26"/>
      <c r="K506" s="26"/>
      <c r="L506" s="26"/>
      <c r="M506" s="26"/>
    </row>
    <row r="507" spans="1:13" ht="12.75" customHeight="1" x14ac:dyDescent="0.25">
      <c r="A507" s="26"/>
      <c r="B507" s="26"/>
      <c r="C507" s="26"/>
      <c r="D507" s="26"/>
      <c r="E507" s="26"/>
      <c r="F507" s="26"/>
      <c r="G507" s="26"/>
      <c r="H507" s="26"/>
      <c r="I507" s="26"/>
      <c r="J507" s="26"/>
      <c r="K507" s="26"/>
      <c r="L507" s="26"/>
      <c r="M507" s="26"/>
    </row>
    <row r="508" spans="1:13" ht="12.75" customHeight="1" x14ac:dyDescent="0.25">
      <c r="A508" s="26"/>
      <c r="B508" s="26"/>
      <c r="C508" s="26"/>
      <c r="D508" s="26"/>
      <c r="E508" s="26"/>
      <c r="F508" s="26"/>
      <c r="G508" s="26"/>
      <c r="H508" s="26"/>
      <c r="I508" s="26"/>
      <c r="J508" s="26"/>
      <c r="K508" s="26"/>
      <c r="L508" s="26"/>
      <c r="M508" s="26"/>
    </row>
    <row r="509" spans="1:13" ht="12.75" customHeight="1" x14ac:dyDescent="0.25">
      <c r="A509" s="26"/>
      <c r="B509" s="26"/>
      <c r="C509" s="26"/>
      <c r="D509" s="26"/>
      <c r="E509" s="26"/>
      <c r="F509" s="26"/>
      <c r="G509" s="26"/>
      <c r="H509" s="26"/>
      <c r="I509" s="26"/>
      <c r="J509" s="26"/>
      <c r="K509" s="26"/>
      <c r="L509" s="26"/>
      <c r="M509" s="26"/>
    </row>
    <row r="510" spans="1:13" ht="12.75" customHeight="1" x14ac:dyDescent="0.25">
      <c r="A510" s="26"/>
      <c r="B510" s="26"/>
      <c r="C510" s="26"/>
      <c r="D510" s="26"/>
      <c r="E510" s="26"/>
      <c r="F510" s="26"/>
      <c r="G510" s="26"/>
      <c r="H510" s="26"/>
      <c r="I510" s="26"/>
      <c r="J510" s="26"/>
      <c r="K510" s="26"/>
      <c r="L510" s="26"/>
      <c r="M510" s="26"/>
    </row>
    <row r="511" spans="1:13" ht="12.75" customHeight="1" x14ac:dyDescent="0.25">
      <c r="A511" s="26"/>
      <c r="B511" s="26"/>
      <c r="C511" s="26"/>
      <c r="D511" s="26"/>
      <c r="E511" s="26"/>
      <c r="F511" s="26"/>
      <c r="G511" s="26"/>
      <c r="H511" s="26"/>
      <c r="I511" s="26"/>
      <c r="J511" s="26"/>
      <c r="K511" s="26"/>
      <c r="L511" s="26"/>
      <c r="M511" s="26"/>
    </row>
    <row r="512" spans="1:13" ht="12.75" customHeight="1" x14ac:dyDescent="0.25">
      <c r="A512" s="26"/>
      <c r="B512" s="26"/>
      <c r="C512" s="26"/>
      <c r="D512" s="26"/>
      <c r="E512" s="26"/>
      <c r="F512" s="26"/>
      <c r="G512" s="26"/>
      <c r="H512" s="26"/>
      <c r="I512" s="26"/>
      <c r="J512" s="26"/>
      <c r="K512" s="26"/>
      <c r="L512" s="26"/>
      <c r="M512" s="26"/>
    </row>
    <row r="513" spans="1:13" ht="12.75" customHeight="1" x14ac:dyDescent="0.25">
      <c r="A513" s="26"/>
      <c r="B513" s="26"/>
      <c r="C513" s="26"/>
      <c r="D513" s="26"/>
      <c r="E513" s="26"/>
      <c r="F513" s="26"/>
      <c r="G513" s="26"/>
      <c r="H513" s="26"/>
      <c r="I513" s="26"/>
      <c r="J513" s="26"/>
      <c r="K513" s="26"/>
      <c r="L513" s="26"/>
      <c r="M513" s="26"/>
    </row>
    <row r="514" spans="1:13" ht="12.75" customHeight="1" x14ac:dyDescent="0.25">
      <c r="A514" s="26"/>
      <c r="B514" s="26"/>
      <c r="C514" s="26"/>
      <c r="D514" s="26"/>
      <c r="E514" s="26"/>
      <c r="F514" s="26"/>
      <c r="G514" s="26"/>
      <c r="H514" s="26"/>
      <c r="I514" s="26"/>
      <c r="J514" s="26"/>
      <c r="K514" s="26"/>
      <c r="L514" s="26"/>
      <c r="M514" s="26"/>
    </row>
    <row r="515" spans="1:13" ht="12.75" customHeight="1" x14ac:dyDescent="0.25">
      <c r="A515" s="26"/>
      <c r="B515" s="26"/>
      <c r="C515" s="26"/>
      <c r="D515" s="26"/>
      <c r="E515" s="26"/>
      <c r="F515" s="26"/>
      <c r="G515" s="26"/>
      <c r="H515" s="26"/>
      <c r="I515" s="26"/>
      <c r="J515" s="26"/>
      <c r="K515" s="26"/>
      <c r="L515" s="26"/>
      <c r="M515" s="26"/>
    </row>
    <row r="516" spans="1:13" ht="12.75" customHeight="1" x14ac:dyDescent="0.25">
      <c r="A516" s="26"/>
      <c r="B516" s="26"/>
      <c r="C516" s="26"/>
      <c r="D516" s="26"/>
      <c r="E516" s="26"/>
      <c r="F516" s="26"/>
      <c r="G516" s="26"/>
      <c r="H516" s="26"/>
      <c r="I516" s="26"/>
      <c r="J516" s="26"/>
      <c r="K516" s="26"/>
      <c r="L516" s="26"/>
      <c r="M516" s="26"/>
    </row>
    <row r="517" spans="1:13" ht="12.75" customHeight="1" x14ac:dyDescent="0.25">
      <c r="A517" s="26"/>
      <c r="B517" s="26"/>
      <c r="C517" s="26"/>
      <c r="D517" s="26"/>
      <c r="E517" s="26"/>
      <c r="F517" s="26"/>
      <c r="G517" s="26"/>
      <c r="H517" s="26"/>
      <c r="I517" s="26"/>
      <c r="J517" s="26"/>
      <c r="K517" s="26"/>
      <c r="L517" s="26"/>
      <c r="M517" s="26"/>
    </row>
    <row r="518" spans="1:13" ht="12.75" customHeight="1" x14ac:dyDescent="0.25">
      <c r="A518" s="26"/>
      <c r="B518" s="26"/>
      <c r="C518" s="26"/>
      <c r="D518" s="26"/>
      <c r="E518" s="26"/>
      <c r="F518" s="26"/>
      <c r="G518" s="26"/>
      <c r="H518" s="26"/>
      <c r="I518" s="26"/>
      <c r="J518" s="26"/>
      <c r="K518" s="26"/>
      <c r="L518" s="26"/>
      <c r="M518" s="26"/>
    </row>
    <row r="519" spans="1:13" ht="12.75" customHeight="1" x14ac:dyDescent="0.25">
      <c r="A519" s="26"/>
      <c r="B519" s="26"/>
      <c r="C519" s="26"/>
      <c r="D519" s="26"/>
      <c r="E519" s="26"/>
      <c r="F519" s="26"/>
      <c r="G519" s="26"/>
      <c r="H519" s="26"/>
      <c r="I519" s="26"/>
      <c r="J519" s="26"/>
      <c r="K519" s="26"/>
      <c r="L519" s="26"/>
      <c r="M519" s="26"/>
    </row>
    <row r="520" spans="1:13" ht="12.75" customHeight="1" x14ac:dyDescent="0.25">
      <c r="A520" s="26"/>
      <c r="B520" s="26"/>
      <c r="C520" s="26"/>
      <c r="D520" s="26"/>
      <c r="E520" s="26"/>
      <c r="F520" s="26"/>
      <c r="G520" s="26"/>
      <c r="H520" s="26"/>
      <c r="I520" s="26"/>
      <c r="J520" s="26"/>
      <c r="K520" s="26"/>
      <c r="L520" s="26"/>
      <c r="M520" s="26"/>
    </row>
    <row r="521" spans="1:13" ht="12.75" customHeight="1" x14ac:dyDescent="0.25">
      <c r="A521" s="26"/>
      <c r="B521" s="26"/>
      <c r="C521" s="26"/>
      <c r="D521" s="26"/>
      <c r="E521" s="26"/>
      <c r="F521" s="26"/>
      <c r="G521" s="26"/>
      <c r="H521" s="26"/>
      <c r="I521" s="26"/>
      <c r="J521" s="26"/>
      <c r="K521" s="26"/>
      <c r="L521" s="26"/>
      <c r="M521" s="26"/>
    </row>
    <row r="522" spans="1:13" ht="12.75" customHeight="1" x14ac:dyDescent="0.25">
      <c r="A522" s="26"/>
      <c r="B522" s="26"/>
      <c r="C522" s="26"/>
      <c r="D522" s="26"/>
      <c r="E522" s="26"/>
      <c r="F522" s="26"/>
      <c r="G522" s="26"/>
      <c r="H522" s="26"/>
      <c r="I522" s="26"/>
      <c r="J522" s="26"/>
      <c r="K522" s="26"/>
      <c r="L522" s="26"/>
      <c r="M522" s="26"/>
    </row>
    <row r="523" spans="1:13" ht="12.75" customHeight="1" x14ac:dyDescent="0.25">
      <c r="A523" s="26"/>
      <c r="B523" s="26"/>
      <c r="C523" s="26"/>
      <c r="D523" s="26"/>
      <c r="E523" s="26"/>
      <c r="F523" s="26"/>
      <c r="G523" s="26"/>
      <c r="H523" s="26"/>
      <c r="I523" s="26"/>
      <c r="J523" s="26"/>
      <c r="K523" s="26"/>
      <c r="L523" s="26"/>
      <c r="M523" s="26"/>
    </row>
    <row r="524" spans="1:13" ht="12.75" customHeight="1" x14ac:dyDescent="0.25">
      <c r="A524" s="26"/>
      <c r="B524" s="26"/>
      <c r="C524" s="26"/>
      <c r="D524" s="26"/>
      <c r="E524" s="26"/>
      <c r="F524" s="26"/>
      <c r="G524" s="26"/>
      <c r="H524" s="26"/>
      <c r="I524" s="26"/>
      <c r="J524" s="26"/>
      <c r="K524" s="26"/>
      <c r="L524" s="26"/>
      <c r="M524" s="26"/>
    </row>
    <row r="525" spans="1:13" ht="12.75" customHeight="1" x14ac:dyDescent="0.25">
      <c r="A525" s="26"/>
      <c r="B525" s="26"/>
      <c r="C525" s="26"/>
      <c r="D525" s="26"/>
      <c r="E525" s="26"/>
      <c r="F525" s="26"/>
      <c r="G525" s="26"/>
      <c r="H525" s="26"/>
      <c r="I525" s="26"/>
      <c r="J525" s="26"/>
      <c r="K525" s="26"/>
      <c r="L525" s="26"/>
      <c r="M525" s="26"/>
    </row>
    <row r="526" spans="1:13" ht="12.75" customHeight="1" x14ac:dyDescent="0.25">
      <c r="A526" s="26"/>
      <c r="B526" s="26"/>
      <c r="C526" s="26"/>
      <c r="D526" s="26"/>
      <c r="E526" s="26"/>
      <c r="F526" s="26"/>
      <c r="G526" s="26"/>
      <c r="H526" s="26"/>
      <c r="I526" s="26"/>
      <c r="J526" s="26"/>
      <c r="K526" s="26"/>
      <c r="L526" s="26"/>
      <c r="M526" s="26"/>
    </row>
    <row r="527" spans="1:13" ht="12.75" customHeight="1" x14ac:dyDescent="0.25">
      <c r="A527" s="26"/>
      <c r="B527" s="26"/>
      <c r="C527" s="26"/>
      <c r="D527" s="26"/>
      <c r="E527" s="26"/>
      <c r="F527" s="26"/>
      <c r="G527" s="26"/>
      <c r="H527" s="26"/>
      <c r="I527" s="26"/>
      <c r="J527" s="26"/>
      <c r="K527" s="26"/>
      <c r="L527" s="26"/>
      <c r="M527" s="26"/>
    </row>
    <row r="528" spans="1:13" ht="12.75" customHeight="1" x14ac:dyDescent="0.25">
      <c r="A528" s="26"/>
      <c r="B528" s="26"/>
      <c r="C528" s="26"/>
      <c r="D528" s="26"/>
      <c r="E528" s="26"/>
      <c r="F528" s="26"/>
      <c r="G528" s="26"/>
      <c r="H528" s="26"/>
      <c r="I528" s="26"/>
      <c r="J528" s="26"/>
      <c r="K528" s="26"/>
      <c r="L528" s="26"/>
      <c r="M528" s="26"/>
    </row>
    <row r="529" spans="1:13" ht="12.75" customHeight="1" x14ac:dyDescent="0.25">
      <c r="A529" s="26"/>
      <c r="B529" s="26"/>
      <c r="C529" s="26"/>
      <c r="D529" s="26"/>
      <c r="E529" s="26"/>
      <c r="F529" s="26"/>
      <c r="G529" s="26"/>
      <c r="H529" s="26"/>
      <c r="I529" s="26"/>
      <c r="J529" s="26"/>
      <c r="K529" s="26"/>
      <c r="L529" s="26"/>
      <c r="M529" s="26"/>
    </row>
    <row r="530" spans="1:13" ht="12.75" customHeight="1" x14ac:dyDescent="0.25">
      <c r="A530" s="26"/>
      <c r="B530" s="26"/>
      <c r="C530" s="26"/>
      <c r="D530" s="26"/>
      <c r="E530" s="26"/>
      <c r="F530" s="26"/>
      <c r="G530" s="26"/>
      <c r="H530" s="26"/>
      <c r="I530" s="26"/>
      <c r="J530" s="26"/>
      <c r="K530" s="26"/>
      <c r="L530" s="26"/>
      <c r="M530" s="26"/>
    </row>
    <row r="531" spans="1:13" ht="12.75" customHeight="1" x14ac:dyDescent="0.25">
      <c r="A531" s="26"/>
      <c r="B531" s="26"/>
      <c r="C531" s="26"/>
      <c r="D531" s="26"/>
      <c r="E531" s="26"/>
      <c r="F531" s="26"/>
      <c r="G531" s="26"/>
      <c r="H531" s="26"/>
      <c r="I531" s="26"/>
      <c r="J531" s="26"/>
      <c r="K531" s="26"/>
      <c r="L531" s="26"/>
      <c r="M531" s="26"/>
    </row>
    <row r="532" spans="1:13" ht="12.75" customHeight="1" x14ac:dyDescent="0.25">
      <c r="A532" s="26"/>
      <c r="B532" s="26"/>
      <c r="C532" s="26"/>
      <c r="D532" s="26"/>
      <c r="E532" s="26"/>
      <c r="F532" s="26"/>
      <c r="G532" s="26"/>
      <c r="H532" s="26"/>
      <c r="I532" s="26"/>
      <c r="J532" s="26"/>
      <c r="K532" s="26"/>
      <c r="L532" s="26"/>
      <c r="M532" s="26"/>
    </row>
    <row r="533" spans="1:13" ht="12.75" customHeight="1" x14ac:dyDescent="0.25">
      <c r="A533" s="26"/>
      <c r="B533" s="26"/>
      <c r="C533" s="26"/>
      <c r="D533" s="26"/>
      <c r="E533" s="26"/>
      <c r="F533" s="26"/>
      <c r="G533" s="26"/>
      <c r="H533" s="26"/>
      <c r="I533" s="26"/>
      <c r="J533" s="26"/>
      <c r="K533" s="26"/>
      <c r="L533" s="26"/>
      <c r="M533" s="26"/>
    </row>
    <row r="534" spans="1:13" ht="12.75" customHeight="1" x14ac:dyDescent="0.25">
      <c r="A534" s="26"/>
      <c r="B534" s="26"/>
      <c r="C534" s="26"/>
      <c r="D534" s="26"/>
      <c r="E534" s="26"/>
      <c r="F534" s="26"/>
      <c r="G534" s="26"/>
      <c r="H534" s="26"/>
      <c r="I534" s="26"/>
      <c r="J534" s="26"/>
      <c r="K534" s="26"/>
      <c r="L534" s="26"/>
      <c r="M534" s="26"/>
    </row>
    <row r="535" spans="1:13" ht="12.75" customHeight="1" x14ac:dyDescent="0.25">
      <c r="A535" s="26"/>
      <c r="B535" s="26"/>
      <c r="C535" s="26"/>
      <c r="D535" s="26"/>
      <c r="E535" s="26"/>
      <c r="F535" s="26"/>
      <c r="G535" s="26"/>
      <c r="H535" s="26"/>
      <c r="I535" s="26"/>
      <c r="J535" s="26"/>
      <c r="K535" s="26"/>
      <c r="L535" s="26"/>
      <c r="M535" s="26"/>
    </row>
    <row r="536" spans="1:13" ht="12.75" customHeight="1" x14ac:dyDescent="0.25">
      <c r="A536" s="26"/>
      <c r="B536" s="26"/>
      <c r="C536" s="26"/>
      <c r="D536" s="26"/>
      <c r="E536" s="26"/>
      <c r="F536" s="26"/>
      <c r="G536" s="26"/>
      <c r="H536" s="26"/>
      <c r="I536" s="26"/>
      <c r="J536" s="26"/>
      <c r="K536" s="26"/>
      <c r="L536" s="26"/>
      <c r="M536" s="26"/>
    </row>
    <row r="537" spans="1:13" ht="12.75" customHeight="1" x14ac:dyDescent="0.25">
      <c r="A537" s="26"/>
      <c r="B537" s="26"/>
      <c r="C537" s="26"/>
      <c r="D537" s="26"/>
      <c r="E537" s="26"/>
      <c r="F537" s="26"/>
      <c r="G537" s="26"/>
      <c r="H537" s="26"/>
      <c r="I537" s="26"/>
      <c r="J537" s="26"/>
      <c r="K537" s="26"/>
      <c r="L537" s="26"/>
      <c r="M537" s="26"/>
    </row>
    <row r="538" spans="1:13" ht="12.75" customHeight="1" x14ac:dyDescent="0.25">
      <c r="A538" s="26"/>
      <c r="B538" s="26"/>
      <c r="C538" s="26"/>
      <c r="D538" s="26"/>
      <c r="E538" s="26"/>
      <c r="F538" s="26"/>
      <c r="G538" s="26"/>
      <c r="H538" s="26"/>
      <c r="I538" s="26"/>
      <c r="J538" s="26"/>
      <c r="K538" s="26"/>
      <c r="L538" s="26"/>
      <c r="M538" s="26"/>
    </row>
    <row r="539" spans="1:13" ht="12.75" customHeight="1" x14ac:dyDescent="0.25">
      <c r="A539" s="26"/>
      <c r="B539" s="26"/>
      <c r="C539" s="26"/>
      <c r="D539" s="26"/>
      <c r="E539" s="26"/>
      <c r="F539" s="26"/>
      <c r="G539" s="26"/>
      <c r="H539" s="26"/>
      <c r="I539" s="26"/>
      <c r="J539" s="26"/>
      <c r="K539" s="26"/>
      <c r="L539" s="26"/>
      <c r="M539" s="26"/>
    </row>
    <row r="540" spans="1:13" ht="12.75" customHeight="1" x14ac:dyDescent="0.25">
      <c r="A540" s="26"/>
      <c r="B540" s="26"/>
      <c r="C540" s="26"/>
      <c r="D540" s="26"/>
      <c r="E540" s="26"/>
      <c r="F540" s="26"/>
      <c r="G540" s="26"/>
      <c r="H540" s="26"/>
      <c r="I540" s="26"/>
      <c r="J540" s="26"/>
      <c r="K540" s="26"/>
      <c r="L540" s="26"/>
      <c r="M540" s="26"/>
    </row>
    <row r="541" spans="1:13" ht="12.75" customHeight="1" x14ac:dyDescent="0.25">
      <c r="A541" s="26"/>
      <c r="B541" s="26"/>
      <c r="C541" s="26"/>
      <c r="D541" s="26"/>
      <c r="E541" s="26"/>
      <c r="F541" s="26"/>
      <c r="G541" s="26"/>
      <c r="H541" s="26"/>
      <c r="I541" s="26"/>
      <c r="J541" s="26"/>
      <c r="K541" s="26"/>
      <c r="L541" s="26"/>
      <c r="M541" s="26"/>
    </row>
    <row r="542" spans="1:13" ht="12.75" customHeight="1" x14ac:dyDescent="0.25">
      <c r="A542" s="26"/>
      <c r="B542" s="26"/>
      <c r="C542" s="26"/>
      <c r="D542" s="26"/>
      <c r="E542" s="26"/>
      <c r="F542" s="26"/>
      <c r="G542" s="26"/>
      <c r="H542" s="26"/>
      <c r="I542" s="26"/>
      <c r="J542" s="26"/>
      <c r="K542" s="26"/>
      <c r="L542" s="26"/>
      <c r="M542" s="26"/>
    </row>
    <row r="543" spans="1:13" ht="12.75" customHeight="1" x14ac:dyDescent="0.25">
      <c r="A543" s="26"/>
      <c r="B543" s="26"/>
      <c r="C543" s="26"/>
      <c r="D543" s="26"/>
      <c r="E543" s="26"/>
      <c r="F543" s="26"/>
      <c r="G543" s="26"/>
      <c r="H543" s="26"/>
      <c r="I543" s="26"/>
      <c r="J543" s="26"/>
      <c r="K543" s="26"/>
      <c r="L543" s="26"/>
      <c r="M543" s="26"/>
    </row>
    <row r="544" spans="1:13" ht="12.75" customHeight="1" x14ac:dyDescent="0.25">
      <c r="A544" s="26"/>
      <c r="B544" s="26"/>
      <c r="C544" s="26"/>
      <c r="D544" s="26"/>
      <c r="E544" s="26"/>
      <c r="F544" s="26"/>
      <c r="G544" s="26"/>
      <c r="H544" s="26"/>
      <c r="I544" s="26"/>
      <c r="J544" s="26"/>
      <c r="K544" s="26"/>
      <c r="L544" s="26"/>
      <c r="M544" s="26"/>
    </row>
    <row r="545" spans="1:13" ht="12.75" customHeight="1" x14ac:dyDescent="0.25">
      <c r="A545" s="26"/>
      <c r="B545" s="26"/>
      <c r="C545" s="26"/>
      <c r="D545" s="26"/>
      <c r="E545" s="26"/>
      <c r="F545" s="26"/>
      <c r="G545" s="26"/>
      <c r="H545" s="26"/>
      <c r="I545" s="26"/>
      <c r="J545" s="26"/>
      <c r="K545" s="26"/>
      <c r="L545" s="26"/>
      <c r="M545" s="26"/>
    </row>
    <row r="546" spans="1:13" ht="12.75" customHeight="1" x14ac:dyDescent="0.25">
      <c r="A546" s="26"/>
      <c r="B546" s="26"/>
      <c r="C546" s="26"/>
      <c r="D546" s="26"/>
      <c r="E546" s="26"/>
      <c r="F546" s="26"/>
      <c r="G546" s="26"/>
      <c r="H546" s="26"/>
      <c r="I546" s="26"/>
      <c r="J546" s="26"/>
      <c r="K546" s="26"/>
      <c r="L546" s="26"/>
      <c r="M546" s="26"/>
    </row>
    <row r="547" spans="1:13" ht="12.75" customHeight="1" x14ac:dyDescent="0.25">
      <c r="A547" s="26"/>
      <c r="B547" s="26"/>
      <c r="C547" s="26"/>
      <c r="D547" s="26"/>
      <c r="E547" s="26"/>
      <c r="F547" s="26"/>
      <c r="G547" s="26"/>
      <c r="H547" s="26"/>
      <c r="I547" s="26"/>
      <c r="J547" s="26"/>
      <c r="K547" s="26"/>
      <c r="L547" s="26"/>
      <c r="M547" s="26"/>
    </row>
    <row r="548" spans="1:13" ht="12.75" customHeight="1" x14ac:dyDescent="0.25">
      <c r="A548" s="26"/>
      <c r="B548" s="26"/>
      <c r="C548" s="26"/>
      <c r="D548" s="26"/>
      <c r="E548" s="26"/>
      <c r="F548" s="26"/>
      <c r="G548" s="26"/>
      <c r="H548" s="26"/>
      <c r="I548" s="26"/>
      <c r="J548" s="26"/>
      <c r="K548" s="26"/>
      <c r="L548" s="26"/>
      <c r="M548" s="26"/>
    </row>
    <row r="549" spans="1:13" ht="12.75" customHeight="1" x14ac:dyDescent="0.25">
      <c r="A549" s="26"/>
      <c r="B549" s="26"/>
      <c r="C549" s="26"/>
      <c r="D549" s="26"/>
      <c r="E549" s="26"/>
      <c r="F549" s="26"/>
      <c r="G549" s="26"/>
      <c r="H549" s="26"/>
      <c r="I549" s="26"/>
      <c r="J549" s="26"/>
      <c r="K549" s="26"/>
      <c r="L549" s="26"/>
      <c r="M549" s="26"/>
    </row>
    <row r="550" spans="1:13" ht="12.75" customHeight="1" x14ac:dyDescent="0.25">
      <c r="A550" s="26"/>
      <c r="B550" s="26"/>
      <c r="C550" s="26"/>
      <c r="D550" s="26"/>
      <c r="E550" s="26"/>
      <c r="F550" s="26"/>
      <c r="G550" s="26"/>
      <c r="H550" s="26"/>
      <c r="I550" s="26"/>
      <c r="J550" s="26"/>
      <c r="K550" s="26"/>
      <c r="L550" s="26"/>
      <c r="M550" s="26"/>
    </row>
    <row r="551" spans="1:13" ht="12.75" customHeight="1" x14ac:dyDescent="0.25">
      <c r="A551" s="26"/>
      <c r="B551" s="26"/>
      <c r="C551" s="26"/>
      <c r="D551" s="26"/>
      <c r="E551" s="26"/>
      <c r="F551" s="26"/>
      <c r="G551" s="26"/>
      <c r="H551" s="26"/>
      <c r="I551" s="26"/>
      <c r="J551" s="26"/>
      <c r="K551" s="26"/>
      <c r="L551" s="26"/>
      <c r="M551" s="26"/>
    </row>
    <row r="552" spans="1:13" ht="12.75" customHeight="1" x14ac:dyDescent="0.25">
      <c r="A552" s="26"/>
      <c r="B552" s="26"/>
      <c r="C552" s="26"/>
      <c r="D552" s="26"/>
      <c r="E552" s="26"/>
      <c r="F552" s="26"/>
      <c r="G552" s="26"/>
      <c r="H552" s="26"/>
      <c r="I552" s="26"/>
      <c r="J552" s="26"/>
      <c r="K552" s="26"/>
      <c r="L552" s="26"/>
      <c r="M552" s="26"/>
    </row>
    <row r="553" spans="1:13" ht="12.75" customHeight="1" x14ac:dyDescent="0.25">
      <c r="A553" s="26"/>
      <c r="B553" s="26"/>
      <c r="C553" s="26"/>
      <c r="D553" s="26"/>
      <c r="E553" s="26"/>
      <c r="F553" s="26"/>
      <c r="G553" s="26"/>
      <c r="H553" s="26"/>
      <c r="I553" s="26"/>
      <c r="J553" s="26"/>
      <c r="K553" s="26"/>
      <c r="L553" s="26"/>
      <c r="M553" s="26"/>
    </row>
    <row r="554" spans="1:13" ht="12.75" customHeight="1" x14ac:dyDescent="0.25">
      <c r="A554" s="26"/>
      <c r="B554" s="26"/>
      <c r="C554" s="26"/>
      <c r="D554" s="26"/>
      <c r="E554" s="26"/>
      <c r="F554" s="26"/>
      <c r="G554" s="26"/>
      <c r="H554" s="26"/>
      <c r="I554" s="26"/>
      <c r="J554" s="26"/>
      <c r="K554" s="26"/>
      <c r="L554" s="26"/>
      <c r="M554" s="26"/>
    </row>
    <row r="555" spans="1:13" ht="12.75" customHeight="1" x14ac:dyDescent="0.25">
      <c r="A555" s="26"/>
      <c r="B555" s="26"/>
      <c r="C555" s="26"/>
      <c r="D555" s="26"/>
      <c r="E555" s="26"/>
      <c r="F555" s="26"/>
      <c r="G555" s="26"/>
      <c r="H555" s="26"/>
      <c r="I555" s="26"/>
      <c r="J555" s="26"/>
      <c r="K555" s="26"/>
      <c r="L555" s="26"/>
      <c r="M555" s="26"/>
    </row>
    <row r="556" spans="1:13" ht="12.75" customHeight="1" x14ac:dyDescent="0.25">
      <c r="A556" s="26"/>
      <c r="B556" s="26"/>
      <c r="C556" s="26"/>
      <c r="D556" s="26"/>
      <c r="E556" s="26"/>
      <c r="F556" s="26"/>
      <c r="G556" s="26"/>
      <c r="H556" s="26"/>
      <c r="I556" s="26"/>
      <c r="J556" s="26"/>
      <c r="K556" s="26"/>
      <c r="L556" s="26"/>
      <c r="M556" s="26"/>
    </row>
    <row r="557" spans="1:13" ht="12.75" customHeight="1" x14ac:dyDescent="0.25">
      <c r="A557" s="26"/>
      <c r="B557" s="26"/>
      <c r="C557" s="26"/>
      <c r="D557" s="26"/>
      <c r="E557" s="26"/>
      <c r="F557" s="26"/>
      <c r="G557" s="26"/>
      <c r="H557" s="26"/>
      <c r="I557" s="26"/>
      <c r="J557" s="26"/>
      <c r="K557" s="26"/>
      <c r="L557" s="26"/>
      <c r="M557" s="26"/>
    </row>
    <row r="558" spans="1:13" ht="12.75" customHeight="1" x14ac:dyDescent="0.25">
      <c r="A558" s="26"/>
      <c r="B558" s="26"/>
      <c r="C558" s="26"/>
      <c r="D558" s="26"/>
      <c r="E558" s="26"/>
      <c r="F558" s="26"/>
      <c r="G558" s="26"/>
      <c r="H558" s="26"/>
      <c r="I558" s="26"/>
      <c r="J558" s="26"/>
      <c r="K558" s="26"/>
      <c r="L558" s="26"/>
      <c r="M558" s="26"/>
    </row>
    <row r="559" spans="1:13" ht="12.75" customHeight="1" x14ac:dyDescent="0.25">
      <c r="A559" s="26"/>
      <c r="B559" s="26"/>
      <c r="C559" s="26"/>
      <c r="D559" s="26"/>
      <c r="E559" s="26"/>
      <c r="F559" s="26"/>
      <c r="G559" s="26"/>
      <c r="H559" s="26"/>
      <c r="I559" s="26"/>
      <c r="J559" s="26"/>
      <c r="K559" s="26"/>
      <c r="L559" s="26"/>
      <c r="M559" s="26"/>
    </row>
    <row r="560" spans="1:13" ht="12.75" customHeight="1" x14ac:dyDescent="0.25">
      <c r="A560" s="26"/>
      <c r="B560" s="26"/>
      <c r="C560" s="26"/>
      <c r="D560" s="26"/>
      <c r="E560" s="26"/>
      <c r="F560" s="26"/>
      <c r="G560" s="26"/>
      <c r="H560" s="26"/>
      <c r="I560" s="26"/>
      <c r="J560" s="26"/>
      <c r="K560" s="26"/>
      <c r="L560" s="26"/>
      <c r="M560" s="26"/>
    </row>
    <row r="561" spans="1:13" ht="12.75" customHeight="1" x14ac:dyDescent="0.25">
      <c r="A561" s="26"/>
      <c r="B561" s="26"/>
      <c r="C561" s="26"/>
      <c r="D561" s="26"/>
      <c r="E561" s="26"/>
      <c r="F561" s="26"/>
      <c r="G561" s="26"/>
      <c r="H561" s="26"/>
      <c r="I561" s="26"/>
      <c r="J561" s="26"/>
      <c r="K561" s="26"/>
      <c r="L561" s="26"/>
      <c r="M561" s="26"/>
    </row>
    <row r="562" spans="1:13" ht="12.75" customHeight="1" x14ac:dyDescent="0.25">
      <c r="A562" s="26"/>
      <c r="B562" s="26"/>
      <c r="C562" s="26"/>
      <c r="D562" s="26"/>
      <c r="E562" s="26"/>
      <c r="F562" s="26"/>
      <c r="G562" s="26"/>
      <c r="H562" s="26"/>
      <c r="I562" s="26"/>
      <c r="J562" s="26"/>
      <c r="K562" s="26"/>
      <c r="L562" s="26"/>
      <c r="M562" s="26"/>
    </row>
    <row r="563" spans="1:13" ht="12.75" customHeight="1" x14ac:dyDescent="0.25">
      <c r="A563" s="26"/>
      <c r="B563" s="26"/>
      <c r="C563" s="26"/>
      <c r="D563" s="26"/>
      <c r="E563" s="26"/>
      <c r="F563" s="26"/>
      <c r="G563" s="26"/>
      <c r="H563" s="26"/>
      <c r="I563" s="26"/>
      <c r="J563" s="26"/>
      <c r="K563" s="26"/>
      <c r="L563" s="26"/>
      <c r="M563" s="26"/>
    </row>
    <row r="564" spans="1:13" ht="12.75" customHeight="1" x14ac:dyDescent="0.25">
      <c r="A564" s="26"/>
      <c r="B564" s="26"/>
      <c r="C564" s="26"/>
      <c r="D564" s="26"/>
      <c r="E564" s="26"/>
      <c r="F564" s="26"/>
      <c r="G564" s="26"/>
      <c r="H564" s="26"/>
      <c r="I564" s="26"/>
      <c r="J564" s="26"/>
      <c r="K564" s="26"/>
      <c r="L564" s="26"/>
      <c r="M564" s="26"/>
    </row>
    <row r="565" spans="1:13" ht="12.75" customHeight="1" x14ac:dyDescent="0.25">
      <c r="A565" s="26"/>
      <c r="B565" s="26"/>
      <c r="C565" s="26"/>
      <c r="D565" s="26"/>
      <c r="E565" s="26"/>
      <c r="F565" s="26"/>
      <c r="G565" s="26"/>
      <c r="H565" s="26"/>
      <c r="I565" s="26"/>
      <c r="J565" s="26"/>
      <c r="K565" s="26"/>
      <c r="L565" s="26"/>
      <c r="M565" s="26"/>
    </row>
    <row r="566" spans="1:13" ht="12.75" customHeight="1" x14ac:dyDescent="0.25">
      <c r="A566" s="26"/>
      <c r="B566" s="26"/>
      <c r="C566" s="26"/>
      <c r="D566" s="26"/>
      <c r="E566" s="26"/>
      <c r="F566" s="26"/>
      <c r="G566" s="26"/>
      <c r="H566" s="26"/>
      <c r="I566" s="26"/>
      <c r="J566" s="26"/>
      <c r="K566" s="26"/>
      <c r="L566" s="26"/>
      <c r="M566" s="26"/>
    </row>
    <row r="567" spans="1:13" ht="12.75" customHeight="1" x14ac:dyDescent="0.25">
      <c r="A567" s="26"/>
      <c r="B567" s="26"/>
      <c r="C567" s="26"/>
      <c r="D567" s="26"/>
      <c r="E567" s="26"/>
      <c r="F567" s="26"/>
      <c r="G567" s="26"/>
      <c r="H567" s="26"/>
      <c r="I567" s="26"/>
      <c r="J567" s="26"/>
      <c r="K567" s="26"/>
      <c r="L567" s="26"/>
      <c r="M567" s="26"/>
    </row>
    <row r="568" spans="1:13" ht="12.75" customHeight="1" x14ac:dyDescent="0.25">
      <c r="A568" s="26"/>
      <c r="B568" s="26"/>
      <c r="C568" s="26"/>
      <c r="D568" s="26"/>
      <c r="E568" s="26"/>
      <c r="F568" s="26"/>
      <c r="G568" s="26"/>
      <c r="H568" s="26"/>
      <c r="I568" s="26"/>
      <c r="J568" s="26"/>
      <c r="K568" s="26"/>
      <c r="L568" s="26"/>
      <c r="M568" s="26"/>
    </row>
    <row r="569" spans="1:13" ht="12.75" customHeight="1" x14ac:dyDescent="0.25">
      <c r="A569" s="26"/>
      <c r="B569" s="26"/>
      <c r="C569" s="26"/>
      <c r="D569" s="26"/>
      <c r="E569" s="26"/>
      <c r="F569" s="26"/>
      <c r="G569" s="26"/>
      <c r="H569" s="26"/>
      <c r="I569" s="26"/>
      <c r="J569" s="26"/>
      <c r="K569" s="26"/>
      <c r="L569" s="26"/>
      <c r="M569" s="26"/>
    </row>
    <row r="570" spans="1:13" ht="12.75" customHeight="1" x14ac:dyDescent="0.25">
      <c r="A570" s="26"/>
      <c r="B570" s="26"/>
      <c r="C570" s="26"/>
      <c r="D570" s="26"/>
      <c r="E570" s="26"/>
      <c r="F570" s="26"/>
      <c r="G570" s="26"/>
      <c r="H570" s="26"/>
      <c r="I570" s="26"/>
      <c r="J570" s="26"/>
      <c r="K570" s="26"/>
      <c r="L570" s="26"/>
      <c r="M570" s="26"/>
    </row>
    <row r="571" spans="1:13" ht="12.75" customHeight="1" x14ac:dyDescent="0.25">
      <c r="A571" s="26"/>
      <c r="B571" s="26"/>
      <c r="C571" s="26"/>
      <c r="D571" s="26"/>
      <c r="E571" s="26"/>
      <c r="F571" s="26"/>
      <c r="G571" s="26"/>
      <c r="H571" s="26"/>
      <c r="I571" s="26"/>
      <c r="J571" s="26"/>
      <c r="K571" s="26"/>
      <c r="L571" s="26"/>
      <c r="M571" s="26"/>
    </row>
    <row r="572" spans="1:13" ht="12.75" customHeight="1" x14ac:dyDescent="0.25">
      <c r="A572" s="26"/>
      <c r="B572" s="26"/>
      <c r="C572" s="26"/>
      <c r="D572" s="26"/>
      <c r="E572" s="26"/>
      <c r="F572" s="26"/>
      <c r="G572" s="26"/>
      <c r="H572" s="26"/>
      <c r="I572" s="26"/>
      <c r="J572" s="26"/>
      <c r="K572" s="26"/>
      <c r="L572" s="26"/>
      <c r="M572" s="26"/>
    </row>
    <row r="573" spans="1:13" ht="12.75" customHeight="1" x14ac:dyDescent="0.25">
      <c r="A573" s="26"/>
      <c r="B573" s="26"/>
      <c r="C573" s="26"/>
      <c r="D573" s="26"/>
      <c r="E573" s="26"/>
      <c r="F573" s="26"/>
      <c r="G573" s="26"/>
      <c r="H573" s="26"/>
      <c r="I573" s="26"/>
      <c r="J573" s="26"/>
      <c r="K573" s="26"/>
      <c r="L573" s="26"/>
      <c r="M573" s="26"/>
    </row>
    <row r="574" spans="1:13" ht="12.75" customHeight="1" x14ac:dyDescent="0.25">
      <c r="A574" s="26"/>
      <c r="B574" s="26"/>
      <c r="C574" s="26"/>
      <c r="D574" s="26"/>
      <c r="E574" s="26"/>
      <c r="F574" s="26"/>
      <c r="G574" s="26"/>
      <c r="H574" s="26"/>
      <c r="I574" s="26"/>
      <c r="J574" s="26"/>
      <c r="K574" s="26"/>
      <c r="L574" s="26"/>
      <c r="M574" s="26"/>
    </row>
    <row r="575" spans="1:13" ht="12.75" customHeight="1" x14ac:dyDescent="0.25">
      <c r="A575" s="26"/>
      <c r="B575" s="26"/>
      <c r="C575" s="26"/>
      <c r="D575" s="26"/>
      <c r="E575" s="26"/>
      <c r="F575" s="26"/>
      <c r="G575" s="26"/>
      <c r="H575" s="26"/>
      <c r="I575" s="26"/>
      <c r="J575" s="26"/>
      <c r="K575" s="26"/>
      <c r="L575" s="26"/>
      <c r="M575" s="26"/>
    </row>
    <row r="576" spans="1:13" ht="12.75" customHeight="1" x14ac:dyDescent="0.25">
      <c r="A576" s="26"/>
      <c r="B576" s="26"/>
      <c r="C576" s="26"/>
      <c r="D576" s="26"/>
      <c r="E576" s="26"/>
      <c r="F576" s="26"/>
      <c r="G576" s="26"/>
      <c r="H576" s="26"/>
      <c r="I576" s="26"/>
      <c r="J576" s="26"/>
      <c r="K576" s="26"/>
      <c r="L576" s="26"/>
      <c r="M576" s="26"/>
    </row>
    <row r="577" spans="1:13" ht="12.75" customHeight="1" x14ac:dyDescent="0.25">
      <c r="A577" s="26"/>
      <c r="B577" s="26"/>
      <c r="C577" s="26"/>
      <c r="D577" s="26"/>
      <c r="E577" s="26"/>
      <c r="F577" s="26"/>
      <c r="G577" s="26"/>
      <c r="H577" s="26"/>
      <c r="I577" s="26"/>
      <c r="J577" s="26"/>
      <c r="K577" s="26"/>
      <c r="L577" s="26"/>
      <c r="M577" s="26"/>
    </row>
    <row r="578" spans="1:13" ht="12.75" customHeight="1" x14ac:dyDescent="0.25">
      <c r="A578" s="26"/>
      <c r="B578" s="26"/>
      <c r="C578" s="26"/>
      <c r="D578" s="26"/>
      <c r="E578" s="26"/>
      <c r="F578" s="26"/>
      <c r="G578" s="26"/>
      <c r="H578" s="26"/>
      <c r="I578" s="26"/>
      <c r="J578" s="26"/>
      <c r="K578" s="26"/>
      <c r="L578" s="26"/>
      <c r="M578" s="26"/>
    </row>
    <row r="579" spans="1:13" ht="12.75" customHeight="1" x14ac:dyDescent="0.25">
      <c r="A579" s="26"/>
      <c r="B579" s="26"/>
      <c r="C579" s="26"/>
      <c r="D579" s="26"/>
      <c r="E579" s="26"/>
      <c r="F579" s="26"/>
      <c r="G579" s="26"/>
      <c r="H579" s="26"/>
      <c r="I579" s="26"/>
      <c r="J579" s="26"/>
      <c r="K579" s="26"/>
      <c r="L579" s="26"/>
      <c r="M579" s="26"/>
    </row>
    <row r="580" spans="1:13" ht="12.75" customHeight="1" x14ac:dyDescent="0.25">
      <c r="A580" s="26"/>
      <c r="B580" s="26"/>
      <c r="C580" s="26"/>
      <c r="D580" s="26"/>
      <c r="E580" s="26"/>
      <c r="F580" s="26"/>
      <c r="G580" s="26"/>
      <c r="H580" s="26"/>
      <c r="I580" s="26"/>
      <c r="J580" s="26"/>
      <c r="K580" s="26"/>
      <c r="L580" s="26"/>
      <c r="M580" s="26"/>
    </row>
    <row r="581" spans="1:13" ht="12.75" customHeight="1" x14ac:dyDescent="0.25">
      <c r="A581" s="26"/>
      <c r="B581" s="26"/>
      <c r="C581" s="26"/>
      <c r="D581" s="26"/>
      <c r="E581" s="26"/>
      <c r="F581" s="26"/>
      <c r="G581" s="26"/>
      <c r="H581" s="26"/>
      <c r="I581" s="26"/>
      <c r="J581" s="26"/>
      <c r="K581" s="26"/>
      <c r="L581" s="26"/>
      <c r="M581" s="26"/>
    </row>
    <row r="582" spans="1:13" ht="12.75" customHeight="1" x14ac:dyDescent="0.25">
      <c r="A582" s="26"/>
      <c r="B582" s="26"/>
      <c r="C582" s="26"/>
      <c r="D582" s="26"/>
      <c r="E582" s="26"/>
      <c r="F582" s="26"/>
      <c r="G582" s="26"/>
      <c r="H582" s="26"/>
      <c r="I582" s="26"/>
      <c r="J582" s="26"/>
      <c r="K582" s="26"/>
      <c r="L582" s="26"/>
      <c r="M582" s="26"/>
    </row>
    <row r="583" spans="1:13" ht="12.75" customHeight="1" x14ac:dyDescent="0.25">
      <c r="A583" s="26"/>
      <c r="B583" s="26"/>
      <c r="C583" s="26"/>
      <c r="D583" s="26"/>
      <c r="E583" s="26"/>
      <c r="F583" s="26"/>
      <c r="G583" s="26"/>
      <c r="H583" s="26"/>
      <c r="I583" s="26"/>
      <c r="J583" s="26"/>
      <c r="K583" s="26"/>
      <c r="L583" s="26"/>
      <c r="M583" s="26"/>
    </row>
    <row r="584" spans="1:13" ht="12.75" customHeight="1" x14ac:dyDescent="0.25">
      <c r="A584" s="26"/>
      <c r="B584" s="26"/>
      <c r="C584" s="26"/>
      <c r="D584" s="26"/>
      <c r="E584" s="26"/>
      <c r="F584" s="26"/>
      <c r="G584" s="26"/>
      <c r="H584" s="26"/>
      <c r="I584" s="26"/>
      <c r="J584" s="26"/>
      <c r="K584" s="26"/>
      <c r="L584" s="26"/>
      <c r="M584" s="26"/>
    </row>
    <row r="585" spans="1:13" ht="12.75" customHeight="1" x14ac:dyDescent="0.25">
      <c r="A585" s="26"/>
      <c r="B585" s="26"/>
      <c r="C585" s="26"/>
      <c r="D585" s="26"/>
      <c r="E585" s="26"/>
      <c r="F585" s="26"/>
      <c r="G585" s="26"/>
      <c r="H585" s="26"/>
      <c r="I585" s="26"/>
      <c r="J585" s="26"/>
      <c r="K585" s="26"/>
      <c r="L585" s="26"/>
      <c r="M585" s="26"/>
    </row>
    <row r="586" spans="1:13" ht="12.75" customHeight="1" x14ac:dyDescent="0.25">
      <c r="A586" s="26"/>
      <c r="B586" s="26"/>
      <c r="C586" s="26"/>
      <c r="D586" s="26"/>
      <c r="E586" s="26"/>
      <c r="F586" s="26"/>
      <c r="G586" s="26"/>
      <c r="H586" s="26"/>
      <c r="I586" s="26"/>
      <c r="J586" s="26"/>
      <c r="K586" s="26"/>
      <c r="L586" s="26"/>
      <c r="M586" s="26"/>
    </row>
    <row r="587" spans="1:13" ht="12.75" customHeight="1" x14ac:dyDescent="0.25">
      <c r="A587" s="26"/>
      <c r="B587" s="26"/>
      <c r="C587" s="26"/>
      <c r="D587" s="26"/>
      <c r="E587" s="26"/>
      <c r="F587" s="26"/>
      <c r="G587" s="26"/>
      <c r="H587" s="26"/>
      <c r="I587" s="26"/>
      <c r="J587" s="26"/>
      <c r="K587" s="26"/>
      <c r="L587" s="26"/>
      <c r="M587" s="26"/>
    </row>
    <row r="588" spans="1:13" ht="12.75" customHeight="1" x14ac:dyDescent="0.25">
      <c r="A588" s="26"/>
      <c r="B588" s="26"/>
      <c r="C588" s="26"/>
      <c r="D588" s="26"/>
      <c r="E588" s="26"/>
      <c r="F588" s="26"/>
      <c r="G588" s="26"/>
      <c r="H588" s="26"/>
      <c r="I588" s="26"/>
      <c r="J588" s="26"/>
      <c r="K588" s="26"/>
      <c r="L588" s="26"/>
      <c r="M588" s="26"/>
    </row>
    <row r="589" spans="1:13" ht="12.75" customHeight="1" x14ac:dyDescent="0.25">
      <c r="A589" s="26"/>
      <c r="B589" s="26"/>
      <c r="C589" s="26"/>
      <c r="D589" s="26"/>
      <c r="E589" s="26"/>
      <c r="F589" s="26"/>
      <c r="G589" s="26"/>
      <c r="H589" s="26"/>
      <c r="I589" s="26"/>
      <c r="J589" s="26"/>
      <c r="K589" s="26"/>
      <c r="L589" s="26"/>
      <c r="M589" s="26"/>
    </row>
    <row r="590" spans="1:13" ht="12.75" customHeight="1" x14ac:dyDescent="0.25">
      <c r="A590" s="26"/>
      <c r="B590" s="26"/>
      <c r="C590" s="26"/>
      <c r="D590" s="26"/>
      <c r="E590" s="26"/>
      <c r="F590" s="26"/>
      <c r="G590" s="26"/>
      <c r="H590" s="26"/>
      <c r="I590" s="26"/>
      <c r="J590" s="26"/>
      <c r="K590" s="26"/>
      <c r="L590" s="26"/>
      <c r="M590" s="26"/>
    </row>
    <row r="591" spans="1:13" ht="12.75" customHeight="1" x14ac:dyDescent="0.25">
      <c r="A591" s="26"/>
      <c r="B591" s="26"/>
      <c r="C591" s="26"/>
      <c r="D591" s="26"/>
      <c r="E591" s="26"/>
      <c r="F591" s="26"/>
      <c r="G591" s="26"/>
      <c r="H591" s="26"/>
      <c r="I591" s="26"/>
      <c r="J591" s="26"/>
      <c r="K591" s="26"/>
      <c r="L591" s="26"/>
      <c r="M591" s="26"/>
    </row>
    <row r="592" spans="1:13" ht="12.75" customHeight="1" x14ac:dyDescent="0.25">
      <c r="A592" s="26"/>
      <c r="B592" s="26"/>
      <c r="C592" s="26"/>
      <c r="D592" s="26"/>
      <c r="E592" s="26"/>
      <c r="F592" s="26"/>
      <c r="G592" s="26"/>
      <c r="H592" s="26"/>
      <c r="I592" s="26"/>
      <c r="J592" s="26"/>
      <c r="K592" s="26"/>
      <c r="L592" s="26"/>
      <c r="M592" s="26"/>
    </row>
    <row r="593" spans="1:13" ht="12.75" customHeight="1" x14ac:dyDescent="0.25">
      <c r="A593" s="26"/>
      <c r="B593" s="26"/>
      <c r="C593" s="26"/>
      <c r="D593" s="26"/>
      <c r="E593" s="26"/>
      <c r="F593" s="26"/>
      <c r="G593" s="26"/>
      <c r="H593" s="26"/>
      <c r="I593" s="26"/>
      <c r="J593" s="26"/>
      <c r="K593" s="26"/>
      <c r="L593" s="26"/>
      <c r="M593" s="26"/>
    </row>
    <row r="594" spans="1:13" ht="12.75" customHeight="1" x14ac:dyDescent="0.25">
      <c r="A594" s="26"/>
      <c r="B594" s="26"/>
      <c r="C594" s="26"/>
      <c r="D594" s="26"/>
      <c r="E594" s="26"/>
      <c r="F594" s="26"/>
      <c r="G594" s="26"/>
      <c r="H594" s="26"/>
      <c r="I594" s="26"/>
      <c r="J594" s="26"/>
      <c r="K594" s="26"/>
      <c r="L594" s="26"/>
      <c r="M594" s="26"/>
    </row>
    <row r="595" spans="1:13" ht="12.75" customHeight="1" x14ac:dyDescent="0.25">
      <c r="A595" s="26"/>
      <c r="B595" s="26"/>
      <c r="C595" s="26"/>
      <c r="D595" s="26"/>
      <c r="E595" s="26"/>
      <c r="F595" s="26"/>
      <c r="G595" s="26"/>
      <c r="H595" s="26"/>
      <c r="I595" s="26"/>
      <c r="J595" s="26"/>
      <c r="K595" s="26"/>
      <c r="L595" s="26"/>
      <c r="M595" s="26"/>
    </row>
    <row r="596" spans="1:13" ht="12.75" customHeight="1" x14ac:dyDescent="0.25">
      <c r="A596" s="26"/>
      <c r="B596" s="26"/>
      <c r="C596" s="26"/>
      <c r="D596" s="26"/>
      <c r="E596" s="26"/>
      <c r="F596" s="26"/>
      <c r="G596" s="26"/>
      <c r="H596" s="26"/>
      <c r="I596" s="26"/>
      <c r="J596" s="26"/>
      <c r="K596" s="26"/>
      <c r="L596" s="26"/>
      <c r="M596" s="26"/>
    </row>
    <row r="597" spans="1:13" ht="12.75" customHeight="1" x14ac:dyDescent="0.25">
      <c r="A597" s="26"/>
      <c r="B597" s="26"/>
      <c r="C597" s="26"/>
      <c r="D597" s="26"/>
      <c r="E597" s="26"/>
      <c r="F597" s="26"/>
      <c r="G597" s="26"/>
      <c r="H597" s="26"/>
      <c r="I597" s="26"/>
      <c r="J597" s="26"/>
      <c r="K597" s="26"/>
      <c r="L597" s="26"/>
      <c r="M597" s="26"/>
    </row>
    <row r="598" spans="1:13" ht="12.75" customHeight="1" x14ac:dyDescent="0.25">
      <c r="A598" s="26"/>
      <c r="B598" s="26"/>
      <c r="C598" s="26"/>
      <c r="D598" s="26"/>
      <c r="E598" s="26"/>
      <c r="F598" s="26"/>
      <c r="G598" s="26"/>
      <c r="H598" s="26"/>
      <c r="I598" s="26"/>
      <c r="J598" s="26"/>
      <c r="K598" s="26"/>
      <c r="L598" s="26"/>
      <c r="M598" s="26"/>
    </row>
    <row r="599" spans="1:13" ht="12.75" customHeight="1" x14ac:dyDescent="0.25">
      <c r="A599" s="26"/>
      <c r="B599" s="26"/>
      <c r="C599" s="26"/>
      <c r="D599" s="26"/>
      <c r="E599" s="26"/>
      <c r="F599" s="26"/>
      <c r="G599" s="26"/>
      <c r="H599" s="26"/>
      <c r="I599" s="26"/>
      <c r="J599" s="26"/>
      <c r="K599" s="26"/>
      <c r="L599" s="26"/>
      <c r="M599" s="26"/>
    </row>
    <row r="600" spans="1:13" ht="12.75" customHeight="1" x14ac:dyDescent="0.25">
      <c r="A600" s="26"/>
      <c r="B600" s="26"/>
      <c r="C600" s="26"/>
      <c r="D600" s="26"/>
      <c r="E600" s="26"/>
      <c r="F600" s="26"/>
      <c r="G600" s="26"/>
      <c r="H600" s="26"/>
      <c r="I600" s="26"/>
      <c r="J600" s="26"/>
      <c r="K600" s="26"/>
      <c r="L600" s="26"/>
      <c r="M600" s="26"/>
    </row>
    <row r="601" spans="1:13" ht="12.75" customHeight="1" x14ac:dyDescent="0.25">
      <c r="A601" s="26"/>
      <c r="B601" s="26"/>
      <c r="C601" s="26"/>
      <c r="D601" s="26"/>
      <c r="E601" s="26"/>
      <c r="F601" s="26"/>
      <c r="G601" s="26"/>
      <c r="H601" s="26"/>
      <c r="I601" s="26"/>
      <c r="J601" s="26"/>
      <c r="K601" s="26"/>
      <c r="L601" s="26"/>
      <c r="M601" s="26"/>
    </row>
    <row r="602" spans="1:13" ht="12.75" customHeight="1" x14ac:dyDescent="0.25">
      <c r="A602" s="26"/>
      <c r="B602" s="26"/>
      <c r="C602" s="26"/>
      <c r="D602" s="26"/>
      <c r="E602" s="26"/>
      <c r="F602" s="26"/>
      <c r="G602" s="26"/>
      <c r="H602" s="26"/>
      <c r="I602" s="26"/>
      <c r="J602" s="26"/>
      <c r="K602" s="26"/>
      <c r="L602" s="26"/>
      <c r="M602" s="26"/>
    </row>
    <row r="603" spans="1:13" ht="12.75" customHeight="1" x14ac:dyDescent="0.25">
      <c r="A603" s="26"/>
      <c r="B603" s="26"/>
      <c r="C603" s="26"/>
      <c r="D603" s="26"/>
      <c r="E603" s="26"/>
      <c r="F603" s="26"/>
      <c r="G603" s="26"/>
      <c r="H603" s="26"/>
      <c r="I603" s="26"/>
      <c r="J603" s="26"/>
      <c r="K603" s="26"/>
      <c r="L603" s="26"/>
      <c r="M603" s="26"/>
    </row>
    <row r="604" spans="1:13" ht="12.75" customHeight="1" x14ac:dyDescent="0.25">
      <c r="A604" s="26"/>
      <c r="B604" s="26"/>
      <c r="C604" s="26"/>
      <c r="D604" s="26"/>
      <c r="E604" s="26"/>
      <c r="F604" s="26"/>
      <c r="G604" s="26"/>
      <c r="H604" s="26"/>
      <c r="I604" s="26"/>
      <c r="J604" s="26"/>
      <c r="K604" s="26"/>
      <c r="L604" s="26"/>
      <c r="M604" s="26"/>
    </row>
    <row r="605" spans="1:13" ht="12.75" customHeight="1" x14ac:dyDescent="0.25">
      <c r="A605" s="26"/>
      <c r="B605" s="26"/>
      <c r="C605" s="26"/>
      <c r="D605" s="26"/>
      <c r="E605" s="26"/>
      <c r="F605" s="26"/>
      <c r="G605" s="26"/>
      <c r="H605" s="26"/>
      <c r="I605" s="26"/>
      <c r="J605" s="26"/>
      <c r="K605" s="26"/>
      <c r="L605" s="26"/>
      <c r="M605" s="26"/>
    </row>
    <row r="606" spans="1:13" ht="12.75" customHeight="1" x14ac:dyDescent="0.25">
      <c r="A606" s="26"/>
      <c r="B606" s="26"/>
      <c r="C606" s="26"/>
      <c r="D606" s="26"/>
      <c r="E606" s="26"/>
      <c r="F606" s="26"/>
      <c r="G606" s="26"/>
      <c r="H606" s="26"/>
      <c r="I606" s="26"/>
      <c r="J606" s="26"/>
      <c r="K606" s="26"/>
      <c r="L606" s="26"/>
      <c r="M606" s="26"/>
    </row>
    <row r="607" spans="1:13" ht="12.75" customHeight="1" x14ac:dyDescent="0.25">
      <c r="A607" s="26"/>
      <c r="B607" s="26"/>
      <c r="C607" s="26"/>
      <c r="D607" s="26"/>
      <c r="E607" s="26"/>
      <c r="F607" s="26"/>
      <c r="G607" s="26"/>
      <c r="H607" s="26"/>
      <c r="I607" s="26"/>
      <c r="J607" s="26"/>
      <c r="K607" s="26"/>
      <c r="L607" s="26"/>
      <c r="M607" s="26"/>
    </row>
    <row r="608" spans="1:13" ht="12.75" customHeight="1" x14ac:dyDescent="0.25">
      <c r="A608" s="26"/>
      <c r="B608" s="26"/>
      <c r="C608" s="26"/>
      <c r="D608" s="26"/>
      <c r="E608" s="26"/>
      <c r="F608" s="26"/>
      <c r="G608" s="26"/>
      <c r="H608" s="26"/>
      <c r="I608" s="26"/>
      <c r="J608" s="26"/>
      <c r="K608" s="26"/>
      <c r="L608" s="26"/>
      <c r="M608" s="26"/>
    </row>
    <row r="609" spans="1:13" ht="12.75" customHeight="1" x14ac:dyDescent="0.25">
      <c r="A609" s="26"/>
      <c r="B609" s="26"/>
      <c r="C609" s="26"/>
      <c r="D609" s="26"/>
      <c r="E609" s="26"/>
      <c r="F609" s="26"/>
      <c r="G609" s="26"/>
      <c r="H609" s="26"/>
      <c r="I609" s="26"/>
      <c r="J609" s="26"/>
      <c r="K609" s="26"/>
      <c r="L609" s="26"/>
      <c r="M609" s="26"/>
    </row>
    <row r="610" spans="1:13" ht="12.75" customHeight="1" x14ac:dyDescent="0.25">
      <c r="A610" s="26"/>
      <c r="B610" s="26"/>
      <c r="C610" s="26"/>
      <c r="D610" s="26"/>
      <c r="E610" s="26"/>
      <c r="F610" s="26"/>
      <c r="G610" s="26"/>
      <c r="H610" s="26"/>
      <c r="I610" s="26"/>
      <c r="J610" s="26"/>
      <c r="K610" s="26"/>
      <c r="L610" s="26"/>
      <c r="M610" s="26"/>
    </row>
    <row r="611" spans="1:13" ht="12.75" customHeight="1" x14ac:dyDescent="0.25">
      <c r="A611" s="26"/>
      <c r="B611" s="26"/>
      <c r="C611" s="26"/>
      <c r="D611" s="26"/>
      <c r="E611" s="26"/>
      <c r="F611" s="26"/>
      <c r="G611" s="26"/>
      <c r="H611" s="26"/>
      <c r="I611" s="26"/>
      <c r="J611" s="26"/>
      <c r="K611" s="26"/>
      <c r="L611" s="26"/>
      <c r="M611" s="26"/>
    </row>
    <row r="612" spans="1:13" ht="12.75" customHeight="1" x14ac:dyDescent="0.25">
      <c r="A612" s="26"/>
      <c r="B612" s="26"/>
      <c r="C612" s="26"/>
      <c r="D612" s="26"/>
      <c r="E612" s="26"/>
      <c r="F612" s="26"/>
      <c r="G612" s="26"/>
      <c r="H612" s="26"/>
      <c r="I612" s="26"/>
      <c r="J612" s="26"/>
      <c r="K612" s="26"/>
      <c r="L612" s="26"/>
      <c r="M612" s="26"/>
    </row>
    <row r="613" spans="1:13" ht="12.75" customHeight="1" x14ac:dyDescent="0.25">
      <c r="A613" s="26"/>
      <c r="B613" s="26"/>
      <c r="C613" s="26"/>
      <c r="D613" s="26"/>
      <c r="E613" s="26"/>
      <c r="F613" s="26"/>
      <c r="G613" s="26"/>
      <c r="H613" s="26"/>
      <c r="I613" s="26"/>
      <c r="J613" s="26"/>
      <c r="K613" s="26"/>
      <c r="L613" s="26"/>
      <c r="M613" s="26"/>
    </row>
    <row r="614" spans="1:13" ht="12.75" customHeight="1" x14ac:dyDescent="0.25">
      <c r="A614" s="26"/>
      <c r="B614" s="26"/>
      <c r="C614" s="26"/>
      <c r="D614" s="26"/>
      <c r="E614" s="26"/>
      <c r="F614" s="26"/>
      <c r="G614" s="26"/>
      <c r="H614" s="26"/>
      <c r="I614" s="26"/>
      <c r="J614" s="26"/>
      <c r="K614" s="26"/>
      <c r="L614" s="26"/>
      <c r="M614" s="26"/>
    </row>
    <row r="615" spans="1:13" ht="12.75" customHeight="1" x14ac:dyDescent="0.25">
      <c r="A615" s="26"/>
      <c r="B615" s="26"/>
      <c r="C615" s="26"/>
      <c r="D615" s="26"/>
      <c r="E615" s="26"/>
      <c r="F615" s="26"/>
      <c r="G615" s="26"/>
      <c r="H615" s="26"/>
      <c r="I615" s="26"/>
      <c r="J615" s="26"/>
      <c r="K615" s="26"/>
      <c r="L615" s="26"/>
      <c r="M615" s="26"/>
    </row>
    <row r="616" spans="1:13" ht="12.75" customHeight="1" x14ac:dyDescent="0.25">
      <c r="A616" s="26"/>
      <c r="B616" s="26"/>
      <c r="C616" s="26"/>
      <c r="D616" s="26"/>
      <c r="E616" s="26"/>
      <c r="F616" s="26"/>
      <c r="G616" s="26"/>
      <c r="H616" s="26"/>
      <c r="I616" s="26"/>
      <c r="J616" s="26"/>
      <c r="K616" s="26"/>
      <c r="L616" s="26"/>
      <c r="M616" s="26"/>
    </row>
    <row r="617" spans="1:13" ht="12.75" customHeight="1" x14ac:dyDescent="0.25">
      <c r="A617" s="26"/>
      <c r="B617" s="26"/>
      <c r="C617" s="26"/>
      <c r="D617" s="26"/>
      <c r="E617" s="26"/>
      <c r="F617" s="26"/>
      <c r="G617" s="26"/>
      <c r="H617" s="26"/>
      <c r="I617" s="26"/>
      <c r="J617" s="26"/>
      <c r="K617" s="26"/>
      <c r="L617" s="26"/>
      <c r="M617" s="26"/>
    </row>
    <row r="618" spans="1:13" ht="12.75" customHeight="1" x14ac:dyDescent="0.25">
      <c r="A618" s="26"/>
      <c r="B618" s="26"/>
      <c r="C618" s="26"/>
      <c r="D618" s="26"/>
      <c r="E618" s="26"/>
      <c r="F618" s="26"/>
      <c r="G618" s="26"/>
      <c r="H618" s="26"/>
      <c r="I618" s="26"/>
      <c r="J618" s="26"/>
      <c r="K618" s="26"/>
      <c r="L618" s="26"/>
      <c r="M618" s="26"/>
    </row>
    <row r="619" spans="1:13" ht="12.75" customHeight="1" x14ac:dyDescent="0.25">
      <c r="A619" s="26"/>
      <c r="B619" s="26"/>
      <c r="C619" s="26"/>
      <c r="D619" s="26"/>
      <c r="E619" s="26"/>
      <c r="F619" s="26"/>
      <c r="G619" s="26"/>
      <c r="H619" s="26"/>
      <c r="I619" s="26"/>
      <c r="J619" s="26"/>
      <c r="K619" s="26"/>
      <c r="L619" s="26"/>
      <c r="M619" s="26"/>
    </row>
    <row r="620" spans="1:13" ht="12.75" customHeight="1" x14ac:dyDescent="0.25">
      <c r="A620" s="26"/>
      <c r="B620" s="26"/>
      <c r="C620" s="26"/>
      <c r="D620" s="26"/>
      <c r="E620" s="26"/>
      <c r="F620" s="26"/>
      <c r="G620" s="26"/>
      <c r="H620" s="26"/>
      <c r="I620" s="26"/>
      <c r="J620" s="26"/>
      <c r="K620" s="26"/>
      <c r="L620" s="26"/>
      <c r="M620" s="26"/>
    </row>
    <row r="621" spans="1:13" ht="12.75" customHeight="1" x14ac:dyDescent="0.25">
      <c r="A621" s="26"/>
      <c r="B621" s="26"/>
      <c r="C621" s="26"/>
      <c r="D621" s="26"/>
      <c r="E621" s="26"/>
      <c r="F621" s="26"/>
      <c r="G621" s="26"/>
      <c r="H621" s="26"/>
      <c r="I621" s="26"/>
      <c r="J621" s="26"/>
      <c r="K621" s="26"/>
      <c r="L621" s="26"/>
      <c r="M621" s="26"/>
    </row>
    <row r="622" spans="1:13" ht="12.75" customHeight="1" x14ac:dyDescent="0.25">
      <c r="A622" s="26"/>
      <c r="B622" s="26"/>
      <c r="C622" s="26"/>
      <c r="D622" s="26"/>
      <c r="E622" s="26"/>
      <c r="F622" s="26"/>
      <c r="G622" s="26"/>
      <c r="H622" s="26"/>
      <c r="I622" s="26"/>
      <c r="J622" s="26"/>
      <c r="K622" s="26"/>
      <c r="L622" s="26"/>
      <c r="M622" s="26"/>
    </row>
    <row r="623" spans="1:13" ht="12.75" customHeight="1" x14ac:dyDescent="0.25">
      <c r="A623" s="26"/>
      <c r="B623" s="26"/>
      <c r="C623" s="26"/>
      <c r="D623" s="26"/>
      <c r="E623" s="26"/>
      <c r="F623" s="26"/>
      <c r="G623" s="26"/>
      <c r="H623" s="26"/>
      <c r="I623" s="26"/>
      <c r="J623" s="26"/>
      <c r="K623" s="26"/>
      <c r="L623" s="26"/>
      <c r="M623" s="26"/>
    </row>
    <row r="624" spans="1:13" ht="12.75" customHeight="1" x14ac:dyDescent="0.25">
      <c r="A624" s="26"/>
      <c r="B624" s="26"/>
      <c r="C624" s="26"/>
      <c r="D624" s="26"/>
      <c r="E624" s="26"/>
      <c r="F624" s="26"/>
      <c r="G624" s="26"/>
      <c r="H624" s="26"/>
      <c r="I624" s="26"/>
      <c r="J624" s="26"/>
      <c r="K624" s="26"/>
      <c r="L624" s="26"/>
      <c r="M624" s="26"/>
    </row>
    <row r="625" spans="1:13" ht="12.75" customHeight="1" x14ac:dyDescent="0.25">
      <c r="A625" s="26"/>
      <c r="B625" s="26"/>
      <c r="C625" s="26"/>
      <c r="D625" s="26"/>
      <c r="E625" s="26"/>
      <c r="F625" s="26"/>
      <c r="G625" s="26"/>
      <c r="H625" s="26"/>
      <c r="I625" s="26"/>
      <c r="J625" s="26"/>
      <c r="K625" s="26"/>
      <c r="L625" s="26"/>
      <c r="M625" s="26"/>
    </row>
    <row r="626" spans="1:13" ht="12.75" customHeight="1" x14ac:dyDescent="0.25">
      <c r="A626" s="26"/>
      <c r="B626" s="26"/>
      <c r="C626" s="26"/>
      <c r="D626" s="26"/>
      <c r="E626" s="26"/>
      <c r="F626" s="26"/>
      <c r="G626" s="26"/>
      <c r="H626" s="26"/>
      <c r="I626" s="26"/>
      <c r="J626" s="26"/>
      <c r="K626" s="26"/>
      <c r="L626" s="26"/>
      <c r="M626" s="26"/>
    </row>
    <row r="627" spans="1:13" ht="12.75" customHeight="1" x14ac:dyDescent="0.25">
      <c r="A627" s="26"/>
      <c r="B627" s="26"/>
      <c r="C627" s="26"/>
      <c r="D627" s="26"/>
      <c r="E627" s="26"/>
      <c r="F627" s="26"/>
      <c r="G627" s="26"/>
      <c r="H627" s="26"/>
      <c r="I627" s="26"/>
      <c r="J627" s="26"/>
      <c r="K627" s="26"/>
      <c r="L627" s="26"/>
      <c r="M627" s="26"/>
    </row>
    <row r="628" spans="1:13" ht="12.75" customHeight="1" x14ac:dyDescent="0.25">
      <c r="A628" s="26"/>
      <c r="B628" s="26"/>
      <c r="C628" s="26"/>
      <c r="D628" s="26"/>
      <c r="E628" s="26"/>
      <c r="F628" s="26"/>
      <c r="G628" s="26"/>
      <c r="H628" s="26"/>
      <c r="I628" s="26"/>
      <c r="J628" s="26"/>
      <c r="K628" s="26"/>
      <c r="L628" s="26"/>
      <c r="M628" s="26"/>
    </row>
    <row r="629" spans="1:13" ht="12.75" customHeight="1" x14ac:dyDescent="0.25">
      <c r="A629" s="26"/>
      <c r="B629" s="26"/>
      <c r="C629" s="26"/>
      <c r="D629" s="26"/>
      <c r="E629" s="26"/>
      <c r="F629" s="26"/>
      <c r="G629" s="26"/>
      <c r="H629" s="26"/>
      <c r="I629" s="26"/>
      <c r="J629" s="26"/>
      <c r="K629" s="26"/>
      <c r="L629" s="26"/>
      <c r="M629" s="26"/>
    </row>
    <row r="630" spans="1:13" ht="12.75" customHeight="1" x14ac:dyDescent="0.25">
      <c r="A630" s="26"/>
      <c r="B630" s="26"/>
      <c r="C630" s="26"/>
      <c r="D630" s="26"/>
      <c r="E630" s="26"/>
      <c r="F630" s="26"/>
      <c r="G630" s="26"/>
      <c r="H630" s="26"/>
      <c r="I630" s="26"/>
      <c r="J630" s="26"/>
      <c r="K630" s="26"/>
      <c r="L630" s="26"/>
      <c r="M630" s="26"/>
    </row>
    <row r="631" spans="1:13" ht="12.75" customHeight="1" x14ac:dyDescent="0.25">
      <c r="A631" s="26"/>
      <c r="B631" s="26"/>
      <c r="C631" s="26"/>
      <c r="D631" s="26"/>
      <c r="E631" s="26"/>
      <c r="F631" s="26"/>
      <c r="G631" s="26"/>
      <c r="H631" s="26"/>
      <c r="I631" s="26"/>
      <c r="J631" s="26"/>
      <c r="K631" s="26"/>
      <c r="L631" s="26"/>
      <c r="M631" s="26"/>
    </row>
    <row r="632" spans="1:13" ht="12.75" customHeight="1" x14ac:dyDescent="0.25">
      <c r="A632" s="26"/>
      <c r="B632" s="26"/>
      <c r="C632" s="26"/>
      <c r="D632" s="26"/>
      <c r="E632" s="26"/>
      <c r="F632" s="26"/>
      <c r="G632" s="26"/>
      <c r="H632" s="26"/>
      <c r="I632" s="26"/>
      <c r="J632" s="26"/>
      <c r="K632" s="26"/>
      <c r="L632" s="26"/>
      <c r="M632" s="26"/>
    </row>
    <row r="633" spans="1:13" ht="12.75" customHeight="1" x14ac:dyDescent="0.25">
      <c r="A633" s="26"/>
      <c r="B633" s="26"/>
      <c r="C633" s="26"/>
      <c r="D633" s="26"/>
      <c r="E633" s="26"/>
      <c r="F633" s="26"/>
      <c r="G633" s="26"/>
      <c r="H633" s="26"/>
      <c r="I633" s="26"/>
      <c r="J633" s="26"/>
      <c r="K633" s="26"/>
      <c r="L633" s="26"/>
      <c r="M633" s="26"/>
    </row>
    <row r="634" spans="1:13" ht="12.75" customHeight="1" x14ac:dyDescent="0.25">
      <c r="A634" s="26"/>
      <c r="B634" s="26"/>
      <c r="C634" s="26"/>
      <c r="D634" s="26"/>
      <c r="E634" s="26"/>
      <c r="F634" s="26"/>
      <c r="G634" s="26"/>
      <c r="H634" s="26"/>
      <c r="I634" s="26"/>
      <c r="J634" s="26"/>
      <c r="K634" s="26"/>
      <c r="L634" s="26"/>
      <c r="M634" s="26"/>
    </row>
    <row r="635" spans="1:13" ht="12.75" customHeight="1" x14ac:dyDescent="0.25">
      <c r="A635" s="26"/>
      <c r="B635" s="26"/>
      <c r="C635" s="26"/>
      <c r="D635" s="26"/>
      <c r="E635" s="26"/>
      <c r="F635" s="26"/>
      <c r="G635" s="26"/>
      <c r="H635" s="26"/>
      <c r="I635" s="26"/>
      <c r="J635" s="26"/>
      <c r="K635" s="26"/>
      <c r="L635" s="26"/>
      <c r="M635" s="26"/>
    </row>
    <row r="636" spans="1:13" ht="12.75" customHeight="1" x14ac:dyDescent="0.25">
      <c r="A636" s="26"/>
      <c r="B636" s="26"/>
      <c r="C636" s="26"/>
      <c r="D636" s="26"/>
      <c r="E636" s="26"/>
      <c r="F636" s="26"/>
      <c r="G636" s="26"/>
      <c r="H636" s="26"/>
      <c r="I636" s="26"/>
      <c r="J636" s="26"/>
      <c r="K636" s="26"/>
      <c r="L636" s="26"/>
      <c r="M636" s="26"/>
    </row>
    <row r="637" spans="1:13" ht="12.75" customHeight="1" x14ac:dyDescent="0.25">
      <c r="A637" s="26"/>
      <c r="B637" s="26"/>
      <c r="C637" s="26"/>
      <c r="D637" s="26"/>
      <c r="E637" s="26"/>
      <c r="F637" s="26"/>
      <c r="G637" s="26"/>
      <c r="H637" s="26"/>
      <c r="I637" s="26"/>
      <c r="J637" s="26"/>
      <c r="K637" s="26"/>
      <c r="L637" s="26"/>
      <c r="M637" s="26"/>
    </row>
    <row r="638" spans="1:13" ht="12.75" customHeight="1" x14ac:dyDescent="0.25">
      <c r="A638" s="26"/>
      <c r="B638" s="26"/>
      <c r="C638" s="26"/>
      <c r="D638" s="26"/>
      <c r="E638" s="26"/>
      <c r="F638" s="26"/>
      <c r="G638" s="26"/>
      <c r="H638" s="26"/>
      <c r="I638" s="26"/>
      <c r="J638" s="26"/>
      <c r="K638" s="26"/>
      <c r="L638" s="26"/>
      <c r="M638" s="26"/>
    </row>
    <row r="639" spans="1:13" ht="12.75" customHeight="1" x14ac:dyDescent="0.25">
      <c r="A639" s="26"/>
      <c r="B639" s="26"/>
      <c r="C639" s="26"/>
      <c r="D639" s="26"/>
      <c r="E639" s="26"/>
      <c r="F639" s="26"/>
      <c r="G639" s="26"/>
      <c r="H639" s="26"/>
      <c r="I639" s="26"/>
      <c r="J639" s="26"/>
      <c r="K639" s="26"/>
      <c r="L639" s="26"/>
      <c r="M639" s="26"/>
    </row>
    <row r="640" spans="1:13" ht="12.75" customHeight="1" x14ac:dyDescent="0.25">
      <c r="A640" s="26"/>
      <c r="B640" s="26"/>
      <c r="C640" s="26"/>
      <c r="D640" s="26"/>
      <c r="E640" s="26"/>
      <c r="F640" s="26"/>
      <c r="G640" s="26"/>
      <c r="H640" s="26"/>
      <c r="I640" s="26"/>
      <c r="J640" s="26"/>
      <c r="K640" s="26"/>
      <c r="L640" s="26"/>
      <c r="M640" s="26"/>
    </row>
    <row r="641" spans="1:13" ht="12.75" customHeight="1" x14ac:dyDescent="0.25">
      <c r="A641" s="26"/>
      <c r="B641" s="26"/>
      <c r="C641" s="26"/>
      <c r="D641" s="26"/>
      <c r="E641" s="26"/>
      <c r="F641" s="26"/>
      <c r="G641" s="26"/>
      <c r="H641" s="26"/>
      <c r="I641" s="26"/>
      <c r="J641" s="26"/>
      <c r="K641" s="26"/>
      <c r="L641" s="26"/>
      <c r="M641" s="26"/>
    </row>
    <row r="642" spans="1:13" ht="12.75" customHeight="1" x14ac:dyDescent="0.25">
      <c r="A642" s="26"/>
      <c r="B642" s="26"/>
      <c r="C642" s="26"/>
      <c r="D642" s="26"/>
      <c r="E642" s="26"/>
      <c r="F642" s="26"/>
      <c r="G642" s="26"/>
      <c r="H642" s="26"/>
      <c r="I642" s="26"/>
      <c r="J642" s="26"/>
      <c r="K642" s="26"/>
      <c r="L642" s="26"/>
      <c r="M642" s="26"/>
    </row>
    <row r="643" spans="1:13" ht="12.75" customHeight="1" x14ac:dyDescent="0.25">
      <c r="A643" s="26"/>
      <c r="B643" s="26"/>
      <c r="C643" s="26"/>
      <c r="D643" s="26"/>
      <c r="E643" s="26"/>
      <c r="F643" s="26"/>
      <c r="G643" s="26"/>
      <c r="H643" s="26"/>
      <c r="I643" s="26"/>
      <c r="J643" s="26"/>
      <c r="K643" s="26"/>
      <c r="L643" s="26"/>
      <c r="M643" s="26"/>
    </row>
    <row r="644" spans="1:13" ht="12.75" customHeight="1" x14ac:dyDescent="0.25">
      <c r="A644" s="26"/>
      <c r="B644" s="26"/>
      <c r="C644" s="26"/>
      <c r="D644" s="26"/>
      <c r="E644" s="26"/>
      <c r="F644" s="26"/>
      <c r="G644" s="26"/>
      <c r="H644" s="26"/>
      <c r="I644" s="26"/>
      <c r="J644" s="26"/>
      <c r="K644" s="26"/>
      <c r="L644" s="26"/>
      <c r="M644" s="26"/>
    </row>
    <row r="645" spans="1:13" ht="12.75" customHeight="1" x14ac:dyDescent="0.25">
      <c r="A645" s="26"/>
      <c r="B645" s="26"/>
      <c r="C645" s="26"/>
      <c r="D645" s="26"/>
      <c r="E645" s="26"/>
      <c r="F645" s="26"/>
      <c r="G645" s="26"/>
      <c r="H645" s="26"/>
      <c r="I645" s="26"/>
      <c r="J645" s="26"/>
      <c r="K645" s="26"/>
      <c r="L645" s="26"/>
      <c r="M645" s="26"/>
    </row>
    <row r="646" spans="1:13" ht="12.75" customHeight="1" x14ac:dyDescent="0.25">
      <c r="A646" s="26"/>
      <c r="B646" s="26"/>
      <c r="C646" s="26"/>
      <c r="D646" s="26"/>
      <c r="E646" s="26"/>
      <c r="F646" s="26"/>
      <c r="G646" s="26"/>
      <c r="H646" s="26"/>
      <c r="I646" s="26"/>
      <c r="J646" s="26"/>
      <c r="K646" s="26"/>
      <c r="L646" s="26"/>
      <c r="M646" s="26"/>
    </row>
    <row r="647" spans="1:13" ht="12.75" customHeight="1" x14ac:dyDescent="0.25">
      <c r="A647" s="26"/>
      <c r="B647" s="26"/>
      <c r="C647" s="26"/>
      <c r="D647" s="26"/>
      <c r="E647" s="26"/>
      <c r="F647" s="26"/>
      <c r="G647" s="26"/>
      <c r="H647" s="26"/>
      <c r="I647" s="26"/>
      <c r="J647" s="26"/>
      <c r="K647" s="26"/>
      <c r="L647" s="26"/>
      <c r="M647" s="26"/>
    </row>
    <row r="648" spans="1:13" ht="12.75" customHeight="1" x14ac:dyDescent="0.25">
      <c r="A648" s="26"/>
      <c r="B648" s="26"/>
      <c r="C648" s="26"/>
      <c r="D648" s="26"/>
      <c r="E648" s="26"/>
      <c r="F648" s="26"/>
      <c r="G648" s="26"/>
      <c r="H648" s="26"/>
      <c r="I648" s="26"/>
      <c r="J648" s="26"/>
      <c r="K648" s="26"/>
      <c r="L648" s="26"/>
      <c r="M648" s="26"/>
    </row>
    <row r="649" spans="1:13" ht="12.75" customHeight="1" x14ac:dyDescent="0.25">
      <c r="A649" s="26"/>
      <c r="B649" s="26"/>
      <c r="C649" s="26"/>
      <c r="D649" s="26"/>
      <c r="E649" s="26"/>
      <c r="F649" s="26"/>
      <c r="G649" s="26"/>
      <c r="H649" s="26"/>
      <c r="I649" s="26"/>
      <c r="J649" s="26"/>
      <c r="K649" s="26"/>
      <c r="L649" s="26"/>
      <c r="M649" s="26"/>
    </row>
    <row r="650" spans="1:13" ht="12.75" customHeight="1" x14ac:dyDescent="0.25">
      <c r="A650" s="26"/>
      <c r="B650" s="26"/>
      <c r="C650" s="26"/>
      <c r="D650" s="26"/>
      <c r="E650" s="26"/>
      <c r="F650" s="26"/>
      <c r="G650" s="26"/>
      <c r="H650" s="26"/>
      <c r="I650" s="26"/>
      <c r="J650" s="26"/>
      <c r="K650" s="26"/>
      <c r="L650" s="26"/>
      <c r="M650" s="26"/>
    </row>
    <row r="651" spans="1:13" ht="12.75" customHeight="1" x14ac:dyDescent="0.25">
      <c r="A651" s="26"/>
      <c r="B651" s="26"/>
      <c r="C651" s="26"/>
      <c r="D651" s="26"/>
      <c r="E651" s="26"/>
      <c r="F651" s="26"/>
      <c r="G651" s="26"/>
      <c r="H651" s="26"/>
      <c r="I651" s="26"/>
      <c r="J651" s="26"/>
      <c r="K651" s="26"/>
      <c r="L651" s="26"/>
      <c r="M651" s="26"/>
    </row>
    <row r="652" spans="1:13" ht="12.75" customHeight="1" x14ac:dyDescent="0.25">
      <c r="A652" s="26"/>
      <c r="B652" s="26"/>
      <c r="C652" s="26"/>
      <c r="D652" s="26"/>
      <c r="E652" s="26"/>
      <c r="F652" s="26"/>
      <c r="G652" s="26"/>
      <c r="H652" s="26"/>
      <c r="I652" s="26"/>
      <c r="J652" s="26"/>
      <c r="K652" s="26"/>
      <c r="L652" s="26"/>
      <c r="M652" s="26"/>
    </row>
    <row r="653" spans="1:13" ht="12.75" customHeight="1" x14ac:dyDescent="0.25">
      <c r="A653" s="26"/>
      <c r="B653" s="26"/>
      <c r="C653" s="26"/>
      <c r="D653" s="26"/>
      <c r="E653" s="26"/>
      <c r="F653" s="26"/>
      <c r="G653" s="26"/>
      <c r="H653" s="26"/>
      <c r="I653" s="26"/>
      <c r="J653" s="26"/>
      <c r="K653" s="26"/>
      <c r="L653" s="26"/>
      <c r="M653" s="26"/>
    </row>
    <row r="654" spans="1:13" ht="12.75" customHeight="1" x14ac:dyDescent="0.25">
      <c r="A654" s="26"/>
      <c r="B654" s="26"/>
      <c r="C654" s="26"/>
      <c r="D654" s="26"/>
      <c r="E654" s="26"/>
      <c r="F654" s="26"/>
      <c r="G654" s="26"/>
      <c r="H654" s="26"/>
      <c r="I654" s="26"/>
      <c r="J654" s="26"/>
      <c r="K654" s="26"/>
      <c r="L654" s="26"/>
      <c r="M654" s="26"/>
    </row>
    <row r="655" spans="1:13" ht="12.75" customHeight="1" x14ac:dyDescent="0.25">
      <c r="A655" s="26"/>
      <c r="B655" s="26"/>
      <c r="C655" s="26"/>
      <c r="D655" s="26"/>
      <c r="E655" s="26"/>
      <c r="F655" s="26"/>
      <c r="G655" s="26"/>
      <c r="H655" s="26"/>
      <c r="I655" s="26"/>
      <c r="J655" s="26"/>
      <c r="K655" s="26"/>
      <c r="L655" s="26"/>
      <c r="M655" s="26"/>
    </row>
    <row r="656" spans="1:13" ht="12.75" customHeight="1" x14ac:dyDescent="0.25">
      <c r="A656" s="26"/>
      <c r="B656" s="26"/>
      <c r="C656" s="26"/>
      <c r="D656" s="26"/>
      <c r="E656" s="26"/>
      <c r="F656" s="26"/>
      <c r="G656" s="26"/>
      <c r="H656" s="26"/>
      <c r="I656" s="26"/>
      <c r="J656" s="26"/>
      <c r="K656" s="26"/>
      <c r="L656" s="26"/>
      <c r="M656" s="26"/>
    </row>
    <row r="657" spans="1:13" ht="12.75" customHeight="1" x14ac:dyDescent="0.25">
      <c r="A657" s="26"/>
      <c r="B657" s="26"/>
      <c r="C657" s="26"/>
      <c r="D657" s="26"/>
      <c r="E657" s="26"/>
      <c r="F657" s="26"/>
      <c r="G657" s="26"/>
      <c r="H657" s="26"/>
      <c r="I657" s="26"/>
      <c r="J657" s="26"/>
      <c r="K657" s="26"/>
      <c r="L657" s="26"/>
      <c r="M657" s="26"/>
    </row>
    <row r="658" spans="1:13" ht="12.75" customHeight="1" x14ac:dyDescent="0.25">
      <c r="A658" s="26"/>
      <c r="B658" s="26"/>
      <c r="C658" s="26"/>
      <c r="D658" s="26"/>
      <c r="E658" s="26"/>
      <c r="F658" s="26"/>
      <c r="G658" s="26"/>
      <c r="H658" s="26"/>
      <c r="I658" s="26"/>
      <c r="J658" s="26"/>
      <c r="K658" s="26"/>
      <c r="L658" s="26"/>
      <c r="M658" s="26"/>
    </row>
    <row r="659" spans="1:13" ht="12.75" customHeight="1" x14ac:dyDescent="0.25">
      <c r="A659" s="26"/>
      <c r="B659" s="26"/>
      <c r="C659" s="26"/>
      <c r="D659" s="26"/>
      <c r="E659" s="26"/>
      <c r="F659" s="26"/>
      <c r="G659" s="26"/>
      <c r="H659" s="26"/>
      <c r="I659" s="26"/>
      <c r="J659" s="26"/>
      <c r="K659" s="26"/>
      <c r="L659" s="26"/>
      <c r="M659" s="26"/>
    </row>
    <row r="660" spans="1:13" ht="12.75" customHeight="1" x14ac:dyDescent="0.25">
      <c r="A660" s="26"/>
      <c r="B660" s="26"/>
      <c r="C660" s="26"/>
      <c r="D660" s="26"/>
      <c r="E660" s="26"/>
      <c r="F660" s="26"/>
      <c r="G660" s="26"/>
      <c r="H660" s="26"/>
      <c r="I660" s="26"/>
      <c r="J660" s="26"/>
      <c r="K660" s="26"/>
      <c r="L660" s="26"/>
      <c r="M660" s="26"/>
    </row>
    <row r="661" spans="1:13" ht="12.75" customHeight="1" x14ac:dyDescent="0.25">
      <c r="A661" s="26"/>
      <c r="B661" s="26"/>
      <c r="C661" s="26"/>
      <c r="D661" s="26"/>
      <c r="E661" s="26"/>
      <c r="F661" s="26"/>
      <c r="G661" s="26"/>
      <c r="H661" s="26"/>
      <c r="I661" s="26"/>
      <c r="J661" s="26"/>
      <c r="K661" s="26"/>
      <c r="L661" s="26"/>
      <c r="M661" s="26"/>
    </row>
    <row r="662" spans="1:13" ht="12.75" customHeight="1" x14ac:dyDescent="0.25">
      <c r="A662" s="26"/>
      <c r="B662" s="26"/>
      <c r="C662" s="26"/>
      <c r="D662" s="26"/>
      <c r="E662" s="26"/>
      <c r="F662" s="26"/>
      <c r="G662" s="26"/>
      <c r="H662" s="26"/>
      <c r="I662" s="26"/>
      <c r="J662" s="26"/>
      <c r="K662" s="26"/>
      <c r="L662" s="26"/>
      <c r="M662" s="26"/>
    </row>
    <row r="663" spans="1:13" ht="12.75" customHeight="1" x14ac:dyDescent="0.25">
      <c r="A663" s="26"/>
      <c r="B663" s="26"/>
      <c r="C663" s="26"/>
      <c r="D663" s="26"/>
      <c r="E663" s="26"/>
      <c r="F663" s="26"/>
      <c r="G663" s="26"/>
      <c r="H663" s="26"/>
      <c r="I663" s="26"/>
      <c r="J663" s="26"/>
      <c r="K663" s="26"/>
      <c r="L663" s="26"/>
      <c r="M663" s="26"/>
    </row>
    <row r="664" spans="1:13" ht="12.75" customHeight="1" x14ac:dyDescent="0.25">
      <c r="A664" s="26"/>
      <c r="B664" s="26"/>
      <c r="C664" s="26"/>
      <c r="D664" s="26"/>
      <c r="E664" s="26"/>
      <c r="F664" s="26"/>
      <c r="G664" s="26"/>
      <c r="H664" s="26"/>
      <c r="I664" s="26"/>
      <c r="J664" s="26"/>
      <c r="K664" s="26"/>
      <c r="L664" s="26"/>
      <c r="M664" s="26"/>
    </row>
    <row r="665" spans="1:13" ht="12.75" customHeight="1" x14ac:dyDescent="0.25">
      <c r="A665" s="26"/>
      <c r="B665" s="26"/>
      <c r="C665" s="26"/>
      <c r="D665" s="26"/>
      <c r="E665" s="26"/>
      <c r="F665" s="26"/>
      <c r="G665" s="26"/>
      <c r="H665" s="26"/>
      <c r="I665" s="26"/>
      <c r="J665" s="26"/>
      <c r="K665" s="26"/>
      <c r="L665" s="26"/>
      <c r="M665" s="26"/>
    </row>
    <row r="666" spans="1:13" ht="12.75" customHeight="1" x14ac:dyDescent="0.25">
      <c r="A666" s="26"/>
      <c r="B666" s="26"/>
      <c r="C666" s="26"/>
      <c r="D666" s="26"/>
      <c r="E666" s="26"/>
      <c r="F666" s="26"/>
      <c r="G666" s="26"/>
      <c r="H666" s="26"/>
      <c r="I666" s="26"/>
      <c r="J666" s="26"/>
      <c r="K666" s="26"/>
      <c r="L666" s="26"/>
      <c r="M666" s="26"/>
    </row>
    <row r="667" spans="1:13" ht="12.75" customHeight="1" x14ac:dyDescent="0.25">
      <c r="A667" s="26"/>
      <c r="B667" s="26"/>
      <c r="C667" s="26"/>
      <c r="D667" s="26"/>
      <c r="E667" s="26"/>
      <c r="F667" s="26"/>
      <c r="G667" s="26"/>
      <c r="H667" s="26"/>
      <c r="I667" s="26"/>
      <c r="J667" s="26"/>
      <c r="K667" s="26"/>
      <c r="L667" s="26"/>
      <c r="M667" s="26"/>
    </row>
    <row r="668" spans="1:13" ht="12.75" customHeight="1" x14ac:dyDescent="0.25">
      <c r="A668" s="26"/>
      <c r="B668" s="26"/>
      <c r="C668" s="26"/>
      <c r="D668" s="26"/>
      <c r="E668" s="26"/>
      <c r="F668" s="26"/>
      <c r="G668" s="26"/>
      <c r="H668" s="26"/>
      <c r="I668" s="26"/>
      <c r="J668" s="26"/>
      <c r="K668" s="26"/>
      <c r="L668" s="26"/>
      <c r="M668" s="26"/>
    </row>
    <row r="669" spans="1:13" ht="12.75" customHeight="1" x14ac:dyDescent="0.25">
      <c r="A669" s="26"/>
      <c r="B669" s="26"/>
      <c r="C669" s="26"/>
      <c r="D669" s="26"/>
      <c r="E669" s="26"/>
      <c r="F669" s="26"/>
      <c r="G669" s="26"/>
      <c r="H669" s="26"/>
      <c r="I669" s="26"/>
      <c r="J669" s="26"/>
      <c r="K669" s="26"/>
      <c r="L669" s="26"/>
      <c r="M669" s="26"/>
    </row>
    <row r="670" spans="1:13" ht="12.75" customHeight="1" x14ac:dyDescent="0.25">
      <c r="A670" s="26"/>
      <c r="B670" s="26"/>
      <c r="C670" s="26"/>
      <c r="D670" s="26"/>
      <c r="E670" s="26"/>
      <c r="F670" s="26"/>
      <c r="G670" s="26"/>
      <c r="H670" s="26"/>
      <c r="I670" s="26"/>
      <c r="J670" s="26"/>
      <c r="K670" s="26"/>
      <c r="L670" s="26"/>
      <c r="M670" s="26"/>
    </row>
    <row r="671" spans="1:13" ht="12.75" customHeight="1" x14ac:dyDescent="0.25">
      <c r="A671" s="26"/>
      <c r="B671" s="26"/>
      <c r="C671" s="26"/>
      <c r="D671" s="26"/>
      <c r="E671" s="26"/>
      <c r="F671" s="26"/>
      <c r="G671" s="26"/>
      <c r="H671" s="26"/>
      <c r="I671" s="26"/>
      <c r="J671" s="26"/>
      <c r="K671" s="26"/>
      <c r="L671" s="26"/>
      <c r="M671" s="26"/>
    </row>
    <row r="672" spans="1:13" ht="12.75" customHeight="1" x14ac:dyDescent="0.25">
      <c r="A672" s="26"/>
      <c r="B672" s="26"/>
      <c r="C672" s="26"/>
      <c r="D672" s="26"/>
      <c r="E672" s="26"/>
      <c r="F672" s="26"/>
      <c r="G672" s="26"/>
      <c r="H672" s="26"/>
      <c r="I672" s="26"/>
      <c r="J672" s="26"/>
      <c r="K672" s="26"/>
      <c r="L672" s="26"/>
      <c r="M672" s="26"/>
    </row>
    <row r="673" spans="1:13" ht="12.75" customHeight="1" x14ac:dyDescent="0.25">
      <c r="A673" s="26"/>
      <c r="B673" s="26"/>
      <c r="C673" s="26"/>
      <c r="D673" s="26"/>
      <c r="E673" s="26"/>
      <c r="F673" s="26"/>
      <c r="G673" s="26"/>
      <c r="H673" s="26"/>
      <c r="I673" s="26"/>
      <c r="J673" s="26"/>
      <c r="K673" s="26"/>
      <c r="L673" s="26"/>
      <c r="M673" s="26"/>
    </row>
    <row r="674" spans="1:13" ht="12.75" customHeight="1" x14ac:dyDescent="0.25">
      <c r="A674" s="26"/>
      <c r="B674" s="26"/>
      <c r="C674" s="26"/>
      <c r="D674" s="26"/>
      <c r="E674" s="26"/>
      <c r="F674" s="26"/>
      <c r="G674" s="26"/>
      <c r="H674" s="26"/>
      <c r="I674" s="26"/>
      <c r="J674" s="26"/>
      <c r="K674" s="26"/>
      <c r="L674" s="26"/>
      <c r="M674" s="26"/>
    </row>
    <row r="675" spans="1:13" ht="12.75" customHeight="1" x14ac:dyDescent="0.25">
      <c r="A675" s="26"/>
      <c r="B675" s="26"/>
      <c r="C675" s="26"/>
      <c r="D675" s="26"/>
      <c r="E675" s="26"/>
      <c r="F675" s="26"/>
      <c r="G675" s="26"/>
      <c r="H675" s="26"/>
      <c r="I675" s="26"/>
      <c r="J675" s="26"/>
      <c r="K675" s="26"/>
      <c r="L675" s="26"/>
      <c r="M675" s="26"/>
    </row>
    <row r="676" spans="1:13" ht="12.75" customHeight="1" x14ac:dyDescent="0.25">
      <c r="A676" s="26"/>
      <c r="B676" s="26"/>
      <c r="C676" s="26"/>
      <c r="D676" s="26"/>
      <c r="E676" s="26"/>
      <c r="F676" s="26"/>
      <c r="G676" s="26"/>
      <c r="H676" s="26"/>
      <c r="I676" s="26"/>
      <c r="J676" s="26"/>
      <c r="K676" s="26"/>
      <c r="L676" s="26"/>
      <c r="M676" s="26"/>
    </row>
    <row r="677" spans="1:13" ht="12.75" customHeight="1" x14ac:dyDescent="0.25">
      <c r="A677" s="26"/>
      <c r="B677" s="26"/>
      <c r="C677" s="26"/>
      <c r="D677" s="26"/>
      <c r="E677" s="26"/>
      <c r="F677" s="26"/>
      <c r="G677" s="26"/>
      <c r="H677" s="26"/>
      <c r="I677" s="26"/>
      <c r="J677" s="26"/>
      <c r="K677" s="26"/>
      <c r="L677" s="26"/>
      <c r="M677" s="26"/>
    </row>
    <row r="678" spans="1:13" ht="12.75" customHeight="1" x14ac:dyDescent="0.25">
      <c r="A678" s="26"/>
      <c r="B678" s="26"/>
      <c r="C678" s="26"/>
      <c r="D678" s="26"/>
      <c r="E678" s="26"/>
      <c r="F678" s="26"/>
      <c r="G678" s="26"/>
      <c r="H678" s="26"/>
      <c r="I678" s="26"/>
      <c r="J678" s="26"/>
      <c r="K678" s="26"/>
      <c r="L678" s="26"/>
      <c r="M678" s="26"/>
    </row>
    <row r="679" spans="1:13" ht="12.75" customHeight="1" x14ac:dyDescent="0.25">
      <c r="A679" s="26"/>
      <c r="B679" s="26"/>
      <c r="C679" s="26"/>
      <c r="D679" s="26"/>
      <c r="E679" s="26"/>
      <c r="F679" s="26"/>
      <c r="G679" s="26"/>
      <c r="H679" s="26"/>
      <c r="I679" s="26"/>
      <c r="J679" s="26"/>
      <c r="K679" s="26"/>
      <c r="L679" s="26"/>
      <c r="M679" s="26"/>
    </row>
    <row r="680" spans="1:13" ht="12.75" customHeight="1" x14ac:dyDescent="0.25">
      <c r="A680" s="26"/>
      <c r="B680" s="26"/>
      <c r="C680" s="26"/>
      <c r="D680" s="26"/>
      <c r="E680" s="26"/>
      <c r="F680" s="26"/>
      <c r="G680" s="26"/>
      <c r="H680" s="26"/>
      <c r="I680" s="26"/>
      <c r="J680" s="26"/>
      <c r="K680" s="26"/>
      <c r="L680" s="26"/>
      <c r="M680" s="26"/>
    </row>
    <row r="681" spans="1:13" ht="12.75" customHeight="1" x14ac:dyDescent="0.25">
      <c r="A681" s="26"/>
      <c r="B681" s="26"/>
      <c r="C681" s="26"/>
      <c r="D681" s="26"/>
      <c r="E681" s="26"/>
      <c r="F681" s="26"/>
      <c r="G681" s="26"/>
      <c r="H681" s="26"/>
      <c r="I681" s="26"/>
      <c r="J681" s="26"/>
      <c r="K681" s="26"/>
      <c r="L681" s="26"/>
      <c r="M681" s="26"/>
    </row>
    <row r="682" spans="1:13" ht="12.75" customHeight="1" x14ac:dyDescent="0.25">
      <c r="A682" s="26"/>
      <c r="B682" s="26"/>
      <c r="C682" s="26"/>
      <c r="D682" s="26"/>
      <c r="E682" s="26"/>
      <c r="F682" s="26"/>
      <c r="G682" s="26"/>
      <c r="H682" s="26"/>
      <c r="I682" s="26"/>
      <c r="J682" s="26"/>
      <c r="K682" s="26"/>
      <c r="L682" s="26"/>
      <c r="M682" s="26"/>
    </row>
    <row r="683" spans="1:13" ht="12.75" customHeight="1" x14ac:dyDescent="0.25">
      <c r="A683" s="26"/>
      <c r="B683" s="26"/>
      <c r="C683" s="26"/>
      <c r="D683" s="26"/>
      <c r="E683" s="26"/>
      <c r="F683" s="26"/>
      <c r="G683" s="26"/>
      <c r="H683" s="26"/>
      <c r="I683" s="26"/>
      <c r="J683" s="26"/>
      <c r="K683" s="26"/>
      <c r="L683" s="26"/>
      <c r="M683" s="26"/>
    </row>
    <row r="684" spans="1:13" ht="12.75" customHeight="1" x14ac:dyDescent="0.25">
      <c r="A684" s="26"/>
      <c r="B684" s="26"/>
      <c r="C684" s="26"/>
      <c r="D684" s="26"/>
      <c r="E684" s="26"/>
      <c r="F684" s="26"/>
      <c r="G684" s="26"/>
      <c r="H684" s="26"/>
      <c r="I684" s="26"/>
      <c r="J684" s="26"/>
      <c r="K684" s="26"/>
      <c r="L684" s="26"/>
      <c r="M684" s="26"/>
    </row>
    <row r="685" spans="1:13" ht="12.75" customHeight="1" x14ac:dyDescent="0.25">
      <c r="A685" s="26"/>
      <c r="B685" s="26"/>
      <c r="C685" s="26"/>
      <c r="D685" s="26"/>
      <c r="E685" s="26"/>
      <c r="F685" s="26"/>
      <c r="G685" s="26"/>
      <c r="H685" s="26"/>
      <c r="I685" s="26"/>
      <c r="J685" s="26"/>
      <c r="K685" s="26"/>
      <c r="L685" s="26"/>
      <c r="M685" s="26"/>
    </row>
    <row r="686" spans="1:13" ht="12.75" customHeight="1" x14ac:dyDescent="0.25">
      <c r="A686" s="26"/>
      <c r="B686" s="26"/>
      <c r="C686" s="26"/>
      <c r="D686" s="26"/>
      <c r="E686" s="26"/>
      <c r="F686" s="26"/>
      <c r="G686" s="26"/>
      <c r="H686" s="26"/>
      <c r="I686" s="26"/>
      <c r="J686" s="26"/>
      <c r="K686" s="26"/>
      <c r="L686" s="26"/>
      <c r="M686" s="26"/>
    </row>
    <row r="687" spans="1:13" ht="12.75" customHeight="1" x14ac:dyDescent="0.25">
      <c r="A687" s="26"/>
      <c r="B687" s="26"/>
      <c r="C687" s="26"/>
      <c r="D687" s="26"/>
      <c r="E687" s="26"/>
      <c r="F687" s="26"/>
      <c r="G687" s="26"/>
      <c r="H687" s="26"/>
      <c r="I687" s="26"/>
      <c r="J687" s="26"/>
      <c r="K687" s="26"/>
      <c r="L687" s="26"/>
      <c r="M687" s="26"/>
    </row>
    <row r="688" spans="1:13" ht="12.75" customHeight="1" x14ac:dyDescent="0.25">
      <c r="A688" s="26"/>
      <c r="B688" s="26"/>
      <c r="C688" s="26"/>
      <c r="D688" s="26"/>
      <c r="E688" s="26"/>
      <c r="F688" s="26"/>
      <c r="G688" s="26"/>
      <c r="H688" s="26"/>
      <c r="I688" s="26"/>
      <c r="J688" s="26"/>
      <c r="K688" s="26"/>
      <c r="L688" s="26"/>
      <c r="M688" s="26"/>
    </row>
    <row r="689" spans="1:13" ht="12.75" customHeight="1" x14ac:dyDescent="0.25">
      <c r="A689" s="26"/>
      <c r="B689" s="26"/>
      <c r="C689" s="26"/>
      <c r="D689" s="26"/>
      <c r="E689" s="26"/>
      <c r="F689" s="26"/>
      <c r="G689" s="26"/>
      <c r="H689" s="26"/>
      <c r="I689" s="26"/>
      <c r="J689" s="26"/>
      <c r="K689" s="26"/>
      <c r="L689" s="26"/>
      <c r="M689" s="26"/>
    </row>
    <row r="690" spans="1:13" ht="12.75" customHeight="1" x14ac:dyDescent="0.25">
      <c r="A690" s="26"/>
      <c r="B690" s="26"/>
      <c r="C690" s="26"/>
      <c r="D690" s="26"/>
      <c r="E690" s="26"/>
      <c r="F690" s="26"/>
      <c r="G690" s="26"/>
      <c r="H690" s="26"/>
      <c r="I690" s="26"/>
      <c r="J690" s="26"/>
      <c r="K690" s="26"/>
      <c r="L690" s="26"/>
      <c r="M690" s="26"/>
    </row>
    <row r="691" spans="1:13" ht="12.75" customHeight="1" x14ac:dyDescent="0.25">
      <c r="A691" s="26"/>
      <c r="B691" s="26"/>
      <c r="C691" s="26"/>
      <c r="D691" s="26"/>
      <c r="E691" s="26"/>
      <c r="F691" s="26"/>
      <c r="G691" s="26"/>
      <c r="H691" s="26"/>
      <c r="I691" s="26"/>
      <c r="J691" s="26"/>
      <c r="K691" s="26"/>
      <c r="L691" s="26"/>
      <c r="M691" s="26"/>
    </row>
    <row r="692" spans="1:13" ht="12.75" customHeight="1" x14ac:dyDescent="0.25">
      <c r="A692" s="26"/>
      <c r="B692" s="26"/>
      <c r="C692" s="26"/>
      <c r="D692" s="26"/>
      <c r="E692" s="26"/>
      <c r="F692" s="26"/>
      <c r="G692" s="26"/>
      <c r="H692" s="26"/>
      <c r="I692" s="26"/>
      <c r="J692" s="26"/>
      <c r="K692" s="26"/>
      <c r="L692" s="26"/>
      <c r="M692" s="26"/>
    </row>
    <row r="693" spans="1:13" ht="12.75" customHeight="1" x14ac:dyDescent="0.25">
      <c r="A693" s="26"/>
      <c r="B693" s="26"/>
      <c r="C693" s="26"/>
      <c r="D693" s="26"/>
      <c r="E693" s="26"/>
      <c r="F693" s="26"/>
      <c r="G693" s="26"/>
      <c r="H693" s="26"/>
      <c r="I693" s="26"/>
      <c r="J693" s="26"/>
      <c r="K693" s="26"/>
      <c r="L693" s="26"/>
      <c r="M693" s="26"/>
    </row>
    <row r="694" spans="1:13" ht="12.75" customHeight="1" x14ac:dyDescent="0.25">
      <c r="A694" s="26"/>
      <c r="B694" s="26"/>
      <c r="C694" s="26"/>
      <c r="D694" s="26"/>
      <c r="E694" s="26"/>
      <c r="F694" s="26"/>
      <c r="G694" s="26"/>
      <c r="H694" s="26"/>
      <c r="I694" s="26"/>
      <c r="J694" s="26"/>
      <c r="K694" s="26"/>
      <c r="L694" s="26"/>
      <c r="M694" s="26"/>
    </row>
    <row r="695" spans="1:13" ht="12.75" customHeight="1" x14ac:dyDescent="0.25">
      <c r="A695" s="26"/>
      <c r="B695" s="26"/>
      <c r="C695" s="26"/>
      <c r="D695" s="26"/>
      <c r="E695" s="26"/>
      <c r="F695" s="26"/>
      <c r="G695" s="26"/>
      <c r="H695" s="26"/>
      <c r="I695" s="26"/>
      <c r="J695" s="26"/>
      <c r="K695" s="26"/>
      <c r="L695" s="26"/>
      <c r="M695" s="26"/>
    </row>
    <row r="696" spans="1:13" ht="12.75" customHeight="1" x14ac:dyDescent="0.25">
      <c r="A696" s="26"/>
      <c r="B696" s="26"/>
      <c r="C696" s="26"/>
      <c r="D696" s="26"/>
      <c r="E696" s="26"/>
      <c r="F696" s="26"/>
      <c r="G696" s="26"/>
      <c r="H696" s="26"/>
      <c r="I696" s="26"/>
      <c r="J696" s="26"/>
      <c r="K696" s="26"/>
      <c r="L696" s="26"/>
      <c r="M696" s="26"/>
    </row>
    <row r="697" spans="1:13" ht="12.75" customHeight="1" x14ac:dyDescent="0.25">
      <c r="A697" s="26"/>
      <c r="B697" s="26"/>
      <c r="C697" s="26"/>
      <c r="D697" s="26"/>
      <c r="E697" s="26"/>
      <c r="F697" s="26"/>
      <c r="G697" s="26"/>
      <c r="H697" s="26"/>
      <c r="I697" s="26"/>
      <c r="J697" s="26"/>
      <c r="K697" s="26"/>
      <c r="L697" s="26"/>
      <c r="M697" s="26"/>
    </row>
    <row r="698" spans="1:13" ht="12.75" customHeight="1" x14ac:dyDescent="0.25">
      <c r="A698" s="26"/>
      <c r="B698" s="26"/>
      <c r="C698" s="26"/>
      <c r="D698" s="26"/>
      <c r="E698" s="26"/>
      <c r="F698" s="26"/>
      <c r="G698" s="26"/>
      <c r="H698" s="26"/>
      <c r="I698" s="26"/>
      <c r="J698" s="26"/>
      <c r="K698" s="26"/>
      <c r="L698" s="26"/>
      <c r="M698" s="26"/>
    </row>
    <row r="699" spans="1:13" ht="12.75" customHeight="1" x14ac:dyDescent="0.25">
      <c r="A699" s="26"/>
      <c r="B699" s="26"/>
      <c r="C699" s="26"/>
      <c r="D699" s="26"/>
      <c r="E699" s="26"/>
      <c r="F699" s="26"/>
      <c r="G699" s="26"/>
      <c r="H699" s="26"/>
      <c r="I699" s="26"/>
      <c r="J699" s="26"/>
      <c r="K699" s="26"/>
      <c r="L699" s="26"/>
      <c r="M699" s="26"/>
    </row>
    <row r="700" spans="1:13" ht="12.75" customHeight="1" x14ac:dyDescent="0.25">
      <c r="A700" s="26"/>
      <c r="B700" s="26"/>
      <c r="C700" s="26"/>
      <c r="D700" s="26"/>
      <c r="E700" s="26"/>
      <c r="F700" s="26"/>
      <c r="G700" s="26"/>
      <c r="H700" s="26"/>
      <c r="I700" s="26"/>
      <c r="J700" s="26"/>
      <c r="K700" s="26"/>
      <c r="L700" s="26"/>
      <c r="M700" s="26"/>
    </row>
    <row r="701" spans="1:13" ht="12.75" customHeight="1" x14ac:dyDescent="0.25">
      <c r="A701" s="26"/>
      <c r="B701" s="26"/>
      <c r="C701" s="26"/>
      <c r="D701" s="26"/>
      <c r="E701" s="26"/>
      <c r="F701" s="26"/>
      <c r="G701" s="26"/>
      <c r="H701" s="26"/>
      <c r="I701" s="26"/>
      <c r="J701" s="26"/>
      <c r="K701" s="26"/>
      <c r="L701" s="26"/>
      <c r="M701" s="26"/>
    </row>
    <row r="702" spans="1:13" ht="12.75" customHeight="1" x14ac:dyDescent="0.25">
      <c r="A702" s="26"/>
      <c r="B702" s="26"/>
      <c r="C702" s="26"/>
      <c r="D702" s="26"/>
      <c r="E702" s="26"/>
      <c r="F702" s="26"/>
      <c r="G702" s="26"/>
      <c r="H702" s="26"/>
      <c r="I702" s="26"/>
      <c r="J702" s="26"/>
      <c r="K702" s="26"/>
      <c r="L702" s="26"/>
      <c r="M702" s="26"/>
    </row>
    <row r="703" spans="1:13" ht="12.75" customHeight="1" x14ac:dyDescent="0.25">
      <c r="A703" s="26"/>
      <c r="B703" s="26"/>
      <c r="C703" s="26"/>
      <c r="D703" s="26"/>
      <c r="E703" s="26"/>
      <c r="F703" s="26"/>
      <c r="G703" s="26"/>
      <c r="H703" s="26"/>
      <c r="I703" s="26"/>
      <c r="J703" s="26"/>
      <c r="K703" s="26"/>
      <c r="L703" s="26"/>
      <c r="M703" s="26"/>
    </row>
    <row r="704" spans="1:13" ht="12.75" customHeight="1" x14ac:dyDescent="0.25">
      <c r="A704" s="26"/>
      <c r="B704" s="26"/>
      <c r="C704" s="26"/>
      <c r="D704" s="26"/>
      <c r="E704" s="26"/>
      <c r="F704" s="26"/>
      <c r="G704" s="26"/>
      <c r="H704" s="26"/>
      <c r="I704" s="26"/>
      <c r="J704" s="26"/>
      <c r="K704" s="26"/>
      <c r="L704" s="26"/>
      <c r="M704" s="26"/>
    </row>
    <row r="705" spans="1:13" ht="12.75" customHeight="1" x14ac:dyDescent="0.25">
      <c r="A705" s="26"/>
      <c r="B705" s="26"/>
      <c r="C705" s="26"/>
      <c r="D705" s="26"/>
      <c r="E705" s="26"/>
      <c r="F705" s="26"/>
      <c r="G705" s="26"/>
      <c r="H705" s="26"/>
      <c r="I705" s="26"/>
      <c r="J705" s="26"/>
      <c r="K705" s="26"/>
      <c r="L705" s="26"/>
      <c r="M705" s="26"/>
    </row>
    <row r="706" spans="1:13" ht="12.75" customHeight="1" x14ac:dyDescent="0.25">
      <c r="A706" s="26"/>
      <c r="B706" s="26"/>
      <c r="C706" s="26"/>
      <c r="D706" s="26"/>
      <c r="E706" s="26"/>
      <c r="F706" s="26"/>
      <c r="G706" s="26"/>
      <c r="H706" s="26"/>
      <c r="I706" s="26"/>
      <c r="J706" s="26"/>
      <c r="K706" s="26"/>
      <c r="L706" s="26"/>
      <c r="M706" s="26"/>
    </row>
    <row r="707" spans="1:13" ht="12.75" customHeight="1" x14ac:dyDescent="0.25">
      <c r="A707" s="26"/>
      <c r="B707" s="26"/>
      <c r="C707" s="26"/>
      <c r="D707" s="26"/>
      <c r="E707" s="26"/>
      <c r="F707" s="26"/>
      <c r="G707" s="26"/>
      <c r="H707" s="26"/>
      <c r="I707" s="26"/>
      <c r="J707" s="26"/>
      <c r="K707" s="26"/>
      <c r="L707" s="26"/>
      <c r="M707" s="26"/>
    </row>
    <row r="708" spans="1:13" ht="12.75" customHeight="1" x14ac:dyDescent="0.25">
      <c r="A708" s="26"/>
      <c r="B708" s="26"/>
      <c r="C708" s="26"/>
      <c r="D708" s="26"/>
      <c r="E708" s="26"/>
      <c r="F708" s="26"/>
      <c r="G708" s="26"/>
      <c r="H708" s="26"/>
      <c r="I708" s="26"/>
      <c r="J708" s="26"/>
      <c r="K708" s="26"/>
      <c r="L708" s="26"/>
      <c r="M708" s="26"/>
    </row>
    <row r="709" spans="1:13" ht="12.75" customHeight="1" x14ac:dyDescent="0.25">
      <c r="A709" s="26"/>
      <c r="B709" s="26"/>
      <c r="C709" s="26"/>
      <c r="D709" s="26"/>
      <c r="E709" s="26"/>
      <c r="F709" s="26"/>
      <c r="G709" s="26"/>
      <c r="H709" s="26"/>
      <c r="I709" s="26"/>
      <c r="J709" s="26"/>
      <c r="K709" s="26"/>
      <c r="L709" s="26"/>
      <c r="M709" s="26"/>
    </row>
    <row r="710" spans="1:13" ht="12.75" customHeight="1" x14ac:dyDescent="0.25">
      <c r="A710" s="26"/>
      <c r="B710" s="26"/>
      <c r="C710" s="26"/>
      <c r="D710" s="26"/>
      <c r="E710" s="26"/>
      <c r="F710" s="26"/>
      <c r="G710" s="26"/>
      <c r="H710" s="26"/>
      <c r="I710" s="26"/>
      <c r="J710" s="26"/>
      <c r="K710" s="26"/>
      <c r="L710" s="26"/>
      <c r="M710" s="26"/>
    </row>
    <row r="711" spans="1:13" ht="12.75" customHeight="1" x14ac:dyDescent="0.25">
      <c r="A711" s="26"/>
      <c r="B711" s="26"/>
      <c r="C711" s="26"/>
      <c r="D711" s="26"/>
      <c r="E711" s="26"/>
      <c r="F711" s="26"/>
      <c r="G711" s="26"/>
      <c r="H711" s="26"/>
      <c r="I711" s="26"/>
      <c r="J711" s="26"/>
      <c r="K711" s="26"/>
      <c r="L711" s="26"/>
      <c r="M711" s="26"/>
    </row>
    <row r="712" spans="1:13" ht="12.75" customHeight="1" x14ac:dyDescent="0.25">
      <c r="A712" s="26"/>
      <c r="B712" s="26"/>
      <c r="C712" s="26"/>
      <c r="D712" s="26"/>
      <c r="E712" s="26"/>
      <c r="F712" s="26"/>
      <c r="G712" s="26"/>
      <c r="H712" s="26"/>
      <c r="I712" s="26"/>
      <c r="J712" s="26"/>
      <c r="K712" s="26"/>
      <c r="L712" s="26"/>
      <c r="M712" s="26"/>
    </row>
    <row r="713" spans="1:13" ht="12.75" customHeight="1" x14ac:dyDescent="0.25">
      <c r="A713" s="26"/>
      <c r="B713" s="26"/>
      <c r="C713" s="26"/>
      <c r="D713" s="26"/>
      <c r="E713" s="26"/>
      <c r="F713" s="26"/>
      <c r="G713" s="26"/>
      <c r="H713" s="26"/>
      <c r="I713" s="26"/>
      <c r="J713" s="26"/>
      <c r="K713" s="26"/>
      <c r="L713" s="26"/>
      <c r="M713" s="26"/>
    </row>
    <row r="714" spans="1:13" ht="12.75" customHeight="1" x14ac:dyDescent="0.25">
      <c r="A714" s="26"/>
      <c r="B714" s="26"/>
      <c r="C714" s="26"/>
      <c r="D714" s="26"/>
      <c r="E714" s="26"/>
      <c r="F714" s="26"/>
      <c r="G714" s="26"/>
      <c r="H714" s="26"/>
      <c r="I714" s="26"/>
      <c r="J714" s="26"/>
      <c r="K714" s="26"/>
      <c r="L714" s="26"/>
      <c r="M714" s="26"/>
    </row>
    <row r="715" spans="1:13" ht="12.75" customHeight="1" x14ac:dyDescent="0.25">
      <c r="A715" s="26"/>
      <c r="B715" s="26"/>
      <c r="C715" s="26"/>
      <c r="D715" s="26"/>
      <c r="E715" s="26"/>
      <c r="F715" s="26"/>
      <c r="G715" s="26"/>
      <c r="H715" s="26"/>
      <c r="I715" s="26"/>
      <c r="J715" s="26"/>
      <c r="K715" s="26"/>
      <c r="L715" s="26"/>
      <c r="M715" s="26"/>
    </row>
    <row r="716" spans="1:13" ht="12.75" customHeight="1" x14ac:dyDescent="0.25">
      <c r="A716" s="26"/>
      <c r="B716" s="26"/>
      <c r="C716" s="26"/>
      <c r="D716" s="26"/>
      <c r="E716" s="26"/>
      <c r="F716" s="26"/>
      <c r="G716" s="26"/>
      <c r="H716" s="26"/>
      <c r="I716" s="26"/>
      <c r="J716" s="26"/>
      <c r="K716" s="26"/>
      <c r="L716" s="26"/>
      <c r="M716" s="26"/>
    </row>
    <row r="717" spans="1:13" ht="12.75" customHeight="1" x14ac:dyDescent="0.25">
      <c r="A717" s="26"/>
      <c r="B717" s="26"/>
      <c r="C717" s="26"/>
      <c r="D717" s="26"/>
      <c r="E717" s="26"/>
      <c r="F717" s="26"/>
      <c r="G717" s="26"/>
      <c r="H717" s="26"/>
      <c r="I717" s="26"/>
      <c r="J717" s="26"/>
      <c r="K717" s="26"/>
      <c r="L717" s="26"/>
      <c r="M717" s="26"/>
    </row>
    <row r="718" spans="1:13" ht="12.75" customHeight="1" x14ac:dyDescent="0.25">
      <c r="A718" s="26"/>
      <c r="B718" s="26"/>
      <c r="C718" s="26"/>
      <c r="D718" s="26"/>
      <c r="E718" s="26"/>
      <c r="F718" s="26"/>
      <c r="G718" s="26"/>
      <c r="H718" s="26"/>
      <c r="I718" s="26"/>
      <c r="J718" s="26"/>
      <c r="K718" s="26"/>
      <c r="L718" s="26"/>
      <c r="M718" s="26"/>
    </row>
    <row r="719" spans="1:13" ht="12.75" customHeight="1" x14ac:dyDescent="0.25">
      <c r="A719" s="26"/>
      <c r="B719" s="26"/>
      <c r="C719" s="26"/>
      <c r="D719" s="26"/>
      <c r="E719" s="26"/>
      <c r="F719" s="26"/>
      <c r="G719" s="26"/>
      <c r="H719" s="26"/>
      <c r="I719" s="26"/>
      <c r="J719" s="26"/>
      <c r="K719" s="26"/>
      <c r="L719" s="26"/>
      <c r="M719" s="26"/>
    </row>
    <row r="720" spans="1:13" ht="12.75" customHeight="1" x14ac:dyDescent="0.25">
      <c r="A720" s="26"/>
      <c r="B720" s="26"/>
      <c r="C720" s="26"/>
      <c r="D720" s="26"/>
      <c r="E720" s="26"/>
      <c r="F720" s="26"/>
      <c r="G720" s="26"/>
      <c r="H720" s="26"/>
      <c r="I720" s="26"/>
      <c r="J720" s="26"/>
      <c r="K720" s="26"/>
      <c r="L720" s="26"/>
      <c r="M720" s="26"/>
    </row>
    <row r="721" spans="1:13" ht="12.75" customHeight="1" x14ac:dyDescent="0.25">
      <c r="A721" s="26"/>
      <c r="B721" s="26"/>
      <c r="C721" s="26"/>
      <c r="D721" s="26"/>
      <c r="E721" s="26"/>
      <c r="F721" s="26"/>
      <c r="G721" s="26"/>
      <c r="H721" s="26"/>
      <c r="I721" s="26"/>
      <c r="J721" s="26"/>
      <c r="K721" s="26"/>
      <c r="L721" s="26"/>
      <c r="M721" s="26"/>
    </row>
    <row r="722" spans="1:13" ht="12.75" customHeight="1" x14ac:dyDescent="0.25">
      <c r="A722" s="26"/>
      <c r="B722" s="26"/>
      <c r="C722" s="26"/>
      <c r="D722" s="26"/>
      <c r="E722" s="26"/>
      <c r="F722" s="26"/>
      <c r="G722" s="26"/>
      <c r="H722" s="26"/>
      <c r="I722" s="26"/>
      <c r="J722" s="26"/>
      <c r="K722" s="26"/>
      <c r="L722" s="26"/>
      <c r="M722" s="26"/>
    </row>
    <row r="723" spans="1:13" ht="12.75" customHeight="1" x14ac:dyDescent="0.25">
      <c r="A723" s="26"/>
      <c r="B723" s="26"/>
      <c r="C723" s="26"/>
      <c r="D723" s="26"/>
      <c r="E723" s="26"/>
      <c r="F723" s="26"/>
      <c r="G723" s="26"/>
      <c r="H723" s="26"/>
      <c r="I723" s="26"/>
      <c r="J723" s="26"/>
      <c r="K723" s="26"/>
      <c r="L723" s="26"/>
      <c r="M723" s="26"/>
    </row>
    <row r="724" spans="1:13" ht="12.75" customHeight="1" x14ac:dyDescent="0.25">
      <c r="A724" s="26"/>
      <c r="B724" s="26"/>
      <c r="C724" s="26"/>
      <c r="D724" s="26"/>
      <c r="E724" s="26"/>
      <c r="F724" s="26"/>
      <c r="G724" s="26"/>
      <c r="H724" s="26"/>
      <c r="I724" s="26"/>
      <c r="J724" s="26"/>
      <c r="K724" s="26"/>
      <c r="L724" s="26"/>
      <c r="M724" s="26"/>
    </row>
    <row r="725" spans="1:13" ht="12.75" customHeight="1" x14ac:dyDescent="0.25">
      <c r="A725" s="26"/>
      <c r="B725" s="26"/>
      <c r="C725" s="26"/>
      <c r="D725" s="26"/>
      <c r="E725" s="26"/>
      <c r="F725" s="26"/>
      <c r="G725" s="26"/>
      <c r="H725" s="26"/>
      <c r="I725" s="26"/>
      <c r="J725" s="26"/>
      <c r="K725" s="26"/>
      <c r="L725" s="26"/>
      <c r="M725" s="26"/>
    </row>
    <row r="726" spans="1:13" ht="12.75" customHeight="1" x14ac:dyDescent="0.25">
      <c r="A726" s="26"/>
      <c r="B726" s="26"/>
      <c r="C726" s="26"/>
      <c r="D726" s="26"/>
      <c r="E726" s="26"/>
      <c r="F726" s="26"/>
      <c r="G726" s="26"/>
      <c r="H726" s="26"/>
      <c r="I726" s="26"/>
      <c r="J726" s="26"/>
      <c r="K726" s="26"/>
      <c r="L726" s="26"/>
      <c r="M726" s="26"/>
    </row>
    <row r="727" spans="1:13" ht="12.75" customHeight="1" x14ac:dyDescent="0.25">
      <c r="A727" s="26"/>
      <c r="B727" s="26"/>
      <c r="C727" s="26"/>
      <c r="D727" s="26"/>
      <c r="E727" s="26"/>
      <c r="F727" s="26"/>
      <c r="G727" s="26"/>
      <c r="H727" s="26"/>
      <c r="I727" s="26"/>
      <c r="J727" s="26"/>
      <c r="K727" s="26"/>
      <c r="L727" s="26"/>
      <c r="M727" s="26"/>
    </row>
    <row r="728" spans="1:13" ht="12.75" customHeight="1" x14ac:dyDescent="0.25">
      <c r="A728" s="26"/>
      <c r="B728" s="26"/>
      <c r="C728" s="26"/>
      <c r="D728" s="26"/>
      <c r="E728" s="26"/>
      <c r="F728" s="26"/>
      <c r="G728" s="26"/>
      <c r="H728" s="26"/>
      <c r="I728" s="26"/>
      <c r="J728" s="26"/>
      <c r="K728" s="26"/>
      <c r="L728" s="26"/>
      <c r="M728" s="26"/>
    </row>
    <row r="729" spans="1:13" ht="12.75" customHeight="1" x14ac:dyDescent="0.25">
      <c r="A729" s="26"/>
      <c r="B729" s="26"/>
      <c r="C729" s="26"/>
      <c r="D729" s="26"/>
      <c r="E729" s="26"/>
      <c r="F729" s="26"/>
      <c r="G729" s="26"/>
      <c r="H729" s="26"/>
      <c r="I729" s="26"/>
      <c r="J729" s="26"/>
      <c r="K729" s="26"/>
      <c r="L729" s="26"/>
      <c r="M729" s="26"/>
    </row>
    <row r="730" spans="1:13" ht="12.75" customHeight="1" x14ac:dyDescent="0.25">
      <c r="A730" s="26"/>
      <c r="B730" s="26"/>
      <c r="C730" s="26"/>
      <c r="D730" s="26"/>
      <c r="E730" s="26"/>
      <c r="F730" s="26"/>
      <c r="G730" s="26"/>
      <c r="H730" s="26"/>
      <c r="I730" s="26"/>
      <c r="J730" s="26"/>
      <c r="K730" s="26"/>
      <c r="L730" s="26"/>
      <c r="M730" s="26"/>
    </row>
    <row r="731" spans="1:13" ht="12.75" customHeight="1" x14ac:dyDescent="0.25">
      <c r="A731" s="26"/>
      <c r="B731" s="26"/>
      <c r="C731" s="26"/>
      <c r="D731" s="26"/>
      <c r="E731" s="26"/>
      <c r="F731" s="26"/>
      <c r="G731" s="26"/>
      <c r="H731" s="26"/>
      <c r="I731" s="26"/>
      <c r="J731" s="26"/>
      <c r="K731" s="26"/>
      <c r="L731" s="26"/>
      <c r="M731" s="26"/>
    </row>
    <row r="732" spans="1:13" ht="12.75" customHeight="1" x14ac:dyDescent="0.25">
      <c r="A732" s="26"/>
      <c r="B732" s="26"/>
      <c r="C732" s="26"/>
      <c r="D732" s="26"/>
      <c r="E732" s="26"/>
      <c r="F732" s="26"/>
      <c r="G732" s="26"/>
      <c r="H732" s="26"/>
      <c r="I732" s="26"/>
      <c r="J732" s="26"/>
      <c r="K732" s="26"/>
      <c r="L732" s="26"/>
      <c r="M732" s="26"/>
    </row>
    <row r="733" spans="1:13" ht="12.75" customHeight="1" x14ac:dyDescent="0.25">
      <c r="A733" s="26"/>
      <c r="B733" s="26"/>
      <c r="C733" s="26"/>
      <c r="D733" s="26"/>
      <c r="E733" s="26"/>
      <c r="F733" s="26"/>
      <c r="G733" s="26"/>
      <c r="H733" s="26"/>
      <c r="I733" s="26"/>
      <c r="J733" s="26"/>
      <c r="K733" s="26"/>
      <c r="L733" s="26"/>
      <c r="M733" s="26"/>
    </row>
    <row r="734" spans="1:13" ht="12.75" customHeight="1" x14ac:dyDescent="0.25">
      <c r="A734" s="26"/>
      <c r="B734" s="26"/>
      <c r="C734" s="26"/>
      <c r="D734" s="26"/>
      <c r="E734" s="26"/>
      <c r="F734" s="26"/>
      <c r="G734" s="26"/>
      <c r="H734" s="26"/>
      <c r="I734" s="26"/>
      <c r="J734" s="26"/>
      <c r="K734" s="26"/>
      <c r="L734" s="26"/>
      <c r="M734" s="26"/>
    </row>
    <row r="735" spans="1:13" ht="12.75" customHeight="1" x14ac:dyDescent="0.25">
      <c r="A735" s="26"/>
      <c r="B735" s="26"/>
      <c r="C735" s="26"/>
      <c r="D735" s="26"/>
      <c r="E735" s="26"/>
      <c r="F735" s="26"/>
      <c r="G735" s="26"/>
      <c r="H735" s="26"/>
      <c r="I735" s="26"/>
      <c r="J735" s="26"/>
      <c r="K735" s="26"/>
      <c r="L735" s="26"/>
      <c r="M735" s="26"/>
    </row>
    <row r="736" spans="1:13" ht="12.75" customHeight="1" x14ac:dyDescent="0.25">
      <c r="A736" s="26"/>
      <c r="B736" s="26"/>
      <c r="C736" s="26"/>
      <c r="D736" s="26"/>
      <c r="E736" s="26"/>
      <c r="F736" s="26"/>
      <c r="G736" s="26"/>
      <c r="H736" s="26"/>
      <c r="I736" s="26"/>
      <c r="J736" s="26"/>
      <c r="K736" s="26"/>
      <c r="L736" s="26"/>
      <c r="M736" s="26"/>
    </row>
    <row r="737" spans="1:13" ht="12.75" customHeight="1" x14ac:dyDescent="0.25">
      <c r="A737" s="26"/>
      <c r="B737" s="26"/>
      <c r="C737" s="26"/>
      <c r="D737" s="26"/>
      <c r="E737" s="26"/>
      <c r="F737" s="26"/>
      <c r="G737" s="26"/>
      <c r="H737" s="26"/>
      <c r="I737" s="26"/>
      <c r="J737" s="26"/>
      <c r="K737" s="26"/>
      <c r="L737" s="26"/>
      <c r="M737" s="26"/>
    </row>
    <row r="738" spans="1:13" ht="12.75" customHeight="1" x14ac:dyDescent="0.25">
      <c r="A738" s="26"/>
      <c r="B738" s="26"/>
      <c r="C738" s="26"/>
      <c r="D738" s="26"/>
      <c r="E738" s="26"/>
      <c r="F738" s="26"/>
      <c r="G738" s="26"/>
      <c r="H738" s="26"/>
      <c r="I738" s="26"/>
      <c r="J738" s="26"/>
      <c r="K738" s="26"/>
      <c r="L738" s="26"/>
      <c r="M738" s="26"/>
    </row>
    <row r="739" spans="1:13" ht="12.75" customHeight="1" x14ac:dyDescent="0.25">
      <c r="A739" s="26"/>
      <c r="B739" s="26"/>
      <c r="C739" s="26"/>
      <c r="D739" s="26"/>
      <c r="E739" s="26"/>
      <c r="F739" s="26"/>
      <c r="G739" s="26"/>
      <c r="H739" s="26"/>
      <c r="I739" s="26"/>
      <c r="J739" s="26"/>
      <c r="K739" s="26"/>
      <c r="L739" s="26"/>
      <c r="M739" s="26"/>
    </row>
    <row r="740" spans="1:13" ht="12.75" customHeight="1" x14ac:dyDescent="0.25">
      <c r="A740" s="26"/>
      <c r="B740" s="26"/>
      <c r="C740" s="26"/>
      <c r="D740" s="26"/>
      <c r="E740" s="26"/>
      <c r="F740" s="26"/>
      <c r="G740" s="26"/>
      <c r="H740" s="26"/>
      <c r="I740" s="26"/>
      <c r="J740" s="26"/>
      <c r="K740" s="26"/>
      <c r="L740" s="26"/>
      <c r="M740" s="26"/>
    </row>
    <row r="741" spans="1:13" ht="12.75" customHeight="1" x14ac:dyDescent="0.25">
      <c r="A741" s="26"/>
      <c r="B741" s="26"/>
      <c r="C741" s="26"/>
      <c r="D741" s="26"/>
      <c r="E741" s="26"/>
      <c r="F741" s="26"/>
      <c r="G741" s="26"/>
      <c r="H741" s="26"/>
      <c r="I741" s="26"/>
      <c r="J741" s="26"/>
      <c r="K741" s="26"/>
      <c r="L741" s="26"/>
      <c r="M741" s="26"/>
    </row>
    <row r="742" spans="1:13" ht="12.75" customHeight="1" x14ac:dyDescent="0.25">
      <c r="A742" s="26"/>
      <c r="B742" s="26"/>
      <c r="C742" s="26"/>
      <c r="D742" s="26"/>
      <c r="E742" s="26"/>
      <c r="F742" s="26"/>
      <c r="G742" s="26"/>
      <c r="H742" s="26"/>
      <c r="I742" s="26"/>
      <c r="J742" s="26"/>
      <c r="K742" s="26"/>
      <c r="L742" s="26"/>
      <c r="M742" s="26"/>
    </row>
    <row r="743" spans="1:13" ht="12.75" customHeight="1" x14ac:dyDescent="0.25">
      <c r="A743" s="26"/>
      <c r="B743" s="26"/>
      <c r="C743" s="26"/>
      <c r="D743" s="26"/>
      <c r="E743" s="26"/>
      <c r="F743" s="26"/>
      <c r="G743" s="26"/>
      <c r="H743" s="26"/>
      <c r="I743" s="26"/>
      <c r="J743" s="26"/>
      <c r="K743" s="26"/>
      <c r="L743" s="26"/>
      <c r="M743" s="26"/>
    </row>
    <row r="744" spans="1:13" ht="12.75" customHeight="1" x14ac:dyDescent="0.25">
      <c r="A744" s="26"/>
      <c r="B744" s="26"/>
      <c r="C744" s="26"/>
      <c r="D744" s="26"/>
      <c r="E744" s="26"/>
      <c r="F744" s="26"/>
      <c r="G744" s="26"/>
      <c r="H744" s="26"/>
      <c r="I744" s="26"/>
      <c r="J744" s="26"/>
      <c r="K744" s="26"/>
      <c r="L744" s="26"/>
      <c r="M744" s="26"/>
    </row>
    <row r="745" spans="1:13" ht="12.75" customHeight="1" x14ac:dyDescent="0.25">
      <c r="A745" s="26"/>
      <c r="B745" s="26"/>
      <c r="C745" s="26"/>
      <c r="D745" s="26"/>
      <c r="E745" s="26"/>
      <c r="F745" s="26"/>
      <c r="G745" s="26"/>
      <c r="H745" s="26"/>
      <c r="I745" s="26"/>
      <c r="J745" s="26"/>
      <c r="K745" s="26"/>
      <c r="L745" s="26"/>
      <c r="M745" s="26"/>
    </row>
    <row r="746" spans="1:13" ht="12.75" customHeight="1" x14ac:dyDescent="0.25">
      <c r="A746" s="26"/>
      <c r="B746" s="26"/>
      <c r="C746" s="26"/>
      <c r="D746" s="26"/>
      <c r="E746" s="26"/>
      <c r="F746" s="26"/>
      <c r="G746" s="26"/>
      <c r="H746" s="26"/>
      <c r="I746" s="26"/>
      <c r="J746" s="26"/>
      <c r="K746" s="26"/>
      <c r="L746" s="26"/>
      <c r="M746" s="26"/>
    </row>
    <row r="747" spans="1:13" ht="12.75" customHeight="1" x14ac:dyDescent="0.25">
      <c r="A747" s="26"/>
      <c r="B747" s="26"/>
      <c r="C747" s="26"/>
      <c r="D747" s="26"/>
      <c r="E747" s="26"/>
      <c r="F747" s="26"/>
      <c r="G747" s="26"/>
      <c r="H747" s="26"/>
      <c r="I747" s="26"/>
      <c r="J747" s="26"/>
      <c r="K747" s="26"/>
      <c r="L747" s="26"/>
      <c r="M747" s="26"/>
    </row>
    <row r="748" spans="1:13" ht="12.75" customHeight="1" x14ac:dyDescent="0.25">
      <c r="A748" s="26"/>
      <c r="B748" s="26"/>
      <c r="C748" s="26"/>
      <c r="D748" s="26"/>
      <c r="E748" s="26"/>
      <c r="F748" s="26"/>
      <c r="G748" s="26"/>
      <c r="H748" s="26"/>
      <c r="I748" s="26"/>
      <c r="J748" s="26"/>
      <c r="K748" s="26"/>
      <c r="L748" s="26"/>
      <c r="M748" s="26"/>
    </row>
    <row r="749" spans="1:13" ht="12.75" customHeight="1" x14ac:dyDescent="0.25">
      <c r="A749" s="26"/>
      <c r="B749" s="26"/>
      <c r="C749" s="26"/>
      <c r="D749" s="26"/>
      <c r="E749" s="26"/>
      <c r="F749" s="26"/>
      <c r="G749" s="26"/>
      <c r="H749" s="26"/>
      <c r="I749" s="26"/>
      <c r="J749" s="26"/>
      <c r="K749" s="26"/>
      <c r="L749" s="26"/>
      <c r="M749" s="26"/>
    </row>
    <row r="750" spans="1:13" ht="12.75" customHeight="1" x14ac:dyDescent="0.25">
      <c r="A750" s="26"/>
      <c r="B750" s="26"/>
      <c r="C750" s="26"/>
      <c r="D750" s="26"/>
      <c r="E750" s="26"/>
      <c r="F750" s="26"/>
      <c r="G750" s="26"/>
      <c r="H750" s="26"/>
      <c r="I750" s="26"/>
      <c r="J750" s="26"/>
      <c r="K750" s="26"/>
      <c r="L750" s="26"/>
      <c r="M750" s="26"/>
    </row>
    <row r="751" spans="1:13" ht="12.75" customHeight="1" x14ac:dyDescent="0.25">
      <c r="A751" s="26"/>
      <c r="B751" s="26"/>
      <c r="C751" s="26"/>
      <c r="D751" s="26"/>
      <c r="E751" s="26"/>
      <c r="F751" s="26"/>
      <c r="G751" s="26"/>
      <c r="H751" s="26"/>
      <c r="I751" s="26"/>
      <c r="J751" s="26"/>
      <c r="K751" s="26"/>
      <c r="L751" s="26"/>
      <c r="M751" s="26"/>
    </row>
    <row r="752" spans="1:13" ht="12.75" customHeight="1" x14ac:dyDescent="0.25">
      <c r="A752" s="26"/>
      <c r="B752" s="26"/>
      <c r="C752" s="26"/>
      <c r="D752" s="26"/>
      <c r="E752" s="26"/>
      <c r="F752" s="26"/>
      <c r="G752" s="26"/>
      <c r="H752" s="26"/>
      <c r="I752" s="26"/>
      <c r="J752" s="26"/>
      <c r="K752" s="26"/>
      <c r="L752" s="26"/>
      <c r="M752" s="26"/>
    </row>
    <row r="753" spans="1:13" ht="12.75" customHeight="1" x14ac:dyDescent="0.25">
      <c r="A753" s="26"/>
      <c r="B753" s="26"/>
      <c r="C753" s="26"/>
      <c r="D753" s="26"/>
      <c r="E753" s="26"/>
      <c r="F753" s="26"/>
      <c r="G753" s="26"/>
      <c r="H753" s="26"/>
      <c r="I753" s="26"/>
      <c r="J753" s="26"/>
      <c r="K753" s="26"/>
      <c r="L753" s="26"/>
      <c r="M753" s="26"/>
    </row>
    <row r="754" spans="1:13" ht="12.75" customHeight="1" x14ac:dyDescent="0.25">
      <c r="A754" s="26"/>
      <c r="B754" s="26"/>
      <c r="C754" s="26"/>
      <c r="D754" s="26"/>
      <c r="E754" s="26"/>
      <c r="F754" s="26"/>
      <c r="G754" s="26"/>
      <c r="H754" s="26"/>
      <c r="I754" s="26"/>
      <c r="J754" s="26"/>
      <c r="K754" s="26"/>
      <c r="L754" s="26"/>
      <c r="M754" s="26"/>
    </row>
    <row r="755" spans="1:13" ht="12.75" customHeight="1" x14ac:dyDescent="0.25">
      <c r="A755" s="26"/>
      <c r="B755" s="26"/>
      <c r="C755" s="26"/>
      <c r="D755" s="26"/>
      <c r="E755" s="26"/>
      <c r="F755" s="26"/>
      <c r="G755" s="26"/>
      <c r="H755" s="26"/>
      <c r="I755" s="26"/>
      <c r="J755" s="26"/>
      <c r="K755" s="26"/>
      <c r="L755" s="26"/>
      <c r="M755" s="26"/>
    </row>
    <row r="756" spans="1:13" ht="12.75" customHeight="1" x14ac:dyDescent="0.25">
      <c r="A756" s="26"/>
      <c r="B756" s="26"/>
      <c r="C756" s="26"/>
      <c r="D756" s="26"/>
      <c r="E756" s="26"/>
      <c r="F756" s="26"/>
      <c r="G756" s="26"/>
      <c r="H756" s="26"/>
      <c r="I756" s="26"/>
      <c r="J756" s="26"/>
      <c r="K756" s="26"/>
      <c r="L756" s="26"/>
      <c r="M756" s="26"/>
    </row>
    <row r="757" spans="1:13" ht="12.75" customHeight="1" x14ac:dyDescent="0.25">
      <c r="A757" s="26"/>
      <c r="B757" s="26"/>
      <c r="C757" s="26"/>
      <c r="D757" s="26"/>
      <c r="E757" s="26"/>
      <c r="F757" s="26"/>
      <c r="G757" s="26"/>
      <c r="H757" s="26"/>
      <c r="I757" s="26"/>
      <c r="J757" s="26"/>
      <c r="K757" s="26"/>
      <c r="L757" s="26"/>
      <c r="M757" s="26"/>
    </row>
    <row r="758" spans="1:13" ht="12.75" customHeight="1" x14ac:dyDescent="0.25">
      <c r="A758" s="26"/>
      <c r="B758" s="26"/>
      <c r="C758" s="26"/>
      <c r="D758" s="26"/>
      <c r="E758" s="26"/>
      <c r="F758" s="26"/>
      <c r="G758" s="26"/>
      <c r="H758" s="26"/>
      <c r="I758" s="26"/>
      <c r="J758" s="26"/>
      <c r="K758" s="26"/>
      <c r="L758" s="26"/>
      <c r="M758" s="26"/>
    </row>
    <row r="759" spans="1:13" ht="12.75" customHeight="1" x14ac:dyDescent="0.25">
      <c r="A759" s="26"/>
      <c r="B759" s="26"/>
      <c r="C759" s="26"/>
      <c r="D759" s="26"/>
      <c r="E759" s="26"/>
      <c r="F759" s="26"/>
      <c r="G759" s="26"/>
      <c r="H759" s="26"/>
      <c r="I759" s="26"/>
      <c r="J759" s="26"/>
      <c r="K759" s="26"/>
      <c r="L759" s="26"/>
      <c r="M759" s="26"/>
    </row>
    <row r="760" spans="1:13" ht="12.75" customHeight="1" x14ac:dyDescent="0.25">
      <c r="A760" s="26"/>
      <c r="B760" s="26"/>
      <c r="C760" s="26"/>
      <c r="D760" s="26"/>
      <c r="E760" s="26"/>
      <c r="F760" s="26"/>
      <c r="G760" s="26"/>
      <c r="H760" s="26"/>
      <c r="I760" s="26"/>
      <c r="J760" s="26"/>
      <c r="K760" s="26"/>
      <c r="L760" s="26"/>
      <c r="M760" s="26"/>
    </row>
    <row r="761" spans="1:13" ht="12.75" customHeight="1" x14ac:dyDescent="0.25">
      <c r="A761" s="26"/>
      <c r="B761" s="26"/>
      <c r="C761" s="26"/>
      <c r="D761" s="26"/>
      <c r="E761" s="26"/>
      <c r="F761" s="26"/>
      <c r="G761" s="26"/>
      <c r="H761" s="26"/>
      <c r="I761" s="26"/>
      <c r="J761" s="26"/>
      <c r="K761" s="26"/>
      <c r="L761" s="26"/>
      <c r="M761" s="26"/>
    </row>
    <row r="762" spans="1:13" ht="12.75" customHeight="1" x14ac:dyDescent="0.25">
      <c r="A762" s="26"/>
      <c r="B762" s="26"/>
      <c r="C762" s="26"/>
      <c r="D762" s="26"/>
      <c r="E762" s="26"/>
      <c r="F762" s="26"/>
      <c r="G762" s="26"/>
      <c r="H762" s="26"/>
      <c r="I762" s="26"/>
      <c r="J762" s="26"/>
      <c r="K762" s="26"/>
      <c r="L762" s="26"/>
      <c r="M762" s="26"/>
    </row>
    <row r="763" spans="1:13" ht="12.75" customHeight="1" x14ac:dyDescent="0.25">
      <c r="A763" s="26"/>
      <c r="B763" s="26"/>
      <c r="C763" s="26"/>
      <c r="D763" s="26"/>
      <c r="E763" s="26"/>
      <c r="F763" s="26"/>
      <c r="G763" s="26"/>
      <c r="H763" s="26"/>
      <c r="I763" s="26"/>
      <c r="J763" s="26"/>
      <c r="K763" s="26"/>
      <c r="L763" s="26"/>
      <c r="M763" s="26"/>
    </row>
    <row r="764" spans="1:13" ht="12.75" customHeight="1" x14ac:dyDescent="0.25">
      <c r="A764" s="26"/>
      <c r="B764" s="26"/>
      <c r="C764" s="26"/>
      <c r="D764" s="26"/>
      <c r="E764" s="26"/>
      <c r="F764" s="26"/>
      <c r="G764" s="26"/>
      <c r="H764" s="26"/>
      <c r="I764" s="26"/>
      <c r="J764" s="26"/>
      <c r="K764" s="26"/>
      <c r="L764" s="26"/>
      <c r="M764" s="26"/>
    </row>
    <row r="765" spans="1:13" ht="12.75" customHeight="1" x14ac:dyDescent="0.25">
      <c r="A765" s="26"/>
      <c r="B765" s="26"/>
      <c r="C765" s="26"/>
      <c r="D765" s="26"/>
      <c r="E765" s="26"/>
      <c r="F765" s="26"/>
      <c r="G765" s="26"/>
      <c r="H765" s="26"/>
      <c r="I765" s="26"/>
      <c r="J765" s="26"/>
      <c r="K765" s="26"/>
      <c r="L765" s="26"/>
      <c r="M765" s="26"/>
    </row>
    <row r="766" spans="1:13" ht="12.75" customHeight="1" x14ac:dyDescent="0.25">
      <c r="A766" s="26"/>
      <c r="B766" s="26"/>
      <c r="C766" s="26"/>
      <c r="D766" s="26"/>
      <c r="E766" s="26"/>
      <c r="F766" s="26"/>
      <c r="G766" s="26"/>
      <c r="H766" s="26"/>
      <c r="I766" s="26"/>
      <c r="J766" s="26"/>
      <c r="K766" s="26"/>
      <c r="L766" s="26"/>
      <c r="M766" s="26"/>
    </row>
    <row r="767" spans="1:13" ht="12.75" customHeight="1" x14ac:dyDescent="0.25">
      <c r="A767" s="26"/>
      <c r="B767" s="26"/>
      <c r="C767" s="26"/>
      <c r="D767" s="26"/>
      <c r="E767" s="26"/>
      <c r="F767" s="26"/>
      <c r="G767" s="26"/>
      <c r="H767" s="26"/>
      <c r="I767" s="26"/>
      <c r="J767" s="26"/>
      <c r="K767" s="26"/>
      <c r="L767" s="26"/>
      <c r="M767" s="26"/>
    </row>
    <row r="768" spans="1:13" ht="12.75" customHeight="1" x14ac:dyDescent="0.25">
      <c r="A768" s="26"/>
      <c r="B768" s="26"/>
      <c r="C768" s="26"/>
      <c r="D768" s="26"/>
      <c r="E768" s="26"/>
      <c r="F768" s="26"/>
      <c r="G768" s="26"/>
      <c r="H768" s="26"/>
      <c r="I768" s="26"/>
      <c r="J768" s="26"/>
      <c r="K768" s="26"/>
      <c r="L768" s="26"/>
      <c r="M768" s="26"/>
    </row>
    <row r="769" spans="1:13" ht="12.75" customHeight="1" x14ac:dyDescent="0.25">
      <c r="A769" s="26"/>
      <c r="B769" s="26"/>
      <c r="C769" s="26"/>
      <c r="D769" s="26"/>
      <c r="E769" s="26"/>
      <c r="F769" s="26"/>
      <c r="G769" s="26"/>
      <c r="H769" s="26"/>
      <c r="I769" s="26"/>
      <c r="J769" s="26"/>
      <c r="K769" s="26"/>
      <c r="L769" s="26"/>
      <c r="M769" s="26"/>
    </row>
    <row r="770" spans="1:13" ht="12.75" customHeight="1" x14ac:dyDescent="0.25">
      <c r="A770" s="26"/>
      <c r="B770" s="26"/>
      <c r="C770" s="26"/>
      <c r="D770" s="26"/>
      <c r="E770" s="26"/>
      <c r="F770" s="26"/>
      <c r="G770" s="26"/>
      <c r="H770" s="26"/>
      <c r="I770" s="26"/>
      <c r="J770" s="26"/>
      <c r="K770" s="26"/>
      <c r="L770" s="26"/>
      <c r="M770" s="26"/>
    </row>
    <row r="771" spans="1:13" ht="12.75" customHeight="1" x14ac:dyDescent="0.25">
      <c r="A771" s="26"/>
      <c r="B771" s="26"/>
      <c r="C771" s="26"/>
      <c r="D771" s="26"/>
      <c r="E771" s="26"/>
      <c r="F771" s="26"/>
      <c r="G771" s="26"/>
      <c r="H771" s="26"/>
      <c r="I771" s="26"/>
      <c r="J771" s="26"/>
      <c r="K771" s="26"/>
      <c r="L771" s="26"/>
      <c r="M771" s="26"/>
    </row>
    <row r="772" spans="1:13" ht="12.75" customHeight="1" x14ac:dyDescent="0.25">
      <c r="A772" s="26"/>
      <c r="B772" s="26"/>
      <c r="C772" s="26"/>
      <c r="D772" s="26"/>
      <c r="E772" s="26"/>
      <c r="F772" s="26"/>
      <c r="G772" s="26"/>
      <c r="H772" s="26"/>
      <c r="I772" s="26"/>
      <c r="J772" s="26"/>
      <c r="K772" s="26"/>
      <c r="L772" s="26"/>
      <c r="M772" s="26"/>
    </row>
    <row r="773" spans="1:13" ht="12.75" customHeight="1" x14ac:dyDescent="0.25">
      <c r="A773" s="26"/>
      <c r="B773" s="26"/>
      <c r="C773" s="26"/>
      <c r="D773" s="26"/>
      <c r="E773" s="26"/>
      <c r="F773" s="26"/>
      <c r="G773" s="26"/>
      <c r="H773" s="26"/>
      <c r="I773" s="26"/>
      <c r="J773" s="26"/>
      <c r="K773" s="26"/>
      <c r="L773" s="26"/>
      <c r="M773" s="26"/>
    </row>
    <row r="774" spans="1:13" ht="12.75" customHeight="1" x14ac:dyDescent="0.25">
      <c r="A774" s="26"/>
      <c r="B774" s="26"/>
      <c r="C774" s="26"/>
      <c r="D774" s="26"/>
      <c r="E774" s="26"/>
      <c r="F774" s="26"/>
      <c r="G774" s="26"/>
      <c r="H774" s="26"/>
      <c r="I774" s="26"/>
      <c r="J774" s="26"/>
      <c r="K774" s="26"/>
      <c r="L774" s="26"/>
      <c r="M774" s="26"/>
    </row>
    <row r="775" spans="1:13" ht="12.75" customHeight="1" x14ac:dyDescent="0.25">
      <c r="A775" s="26"/>
      <c r="B775" s="26"/>
      <c r="C775" s="26"/>
      <c r="D775" s="26"/>
      <c r="E775" s="26"/>
      <c r="F775" s="26"/>
      <c r="G775" s="26"/>
      <c r="H775" s="26"/>
      <c r="I775" s="26"/>
      <c r="J775" s="26"/>
      <c r="K775" s="26"/>
      <c r="L775" s="26"/>
      <c r="M775" s="26"/>
    </row>
    <row r="776" spans="1:13" ht="12.75" customHeight="1" x14ac:dyDescent="0.25">
      <c r="A776" s="26"/>
      <c r="B776" s="26"/>
      <c r="C776" s="26"/>
      <c r="D776" s="26"/>
      <c r="E776" s="26"/>
      <c r="F776" s="26"/>
      <c r="G776" s="26"/>
      <c r="H776" s="26"/>
      <c r="I776" s="26"/>
      <c r="J776" s="26"/>
      <c r="K776" s="26"/>
      <c r="L776" s="26"/>
      <c r="M776" s="26"/>
    </row>
    <row r="777" spans="1:13" ht="12.75" customHeight="1" x14ac:dyDescent="0.25">
      <c r="A777" s="26"/>
      <c r="B777" s="26"/>
      <c r="C777" s="26"/>
      <c r="D777" s="26"/>
      <c r="E777" s="26"/>
      <c r="F777" s="26"/>
      <c r="G777" s="26"/>
      <c r="H777" s="26"/>
      <c r="I777" s="26"/>
      <c r="J777" s="26"/>
      <c r="K777" s="26"/>
      <c r="L777" s="26"/>
      <c r="M777" s="26"/>
    </row>
    <row r="778" spans="1:13" ht="12.75" customHeight="1" x14ac:dyDescent="0.25">
      <c r="A778" s="26"/>
      <c r="B778" s="26"/>
      <c r="C778" s="26"/>
      <c r="D778" s="26"/>
      <c r="E778" s="26"/>
      <c r="F778" s="26"/>
      <c r="G778" s="26"/>
      <c r="H778" s="26"/>
      <c r="I778" s="26"/>
      <c r="J778" s="26"/>
      <c r="K778" s="26"/>
      <c r="L778" s="26"/>
      <c r="M778" s="26"/>
    </row>
    <row r="779" spans="1:13" ht="12.75" customHeight="1" x14ac:dyDescent="0.25">
      <c r="A779" s="26"/>
      <c r="B779" s="26"/>
      <c r="C779" s="26"/>
      <c r="D779" s="26"/>
      <c r="E779" s="26"/>
      <c r="F779" s="26"/>
      <c r="G779" s="26"/>
      <c r="H779" s="26"/>
      <c r="I779" s="26"/>
      <c r="J779" s="26"/>
      <c r="K779" s="26"/>
      <c r="L779" s="26"/>
      <c r="M779" s="26"/>
    </row>
    <row r="780" spans="1:13" ht="12.75" customHeight="1" x14ac:dyDescent="0.25">
      <c r="A780" s="26"/>
      <c r="B780" s="26"/>
      <c r="C780" s="26"/>
      <c r="D780" s="26"/>
      <c r="E780" s="26"/>
      <c r="F780" s="26"/>
      <c r="G780" s="26"/>
      <c r="H780" s="26"/>
      <c r="I780" s="26"/>
      <c r="J780" s="26"/>
      <c r="K780" s="26"/>
      <c r="L780" s="26"/>
      <c r="M780" s="26"/>
    </row>
    <row r="781" spans="1:13" ht="12.75" customHeight="1" x14ac:dyDescent="0.25">
      <c r="A781" s="26"/>
      <c r="B781" s="26"/>
      <c r="C781" s="26"/>
      <c r="D781" s="26"/>
      <c r="E781" s="26"/>
      <c r="F781" s="26"/>
      <c r="G781" s="26"/>
      <c r="H781" s="26"/>
      <c r="I781" s="26"/>
      <c r="J781" s="26"/>
      <c r="K781" s="26"/>
      <c r="L781" s="26"/>
      <c r="M781" s="26"/>
    </row>
    <row r="782" spans="1:13" ht="12.75" customHeight="1" x14ac:dyDescent="0.25">
      <c r="A782" s="26"/>
      <c r="B782" s="26"/>
      <c r="C782" s="26"/>
      <c r="D782" s="26"/>
      <c r="E782" s="26"/>
      <c r="F782" s="26"/>
      <c r="G782" s="26"/>
      <c r="H782" s="26"/>
      <c r="I782" s="26"/>
      <c r="J782" s="26"/>
      <c r="K782" s="26"/>
      <c r="L782" s="26"/>
      <c r="M782" s="26"/>
    </row>
    <row r="783" spans="1:13" ht="12.75" customHeight="1" x14ac:dyDescent="0.25">
      <c r="A783" s="26"/>
      <c r="B783" s="26"/>
      <c r="C783" s="26"/>
      <c r="D783" s="26"/>
      <c r="E783" s="26"/>
      <c r="F783" s="26"/>
      <c r="G783" s="26"/>
      <c r="H783" s="26"/>
      <c r="I783" s="26"/>
      <c r="J783" s="26"/>
      <c r="K783" s="26"/>
      <c r="L783" s="26"/>
      <c r="M783" s="26"/>
    </row>
    <row r="784" spans="1:13" ht="12.75" customHeight="1" x14ac:dyDescent="0.25">
      <c r="A784" s="26"/>
      <c r="B784" s="26"/>
      <c r="C784" s="26"/>
      <c r="D784" s="26"/>
      <c r="E784" s="26"/>
      <c r="F784" s="26"/>
      <c r="G784" s="26"/>
      <c r="H784" s="26"/>
      <c r="I784" s="26"/>
      <c r="J784" s="26"/>
      <c r="K784" s="26"/>
      <c r="L784" s="26"/>
      <c r="M784" s="26"/>
    </row>
    <row r="785" spans="1:13" ht="12.75" customHeight="1" x14ac:dyDescent="0.25">
      <c r="A785" s="26"/>
      <c r="B785" s="26"/>
      <c r="C785" s="26"/>
      <c r="D785" s="26"/>
      <c r="E785" s="26"/>
      <c r="F785" s="26"/>
      <c r="G785" s="26"/>
      <c r="H785" s="26"/>
      <c r="I785" s="26"/>
      <c r="J785" s="26"/>
      <c r="K785" s="26"/>
      <c r="L785" s="26"/>
      <c r="M785" s="26"/>
    </row>
    <row r="786" spans="1:13" ht="12.75" customHeight="1" x14ac:dyDescent="0.25">
      <c r="A786" s="26"/>
      <c r="B786" s="26"/>
      <c r="C786" s="26"/>
      <c r="D786" s="26"/>
      <c r="E786" s="26"/>
      <c r="F786" s="26"/>
      <c r="G786" s="26"/>
      <c r="H786" s="26"/>
      <c r="I786" s="26"/>
      <c r="J786" s="26"/>
      <c r="K786" s="26"/>
      <c r="L786" s="26"/>
      <c r="M786" s="26"/>
    </row>
    <row r="787" spans="1:13" ht="12.75" customHeight="1" x14ac:dyDescent="0.25">
      <c r="A787" s="26"/>
      <c r="B787" s="26"/>
      <c r="C787" s="26"/>
      <c r="D787" s="26"/>
      <c r="E787" s="26"/>
      <c r="F787" s="26"/>
      <c r="G787" s="26"/>
      <c r="H787" s="26"/>
      <c r="I787" s="26"/>
      <c r="J787" s="26"/>
      <c r="K787" s="26"/>
      <c r="L787" s="26"/>
      <c r="M787" s="26"/>
    </row>
    <row r="788" spans="1:13" ht="12.75" customHeight="1" x14ac:dyDescent="0.25">
      <c r="A788" s="26"/>
      <c r="B788" s="26"/>
      <c r="C788" s="26"/>
      <c r="D788" s="26"/>
      <c r="E788" s="26"/>
      <c r="F788" s="26"/>
      <c r="G788" s="26"/>
      <c r="H788" s="26"/>
      <c r="I788" s="26"/>
      <c r="J788" s="26"/>
      <c r="K788" s="26"/>
      <c r="L788" s="26"/>
      <c r="M788" s="26"/>
    </row>
    <row r="789" spans="1:13" ht="12.75" customHeight="1" x14ac:dyDescent="0.25">
      <c r="A789" s="26"/>
      <c r="B789" s="26"/>
      <c r="C789" s="26"/>
      <c r="D789" s="26"/>
      <c r="E789" s="26"/>
      <c r="F789" s="26"/>
      <c r="G789" s="26"/>
      <c r="H789" s="26"/>
      <c r="I789" s="26"/>
      <c r="J789" s="26"/>
      <c r="K789" s="26"/>
      <c r="L789" s="26"/>
      <c r="M789" s="26"/>
    </row>
    <row r="790" spans="1:13" ht="12.75" customHeight="1" x14ac:dyDescent="0.25">
      <c r="A790" s="26"/>
      <c r="B790" s="26"/>
      <c r="C790" s="26"/>
      <c r="D790" s="26"/>
      <c r="E790" s="26"/>
      <c r="F790" s="26"/>
      <c r="G790" s="26"/>
      <c r="H790" s="26"/>
      <c r="I790" s="26"/>
      <c r="J790" s="26"/>
      <c r="K790" s="26"/>
      <c r="L790" s="26"/>
      <c r="M790" s="26"/>
    </row>
    <row r="791" spans="1:13" ht="12.75" customHeight="1" x14ac:dyDescent="0.25">
      <c r="A791" s="26"/>
      <c r="B791" s="26"/>
      <c r="C791" s="26"/>
      <c r="D791" s="26"/>
      <c r="E791" s="26"/>
      <c r="F791" s="26"/>
      <c r="G791" s="26"/>
      <c r="H791" s="26"/>
      <c r="I791" s="26"/>
      <c r="J791" s="26"/>
      <c r="K791" s="26"/>
      <c r="L791" s="26"/>
      <c r="M791" s="26"/>
    </row>
    <row r="792" spans="1:13" ht="12.75" customHeight="1" x14ac:dyDescent="0.25">
      <c r="A792" s="26"/>
      <c r="B792" s="26"/>
      <c r="C792" s="26"/>
      <c r="D792" s="26"/>
      <c r="E792" s="26"/>
      <c r="F792" s="26"/>
      <c r="G792" s="26"/>
      <c r="H792" s="26"/>
      <c r="I792" s="26"/>
      <c r="J792" s="26"/>
      <c r="K792" s="26"/>
      <c r="L792" s="26"/>
      <c r="M792" s="26"/>
    </row>
    <row r="793" spans="1:13" ht="12.75" customHeight="1" x14ac:dyDescent="0.25">
      <c r="A793" s="26"/>
      <c r="B793" s="26"/>
      <c r="C793" s="26"/>
      <c r="D793" s="26"/>
      <c r="E793" s="26"/>
      <c r="F793" s="26"/>
      <c r="G793" s="26"/>
      <c r="H793" s="26"/>
      <c r="I793" s="26"/>
      <c r="J793" s="26"/>
      <c r="K793" s="26"/>
      <c r="L793" s="26"/>
      <c r="M793" s="26"/>
    </row>
    <row r="794" spans="1:13" ht="12.75" customHeight="1" x14ac:dyDescent="0.25">
      <c r="A794" s="26"/>
      <c r="B794" s="26"/>
      <c r="C794" s="26"/>
      <c r="D794" s="26"/>
      <c r="E794" s="26"/>
      <c r="F794" s="26"/>
      <c r="G794" s="26"/>
      <c r="H794" s="26"/>
      <c r="I794" s="26"/>
      <c r="J794" s="26"/>
      <c r="K794" s="26"/>
      <c r="L794" s="26"/>
      <c r="M794" s="26"/>
    </row>
    <row r="795" spans="1:13" ht="12.75" customHeight="1" x14ac:dyDescent="0.25">
      <c r="A795" s="26"/>
      <c r="B795" s="26"/>
      <c r="C795" s="26"/>
      <c r="D795" s="26"/>
      <c r="E795" s="26"/>
      <c r="F795" s="26"/>
      <c r="G795" s="26"/>
      <c r="H795" s="26"/>
      <c r="I795" s="26"/>
      <c r="J795" s="26"/>
      <c r="K795" s="26"/>
      <c r="L795" s="26"/>
      <c r="M795" s="26"/>
    </row>
    <row r="796" spans="1:13" ht="12.75" customHeight="1" x14ac:dyDescent="0.25">
      <c r="A796" s="26"/>
      <c r="B796" s="26"/>
      <c r="C796" s="26"/>
      <c r="D796" s="26"/>
      <c r="E796" s="26"/>
      <c r="F796" s="26"/>
      <c r="G796" s="26"/>
      <c r="H796" s="26"/>
      <c r="I796" s="26"/>
      <c r="J796" s="26"/>
      <c r="K796" s="26"/>
      <c r="L796" s="26"/>
      <c r="M796" s="26"/>
    </row>
    <row r="797" spans="1:13" ht="12.75" customHeight="1" x14ac:dyDescent="0.25">
      <c r="A797" s="26"/>
      <c r="B797" s="26"/>
      <c r="C797" s="26"/>
      <c r="D797" s="26"/>
      <c r="E797" s="26"/>
      <c r="F797" s="26"/>
      <c r="G797" s="26"/>
      <c r="H797" s="26"/>
      <c r="I797" s="26"/>
      <c r="J797" s="26"/>
      <c r="K797" s="26"/>
      <c r="L797" s="26"/>
      <c r="M797" s="26"/>
    </row>
    <row r="798" spans="1:13" ht="12.75" customHeight="1" x14ac:dyDescent="0.25">
      <c r="A798" s="26"/>
      <c r="B798" s="26"/>
      <c r="C798" s="26"/>
      <c r="D798" s="26"/>
      <c r="E798" s="26"/>
      <c r="F798" s="26"/>
      <c r="G798" s="26"/>
      <c r="H798" s="26"/>
      <c r="I798" s="26"/>
      <c r="J798" s="26"/>
      <c r="K798" s="26"/>
      <c r="L798" s="26"/>
      <c r="M798" s="26"/>
    </row>
    <row r="799" spans="1:13" ht="12.75" customHeight="1" x14ac:dyDescent="0.25">
      <c r="A799" s="26"/>
      <c r="B799" s="26"/>
      <c r="C799" s="26"/>
      <c r="D799" s="26"/>
      <c r="E799" s="26"/>
      <c r="F799" s="26"/>
      <c r="G799" s="26"/>
      <c r="H799" s="26"/>
      <c r="I799" s="26"/>
      <c r="J799" s="26"/>
      <c r="K799" s="26"/>
      <c r="L799" s="26"/>
      <c r="M799" s="26"/>
    </row>
    <row r="800" spans="1:13" ht="12.75" customHeight="1" x14ac:dyDescent="0.25">
      <c r="A800" s="26"/>
      <c r="B800" s="26"/>
      <c r="C800" s="26"/>
      <c r="D800" s="26"/>
      <c r="E800" s="26"/>
      <c r="F800" s="26"/>
      <c r="G800" s="26"/>
      <c r="H800" s="26"/>
      <c r="I800" s="26"/>
      <c r="J800" s="26"/>
      <c r="K800" s="26"/>
      <c r="L800" s="26"/>
      <c r="M800" s="26"/>
    </row>
    <row r="801" spans="1:13" ht="12.75" customHeight="1" x14ac:dyDescent="0.25">
      <c r="A801" s="26"/>
      <c r="B801" s="26"/>
      <c r="C801" s="26"/>
      <c r="D801" s="26"/>
      <c r="E801" s="26"/>
      <c r="F801" s="26"/>
      <c r="G801" s="26"/>
      <c r="H801" s="26"/>
      <c r="I801" s="26"/>
      <c r="J801" s="26"/>
      <c r="K801" s="26"/>
      <c r="L801" s="26"/>
      <c r="M801" s="26"/>
    </row>
    <row r="802" spans="1:13" ht="12.75" customHeight="1" x14ac:dyDescent="0.25">
      <c r="A802" s="26"/>
      <c r="B802" s="26"/>
      <c r="C802" s="26"/>
      <c r="D802" s="26"/>
      <c r="E802" s="26"/>
      <c r="F802" s="26"/>
      <c r="G802" s="26"/>
      <c r="H802" s="26"/>
      <c r="I802" s="26"/>
      <c r="J802" s="26"/>
      <c r="K802" s="26"/>
      <c r="L802" s="26"/>
      <c r="M802" s="26"/>
    </row>
    <row r="803" spans="1:13" ht="12.75" customHeight="1" x14ac:dyDescent="0.25">
      <c r="A803" s="26"/>
      <c r="B803" s="26"/>
      <c r="C803" s="26"/>
      <c r="D803" s="26"/>
      <c r="E803" s="26"/>
      <c r="F803" s="26"/>
      <c r="G803" s="26"/>
      <c r="H803" s="26"/>
      <c r="I803" s="26"/>
      <c r="J803" s="26"/>
      <c r="K803" s="26"/>
      <c r="L803" s="26"/>
      <c r="M803" s="26"/>
    </row>
    <row r="804" spans="1:13" ht="12.75" customHeight="1" x14ac:dyDescent="0.25">
      <c r="A804" s="26"/>
      <c r="B804" s="26"/>
      <c r="C804" s="26"/>
      <c r="D804" s="26"/>
      <c r="E804" s="26"/>
      <c r="F804" s="26"/>
      <c r="G804" s="26"/>
      <c r="H804" s="26"/>
      <c r="I804" s="26"/>
      <c r="J804" s="26"/>
      <c r="K804" s="26"/>
      <c r="L804" s="26"/>
      <c r="M804" s="26"/>
    </row>
    <row r="805" spans="1:13" ht="12.75" customHeight="1" x14ac:dyDescent="0.25">
      <c r="A805" s="26"/>
      <c r="B805" s="26"/>
      <c r="C805" s="26"/>
      <c r="D805" s="26"/>
      <c r="E805" s="26"/>
      <c r="F805" s="26"/>
      <c r="G805" s="26"/>
      <c r="H805" s="26"/>
      <c r="I805" s="26"/>
      <c r="J805" s="26"/>
      <c r="K805" s="26"/>
      <c r="L805" s="26"/>
      <c r="M805" s="26"/>
    </row>
    <row r="806" spans="1:13" ht="12.75" customHeight="1" x14ac:dyDescent="0.25">
      <c r="A806" s="26"/>
      <c r="B806" s="26"/>
      <c r="C806" s="26"/>
      <c r="D806" s="26"/>
      <c r="E806" s="26"/>
      <c r="F806" s="26"/>
      <c r="G806" s="26"/>
      <c r="H806" s="26"/>
      <c r="I806" s="26"/>
      <c r="J806" s="26"/>
      <c r="K806" s="26"/>
      <c r="L806" s="26"/>
      <c r="M806" s="26"/>
    </row>
    <row r="807" spans="1:13" ht="12.75" customHeight="1" x14ac:dyDescent="0.25">
      <c r="A807" s="26"/>
      <c r="B807" s="26"/>
      <c r="C807" s="26"/>
      <c r="D807" s="26"/>
      <c r="E807" s="26"/>
      <c r="F807" s="26"/>
      <c r="G807" s="26"/>
      <c r="H807" s="26"/>
      <c r="I807" s="26"/>
      <c r="J807" s="26"/>
      <c r="K807" s="26"/>
      <c r="L807" s="26"/>
      <c r="M807" s="26"/>
    </row>
    <row r="808" spans="1:13" ht="12.75" customHeight="1" x14ac:dyDescent="0.25">
      <c r="A808" s="26"/>
      <c r="B808" s="26"/>
      <c r="C808" s="26"/>
      <c r="D808" s="26"/>
      <c r="E808" s="26"/>
      <c r="F808" s="26"/>
      <c r="G808" s="26"/>
      <c r="H808" s="26"/>
      <c r="I808" s="26"/>
      <c r="J808" s="26"/>
      <c r="K808" s="26"/>
      <c r="L808" s="26"/>
      <c r="M808" s="26"/>
    </row>
    <row r="809" spans="1:13" ht="12.75" customHeight="1" x14ac:dyDescent="0.25">
      <c r="A809" s="26"/>
      <c r="B809" s="26"/>
      <c r="C809" s="26"/>
      <c r="D809" s="26"/>
      <c r="E809" s="26"/>
      <c r="F809" s="26"/>
      <c r="G809" s="26"/>
      <c r="H809" s="26"/>
      <c r="I809" s="26"/>
      <c r="J809" s="26"/>
      <c r="K809" s="26"/>
      <c r="L809" s="26"/>
      <c r="M809" s="26"/>
    </row>
    <row r="810" spans="1:13" ht="12.75" customHeight="1" x14ac:dyDescent="0.25">
      <c r="A810" s="26"/>
      <c r="B810" s="26"/>
      <c r="C810" s="26"/>
      <c r="D810" s="26"/>
      <c r="E810" s="26"/>
      <c r="F810" s="26"/>
      <c r="G810" s="26"/>
      <c r="H810" s="26"/>
      <c r="I810" s="26"/>
      <c r="J810" s="26"/>
      <c r="K810" s="26"/>
      <c r="L810" s="26"/>
      <c r="M810" s="26"/>
    </row>
    <row r="811" spans="1:13" ht="12.75" customHeight="1" x14ac:dyDescent="0.25">
      <c r="A811" s="26"/>
      <c r="B811" s="26"/>
      <c r="C811" s="26"/>
      <c r="D811" s="26"/>
      <c r="E811" s="26"/>
      <c r="F811" s="26"/>
      <c r="G811" s="26"/>
      <c r="H811" s="26"/>
      <c r="I811" s="26"/>
      <c r="J811" s="26"/>
      <c r="K811" s="26"/>
      <c r="L811" s="26"/>
      <c r="M811" s="26"/>
    </row>
    <row r="812" spans="1:13" ht="12.75" customHeight="1" x14ac:dyDescent="0.25">
      <c r="A812" s="26"/>
      <c r="B812" s="26"/>
      <c r="C812" s="26"/>
      <c r="D812" s="26"/>
      <c r="E812" s="26"/>
      <c r="F812" s="26"/>
      <c r="G812" s="26"/>
      <c r="H812" s="26"/>
      <c r="I812" s="26"/>
      <c r="J812" s="26"/>
      <c r="K812" s="26"/>
      <c r="L812" s="26"/>
      <c r="M812" s="26"/>
    </row>
    <row r="813" spans="1:13" ht="12.75" customHeight="1" x14ac:dyDescent="0.25">
      <c r="A813" s="26"/>
      <c r="B813" s="26"/>
      <c r="C813" s="26"/>
      <c r="D813" s="26"/>
      <c r="E813" s="26"/>
      <c r="F813" s="26"/>
      <c r="G813" s="26"/>
      <c r="H813" s="26"/>
      <c r="I813" s="26"/>
      <c r="J813" s="26"/>
      <c r="K813" s="26"/>
      <c r="L813" s="26"/>
      <c r="M813" s="26"/>
    </row>
    <row r="814" spans="1:13" ht="12.75" customHeight="1" x14ac:dyDescent="0.25">
      <c r="A814" s="26"/>
      <c r="B814" s="26"/>
      <c r="C814" s="26"/>
      <c r="D814" s="26"/>
      <c r="E814" s="26"/>
      <c r="F814" s="26"/>
      <c r="G814" s="26"/>
      <c r="H814" s="26"/>
      <c r="I814" s="26"/>
      <c r="J814" s="26"/>
      <c r="K814" s="26"/>
      <c r="L814" s="26"/>
      <c r="M814" s="26"/>
    </row>
    <row r="815" spans="1:13" ht="12.75" customHeight="1" x14ac:dyDescent="0.25">
      <c r="A815" s="26"/>
      <c r="B815" s="26"/>
      <c r="C815" s="26"/>
      <c r="D815" s="26"/>
      <c r="E815" s="26"/>
      <c r="F815" s="26"/>
      <c r="G815" s="26"/>
      <c r="H815" s="26"/>
      <c r="I815" s="26"/>
      <c r="J815" s="26"/>
      <c r="K815" s="26"/>
      <c r="L815" s="26"/>
      <c r="M815" s="26"/>
    </row>
    <row r="816" spans="1:13" ht="12.75" customHeight="1" x14ac:dyDescent="0.25">
      <c r="A816" s="26"/>
      <c r="B816" s="26"/>
      <c r="C816" s="26"/>
      <c r="D816" s="26"/>
      <c r="E816" s="26"/>
      <c r="F816" s="26"/>
      <c r="G816" s="26"/>
      <c r="H816" s="26"/>
      <c r="I816" s="26"/>
      <c r="J816" s="26"/>
      <c r="K816" s="26"/>
      <c r="L816" s="26"/>
      <c r="M816" s="26"/>
    </row>
    <row r="817" spans="1:13" ht="12.75" customHeight="1" x14ac:dyDescent="0.25">
      <c r="A817" s="26"/>
      <c r="B817" s="26"/>
      <c r="C817" s="26"/>
      <c r="D817" s="26"/>
      <c r="E817" s="26"/>
      <c r="F817" s="26"/>
      <c r="G817" s="26"/>
      <c r="H817" s="26"/>
      <c r="I817" s="26"/>
      <c r="J817" s="26"/>
      <c r="K817" s="26"/>
      <c r="L817" s="26"/>
      <c r="M817" s="26"/>
    </row>
    <row r="818" spans="1:13" ht="12.75" customHeight="1" x14ac:dyDescent="0.25">
      <c r="A818" s="26"/>
      <c r="B818" s="26"/>
      <c r="C818" s="26"/>
      <c r="D818" s="26"/>
      <c r="E818" s="26"/>
      <c r="F818" s="26"/>
      <c r="G818" s="26"/>
      <c r="H818" s="26"/>
      <c r="I818" s="26"/>
      <c r="J818" s="26"/>
      <c r="K818" s="26"/>
      <c r="L818" s="26"/>
      <c r="M818" s="26"/>
    </row>
    <row r="819" spans="1:13" ht="12.75" customHeight="1" x14ac:dyDescent="0.25">
      <c r="A819" s="26"/>
      <c r="B819" s="26"/>
      <c r="C819" s="26"/>
      <c r="D819" s="26"/>
      <c r="E819" s="26"/>
      <c r="F819" s="26"/>
      <c r="G819" s="26"/>
      <c r="H819" s="26"/>
      <c r="I819" s="26"/>
      <c r="J819" s="26"/>
      <c r="K819" s="26"/>
      <c r="L819" s="26"/>
      <c r="M819" s="26"/>
    </row>
    <row r="820" spans="1:13" ht="12.75" customHeight="1" x14ac:dyDescent="0.25">
      <c r="A820" s="26"/>
      <c r="B820" s="26"/>
      <c r="C820" s="26"/>
      <c r="D820" s="26"/>
      <c r="E820" s="26"/>
      <c r="F820" s="26"/>
      <c r="G820" s="26"/>
      <c r="H820" s="26"/>
      <c r="I820" s="26"/>
      <c r="J820" s="26"/>
      <c r="K820" s="26"/>
      <c r="L820" s="26"/>
      <c r="M820" s="26"/>
    </row>
    <row r="821" spans="1:13" ht="12.75" customHeight="1" x14ac:dyDescent="0.25">
      <c r="A821" s="26"/>
      <c r="B821" s="26"/>
      <c r="C821" s="26"/>
      <c r="D821" s="26"/>
      <c r="E821" s="26"/>
      <c r="F821" s="26"/>
      <c r="G821" s="26"/>
      <c r="H821" s="26"/>
      <c r="I821" s="26"/>
      <c r="J821" s="26"/>
      <c r="K821" s="26"/>
      <c r="L821" s="26"/>
      <c r="M821" s="26"/>
    </row>
    <row r="822" spans="1:13" ht="12.75" customHeight="1" x14ac:dyDescent="0.25">
      <c r="A822" s="26"/>
      <c r="B822" s="26"/>
      <c r="C822" s="26"/>
      <c r="D822" s="26"/>
      <c r="E822" s="26"/>
      <c r="F822" s="26"/>
      <c r="G822" s="26"/>
      <c r="H822" s="26"/>
      <c r="I822" s="26"/>
      <c r="J822" s="26"/>
      <c r="K822" s="26"/>
      <c r="L822" s="26"/>
      <c r="M822" s="26"/>
    </row>
    <row r="823" spans="1:13" ht="12.75" customHeight="1" x14ac:dyDescent="0.25">
      <c r="A823" s="26"/>
      <c r="B823" s="26"/>
      <c r="C823" s="26"/>
      <c r="D823" s="26"/>
      <c r="E823" s="26"/>
      <c r="F823" s="26"/>
      <c r="G823" s="26"/>
      <c r="H823" s="26"/>
      <c r="I823" s="26"/>
      <c r="J823" s="26"/>
      <c r="K823" s="26"/>
      <c r="L823" s="26"/>
      <c r="M823" s="26"/>
    </row>
    <row r="824" spans="1:13" ht="12.75" customHeight="1" x14ac:dyDescent="0.25">
      <c r="A824" s="26"/>
      <c r="B824" s="26"/>
      <c r="C824" s="26"/>
      <c r="D824" s="26"/>
      <c r="E824" s="26"/>
      <c r="F824" s="26"/>
      <c r="G824" s="26"/>
      <c r="H824" s="26"/>
      <c r="I824" s="26"/>
      <c r="J824" s="26"/>
      <c r="K824" s="26"/>
      <c r="L824" s="26"/>
      <c r="M824" s="26"/>
    </row>
    <row r="825" spans="1:13" ht="12.75" customHeight="1" x14ac:dyDescent="0.25">
      <c r="A825" s="26"/>
      <c r="B825" s="26"/>
      <c r="C825" s="26"/>
      <c r="D825" s="26"/>
      <c r="E825" s="26"/>
      <c r="F825" s="26"/>
      <c r="G825" s="26"/>
      <c r="H825" s="26"/>
      <c r="I825" s="26"/>
      <c r="J825" s="26"/>
      <c r="K825" s="26"/>
      <c r="L825" s="26"/>
      <c r="M825" s="26"/>
    </row>
    <row r="826" spans="1:13" ht="12.75" customHeight="1" x14ac:dyDescent="0.25">
      <c r="A826" s="26"/>
      <c r="B826" s="26"/>
      <c r="C826" s="26"/>
      <c r="D826" s="26"/>
      <c r="E826" s="26"/>
      <c r="F826" s="26"/>
      <c r="G826" s="26"/>
      <c r="H826" s="26"/>
      <c r="I826" s="26"/>
      <c r="J826" s="26"/>
      <c r="K826" s="26"/>
      <c r="L826" s="26"/>
      <c r="M826" s="26"/>
    </row>
    <row r="827" spans="1:13" ht="12.75" customHeight="1" x14ac:dyDescent="0.25">
      <c r="A827" s="26"/>
      <c r="B827" s="26"/>
      <c r="C827" s="26"/>
      <c r="D827" s="26"/>
      <c r="E827" s="26"/>
      <c r="F827" s="26"/>
      <c r="G827" s="26"/>
      <c r="H827" s="26"/>
      <c r="I827" s="26"/>
      <c r="J827" s="26"/>
      <c r="K827" s="26"/>
      <c r="L827" s="26"/>
      <c r="M827" s="26"/>
    </row>
    <row r="828" spans="1:13" ht="12.75" customHeight="1" x14ac:dyDescent="0.25">
      <c r="A828" s="26"/>
      <c r="B828" s="26"/>
      <c r="C828" s="26"/>
      <c r="D828" s="26"/>
      <c r="E828" s="26"/>
      <c r="F828" s="26"/>
      <c r="G828" s="26"/>
      <c r="H828" s="26"/>
      <c r="I828" s="26"/>
      <c r="J828" s="26"/>
      <c r="K828" s="26"/>
      <c r="L828" s="26"/>
      <c r="M828" s="26"/>
    </row>
    <row r="829" spans="1:13" ht="12.75" customHeight="1" x14ac:dyDescent="0.25">
      <c r="A829" s="26"/>
      <c r="B829" s="26"/>
      <c r="C829" s="26"/>
      <c r="D829" s="26"/>
      <c r="E829" s="26"/>
      <c r="F829" s="26"/>
      <c r="G829" s="26"/>
      <c r="H829" s="26"/>
      <c r="I829" s="26"/>
      <c r="J829" s="26"/>
      <c r="K829" s="26"/>
      <c r="L829" s="26"/>
      <c r="M829" s="26"/>
    </row>
    <row r="830" spans="1:13" ht="12.75" customHeight="1" x14ac:dyDescent="0.25">
      <c r="A830" s="26"/>
      <c r="B830" s="26"/>
      <c r="C830" s="26"/>
      <c r="D830" s="26"/>
      <c r="E830" s="26"/>
      <c r="F830" s="26"/>
      <c r="G830" s="26"/>
      <c r="H830" s="26"/>
      <c r="I830" s="26"/>
      <c r="J830" s="26"/>
      <c r="K830" s="26"/>
      <c r="L830" s="26"/>
      <c r="M830" s="26"/>
    </row>
    <row r="831" spans="1:13" ht="12.75" customHeight="1" x14ac:dyDescent="0.25">
      <c r="A831" s="26"/>
      <c r="B831" s="26"/>
      <c r="C831" s="26"/>
      <c r="D831" s="26"/>
      <c r="E831" s="26"/>
      <c r="F831" s="26"/>
      <c r="G831" s="26"/>
      <c r="H831" s="26"/>
      <c r="I831" s="26"/>
      <c r="J831" s="26"/>
      <c r="K831" s="26"/>
      <c r="L831" s="26"/>
      <c r="M831" s="26"/>
    </row>
    <row r="832" spans="1:13" ht="12.75" customHeight="1" x14ac:dyDescent="0.25">
      <c r="A832" s="26"/>
      <c r="B832" s="26"/>
      <c r="C832" s="26"/>
      <c r="D832" s="26"/>
      <c r="E832" s="26"/>
      <c r="F832" s="26"/>
      <c r="G832" s="26"/>
      <c r="H832" s="26"/>
      <c r="I832" s="26"/>
      <c r="J832" s="26"/>
      <c r="K832" s="26"/>
      <c r="L832" s="26"/>
      <c r="M832" s="26"/>
    </row>
    <row r="833" spans="1:13" ht="12.75" customHeight="1" x14ac:dyDescent="0.25">
      <c r="A833" s="26"/>
      <c r="B833" s="26"/>
      <c r="C833" s="26"/>
      <c r="D833" s="26"/>
      <c r="E833" s="26"/>
      <c r="F833" s="26"/>
      <c r="G833" s="26"/>
      <c r="H833" s="26"/>
      <c r="I833" s="26"/>
      <c r="J833" s="26"/>
      <c r="K833" s="26"/>
      <c r="L833" s="26"/>
      <c r="M833" s="26"/>
    </row>
    <row r="834" spans="1:13" ht="12.75" customHeight="1" x14ac:dyDescent="0.25">
      <c r="A834" s="26"/>
      <c r="B834" s="26"/>
      <c r="C834" s="26"/>
      <c r="D834" s="26"/>
      <c r="E834" s="26"/>
      <c r="F834" s="26"/>
      <c r="G834" s="26"/>
      <c r="H834" s="26"/>
      <c r="I834" s="26"/>
      <c r="J834" s="26"/>
      <c r="K834" s="26"/>
      <c r="L834" s="26"/>
      <c r="M834" s="26"/>
    </row>
    <row r="835" spans="1:13" ht="12.75" customHeight="1" x14ac:dyDescent="0.25">
      <c r="A835" s="26"/>
      <c r="B835" s="26"/>
      <c r="C835" s="26"/>
      <c r="D835" s="26"/>
      <c r="E835" s="26"/>
      <c r="F835" s="26"/>
      <c r="G835" s="26"/>
      <c r="H835" s="26"/>
      <c r="I835" s="26"/>
      <c r="J835" s="26"/>
      <c r="K835" s="26"/>
      <c r="L835" s="26"/>
      <c r="M835" s="26"/>
    </row>
    <row r="836" spans="1:13" ht="12.75" customHeight="1" x14ac:dyDescent="0.25">
      <c r="A836" s="26"/>
      <c r="B836" s="26"/>
      <c r="C836" s="26"/>
      <c r="D836" s="26"/>
      <c r="E836" s="26"/>
      <c r="F836" s="26"/>
      <c r="G836" s="26"/>
      <c r="H836" s="26"/>
      <c r="I836" s="26"/>
      <c r="J836" s="26"/>
      <c r="K836" s="26"/>
      <c r="L836" s="26"/>
      <c r="M836" s="26"/>
    </row>
    <row r="837" spans="1:13" ht="12.75" customHeight="1" x14ac:dyDescent="0.25">
      <c r="A837" s="26"/>
      <c r="B837" s="26"/>
      <c r="C837" s="26"/>
      <c r="D837" s="26"/>
      <c r="E837" s="26"/>
      <c r="F837" s="26"/>
      <c r="G837" s="26"/>
      <c r="H837" s="26"/>
      <c r="I837" s="26"/>
      <c r="J837" s="26"/>
      <c r="K837" s="26"/>
      <c r="L837" s="26"/>
      <c r="M837" s="26"/>
    </row>
    <row r="838" spans="1:13" ht="12.75" customHeight="1" x14ac:dyDescent="0.25">
      <c r="A838" s="26"/>
      <c r="B838" s="26"/>
      <c r="C838" s="26"/>
      <c r="D838" s="26"/>
      <c r="E838" s="26"/>
      <c r="F838" s="26"/>
      <c r="G838" s="26"/>
      <c r="H838" s="26"/>
      <c r="I838" s="26"/>
      <c r="J838" s="26"/>
      <c r="K838" s="26"/>
      <c r="L838" s="26"/>
      <c r="M838" s="26"/>
    </row>
    <row r="839" spans="1:13" ht="12.75" customHeight="1" x14ac:dyDescent="0.25">
      <c r="A839" s="26"/>
      <c r="B839" s="26"/>
      <c r="C839" s="26"/>
      <c r="D839" s="26"/>
      <c r="E839" s="26"/>
      <c r="F839" s="26"/>
      <c r="G839" s="26"/>
      <c r="H839" s="26"/>
      <c r="I839" s="26"/>
      <c r="J839" s="26"/>
      <c r="K839" s="26"/>
      <c r="L839" s="26"/>
      <c r="M839" s="26"/>
    </row>
    <row r="840" spans="1:13" ht="12.75" customHeight="1" x14ac:dyDescent="0.25">
      <c r="A840" s="26"/>
      <c r="B840" s="26"/>
      <c r="C840" s="26"/>
      <c r="D840" s="26"/>
      <c r="E840" s="26"/>
      <c r="F840" s="26"/>
      <c r="G840" s="26"/>
      <c r="H840" s="26"/>
      <c r="I840" s="26"/>
      <c r="J840" s="26"/>
      <c r="K840" s="26"/>
      <c r="L840" s="26"/>
      <c r="M840" s="26"/>
    </row>
    <row r="841" spans="1:13" ht="12.75" customHeight="1" x14ac:dyDescent="0.25">
      <c r="A841" s="26"/>
      <c r="B841" s="26"/>
      <c r="C841" s="26"/>
      <c r="D841" s="26"/>
      <c r="E841" s="26"/>
      <c r="F841" s="26"/>
      <c r="G841" s="26"/>
      <c r="H841" s="26"/>
      <c r="I841" s="26"/>
      <c r="J841" s="26"/>
      <c r="K841" s="26"/>
      <c r="L841" s="26"/>
      <c r="M841" s="26"/>
    </row>
    <row r="842" spans="1:13" ht="12.75" customHeight="1" x14ac:dyDescent="0.25">
      <c r="A842" s="26"/>
      <c r="B842" s="26"/>
      <c r="C842" s="26"/>
      <c r="D842" s="26"/>
      <c r="E842" s="26"/>
      <c r="F842" s="26"/>
      <c r="G842" s="26"/>
      <c r="H842" s="26"/>
      <c r="I842" s="26"/>
      <c r="J842" s="26"/>
      <c r="K842" s="26"/>
      <c r="L842" s="26"/>
      <c r="M842" s="26"/>
    </row>
    <row r="843" spans="1:13" ht="12.75" customHeight="1" x14ac:dyDescent="0.25">
      <c r="A843" s="26"/>
      <c r="B843" s="26"/>
      <c r="C843" s="26"/>
      <c r="D843" s="26"/>
      <c r="E843" s="26"/>
      <c r="F843" s="26"/>
      <c r="G843" s="26"/>
      <c r="H843" s="26"/>
      <c r="I843" s="26"/>
      <c r="J843" s="26"/>
      <c r="K843" s="26"/>
      <c r="L843" s="26"/>
      <c r="M843" s="26"/>
    </row>
    <row r="844" spans="1:13" ht="12.75" customHeight="1" x14ac:dyDescent="0.25">
      <c r="A844" s="26"/>
      <c r="B844" s="26"/>
      <c r="C844" s="26"/>
      <c r="D844" s="26"/>
      <c r="E844" s="26"/>
      <c r="F844" s="26"/>
      <c r="G844" s="26"/>
      <c r="H844" s="26"/>
      <c r="I844" s="26"/>
      <c r="J844" s="26"/>
      <c r="K844" s="26"/>
      <c r="L844" s="26"/>
      <c r="M844" s="26"/>
    </row>
    <row r="845" spans="1:13" ht="12.75" customHeight="1" x14ac:dyDescent="0.25">
      <c r="A845" s="26"/>
      <c r="B845" s="26"/>
      <c r="C845" s="26"/>
      <c r="D845" s="26"/>
      <c r="E845" s="26"/>
      <c r="F845" s="26"/>
      <c r="G845" s="26"/>
      <c r="H845" s="26"/>
      <c r="I845" s="26"/>
      <c r="J845" s="26"/>
      <c r="K845" s="26"/>
      <c r="L845" s="26"/>
      <c r="M845" s="26"/>
    </row>
    <row r="846" spans="1:13" ht="12.75" customHeight="1" x14ac:dyDescent="0.25">
      <c r="A846" s="26"/>
      <c r="B846" s="26"/>
      <c r="C846" s="26"/>
      <c r="D846" s="26"/>
      <c r="E846" s="26"/>
      <c r="F846" s="26"/>
      <c r="G846" s="26"/>
      <c r="H846" s="26"/>
      <c r="I846" s="26"/>
      <c r="J846" s="26"/>
      <c r="K846" s="26"/>
      <c r="L846" s="26"/>
      <c r="M846" s="26"/>
    </row>
    <row r="847" spans="1:13" ht="12.75" customHeight="1" x14ac:dyDescent="0.25">
      <c r="A847" s="26"/>
      <c r="B847" s="26"/>
      <c r="C847" s="26"/>
      <c r="D847" s="26"/>
      <c r="E847" s="26"/>
      <c r="F847" s="26"/>
      <c r="G847" s="26"/>
      <c r="H847" s="26"/>
      <c r="I847" s="26"/>
      <c r="J847" s="26"/>
      <c r="K847" s="26"/>
      <c r="L847" s="26"/>
      <c r="M847" s="26"/>
    </row>
    <row r="848" spans="1:13" ht="12.75" customHeight="1" x14ac:dyDescent="0.25">
      <c r="A848" s="26"/>
      <c r="B848" s="26"/>
      <c r="C848" s="26"/>
      <c r="D848" s="26"/>
      <c r="E848" s="26"/>
      <c r="F848" s="26"/>
      <c r="G848" s="26"/>
      <c r="H848" s="26"/>
      <c r="I848" s="26"/>
      <c r="J848" s="26"/>
      <c r="K848" s="26"/>
      <c r="L848" s="26"/>
      <c r="M848" s="26"/>
    </row>
    <row r="849" spans="1:13" ht="12.75" customHeight="1" x14ac:dyDescent="0.25">
      <c r="A849" s="26"/>
      <c r="B849" s="26"/>
      <c r="C849" s="26"/>
      <c r="D849" s="26"/>
      <c r="E849" s="26"/>
      <c r="F849" s="26"/>
      <c r="G849" s="26"/>
      <c r="H849" s="26"/>
      <c r="I849" s="26"/>
      <c r="J849" s="26"/>
      <c r="K849" s="26"/>
      <c r="L849" s="26"/>
      <c r="M849" s="26"/>
    </row>
    <row r="850" spans="1:13" ht="12.75" customHeight="1" x14ac:dyDescent="0.25">
      <c r="A850" s="26"/>
      <c r="B850" s="26"/>
      <c r="C850" s="26"/>
      <c r="D850" s="26"/>
      <c r="E850" s="26"/>
      <c r="F850" s="26"/>
      <c r="G850" s="26"/>
      <c r="H850" s="26"/>
      <c r="I850" s="26"/>
      <c r="J850" s="26"/>
      <c r="K850" s="26"/>
      <c r="L850" s="26"/>
      <c r="M850" s="26"/>
    </row>
    <row r="851" spans="1:13" ht="12.75" customHeight="1" x14ac:dyDescent="0.25">
      <c r="A851" s="26"/>
      <c r="B851" s="26"/>
      <c r="C851" s="26"/>
      <c r="D851" s="26"/>
      <c r="E851" s="26"/>
      <c r="F851" s="26"/>
      <c r="G851" s="26"/>
      <c r="H851" s="26"/>
      <c r="I851" s="26"/>
      <c r="J851" s="26"/>
      <c r="K851" s="26"/>
      <c r="L851" s="26"/>
      <c r="M851" s="26"/>
    </row>
    <row r="852" spans="1:13" ht="12.75" customHeight="1" x14ac:dyDescent="0.25">
      <c r="A852" s="26"/>
      <c r="B852" s="26"/>
      <c r="C852" s="26"/>
      <c r="D852" s="26"/>
      <c r="E852" s="26"/>
      <c r="F852" s="26"/>
      <c r="G852" s="26"/>
      <c r="H852" s="26"/>
      <c r="I852" s="26"/>
      <c r="J852" s="26"/>
      <c r="K852" s="26"/>
      <c r="L852" s="26"/>
      <c r="M852" s="26"/>
    </row>
    <row r="853" spans="1:13" ht="12.75" customHeight="1" x14ac:dyDescent="0.25">
      <c r="A853" s="26"/>
      <c r="B853" s="26"/>
      <c r="C853" s="26"/>
      <c r="D853" s="26"/>
      <c r="E853" s="26"/>
      <c r="F853" s="26"/>
      <c r="G853" s="26"/>
      <c r="H853" s="26"/>
      <c r="I853" s="26"/>
      <c r="J853" s="26"/>
      <c r="K853" s="26"/>
      <c r="L853" s="26"/>
      <c r="M853" s="26"/>
    </row>
    <row r="854" spans="1:13" ht="12.75" customHeight="1" x14ac:dyDescent="0.25">
      <c r="A854" s="26"/>
      <c r="B854" s="26"/>
      <c r="C854" s="26"/>
      <c r="D854" s="26"/>
      <c r="E854" s="26"/>
      <c r="F854" s="26"/>
      <c r="G854" s="26"/>
      <c r="H854" s="26"/>
      <c r="I854" s="26"/>
      <c r="J854" s="26"/>
      <c r="K854" s="26"/>
      <c r="L854" s="26"/>
      <c r="M854" s="26"/>
    </row>
    <row r="855" spans="1:13" ht="12.75" customHeight="1" x14ac:dyDescent="0.25">
      <c r="A855" s="26"/>
      <c r="B855" s="26"/>
      <c r="C855" s="26"/>
      <c r="D855" s="26"/>
      <c r="E855" s="26"/>
      <c r="F855" s="26"/>
      <c r="G855" s="26"/>
      <c r="H855" s="26"/>
      <c r="I855" s="26"/>
      <c r="J855" s="26"/>
      <c r="K855" s="26"/>
      <c r="L855" s="26"/>
      <c r="M855" s="26"/>
    </row>
    <row r="856" spans="1:13" ht="12.75" customHeight="1" x14ac:dyDescent="0.25">
      <c r="A856" s="26"/>
      <c r="B856" s="26"/>
      <c r="C856" s="26"/>
      <c r="D856" s="26"/>
      <c r="E856" s="26"/>
      <c r="F856" s="26"/>
      <c r="G856" s="26"/>
      <c r="H856" s="26"/>
      <c r="I856" s="26"/>
      <c r="J856" s="26"/>
      <c r="K856" s="26"/>
      <c r="L856" s="26"/>
      <c r="M856" s="26"/>
    </row>
    <row r="857" spans="1:13" ht="12.75" customHeight="1" x14ac:dyDescent="0.25">
      <c r="A857" s="26"/>
      <c r="B857" s="26"/>
      <c r="C857" s="26"/>
      <c r="D857" s="26"/>
      <c r="E857" s="26"/>
      <c r="F857" s="26"/>
      <c r="G857" s="26"/>
      <c r="H857" s="26"/>
      <c r="I857" s="26"/>
      <c r="J857" s="26"/>
      <c r="K857" s="26"/>
      <c r="L857" s="26"/>
      <c r="M857" s="26"/>
    </row>
    <row r="858" spans="1:13" ht="12.75" customHeight="1" x14ac:dyDescent="0.25">
      <c r="A858" s="26"/>
      <c r="B858" s="26"/>
      <c r="C858" s="26"/>
      <c r="D858" s="26"/>
      <c r="E858" s="26"/>
      <c r="F858" s="26"/>
      <c r="G858" s="26"/>
      <c r="H858" s="26"/>
      <c r="I858" s="26"/>
      <c r="J858" s="26"/>
      <c r="K858" s="26"/>
      <c r="L858" s="26"/>
      <c r="M858" s="26"/>
    </row>
    <row r="859" spans="1:13" ht="12.75" customHeight="1" x14ac:dyDescent="0.25">
      <c r="A859" s="26"/>
      <c r="B859" s="26"/>
      <c r="C859" s="26"/>
      <c r="D859" s="26"/>
      <c r="E859" s="26"/>
      <c r="F859" s="26"/>
      <c r="G859" s="26"/>
      <c r="H859" s="26"/>
      <c r="I859" s="26"/>
      <c r="J859" s="26"/>
      <c r="K859" s="26"/>
      <c r="L859" s="26"/>
      <c r="M859" s="26"/>
    </row>
    <row r="860" spans="1:13" ht="12.75" customHeight="1" x14ac:dyDescent="0.25">
      <c r="A860" s="26"/>
      <c r="B860" s="26"/>
      <c r="C860" s="26"/>
      <c r="D860" s="26"/>
      <c r="E860" s="26"/>
      <c r="F860" s="26"/>
      <c r="G860" s="26"/>
      <c r="H860" s="26"/>
      <c r="I860" s="26"/>
      <c r="J860" s="26"/>
      <c r="K860" s="26"/>
      <c r="L860" s="26"/>
      <c r="M860" s="26"/>
    </row>
    <row r="861" spans="1:13" ht="12.75" customHeight="1" x14ac:dyDescent="0.25">
      <c r="A861" s="26"/>
      <c r="B861" s="26"/>
      <c r="C861" s="26"/>
      <c r="D861" s="26"/>
      <c r="E861" s="26"/>
      <c r="F861" s="26"/>
      <c r="G861" s="26"/>
      <c r="H861" s="26"/>
      <c r="I861" s="26"/>
      <c r="J861" s="26"/>
      <c r="K861" s="26"/>
      <c r="L861" s="26"/>
      <c r="M861" s="26"/>
    </row>
    <row r="862" spans="1:13" ht="12.75" customHeight="1" x14ac:dyDescent="0.25">
      <c r="A862" s="26"/>
      <c r="B862" s="26"/>
      <c r="C862" s="26"/>
      <c r="D862" s="26"/>
      <c r="E862" s="26"/>
      <c r="F862" s="26"/>
      <c r="G862" s="26"/>
      <c r="H862" s="26"/>
      <c r="I862" s="26"/>
      <c r="J862" s="26"/>
      <c r="K862" s="26"/>
      <c r="L862" s="26"/>
      <c r="M862" s="26"/>
    </row>
    <row r="863" spans="1:13" ht="12.75" customHeight="1" x14ac:dyDescent="0.25">
      <c r="A863" s="26"/>
      <c r="B863" s="26"/>
      <c r="C863" s="26"/>
      <c r="D863" s="26"/>
      <c r="E863" s="26"/>
      <c r="F863" s="26"/>
      <c r="G863" s="26"/>
      <c r="H863" s="26"/>
      <c r="I863" s="26"/>
      <c r="J863" s="26"/>
      <c r="K863" s="26"/>
      <c r="L863" s="26"/>
      <c r="M863" s="26"/>
    </row>
    <row r="864" spans="1:13" ht="12.75" customHeight="1" x14ac:dyDescent="0.25">
      <c r="A864" s="26"/>
      <c r="B864" s="26"/>
      <c r="C864" s="26"/>
      <c r="D864" s="26"/>
      <c r="E864" s="26"/>
      <c r="F864" s="26"/>
      <c r="G864" s="26"/>
      <c r="H864" s="26"/>
      <c r="I864" s="26"/>
      <c r="J864" s="26"/>
      <c r="K864" s="26"/>
      <c r="L864" s="26"/>
      <c r="M864" s="26"/>
    </row>
    <row r="865" spans="1:13" ht="12.75" customHeight="1" x14ac:dyDescent="0.25">
      <c r="A865" s="26"/>
      <c r="B865" s="26"/>
      <c r="C865" s="26"/>
      <c r="D865" s="26"/>
      <c r="E865" s="26"/>
      <c r="F865" s="26"/>
      <c r="G865" s="26"/>
      <c r="H865" s="26"/>
      <c r="I865" s="26"/>
      <c r="J865" s="26"/>
      <c r="K865" s="26"/>
      <c r="L865" s="26"/>
      <c r="M865" s="26"/>
    </row>
    <row r="866" spans="1:13" ht="12.75" customHeight="1" x14ac:dyDescent="0.25">
      <c r="A866" s="26"/>
      <c r="B866" s="26"/>
      <c r="C866" s="26"/>
      <c r="D866" s="26"/>
      <c r="E866" s="26"/>
      <c r="F866" s="26"/>
      <c r="G866" s="26"/>
      <c r="H866" s="26"/>
      <c r="I866" s="26"/>
      <c r="J866" s="26"/>
      <c r="K866" s="26"/>
      <c r="L866" s="26"/>
      <c r="M866" s="26"/>
    </row>
    <row r="867" spans="1:13" ht="12.75" customHeight="1" x14ac:dyDescent="0.25">
      <c r="A867" s="26"/>
      <c r="B867" s="26"/>
      <c r="C867" s="26"/>
      <c r="D867" s="26"/>
      <c r="E867" s="26"/>
      <c r="F867" s="26"/>
      <c r="G867" s="26"/>
      <c r="H867" s="26"/>
      <c r="I867" s="26"/>
      <c r="J867" s="26"/>
      <c r="K867" s="26"/>
      <c r="L867" s="26"/>
      <c r="M867" s="26"/>
    </row>
    <row r="868" spans="1:13" ht="12.75" customHeight="1" x14ac:dyDescent="0.25">
      <c r="A868" s="26"/>
      <c r="B868" s="26"/>
      <c r="C868" s="26"/>
      <c r="D868" s="26"/>
      <c r="E868" s="26"/>
      <c r="F868" s="26"/>
      <c r="G868" s="26"/>
      <c r="H868" s="26"/>
      <c r="I868" s="26"/>
      <c r="J868" s="26"/>
      <c r="K868" s="26"/>
      <c r="L868" s="26"/>
      <c r="M868" s="26"/>
    </row>
    <row r="869" spans="1:13" ht="12.75" customHeight="1" x14ac:dyDescent="0.25">
      <c r="A869" s="26"/>
      <c r="B869" s="26"/>
      <c r="C869" s="26"/>
      <c r="D869" s="26"/>
      <c r="E869" s="26"/>
      <c r="F869" s="26"/>
      <c r="G869" s="26"/>
      <c r="H869" s="26"/>
      <c r="I869" s="26"/>
      <c r="J869" s="26"/>
      <c r="K869" s="26"/>
      <c r="L869" s="26"/>
      <c r="M869" s="26"/>
    </row>
    <row r="870" spans="1:13" ht="12.75" customHeight="1" x14ac:dyDescent="0.25">
      <c r="A870" s="26"/>
      <c r="B870" s="26"/>
      <c r="C870" s="26"/>
      <c r="D870" s="26"/>
      <c r="E870" s="26"/>
      <c r="F870" s="26"/>
      <c r="G870" s="26"/>
      <c r="H870" s="26"/>
      <c r="I870" s="26"/>
      <c r="J870" s="26"/>
      <c r="K870" s="26"/>
      <c r="L870" s="26"/>
      <c r="M870" s="26"/>
    </row>
    <row r="871" spans="1:13" ht="12.75" customHeight="1" x14ac:dyDescent="0.25">
      <c r="A871" s="26"/>
      <c r="B871" s="26"/>
      <c r="C871" s="26"/>
      <c r="D871" s="26"/>
      <c r="E871" s="26"/>
      <c r="F871" s="26"/>
      <c r="G871" s="26"/>
      <c r="H871" s="26"/>
      <c r="I871" s="26"/>
      <c r="J871" s="26"/>
      <c r="K871" s="26"/>
      <c r="L871" s="26"/>
      <c r="M871" s="26"/>
    </row>
    <row r="872" spans="1:13" ht="12.75" customHeight="1" x14ac:dyDescent="0.25">
      <c r="A872" s="26"/>
      <c r="B872" s="26"/>
      <c r="C872" s="26"/>
      <c r="D872" s="26"/>
      <c r="E872" s="26"/>
      <c r="F872" s="26"/>
      <c r="G872" s="26"/>
      <c r="H872" s="26"/>
      <c r="I872" s="26"/>
      <c r="J872" s="26"/>
      <c r="K872" s="26"/>
      <c r="L872" s="26"/>
      <c r="M872" s="26"/>
    </row>
    <row r="873" spans="1:13" ht="12.75" customHeight="1" x14ac:dyDescent="0.25">
      <c r="A873" s="26"/>
      <c r="B873" s="26"/>
      <c r="C873" s="26"/>
      <c r="D873" s="26"/>
      <c r="E873" s="26"/>
      <c r="F873" s="26"/>
      <c r="G873" s="26"/>
      <c r="H873" s="26"/>
      <c r="I873" s="26"/>
      <c r="J873" s="26"/>
      <c r="K873" s="26"/>
      <c r="L873" s="26"/>
      <c r="M873" s="26"/>
    </row>
    <row r="874" spans="1:13" ht="12.75" customHeight="1" x14ac:dyDescent="0.25">
      <c r="A874" s="26"/>
      <c r="B874" s="26"/>
      <c r="C874" s="26"/>
      <c r="D874" s="26"/>
      <c r="E874" s="26"/>
      <c r="F874" s="26"/>
      <c r="G874" s="26"/>
      <c r="H874" s="26"/>
      <c r="I874" s="26"/>
      <c r="J874" s="26"/>
      <c r="K874" s="26"/>
      <c r="L874" s="26"/>
      <c r="M874" s="26"/>
    </row>
    <row r="875" spans="1:13" ht="12.75" customHeight="1" x14ac:dyDescent="0.25">
      <c r="A875" s="26"/>
      <c r="B875" s="26"/>
      <c r="C875" s="26"/>
      <c r="D875" s="26"/>
      <c r="E875" s="26"/>
      <c r="F875" s="26"/>
      <c r="G875" s="26"/>
      <c r="H875" s="26"/>
      <c r="I875" s="26"/>
      <c r="J875" s="26"/>
      <c r="K875" s="26"/>
      <c r="L875" s="26"/>
      <c r="M875" s="26"/>
    </row>
    <row r="876" spans="1:13" ht="12.75" customHeight="1" x14ac:dyDescent="0.25">
      <c r="A876" s="26"/>
      <c r="B876" s="26"/>
      <c r="C876" s="26"/>
      <c r="D876" s="26"/>
      <c r="E876" s="26"/>
      <c r="F876" s="26"/>
      <c r="G876" s="26"/>
      <c r="H876" s="26"/>
      <c r="I876" s="26"/>
      <c r="J876" s="26"/>
      <c r="K876" s="26"/>
      <c r="L876" s="26"/>
      <c r="M876" s="26"/>
    </row>
    <row r="877" spans="1:13" ht="12.75" customHeight="1" x14ac:dyDescent="0.25">
      <c r="A877" s="26"/>
      <c r="B877" s="26"/>
      <c r="C877" s="26"/>
      <c r="D877" s="26"/>
      <c r="E877" s="26"/>
      <c r="F877" s="26"/>
      <c r="G877" s="26"/>
      <c r="H877" s="26"/>
      <c r="I877" s="26"/>
      <c r="J877" s="26"/>
      <c r="K877" s="26"/>
      <c r="L877" s="26"/>
      <c r="M877" s="26"/>
    </row>
    <row r="878" spans="1:13" ht="12.75" customHeight="1" x14ac:dyDescent="0.25">
      <c r="A878" s="26"/>
      <c r="B878" s="26"/>
      <c r="C878" s="26"/>
      <c r="D878" s="26"/>
      <c r="E878" s="26"/>
      <c r="F878" s="26"/>
      <c r="G878" s="26"/>
      <c r="H878" s="26"/>
      <c r="I878" s="26"/>
      <c r="J878" s="26"/>
      <c r="K878" s="26"/>
      <c r="L878" s="26"/>
      <c r="M878" s="26"/>
    </row>
    <row r="879" spans="1:13" ht="12.75" customHeight="1" x14ac:dyDescent="0.25">
      <c r="A879" s="26"/>
      <c r="B879" s="26"/>
      <c r="C879" s="26"/>
      <c r="D879" s="26"/>
      <c r="E879" s="26"/>
      <c r="F879" s="26"/>
      <c r="G879" s="26"/>
      <c r="H879" s="26"/>
      <c r="I879" s="26"/>
      <c r="J879" s="26"/>
      <c r="K879" s="26"/>
      <c r="L879" s="26"/>
      <c r="M879" s="26"/>
    </row>
    <row r="880" spans="1:13" ht="12.75" customHeight="1" x14ac:dyDescent="0.25">
      <c r="A880" s="26"/>
      <c r="B880" s="26"/>
      <c r="C880" s="26"/>
      <c r="D880" s="26"/>
      <c r="E880" s="26"/>
      <c r="F880" s="26"/>
      <c r="G880" s="26"/>
      <c r="H880" s="26"/>
      <c r="I880" s="26"/>
      <c r="J880" s="26"/>
      <c r="K880" s="26"/>
      <c r="L880" s="26"/>
      <c r="M880" s="26"/>
    </row>
    <row r="881" spans="1:13" ht="12.75" customHeight="1" x14ac:dyDescent="0.25">
      <c r="A881" s="26"/>
      <c r="B881" s="26"/>
      <c r="C881" s="26"/>
      <c r="D881" s="26"/>
      <c r="E881" s="26"/>
      <c r="F881" s="26"/>
      <c r="G881" s="26"/>
      <c r="H881" s="26"/>
      <c r="I881" s="26"/>
      <c r="J881" s="26"/>
      <c r="K881" s="26"/>
      <c r="L881" s="26"/>
      <c r="M881" s="26"/>
    </row>
    <row r="882" spans="1:13" ht="12.75" customHeight="1" x14ac:dyDescent="0.25">
      <c r="A882" s="26"/>
      <c r="B882" s="26"/>
      <c r="C882" s="26"/>
      <c r="D882" s="26"/>
      <c r="E882" s="26"/>
      <c r="F882" s="26"/>
      <c r="G882" s="26"/>
      <c r="H882" s="26"/>
      <c r="I882" s="26"/>
      <c r="J882" s="26"/>
      <c r="K882" s="26"/>
      <c r="L882" s="26"/>
      <c r="M882" s="26"/>
    </row>
    <row r="883" spans="1:13" ht="12.75" customHeight="1" x14ac:dyDescent="0.25">
      <c r="A883" s="26"/>
      <c r="B883" s="26"/>
      <c r="C883" s="26"/>
      <c r="D883" s="26"/>
      <c r="E883" s="26"/>
      <c r="F883" s="26"/>
      <c r="G883" s="26"/>
      <c r="H883" s="26"/>
      <c r="I883" s="26"/>
      <c r="J883" s="26"/>
      <c r="K883" s="26"/>
      <c r="L883" s="26"/>
      <c r="M883" s="26"/>
    </row>
    <row r="884" spans="1:13" ht="12.75" customHeight="1" x14ac:dyDescent="0.25">
      <c r="A884" s="26"/>
      <c r="B884" s="26"/>
      <c r="C884" s="26"/>
      <c r="D884" s="26"/>
      <c r="E884" s="26"/>
      <c r="F884" s="26"/>
      <c r="G884" s="26"/>
      <c r="H884" s="26"/>
      <c r="I884" s="26"/>
      <c r="J884" s="26"/>
      <c r="K884" s="26"/>
      <c r="L884" s="26"/>
      <c r="M884" s="26"/>
    </row>
    <row r="885" spans="1:13" ht="12.75" customHeight="1" x14ac:dyDescent="0.25">
      <c r="A885" s="26"/>
      <c r="B885" s="26"/>
      <c r="C885" s="26"/>
      <c r="D885" s="26"/>
      <c r="E885" s="26"/>
      <c r="F885" s="26"/>
      <c r="G885" s="26"/>
      <c r="H885" s="26"/>
      <c r="I885" s="26"/>
      <c r="J885" s="26"/>
      <c r="K885" s="26"/>
      <c r="L885" s="26"/>
      <c r="M885" s="26"/>
    </row>
    <row r="886" spans="1:13" ht="12.75" customHeight="1" x14ac:dyDescent="0.25">
      <c r="A886" s="26"/>
      <c r="B886" s="26"/>
      <c r="C886" s="26"/>
      <c r="D886" s="26"/>
      <c r="E886" s="26"/>
      <c r="F886" s="26"/>
      <c r="G886" s="26"/>
      <c r="H886" s="26"/>
      <c r="I886" s="26"/>
      <c r="J886" s="26"/>
      <c r="K886" s="26"/>
      <c r="L886" s="26"/>
      <c r="M886" s="26"/>
    </row>
    <row r="887" spans="1:13" ht="12.75" customHeight="1" x14ac:dyDescent="0.25">
      <c r="A887" s="26"/>
      <c r="B887" s="26"/>
      <c r="C887" s="26"/>
      <c r="D887" s="26"/>
      <c r="E887" s="26"/>
      <c r="F887" s="26"/>
      <c r="G887" s="26"/>
      <c r="H887" s="26"/>
      <c r="I887" s="26"/>
      <c r="J887" s="26"/>
      <c r="K887" s="26"/>
      <c r="L887" s="26"/>
      <c r="M887" s="26"/>
    </row>
    <row r="888" spans="1:13" ht="12.75" customHeight="1" x14ac:dyDescent="0.25">
      <c r="A888" s="26"/>
      <c r="B888" s="26"/>
      <c r="C888" s="26"/>
      <c r="D888" s="26"/>
      <c r="E888" s="26"/>
      <c r="F888" s="26"/>
      <c r="G888" s="26"/>
      <c r="H888" s="26"/>
      <c r="I888" s="26"/>
      <c r="J888" s="26"/>
      <c r="K888" s="26"/>
      <c r="L888" s="26"/>
      <c r="M888" s="26"/>
    </row>
    <row r="889" spans="1:13" ht="12.75" customHeight="1" x14ac:dyDescent="0.25">
      <c r="A889" s="26"/>
      <c r="B889" s="26"/>
      <c r="C889" s="26"/>
      <c r="D889" s="26"/>
      <c r="E889" s="26"/>
      <c r="F889" s="26"/>
      <c r="G889" s="26"/>
      <c r="H889" s="26"/>
      <c r="I889" s="26"/>
      <c r="J889" s="26"/>
      <c r="K889" s="26"/>
      <c r="L889" s="26"/>
      <c r="M889" s="26"/>
    </row>
    <row r="890" spans="1:13" ht="12.75" customHeight="1" x14ac:dyDescent="0.25">
      <c r="A890" s="26"/>
      <c r="B890" s="26"/>
      <c r="C890" s="26"/>
      <c r="D890" s="26"/>
      <c r="E890" s="26"/>
      <c r="F890" s="26"/>
      <c r="G890" s="26"/>
      <c r="H890" s="26"/>
      <c r="I890" s="26"/>
      <c r="J890" s="26"/>
      <c r="K890" s="26"/>
      <c r="L890" s="26"/>
      <c r="M890" s="26"/>
    </row>
    <row r="891" spans="1:13" ht="12.75" customHeight="1" x14ac:dyDescent="0.25">
      <c r="A891" s="26"/>
      <c r="B891" s="26"/>
      <c r="C891" s="26"/>
      <c r="D891" s="26"/>
      <c r="E891" s="26"/>
      <c r="F891" s="26"/>
      <c r="G891" s="26"/>
      <c r="H891" s="26"/>
      <c r="I891" s="26"/>
      <c r="J891" s="26"/>
      <c r="K891" s="26"/>
      <c r="L891" s="26"/>
      <c r="M891" s="26"/>
    </row>
    <row r="892" spans="1:13" ht="12.75" customHeight="1" x14ac:dyDescent="0.25">
      <c r="A892" s="26"/>
      <c r="B892" s="26"/>
      <c r="C892" s="26"/>
      <c r="D892" s="26"/>
      <c r="E892" s="26"/>
      <c r="F892" s="26"/>
      <c r="G892" s="26"/>
      <c r="H892" s="26"/>
      <c r="I892" s="26"/>
      <c r="J892" s="26"/>
      <c r="K892" s="26"/>
      <c r="L892" s="26"/>
      <c r="M892" s="26"/>
    </row>
    <row r="893" spans="1:13" ht="12.75" customHeight="1" x14ac:dyDescent="0.25">
      <c r="A893" s="26"/>
      <c r="B893" s="26"/>
      <c r="C893" s="26"/>
      <c r="D893" s="26"/>
      <c r="E893" s="26"/>
      <c r="F893" s="26"/>
      <c r="G893" s="26"/>
      <c r="H893" s="26"/>
      <c r="I893" s="26"/>
      <c r="J893" s="26"/>
      <c r="K893" s="26"/>
      <c r="L893" s="26"/>
      <c r="M893" s="26"/>
    </row>
    <row r="894" spans="1:13" ht="12.75" customHeight="1" x14ac:dyDescent="0.25">
      <c r="A894" s="26"/>
      <c r="B894" s="26"/>
      <c r="C894" s="26"/>
      <c r="D894" s="26"/>
      <c r="E894" s="26"/>
      <c r="F894" s="26"/>
      <c r="G894" s="26"/>
      <c r="H894" s="26"/>
      <c r="I894" s="26"/>
      <c r="J894" s="26"/>
      <c r="K894" s="26"/>
      <c r="L894" s="26"/>
      <c r="M894" s="26"/>
    </row>
    <row r="895" spans="1:13" ht="12.75" customHeight="1" x14ac:dyDescent="0.25">
      <c r="A895" s="26"/>
      <c r="B895" s="26"/>
      <c r="C895" s="26"/>
      <c r="D895" s="26"/>
      <c r="E895" s="26"/>
      <c r="F895" s="26"/>
      <c r="G895" s="26"/>
      <c r="H895" s="26"/>
      <c r="I895" s="26"/>
      <c r="J895" s="26"/>
      <c r="K895" s="26"/>
      <c r="L895" s="26"/>
      <c r="M895" s="26"/>
    </row>
    <row r="896" spans="1:13" ht="12.75" customHeight="1" x14ac:dyDescent="0.25">
      <c r="A896" s="26"/>
      <c r="B896" s="26"/>
      <c r="C896" s="26"/>
      <c r="D896" s="26"/>
      <c r="E896" s="26"/>
      <c r="F896" s="26"/>
      <c r="G896" s="26"/>
      <c r="H896" s="26"/>
      <c r="I896" s="26"/>
      <c r="J896" s="26"/>
      <c r="K896" s="26"/>
      <c r="L896" s="26"/>
      <c r="M896" s="26"/>
    </row>
    <row r="897" spans="1:13" ht="12.75" customHeight="1" x14ac:dyDescent="0.25">
      <c r="A897" s="26"/>
      <c r="B897" s="26"/>
      <c r="C897" s="26"/>
      <c r="D897" s="26"/>
      <c r="E897" s="26"/>
      <c r="F897" s="26"/>
      <c r="G897" s="26"/>
      <c r="H897" s="26"/>
      <c r="I897" s="26"/>
      <c r="J897" s="26"/>
      <c r="K897" s="26"/>
      <c r="L897" s="26"/>
      <c r="M897" s="26"/>
    </row>
    <row r="898" spans="1:13" ht="12.75" customHeight="1" x14ac:dyDescent="0.25">
      <c r="A898" s="26"/>
      <c r="B898" s="26"/>
      <c r="C898" s="26"/>
      <c r="D898" s="26"/>
      <c r="E898" s="26"/>
      <c r="F898" s="26"/>
      <c r="G898" s="26"/>
      <c r="H898" s="26"/>
      <c r="I898" s="26"/>
      <c r="J898" s="26"/>
      <c r="K898" s="26"/>
      <c r="L898" s="26"/>
      <c r="M898" s="26"/>
    </row>
    <row r="899" spans="1:13" ht="12.75" customHeight="1" x14ac:dyDescent="0.25">
      <c r="A899" s="26"/>
      <c r="B899" s="26"/>
      <c r="C899" s="26"/>
      <c r="D899" s="26"/>
      <c r="E899" s="26"/>
      <c r="F899" s="26"/>
      <c r="G899" s="26"/>
      <c r="H899" s="26"/>
      <c r="I899" s="26"/>
      <c r="J899" s="26"/>
      <c r="K899" s="26"/>
      <c r="L899" s="26"/>
      <c r="M899" s="26"/>
    </row>
    <row r="900" spans="1:13" ht="12.75" customHeight="1" x14ac:dyDescent="0.25">
      <c r="A900" s="26"/>
      <c r="B900" s="26"/>
      <c r="C900" s="26"/>
      <c r="D900" s="26"/>
      <c r="E900" s="26"/>
      <c r="F900" s="26"/>
      <c r="G900" s="26"/>
      <c r="H900" s="26"/>
      <c r="I900" s="26"/>
      <c r="J900" s="26"/>
      <c r="K900" s="26"/>
      <c r="L900" s="26"/>
      <c r="M900" s="26"/>
    </row>
    <row r="901" spans="1:13" ht="12.75" customHeight="1" x14ac:dyDescent="0.25">
      <c r="A901" s="26"/>
      <c r="B901" s="26"/>
      <c r="C901" s="26"/>
      <c r="D901" s="26"/>
      <c r="E901" s="26"/>
      <c r="F901" s="26"/>
      <c r="G901" s="26"/>
      <c r="H901" s="26"/>
      <c r="I901" s="26"/>
      <c r="J901" s="26"/>
      <c r="K901" s="26"/>
      <c r="L901" s="26"/>
      <c r="M901" s="26"/>
    </row>
    <row r="902" spans="1:13" ht="12.75" customHeight="1" x14ac:dyDescent="0.25">
      <c r="A902" s="26"/>
      <c r="B902" s="26"/>
      <c r="C902" s="26"/>
      <c r="D902" s="26"/>
      <c r="E902" s="26"/>
      <c r="F902" s="26"/>
      <c r="G902" s="26"/>
      <c r="H902" s="26"/>
      <c r="I902" s="26"/>
      <c r="J902" s="26"/>
      <c r="K902" s="26"/>
      <c r="L902" s="26"/>
      <c r="M902" s="26"/>
    </row>
    <row r="903" spans="1:13" ht="12.75" customHeight="1" x14ac:dyDescent="0.25">
      <c r="A903" s="26"/>
      <c r="B903" s="26"/>
      <c r="C903" s="26"/>
      <c r="D903" s="26"/>
      <c r="E903" s="26"/>
      <c r="F903" s="26"/>
      <c r="G903" s="26"/>
      <c r="H903" s="26"/>
      <c r="I903" s="26"/>
      <c r="J903" s="26"/>
      <c r="K903" s="26"/>
      <c r="L903" s="26"/>
      <c r="M903" s="26"/>
    </row>
    <row r="904" spans="1:13" ht="12.75" customHeight="1" x14ac:dyDescent="0.25">
      <c r="A904" s="26"/>
      <c r="B904" s="26"/>
      <c r="C904" s="26"/>
      <c r="D904" s="26"/>
      <c r="E904" s="26"/>
      <c r="F904" s="26"/>
      <c r="G904" s="26"/>
      <c r="H904" s="26"/>
      <c r="I904" s="26"/>
      <c r="J904" s="26"/>
      <c r="K904" s="26"/>
      <c r="L904" s="26"/>
      <c r="M904" s="26"/>
    </row>
    <row r="905" spans="1:13" ht="12.75" customHeight="1" x14ac:dyDescent="0.25">
      <c r="A905" s="26"/>
      <c r="B905" s="26"/>
      <c r="C905" s="26"/>
      <c r="D905" s="26"/>
      <c r="E905" s="26"/>
      <c r="F905" s="26"/>
      <c r="G905" s="26"/>
      <c r="H905" s="26"/>
      <c r="I905" s="26"/>
      <c r="J905" s="26"/>
      <c r="K905" s="26"/>
      <c r="L905" s="26"/>
      <c r="M905" s="26"/>
    </row>
    <row r="906" spans="1:13" ht="12.75" customHeight="1" x14ac:dyDescent="0.25">
      <c r="A906" s="26"/>
      <c r="B906" s="26"/>
      <c r="C906" s="26"/>
      <c r="D906" s="26"/>
      <c r="E906" s="26"/>
      <c r="F906" s="26"/>
      <c r="G906" s="26"/>
      <c r="H906" s="26"/>
      <c r="I906" s="26"/>
      <c r="J906" s="26"/>
      <c r="K906" s="26"/>
      <c r="L906" s="26"/>
      <c r="M906" s="26"/>
    </row>
    <row r="907" spans="1:13" ht="12.75" customHeight="1" x14ac:dyDescent="0.25">
      <c r="A907" s="26"/>
      <c r="B907" s="26"/>
      <c r="C907" s="26"/>
      <c r="D907" s="26"/>
      <c r="E907" s="26"/>
      <c r="F907" s="26"/>
      <c r="G907" s="26"/>
      <c r="H907" s="26"/>
      <c r="I907" s="26"/>
      <c r="J907" s="26"/>
      <c r="K907" s="26"/>
      <c r="L907" s="26"/>
      <c r="M907" s="26"/>
    </row>
    <row r="908" spans="1:13" ht="12.75" customHeight="1" x14ac:dyDescent="0.25">
      <c r="A908" s="26"/>
      <c r="B908" s="26"/>
      <c r="C908" s="26"/>
      <c r="D908" s="26"/>
      <c r="E908" s="26"/>
      <c r="F908" s="26"/>
      <c r="G908" s="26"/>
      <c r="H908" s="26"/>
      <c r="I908" s="26"/>
      <c r="J908" s="26"/>
      <c r="K908" s="26"/>
      <c r="L908" s="26"/>
      <c r="M908" s="26"/>
    </row>
    <row r="909" spans="1:13" ht="12.75" customHeight="1" x14ac:dyDescent="0.25">
      <c r="A909" s="26"/>
      <c r="B909" s="26"/>
      <c r="C909" s="26"/>
      <c r="D909" s="26"/>
      <c r="E909" s="26"/>
      <c r="F909" s="26"/>
      <c r="G909" s="26"/>
      <c r="H909" s="26"/>
      <c r="I909" s="26"/>
      <c r="J909" s="26"/>
      <c r="K909" s="26"/>
      <c r="L909" s="26"/>
      <c r="M909" s="26"/>
    </row>
    <row r="910" spans="1:13" ht="12.75" customHeight="1" x14ac:dyDescent="0.25">
      <c r="A910" s="26"/>
      <c r="B910" s="26"/>
      <c r="C910" s="26"/>
      <c r="D910" s="26"/>
      <c r="E910" s="26"/>
      <c r="F910" s="26"/>
      <c r="G910" s="26"/>
      <c r="H910" s="26"/>
      <c r="I910" s="26"/>
      <c r="J910" s="26"/>
      <c r="K910" s="26"/>
      <c r="L910" s="26"/>
      <c r="M910" s="26"/>
    </row>
    <row r="911" spans="1:13" ht="12.75" customHeight="1" x14ac:dyDescent="0.25">
      <c r="A911" s="26"/>
      <c r="B911" s="26"/>
      <c r="C911" s="26"/>
      <c r="D911" s="26"/>
      <c r="E911" s="26"/>
      <c r="F911" s="26"/>
      <c r="G911" s="26"/>
      <c r="H911" s="26"/>
      <c r="I911" s="26"/>
      <c r="J911" s="26"/>
      <c r="K911" s="26"/>
      <c r="L911" s="26"/>
      <c r="M911" s="26"/>
    </row>
    <row r="912" spans="1:13" ht="12.75" customHeight="1" x14ac:dyDescent="0.25">
      <c r="A912" s="26"/>
      <c r="B912" s="26"/>
      <c r="C912" s="26"/>
      <c r="D912" s="26"/>
      <c r="E912" s="26"/>
      <c r="F912" s="26"/>
      <c r="G912" s="26"/>
      <c r="H912" s="26"/>
      <c r="I912" s="26"/>
      <c r="J912" s="26"/>
      <c r="K912" s="26"/>
      <c r="L912" s="26"/>
      <c r="M912" s="26"/>
    </row>
    <row r="913" spans="1:13" ht="12.75" customHeight="1" x14ac:dyDescent="0.25">
      <c r="A913" s="26"/>
      <c r="B913" s="26"/>
      <c r="C913" s="26"/>
      <c r="D913" s="26"/>
      <c r="E913" s="26"/>
      <c r="F913" s="26"/>
      <c r="G913" s="26"/>
      <c r="H913" s="26"/>
      <c r="I913" s="26"/>
      <c r="J913" s="26"/>
      <c r="K913" s="26"/>
      <c r="L913" s="26"/>
      <c r="M913" s="26"/>
    </row>
    <row r="914" spans="1:13" ht="12.75" customHeight="1" x14ac:dyDescent="0.25">
      <c r="A914" s="26"/>
      <c r="B914" s="26"/>
      <c r="C914" s="26"/>
      <c r="D914" s="26"/>
      <c r="E914" s="26"/>
      <c r="F914" s="26"/>
      <c r="G914" s="26"/>
      <c r="H914" s="26"/>
      <c r="I914" s="26"/>
      <c r="J914" s="26"/>
      <c r="K914" s="26"/>
      <c r="L914" s="26"/>
      <c r="M914" s="26"/>
    </row>
    <row r="915" spans="1:13" ht="12.75" customHeight="1" x14ac:dyDescent="0.25">
      <c r="A915" s="26"/>
      <c r="B915" s="26"/>
      <c r="C915" s="26"/>
      <c r="D915" s="26"/>
      <c r="E915" s="26"/>
      <c r="F915" s="26"/>
      <c r="G915" s="26"/>
      <c r="H915" s="26"/>
      <c r="I915" s="26"/>
      <c r="J915" s="26"/>
      <c r="K915" s="26"/>
      <c r="L915" s="26"/>
      <c r="M915" s="26"/>
    </row>
    <row r="916" spans="1:13" ht="12.75" customHeight="1" x14ac:dyDescent="0.25">
      <c r="A916" s="26"/>
      <c r="B916" s="26"/>
      <c r="C916" s="26"/>
      <c r="D916" s="26"/>
      <c r="E916" s="26"/>
      <c r="F916" s="26"/>
      <c r="G916" s="26"/>
      <c r="H916" s="26"/>
      <c r="I916" s="26"/>
      <c r="J916" s="26"/>
      <c r="K916" s="26"/>
      <c r="L916" s="26"/>
      <c r="M916" s="26"/>
    </row>
    <row r="917" spans="1:13" ht="12.75" customHeight="1" x14ac:dyDescent="0.25">
      <c r="A917" s="26"/>
      <c r="B917" s="26"/>
      <c r="C917" s="26"/>
      <c r="D917" s="26"/>
      <c r="E917" s="26"/>
      <c r="F917" s="26"/>
      <c r="G917" s="26"/>
      <c r="H917" s="26"/>
      <c r="I917" s="26"/>
      <c r="J917" s="26"/>
      <c r="K917" s="26"/>
      <c r="L917" s="26"/>
      <c r="M917" s="26"/>
    </row>
    <row r="918" spans="1:13" ht="12.75" customHeight="1" x14ac:dyDescent="0.25">
      <c r="A918" s="26"/>
      <c r="B918" s="26"/>
      <c r="C918" s="26"/>
      <c r="D918" s="26"/>
      <c r="E918" s="26"/>
      <c r="F918" s="26"/>
      <c r="G918" s="26"/>
      <c r="H918" s="26"/>
      <c r="I918" s="26"/>
      <c r="J918" s="26"/>
      <c r="K918" s="26"/>
      <c r="L918" s="26"/>
      <c r="M918" s="26"/>
    </row>
    <row r="919" spans="1:13" ht="12.75" customHeight="1" x14ac:dyDescent="0.25">
      <c r="A919" s="26"/>
      <c r="B919" s="26"/>
      <c r="C919" s="26"/>
      <c r="D919" s="26"/>
      <c r="E919" s="26"/>
      <c r="F919" s="26"/>
      <c r="G919" s="26"/>
      <c r="H919" s="26"/>
      <c r="I919" s="26"/>
      <c r="J919" s="26"/>
      <c r="K919" s="26"/>
      <c r="L919" s="26"/>
      <c r="M919" s="26"/>
    </row>
    <row r="920" spans="1:13" ht="12.75" customHeight="1" x14ac:dyDescent="0.25">
      <c r="A920" s="26"/>
      <c r="B920" s="26"/>
      <c r="C920" s="26"/>
      <c r="D920" s="26"/>
      <c r="E920" s="26"/>
      <c r="F920" s="26"/>
      <c r="G920" s="26"/>
      <c r="H920" s="26"/>
      <c r="I920" s="26"/>
      <c r="J920" s="26"/>
      <c r="K920" s="26"/>
      <c r="L920" s="26"/>
      <c r="M920" s="26"/>
    </row>
    <row r="921" spans="1:13" ht="12.75" customHeight="1" x14ac:dyDescent="0.25">
      <c r="A921" s="26"/>
      <c r="B921" s="26"/>
      <c r="C921" s="26"/>
      <c r="D921" s="26"/>
      <c r="E921" s="26"/>
      <c r="F921" s="26"/>
      <c r="G921" s="26"/>
      <c r="H921" s="26"/>
      <c r="I921" s="26"/>
      <c r="J921" s="26"/>
      <c r="K921" s="26"/>
      <c r="L921" s="26"/>
      <c r="M921" s="26"/>
    </row>
    <row r="922" spans="1:13" ht="12.75" customHeight="1" x14ac:dyDescent="0.25">
      <c r="A922" s="26"/>
      <c r="B922" s="26"/>
      <c r="C922" s="26"/>
      <c r="D922" s="26"/>
      <c r="E922" s="26"/>
      <c r="F922" s="26"/>
      <c r="G922" s="26"/>
      <c r="H922" s="26"/>
      <c r="I922" s="26"/>
      <c r="J922" s="26"/>
      <c r="K922" s="26"/>
      <c r="L922" s="26"/>
      <c r="M922" s="26"/>
    </row>
    <row r="923" spans="1:13" ht="12.75" customHeight="1" x14ac:dyDescent="0.25">
      <c r="A923" s="26"/>
      <c r="B923" s="26"/>
      <c r="C923" s="26"/>
      <c r="D923" s="26"/>
      <c r="E923" s="26"/>
      <c r="F923" s="26"/>
      <c r="G923" s="26"/>
      <c r="H923" s="26"/>
      <c r="I923" s="26"/>
      <c r="J923" s="26"/>
      <c r="K923" s="26"/>
      <c r="L923" s="26"/>
      <c r="M923" s="26"/>
    </row>
    <row r="924" spans="1:13" ht="12.75" customHeight="1" x14ac:dyDescent="0.25">
      <c r="A924" s="26"/>
      <c r="B924" s="26"/>
      <c r="C924" s="26"/>
      <c r="D924" s="26"/>
      <c r="E924" s="26"/>
      <c r="F924" s="26"/>
      <c r="G924" s="26"/>
      <c r="H924" s="26"/>
      <c r="I924" s="26"/>
      <c r="J924" s="26"/>
      <c r="K924" s="26"/>
      <c r="L924" s="26"/>
      <c r="M924" s="26"/>
    </row>
    <row r="925" spans="1:13" ht="12.75" customHeight="1" x14ac:dyDescent="0.25">
      <c r="A925" s="26"/>
      <c r="B925" s="26"/>
      <c r="C925" s="26"/>
      <c r="D925" s="26"/>
      <c r="E925" s="26"/>
      <c r="F925" s="26"/>
      <c r="G925" s="26"/>
      <c r="H925" s="26"/>
      <c r="I925" s="26"/>
      <c r="J925" s="26"/>
      <c r="K925" s="26"/>
      <c r="L925" s="26"/>
      <c r="M925" s="26"/>
    </row>
    <row r="926" spans="1:13" ht="12.75" customHeight="1" x14ac:dyDescent="0.25">
      <c r="A926" s="26"/>
      <c r="B926" s="26"/>
      <c r="C926" s="26"/>
      <c r="D926" s="26"/>
      <c r="E926" s="26"/>
      <c r="F926" s="26"/>
      <c r="G926" s="26"/>
      <c r="H926" s="26"/>
      <c r="I926" s="26"/>
      <c r="J926" s="26"/>
      <c r="K926" s="26"/>
      <c r="L926" s="26"/>
      <c r="M926" s="26"/>
    </row>
    <row r="927" spans="1:13" ht="12.75" customHeight="1" x14ac:dyDescent="0.25">
      <c r="A927" s="26"/>
      <c r="B927" s="26"/>
      <c r="C927" s="26"/>
      <c r="D927" s="26"/>
      <c r="E927" s="26"/>
      <c r="F927" s="26"/>
      <c r="G927" s="26"/>
      <c r="H927" s="26"/>
      <c r="I927" s="26"/>
      <c r="J927" s="26"/>
      <c r="K927" s="26"/>
      <c r="L927" s="26"/>
      <c r="M927" s="26"/>
    </row>
    <row r="928" spans="1:13" ht="12.75" customHeight="1" x14ac:dyDescent="0.25">
      <c r="A928" s="26"/>
      <c r="B928" s="26"/>
      <c r="C928" s="26"/>
      <c r="D928" s="26"/>
      <c r="E928" s="26"/>
      <c r="F928" s="26"/>
      <c r="G928" s="26"/>
      <c r="H928" s="26"/>
      <c r="I928" s="26"/>
      <c r="J928" s="26"/>
      <c r="K928" s="26"/>
      <c r="L928" s="26"/>
      <c r="M928" s="26"/>
    </row>
    <row r="929" spans="1:13" ht="12.75" customHeight="1" x14ac:dyDescent="0.25">
      <c r="A929" s="26"/>
      <c r="B929" s="26"/>
      <c r="C929" s="26"/>
      <c r="D929" s="26"/>
      <c r="E929" s="26"/>
      <c r="F929" s="26"/>
      <c r="G929" s="26"/>
      <c r="H929" s="26"/>
      <c r="I929" s="26"/>
      <c r="J929" s="26"/>
      <c r="K929" s="26"/>
      <c r="L929" s="26"/>
      <c r="M929" s="26"/>
    </row>
    <row r="930" spans="1:13" ht="12.75" customHeight="1" x14ac:dyDescent="0.25">
      <c r="A930" s="26"/>
      <c r="B930" s="26"/>
      <c r="C930" s="26"/>
      <c r="D930" s="26"/>
      <c r="E930" s="26"/>
      <c r="F930" s="26"/>
      <c r="G930" s="26"/>
      <c r="H930" s="26"/>
      <c r="I930" s="26"/>
      <c r="J930" s="26"/>
      <c r="K930" s="26"/>
      <c r="L930" s="26"/>
      <c r="M930" s="26"/>
    </row>
    <row r="931" spans="1:13" ht="12.75" customHeight="1" x14ac:dyDescent="0.25">
      <c r="A931" s="26"/>
      <c r="B931" s="26"/>
      <c r="C931" s="26"/>
      <c r="D931" s="26"/>
      <c r="E931" s="26"/>
      <c r="F931" s="26"/>
      <c r="G931" s="26"/>
      <c r="H931" s="26"/>
      <c r="I931" s="26"/>
      <c r="J931" s="26"/>
      <c r="K931" s="26"/>
      <c r="L931" s="26"/>
      <c r="M931" s="26"/>
    </row>
    <row r="932" spans="1:13" ht="12.75" customHeight="1" x14ac:dyDescent="0.25">
      <c r="A932" s="26"/>
      <c r="B932" s="26"/>
      <c r="C932" s="26"/>
      <c r="D932" s="26"/>
      <c r="E932" s="26"/>
      <c r="F932" s="26"/>
      <c r="G932" s="26"/>
      <c r="H932" s="26"/>
      <c r="I932" s="26"/>
      <c r="J932" s="26"/>
      <c r="K932" s="26"/>
      <c r="L932" s="26"/>
      <c r="M932" s="26"/>
    </row>
    <row r="933" spans="1:13" ht="12.75" customHeight="1" x14ac:dyDescent="0.25">
      <c r="A933" s="26"/>
      <c r="B933" s="26"/>
      <c r="C933" s="26"/>
      <c r="D933" s="26"/>
      <c r="E933" s="26"/>
      <c r="F933" s="26"/>
      <c r="G933" s="26"/>
      <c r="H933" s="26"/>
      <c r="I933" s="26"/>
      <c r="J933" s="26"/>
      <c r="K933" s="26"/>
      <c r="L933" s="26"/>
      <c r="M933" s="26"/>
    </row>
    <row r="934" spans="1:13" ht="12.75" customHeight="1" x14ac:dyDescent="0.25">
      <c r="A934" s="26"/>
      <c r="B934" s="26"/>
      <c r="C934" s="26"/>
      <c r="D934" s="26"/>
      <c r="E934" s="26"/>
      <c r="F934" s="26"/>
      <c r="G934" s="26"/>
      <c r="H934" s="26"/>
      <c r="I934" s="26"/>
      <c r="J934" s="26"/>
      <c r="K934" s="26"/>
      <c r="L934" s="26"/>
      <c r="M934" s="26"/>
    </row>
    <row r="935" spans="1:13" ht="12.75" customHeight="1" x14ac:dyDescent="0.25">
      <c r="A935" s="26"/>
      <c r="B935" s="26"/>
      <c r="C935" s="26"/>
      <c r="D935" s="26"/>
      <c r="E935" s="26"/>
      <c r="F935" s="26"/>
      <c r="G935" s="26"/>
      <c r="H935" s="26"/>
      <c r="I935" s="26"/>
      <c r="J935" s="26"/>
      <c r="K935" s="26"/>
      <c r="L935" s="26"/>
      <c r="M935" s="26"/>
    </row>
    <row r="936" spans="1:13" ht="12.75" customHeight="1" x14ac:dyDescent="0.25">
      <c r="A936" s="26"/>
      <c r="B936" s="26"/>
      <c r="C936" s="26"/>
      <c r="D936" s="26"/>
      <c r="E936" s="26"/>
      <c r="F936" s="26"/>
      <c r="G936" s="26"/>
      <c r="H936" s="26"/>
      <c r="I936" s="26"/>
      <c r="J936" s="26"/>
      <c r="K936" s="26"/>
      <c r="L936" s="26"/>
      <c r="M936" s="26"/>
    </row>
    <row r="937" spans="1:13" ht="12.75" customHeight="1" x14ac:dyDescent="0.25">
      <c r="A937" s="26"/>
      <c r="B937" s="26"/>
      <c r="C937" s="26"/>
      <c r="D937" s="26"/>
      <c r="E937" s="26"/>
      <c r="F937" s="26"/>
      <c r="G937" s="26"/>
      <c r="H937" s="26"/>
      <c r="I937" s="26"/>
      <c r="J937" s="26"/>
      <c r="K937" s="26"/>
      <c r="L937" s="26"/>
      <c r="M937" s="26"/>
    </row>
    <row r="938" spans="1:13" ht="12.75" customHeight="1" x14ac:dyDescent="0.25">
      <c r="A938" s="26"/>
      <c r="B938" s="26"/>
      <c r="C938" s="26"/>
      <c r="D938" s="26"/>
      <c r="E938" s="26"/>
      <c r="F938" s="26"/>
      <c r="G938" s="26"/>
      <c r="H938" s="26"/>
      <c r="I938" s="26"/>
      <c r="J938" s="26"/>
      <c r="K938" s="26"/>
      <c r="L938" s="26"/>
      <c r="M938" s="26"/>
    </row>
    <row r="939" spans="1:13" ht="12.75" customHeight="1" x14ac:dyDescent="0.25">
      <c r="A939" s="26"/>
      <c r="B939" s="26"/>
      <c r="C939" s="26"/>
      <c r="D939" s="26"/>
      <c r="E939" s="26"/>
      <c r="F939" s="26"/>
      <c r="G939" s="26"/>
      <c r="H939" s="26"/>
      <c r="I939" s="26"/>
      <c r="J939" s="26"/>
      <c r="K939" s="26"/>
      <c r="L939" s="26"/>
      <c r="M939" s="26"/>
    </row>
    <row r="940" spans="1:13" ht="12.75" customHeight="1" x14ac:dyDescent="0.25">
      <c r="A940" s="26"/>
      <c r="B940" s="26"/>
      <c r="C940" s="26"/>
      <c r="D940" s="26"/>
      <c r="E940" s="26"/>
      <c r="F940" s="26"/>
      <c r="G940" s="26"/>
      <c r="H940" s="26"/>
      <c r="I940" s="26"/>
      <c r="J940" s="26"/>
      <c r="K940" s="26"/>
      <c r="L940" s="26"/>
      <c r="M940" s="26"/>
    </row>
    <row r="941" spans="1:13" ht="12.75" customHeight="1" x14ac:dyDescent="0.25">
      <c r="A941" s="26"/>
      <c r="B941" s="26"/>
      <c r="C941" s="26"/>
      <c r="D941" s="26"/>
      <c r="E941" s="26"/>
      <c r="F941" s="26"/>
      <c r="G941" s="26"/>
      <c r="H941" s="26"/>
      <c r="I941" s="26"/>
      <c r="J941" s="26"/>
      <c r="K941" s="26"/>
      <c r="L941" s="26"/>
      <c r="M941" s="26"/>
    </row>
    <row r="942" spans="1:13" ht="12.75" customHeight="1" x14ac:dyDescent="0.25">
      <c r="A942" s="26"/>
      <c r="B942" s="26"/>
      <c r="C942" s="26"/>
      <c r="D942" s="26"/>
      <c r="E942" s="26"/>
      <c r="F942" s="26"/>
      <c r="G942" s="26"/>
      <c r="H942" s="26"/>
      <c r="I942" s="26"/>
      <c r="J942" s="26"/>
      <c r="K942" s="26"/>
      <c r="L942" s="26"/>
      <c r="M942" s="26"/>
    </row>
    <row r="943" spans="1:13" ht="12.75" customHeight="1" x14ac:dyDescent="0.25">
      <c r="A943" s="26"/>
      <c r="B943" s="26"/>
      <c r="C943" s="26"/>
      <c r="D943" s="26"/>
      <c r="E943" s="26"/>
      <c r="F943" s="26"/>
      <c r="G943" s="26"/>
      <c r="H943" s="26"/>
      <c r="I943" s="26"/>
      <c r="J943" s="26"/>
      <c r="K943" s="26"/>
      <c r="L943" s="26"/>
      <c r="M943" s="26"/>
    </row>
    <row r="944" spans="1:13" ht="12.75" customHeight="1" x14ac:dyDescent="0.25">
      <c r="A944" s="26"/>
      <c r="B944" s="26"/>
      <c r="C944" s="26"/>
      <c r="D944" s="26"/>
      <c r="E944" s="26"/>
      <c r="F944" s="26"/>
      <c r="G944" s="26"/>
      <c r="H944" s="26"/>
      <c r="I944" s="26"/>
      <c r="J944" s="26"/>
      <c r="K944" s="26"/>
      <c r="L944" s="26"/>
      <c r="M944" s="26"/>
    </row>
    <row r="945" spans="1:13" ht="12.75" customHeight="1" x14ac:dyDescent="0.25">
      <c r="A945" s="26"/>
      <c r="B945" s="26"/>
      <c r="C945" s="26"/>
      <c r="D945" s="26"/>
      <c r="E945" s="26"/>
      <c r="F945" s="26"/>
      <c r="G945" s="26"/>
      <c r="H945" s="26"/>
      <c r="I945" s="26"/>
      <c r="J945" s="26"/>
      <c r="K945" s="26"/>
      <c r="L945" s="26"/>
      <c r="M945" s="26"/>
    </row>
    <row r="946" spans="1:13" ht="12.75" customHeight="1" x14ac:dyDescent="0.25">
      <c r="A946" s="26"/>
      <c r="B946" s="26"/>
      <c r="C946" s="26"/>
      <c r="D946" s="26"/>
      <c r="E946" s="26"/>
      <c r="F946" s="26"/>
      <c r="G946" s="26"/>
      <c r="H946" s="26"/>
      <c r="I946" s="26"/>
      <c r="J946" s="26"/>
      <c r="K946" s="26"/>
      <c r="L946" s="26"/>
      <c r="M946" s="26"/>
    </row>
    <row r="947" spans="1:13" ht="12.75" customHeight="1" x14ac:dyDescent="0.25">
      <c r="A947" s="26"/>
      <c r="B947" s="26"/>
      <c r="C947" s="26"/>
      <c r="D947" s="26"/>
      <c r="E947" s="26"/>
      <c r="F947" s="26"/>
      <c r="G947" s="26"/>
      <c r="H947" s="26"/>
      <c r="I947" s="26"/>
      <c r="J947" s="26"/>
      <c r="K947" s="26"/>
      <c r="L947" s="26"/>
      <c r="M947" s="26"/>
    </row>
    <row r="948" spans="1:13" ht="12.75" customHeight="1" x14ac:dyDescent="0.25">
      <c r="A948" s="26"/>
      <c r="B948" s="26"/>
      <c r="C948" s="26"/>
      <c r="D948" s="26"/>
      <c r="E948" s="26"/>
      <c r="F948" s="26"/>
      <c r="G948" s="26"/>
      <c r="H948" s="26"/>
      <c r="I948" s="26"/>
      <c r="J948" s="26"/>
      <c r="K948" s="26"/>
      <c r="L948" s="26"/>
      <c r="M948" s="26"/>
    </row>
    <row r="949" spans="1:13" ht="12.75" customHeight="1" x14ac:dyDescent="0.25">
      <c r="A949" s="26"/>
      <c r="B949" s="26"/>
      <c r="C949" s="26"/>
      <c r="D949" s="26"/>
      <c r="E949" s="26"/>
      <c r="F949" s="26"/>
      <c r="G949" s="26"/>
      <c r="H949" s="26"/>
      <c r="I949" s="26"/>
      <c r="J949" s="26"/>
      <c r="K949" s="26"/>
      <c r="L949" s="26"/>
      <c r="M949" s="26"/>
    </row>
    <row r="950" spans="1:13" ht="12.75" customHeight="1" x14ac:dyDescent="0.25">
      <c r="A950" s="26"/>
      <c r="B950" s="26"/>
      <c r="C950" s="26"/>
      <c r="D950" s="26"/>
      <c r="E950" s="26"/>
      <c r="F950" s="26"/>
      <c r="G950" s="26"/>
      <c r="H950" s="26"/>
      <c r="I950" s="26"/>
      <c r="J950" s="26"/>
      <c r="K950" s="26"/>
      <c r="L950" s="26"/>
      <c r="M950" s="26"/>
    </row>
    <row r="951" spans="1:13" ht="12.75" customHeight="1" x14ac:dyDescent="0.25">
      <c r="A951" s="26"/>
      <c r="B951" s="26"/>
      <c r="C951" s="26"/>
      <c r="D951" s="26"/>
      <c r="E951" s="26"/>
      <c r="F951" s="26"/>
      <c r="G951" s="26"/>
      <c r="H951" s="26"/>
      <c r="I951" s="26"/>
      <c r="J951" s="26"/>
      <c r="K951" s="26"/>
      <c r="L951" s="26"/>
      <c r="M951" s="26"/>
    </row>
    <row r="952" spans="1:13" ht="12.75" customHeight="1" x14ac:dyDescent="0.25">
      <c r="A952" s="26"/>
      <c r="B952" s="26"/>
      <c r="C952" s="26"/>
      <c r="D952" s="26"/>
      <c r="E952" s="26"/>
      <c r="F952" s="26"/>
      <c r="G952" s="26"/>
      <c r="H952" s="26"/>
      <c r="I952" s="26"/>
      <c r="J952" s="26"/>
      <c r="K952" s="26"/>
      <c r="L952" s="26"/>
      <c r="M952" s="26"/>
    </row>
    <row r="953" spans="1:13" ht="12.75" customHeight="1" x14ac:dyDescent="0.25">
      <c r="A953" s="26"/>
      <c r="B953" s="26"/>
      <c r="C953" s="26"/>
      <c r="D953" s="26"/>
      <c r="E953" s="26"/>
      <c r="F953" s="26"/>
      <c r="G953" s="26"/>
      <c r="H953" s="26"/>
      <c r="I953" s="26"/>
      <c r="J953" s="26"/>
      <c r="K953" s="26"/>
      <c r="L953" s="26"/>
      <c r="M953" s="26"/>
    </row>
    <row r="954" spans="1:13" ht="12.75" customHeight="1" x14ac:dyDescent="0.25">
      <c r="A954" s="26"/>
      <c r="B954" s="26"/>
      <c r="C954" s="26"/>
      <c r="D954" s="26"/>
      <c r="E954" s="26"/>
      <c r="F954" s="26"/>
      <c r="G954" s="26"/>
      <c r="H954" s="26"/>
      <c r="I954" s="26"/>
      <c r="J954" s="26"/>
      <c r="K954" s="26"/>
      <c r="L954" s="26"/>
      <c r="M954" s="26"/>
    </row>
    <row r="955" spans="1:13" ht="12.75" customHeight="1" x14ac:dyDescent="0.25">
      <c r="A955" s="26"/>
      <c r="B955" s="26"/>
      <c r="C955" s="26"/>
      <c r="D955" s="26"/>
      <c r="E955" s="26"/>
      <c r="F955" s="26"/>
      <c r="G955" s="26"/>
      <c r="H955" s="26"/>
      <c r="I955" s="26"/>
      <c r="J955" s="26"/>
      <c r="K955" s="26"/>
      <c r="L955" s="26"/>
      <c r="M955" s="26"/>
    </row>
    <row r="956" spans="1:13" ht="12.75" customHeight="1" x14ac:dyDescent="0.25">
      <c r="A956" s="26"/>
      <c r="B956" s="26"/>
      <c r="C956" s="26"/>
      <c r="D956" s="26"/>
      <c r="E956" s="26"/>
      <c r="F956" s="26"/>
      <c r="G956" s="26"/>
      <c r="H956" s="26"/>
      <c r="I956" s="26"/>
      <c r="J956" s="26"/>
      <c r="K956" s="26"/>
      <c r="L956" s="26"/>
      <c r="M956" s="26"/>
    </row>
    <row r="957" spans="1:13" ht="12.75" customHeight="1" x14ac:dyDescent="0.25">
      <c r="A957" s="26"/>
      <c r="B957" s="26"/>
      <c r="C957" s="26"/>
      <c r="D957" s="26"/>
      <c r="E957" s="26"/>
      <c r="F957" s="26"/>
      <c r="G957" s="26"/>
      <c r="H957" s="26"/>
      <c r="I957" s="26"/>
      <c r="J957" s="26"/>
      <c r="K957" s="26"/>
      <c r="L957" s="26"/>
      <c r="M957" s="26"/>
    </row>
    <row r="958" spans="1:13" ht="12.75" customHeight="1" x14ac:dyDescent="0.25">
      <c r="A958" s="26"/>
      <c r="B958" s="26"/>
      <c r="C958" s="26"/>
      <c r="D958" s="26"/>
      <c r="E958" s="26"/>
      <c r="F958" s="26"/>
      <c r="G958" s="26"/>
      <c r="H958" s="26"/>
      <c r="I958" s="26"/>
      <c r="J958" s="26"/>
      <c r="K958" s="26"/>
      <c r="L958" s="26"/>
      <c r="M958" s="26"/>
    </row>
    <row r="959" spans="1:13" ht="12.75" customHeight="1" x14ac:dyDescent="0.25">
      <c r="A959" s="26"/>
      <c r="B959" s="26"/>
      <c r="C959" s="26"/>
      <c r="D959" s="26"/>
      <c r="E959" s="26"/>
      <c r="F959" s="26"/>
      <c r="G959" s="26"/>
      <c r="H959" s="26"/>
      <c r="I959" s="26"/>
      <c r="J959" s="26"/>
      <c r="K959" s="26"/>
      <c r="L959" s="26"/>
      <c r="M959" s="26"/>
    </row>
    <row r="960" spans="1:13" ht="12.75" customHeight="1" x14ac:dyDescent="0.25">
      <c r="A960" s="26"/>
      <c r="B960" s="26"/>
      <c r="C960" s="26"/>
      <c r="D960" s="26"/>
      <c r="E960" s="26"/>
      <c r="F960" s="26"/>
      <c r="G960" s="26"/>
      <c r="H960" s="26"/>
      <c r="I960" s="26"/>
      <c r="J960" s="26"/>
      <c r="K960" s="26"/>
      <c r="L960" s="26"/>
      <c r="M960" s="26"/>
    </row>
    <row r="961" spans="1:13" ht="12.75" customHeight="1" x14ac:dyDescent="0.25">
      <c r="A961" s="26"/>
      <c r="B961" s="26"/>
      <c r="C961" s="26"/>
      <c r="D961" s="26"/>
      <c r="E961" s="26"/>
      <c r="F961" s="26"/>
      <c r="G961" s="26"/>
      <c r="H961" s="26"/>
      <c r="I961" s="26"/>
      <c r="J961" s="26"/>
      <c r="K961" s="26"/>
      <c r="L961" s="26"/>
      <c r="M961" s="26"/>
    </row>
    <row r="962" spans="1:13" ht="12.75" customHeight="1" x14ac:dyDescent="0.25">
      <c r="A962" s="26"/>
      <c r="B962" s="26"/>
      <c r="C962" s="26"/>
      <c r="D962" s="26"/>
      <c r="E962" s="26"/>
      <c r="F962" s="26"/>
      <c r="G962" s="26"/>
      <c r="H962" s="26"/>
      <c r="I962" s="26"/>
      <c r="J962" s="26"/>
      <c r="K962" s="26"/>
      <c r="L962" s="26"/>
      <c r="M962" s="26"/>
    </row>
    <row r="963" spans="1:13" ht="12.75" customHeight="1" x14ac:dyDescent="0.25">
      <c r="A963" s="26"/>
      <c r="B963" s="26"/>
      <c r="C963" s="26"/>
      <c r="D963" s="26"/>
      <c r="E963" s="26"/>
      <c r="F963" s="26"/>
      <c r="G963" s="26"/>
      <c r="H963" s="26"/>
      <c r="I963" s="26"/>
      <c r="J963" s="26"/>
      <c r="K963" s="26"/>
      <c r="L963" s="26"/>
      <c r="M963" s="26"/>
    </row>
    <row r="964" spans="1:13" ht="12.75" customHeight="1" x14ac:dyDescent="0.25">
      <c r="A964" s="26"/>
      <c r="B964" s="26"/>
      <c r="C964" s="26"/>
      <c r="D964" s="26"/>
      <c r="E964" s="26"/>
      <c r="F964" s="26"/>
      <c r="G964" s="26"/>
      <c r="H964" s="26"/>
      <c r="I964" s="26"/>
      <c r="J964" s="26"/>
      <c r="K964" s="26"/>
      <c r="L964" s="26"/>
      <c r="M964" s="26"/>
    </row>
    <row r="965" spans="1:13" ht="12.75" customHeight="1" x14ac:dyDescent="0.25">
      <c r="A965" s="26"/>
      <c r="B965" s="26"/>
      <c r="C965" s="26"/>
      <c r="D965" s="26"/>
      <c r="E965" s="26"/>
      <c r="F965" s="26"/>
      <c r="G965" s="26"/>
      <c r="H965" s="26"/>
      <c r="I965" s="26"/>
      <c r="J965" s="26"/>
      <c r="K965" s="26"/>
      <c r="L965" s="26"/>
      <c r="M965" s="26"/>
    </row>
    <row r="966" spans="1:13" ht="12.75" customHeight="1" x14ac:dyDescent="0.25">
      <c r="A966" s="26"/>
      <c r="B966" s="26"/>
      <c r="C966" s="26"/>
      <c r="D966" s="26"/>
      <c r="E966" s="26"/>
      <c r="F966" s="26"/>
      <c r="G966" s="26"/>
      <c r="H966" s="26"/>
      <c r="I966" s="26"/>
      <c r="J966" s="26"/>
      <c r="K966" s="26"/>
      <c r="L966" s="26"/>
      <c r="M966" s="26"/>
    </row>
    <row r="967" spans="1:13" ht="12.75" customHeight="1" x14ac:dyDescent="0.25">
      <c r="A967" s="26"/>
      <c r="B967" s="26"/>
      <c r="C967" s="26"/>
      <c r="D967" s="26"/>
      <c r="E967" s="26"/>
      <c r="F967" s="26"/>
      <c r="G967" s="26"/>
      <c r="H967" s="26"/>
      <c r="I967" s="26"/>
      <c r="J967" s="26"/>
      <c r="K967" s="26"/>
      <c r="L967" s="26"/>
      <c r="M967" s="26"/>
    </row>
    <row r="968" spans="1:13" ht="12.75" customHeight="1" x14ac:dyDescent="0.25">
      <c r="A968" s="26"/>
      <c r="B968" s="26"/>
      <c r="C968" s="26"/>
      <c r="D968" s="26"/>
      <c r="E968" s="26"/>
      <c r="F968" s="26"/>
      <c r="G968" s="26"/>
      <c r="H968" s="26"/>
      <c r="I968" s="26"/>
      <c r="J968" s="26"/>
      <c r="K968" s="26"/>
      <c r="L968" s="26"/>
      <c r="M968" s="26"/>
    </row>
    <row r="969" spans="1:13" ht="12.75" customHeight="1" x14ac:dyDescent="0.25">
      <c r="A969" s="26"/>
      <c r="B969" s="26"/>
      <c r="C969" s="26"/>
      <c r="D969" s="26"/>
      <c r="E969" s="26"/>
      <c r="F969" s="26"/>
      <c r="G969" s="26"/>
      <c r="H969" s="26"/>
      <c r="I969" s="26"/>
      <c r="J969" s="26"/>
      <c r="K969" s="26"/>
      <c r="L969" s="26"/>
      <c r="M969" s="26"/>
    </row>
    <row r="970" spans="1:13" ht="12.75" customHeight="1" x14ac:dyDescent="0.25">
      <c r="A970" s="26"/>
      <c r="B970" s="26"/>
      <c r="C970" s="26"/>
      <c r="D970" s="26"/>
      <c r="E970" s="26"/>
      <c r="F970" s="26"/>
      <c r="G970" s="26"/>
      <c r="H970" s="26"/>
      <c r="I970" s="26"/>
      <c r="J970" s="26"/>
      <c r="K970" s="26"/>
      <c r="L970" s="26"/>
      <c r="M970" s="26"/>
    </row>
    <row r="971" spans="1:13" ht="12.75" customHeight="1" x14ac:dyDescent="0.25">
      <c r="A971" s="26"/>
      <c r="B971" s="26"/>
      <c r="C971" s="26"/>
      <c r="D971" s="26"/>
      <c r="E971" s="26"/>
      <c r="F971" s="26"/>
      <c r="G971" s="26"/>
      <c r="H971" s="26"/>
      <c r="I971" s="26"/>
      <c r="J971" s="26"/>
      <c r="K971" s="26"/>
      <c r="L971" s="26"/>
      <c r="M971" s="26"/>
    </row>
    <row r="972" spans="1:13" ht="12.75" customHeight="1" x14ac:dyDescent="0.25">
      <c r="A972" s="26"/>
      <c r="B972" s="26"/>
      <c r="C972" s="26"/>
      <c r="D972" s="26"/>
      <c r="E972" s="26"/>
      <c r="F972" s="26"/>
      <c r="G972" s="26"/>
      <c r="H972" s="26"/>
      <c r="I972" s="26"/>
      <c r="J972" s="26"/>
      <c r="K972" s="26"/>
      <c r="L972" s="26"/>
      <c r="M972" s="26"/>
    </row>
    <row r="973" spans="1:13" ht="12.75" customHeight="1" x14ac:dyDescent="0.25">
      <c r="A973" s="26"/>
      <c r="B973" s="26"/>
      <c r="C973" s="26"/>
      <c r="D973" s="26"/>
      <c r="E973" s="26"/>
      <c r="F973" s="26"/>
      <c r="G973" s="26"/>
      <c r="H973" s="26"/>
      <c r="I973" s="26"/>
      <c r="J973" s="26"/>
      <c r="K973" s="26"/>
      <c r="L973" s="26"/>
      <c r="M973" s="26"/>
    </row>
    <row r="974" spans="1:13" ht="12.75" customHeight="1" x14ac:dyDescent="0.25">
      <c r="A974" s="26"/>
      <c r="B974" s="26"/>
      <c r="C974" s="26"/>
      <c r="D974" s="26"/>
      <c r="E974" s="26"/>
      <c r="F974" s="26"/>
      <c r="G974" s="26"/>
      <c r="H974" s="26"/>
      <c r="I974" s="26"/>
      <c r="J974" s="26"/>
      <c r="K974" s="26"/>
      <c r="L974" s="26"/>
      <c r="M974" s="26"/>
    </row>
    <row r="975" spans="1:13" ht="12.75" customHeight="1" x14ac:dyDescent="0.25">
      <c r="A975" s="26"/>
      <c r="B975" s="26"/>
      <c r="C975" s="26"/>
      <c r="D975" s="26"/>
      <c r="E975" s="26"/>
      <c r="F975" s="26"/>
      <c r="G975" s="26"/>
      <c r="H975" s="26"/>
      <c r="I975" s="26"/>
      <c r="J975" s="26"/>
      <c r="K975" s="26"/>
      <c r="L975" s="26"/>
      <c r="M975" s="26"/>
    </row>
    <row r="976" spans="1:13" ht="12.75" customHeight="1" x14ac:dyDescent="0.25">
      <c r="A976" s="26"/>
      <c r="B976" s="26"/>
      <c r="C976" s="26"/>
      <c r="D976" s="26"/>
      <c r="E976" s="26"/>
      <c r="F976" s="26"/>
      <c r="G976" s="26"/>
      <c r="H976" s="26"/>
      <c r="I976" s="26"/>
      <c r="J976" s="26"/>
      <c r="K976" s="26"/>
      <c r="L976" s="26"/>
      <c r="M976" s="26"/>
    </row>
    <row r="977" spans="1:13" ht="12.75" customHeight="1" x14ac:dyDescent="0.25">
      <c r="A977" s="26"/>
      <c r="B977" s="26"/>
      <c r="C977" s="26"/>
      <c r="D977" s="26"/>
      <c r="E977" s="26"/>
      <c r="F977" s="26"/>
      <c r="G977" s="26"/>
      <c r="H977" s="26"/>
      <c r="I977" s="26"/>
      <c r="J977" s="26"/>
      <c r="K977" s="26"/>
      <c r="L977" s="26"/>
      <c r="M977" s="26"/>
    </row>
    <row r="978" spans="1:13" ht="12.75" customHeight="1" x14ac:dyDescent="0.25">
      <c r="A978" s="26"/>
      <c r="B978" s="26"/>
      <c r="C978" s="26"/>
      <c r="D978" s="26"/>
      <c r="E978" s="26"/>
      <c r="F978" s="26"/>
      <c r="G978" s="26"/>
      <c r="H978" s="26"/>
      <c r="I978" s="26"/>
      <c r="J978" s="26"/>
      <c r="K978" s="26"/>
      <c r="L978" s="26"/>
      <c r="M978" s="26"/>
    </row>
    <row r="979" spans="1:13" ht="12.75" customHeight="1" x14ac:dyDescent="0.25">
      <c r="A979" s="26"/>
      <c r="B979" s="26"/>
      <c r="C979" s="26"/>
      <c r="D979" s="26"/>
      <c r="E979" s="26"/>
      <c r="F979" s="26"/>
      <c r="G979" s="26"/>
      <c r="H979" s="26"/>
      <c r="I979" s="26"/>
      <c r="J979" s="26"/>
      <c r="K979" s="26"/>
      <c r="L979" s="26"/>
      <c r="M979" s="26"/>
    </row>
    <row r="980" spans="1:13" ht="12.75" customHeight="1" x14ac:dyDescent="0.25">
      <c r="A980" s="26"/>
      <c r="B980" s="26"/>
      <c r="C980" s="26"/>
      <c r="D980" s="26"/>
      <c r="E980" s="26"/>
      <c r="F980" s="26"/>
      <c r="G980" s="26"/>
      <c r="H980" s="26"/>
      <c r="I980" s="26"/>
      <c r="J980" s="26"/>
      <c r="K980" s="26"/>
      <c r="L980" s="26"/>
      <c r="M980" s="26"/>
    </row>
    <row r="981" spans="1:13" ht="12.75" customHeight="1" x14ac:dyDescent="0.25">
      <c r="A981" s="26"/>
      <c r="B981" s="26"/>
      <c r="C981" s="26"/>
      <c r="D981" s="26"/>
      <c r="E981" s="26"/>
      <c r="F981" s="26"/>
      <c r="G981" s="26"/>
      <c r="H981" s="26"/>
      <c r="I981" s="26"/>
      <c r="J981" s="26"/>
      <c r="K981" s="26"/>
      <c r="L981" s="26"/>
      <c r="M981" s="26"/>
    </row>
    <row r="982" spans="1:13" ht="12.75" customHeight="1" x14ac:dyDescent="0.25">
      <c r="A982" s="26"/>
      <c r="B982" s="26"/>
      <c r="C982" s="26"/>
      <c r="D982" s="26"/>
      <c r="E982" s="26"/>
      <c r="F982" s="26"/>
      <c r="G982" s="26"/>
      <c r="H982" s="26"/>
      <c r="I982" s="26"/>
      <c r="J982" s="26"/>
      <c r="K982" s="26"/>
      <c r="L982" s="26"/>
      <c r="M982" s="26"/>
    </row>
    <row r="983" spans="1:13" ht="12.75" customHeight="1" x14ac:dyDescent="0.25">
      <c r="A983" s="26"/>
      <c r="B983" s="26"/>
      <c r="C983" s="26"/>
      <c r="D983" s="26"/>
      <c r="E983" s="26"/>
      <c r="F983" s="26"/>
      <c r="G983" s="26"/>
      <c r="H983" s="26"/>
      <c r="I983" s="26"/>
      <c r="J983" s="26"/>
      <c r="K983" s="26"/>
      <c r="L983" s="26"/>
      <c r="M983" s="26"/>
    </row>
    <row r="984" spans="1:13" ht="12.75" customHeight="1" x14ac:dyDescent="0.25">
      <c r="A984" s="26"/>
      <c r="B984" s="26"/>
      <c r="C984" s="26"/>
      <c r="D984" s="26"/>
      <c r="E984" s="26"/>
      <c r="F984" s="26"/>
      <c r="G984" s="26"/>
      <c r="H984" s="26"/>
      <c r="I984" s="26"/>
      <c r="J984" s="26"/>
      <c r="K984" s="26"/>
      <c r="L984" s="26"/>
      <c r="M984" s="26"/>
    </row>
    <row r="985" spans="1:13" ht="12.75" customHeight="1" x14ac:dyDescent="0.25">
      <c r="A985" s="26"/>
      <c r="B985" s="26"/>
      <c r="C985" s="26"/>
      <c r="D985" s="26"/>
      <c r="E985" s="26"/>
      <c r="F985" s="26"/>
      <c r="G985" s="26"/>
      <c r="H985" s="26"/>
      <c r="I985" s="26"/>
      <c r="J985" s="26"/>
      <c r="K985" s="26"/>
      <c r="L985" s="26"/>
      <c r="M985" s="26"/>
    </row>
    <row r="986" spans="1:13" ht="12.75" customHeight="1" x14ac:dyDescent="0.25">
      <c r="A986" s="26"/>
      <c r="B986" s="26"/>
      <c r="C986" s="26"/>
      <c r="D986" s="26"/>
      <c r="E986" s="26"/>
      <c r="F986" s="26"/>
      <c r="G986" s="26"/>
      <c r="H986" s="26"/>
      <c r="I986" s="26"/>
      <c r="J986" s="26"/>
      <c r="K986" s="26"/>
      <c r="L986" s="26"/>
      <c r="M986" s="26"/>
    </row>
    <row r="987" spans="1:13" ht="12.75" customHeight="1" x14ac:dyDescent="0.25">
      <c r="A987" s="26"/>
      <c r="B987" s="26"/>
      <c r="C987" s="26"/>
      <c r="D987" s="26"/>
      <c r="E987" s="26"/>
      <c r="F987" s="26"/>
      <c r="G987" s="26"/>
      <c r="H987" s="26"/>
      <c r="I987" s="26"/>
      <c r="J987" s="26"/>
      <c r="K987" s="26"/>
      <c r="L987" s="26"/>
      <c r="M987" s="26"/>
    </row>
    <row r="988" spans="1:13" ht="12.75" customHeight="1" x14ac:dyDescent="0.25">
      <c r="A988" s="26"/>
      <c r="B988" s="26"/>
      <c r="C988" s="26"/>
      <c r="D988" s="26"/>
      <c r="E988" s="26"/>
      <c r="F988" s="26"/>
      <c r="G988" s="26"/>
      <c r="H988" s="26"/>
      <c r="I988" s="26"/>
      <c r="J988" s="26"/>
      <c r="K988" s="26"/>
      <c r="L988" s="26"/>
      <c r="M988" s="26"/>
    </row>
    <row r="989" spans="1:13" ht="12.75" customHeight="1" x14ac:dyDescent="0.25">
      <c r="A989" s="26"/>
      <c r="B989" s="26"/>
      <c r="C989" s="26"/>
      <c r="D989" s="26"/>
      <c r="E989" s="26"/>
      <c r="F989" s="26"/>
      <c r="G989" s="26"/>
      <c r="H989" s="26"/>
      <c r="I989" s="26"/>
      <c r="J989" s="26"/>
      <c r="K989" s="26"/>
      <c r="L989" s="26"/>
      <c r="M989" s="26"/>
    </row>
    <row r="990" spans="1:13" ht="12.75" customHeight="1" x14ac:dyDescent="0.25">
      <c r="A990" s="26"/>
      <c r="B990" s="26"/>
      <c r="C990" s="26"/>
      <c r="D990" s="26"/>
      <c r="E990" s="26"/>
      <c r="F990" s="26"/>
      <c r="G990" s="26"/>
      <c r="H990" s="26"/>
      <c r="I990" s="26"/>
      <c r="J990" s="26"/>
      <c r="K990" s="26"/>
      <c r="L990" s="26"/>
      <c r="M990" s="26"/>
    </row>
    <row r="991" spans="1:13" ht="12.75" customHeight="1" x14ac:dyDescent="0.25">
      <c r="A991" s="26"/>
      <c r="B991" s="26"/>
      <c r="C991" s="26"/>
      <c r="D991" s="26"/>
      <c r="E991" s="26"/>
      <c r="F991" s="26"/>
      <c r="G991" s="26"/>
      <c r="H991" s="26"/>
      <c r="I991" s="26"/>
      <c r="J991" s="26"/>
      <c r="K991" s="26"/>
      <c r="L991" s="26"/>
      <c r="M991" s="26"/>
    </row>
    <row r="992" spans="1:13" ht="12.75" customHeight="1" x14ac:dyDescent="0.25">
      <c r="A992" s="26"/>
      <c r="B992" s="26"/>
      <c r="C992" s="26"/>
      <c r="D992" s="26"/>
      <c r="E992" s="26"/>
      <c r="F992" s="26"/>
      <c r="G992" s="26"/>
      <c r="H992" s="26"/>
      <c r="I992" s="26"/>
      <c r="J992" s="26"/>
      <c r="K992" s="26"/>
      <c r="L992" s="26"/>
      <c r="M992" s="26"/>
    </row>
    <row r="993" spans="1:13" ht="12.75" customHeight="1" x14ac:dyDescent="0.25">
      <c r="A993" s="26"/>
      <c r="B993" s="26"/>
      <c r="C993" s="26"/>
      <c r="D993" s="26"/>
      <c r="E993" s="26"/>
      <c r="F993" s="26"/>
      <c r="G993" s="26"/>
      <c r="H993" s="26"/>
      <c r="I993" s="26"/>
      <c r="J993" s="26"/>
      <c r="K993" s="26"/>
      <c r="L993" s="26"/>
      <c r="M993" s="26"/>
    </row>
    <row r="994" spans="1:13" ht="15" customHeight="1" x14ac:dyDescent="0.25">
      <c r="A994" s="26"/>
      <c r="B994" s="26"/>
      <c r="C994" s="26"/>
      <c r="D994" s="26"/>
      <c r="E994" s="26"/>
      <c r="F994" s="26"/>
      <c r="G994" s="26"/>
      <c r="H994" s="26"/>
      <c r="I994" s="26"/>
      <c r="J994" s="26"/>
      <c r="K994" s="26"/>
    </row>
    <row r="995" spans="1:13" ht="15" customHeight="1" x14ac:dyDescent="0.25">
      <c r="A995" s="26"/>
      <c r="B995" s="26"/>
      <c r="C995" s="26"/>
      <c r="D995" s="26"/>
      <c r="E995" s="26"/>
      <c r="F995" s="26"/>
      <c r="G995" s="26"/>
      <c r="H995" s="26"/>
      <c r="I995" s="26"/>
      <c r="J995" s="26"/>
      <c r="K995" s="26"/>
    </row>
    <row r="996" spans="1:13" ht="15" customHeight="1" x14ac:dyDescent="0.25">
      <c r="A996" s="26"/>
      <c r="B996" s="26"/>
      <c r="C996" s="26"/>
      <c r="D996" s="26"/>
      <c r="E996" s="26"/>
      <c r="F996" s="26"/>
      <c r="G996" s="26"/>
      <c r="H996" s="26"/>
      <c r="I996" s="26"/>
      <c r="J996" s="26"/>
      <c r="K996" s="26"/>
    </row>
    <row r="997" spans="1:13" ht="15" customHeight="1" x14ac:dyDescent="0.25">
      <c r="A997" s="26"/>
      <c r="B997" s="26"/>
      <c r="C997" s="26"/>
      <c r="D997" s="26"/>
      <c r="E997" s="26"/>
      <c r="F997" s="26"/>
      <c r="G997" s="26"/>
      <c r="H997" s="26"/>
      <c r="I997" s="26"/>
      <c r="J997" s="26"/>
      <c r="K997" s="26"/>
    </row>
    <row r="998" spans="1:13" ht="15" customHeight="1" x14ac:dyDescent="0.25">
      <c r="B998" s="26"/>
    </row>
    <row r="999" spans="1:13" ht="15" customHeight="1" x14ac:dyDescent="0.25">
      <c r="B999" s="26"/>
    </row>
  </sheetData>
  <mergeCells count="15">
    <mergeCell ref="M82:M118"/>
    <mergeCell ref="B2:L2"/>
    <mergeCell ref="C3:D3"/>
    <mergeCell ref="E3:L3"/>
    <mergeCell ref="B64:B65"/>
    <mergeCell ref="C64:C65"/>
    <mergeCell ref="D64:D65"/>
    <mergeCell ref="E64:E65"/>
    <mergeCell ref="F64:F65"/>
    <mergeCell ref="G64:G65"/>
    <mergeCell ref="H64:H65"/>
    <mergeCell ref="I64:I65"/>
    <mergeCell ref="J64:J65"/>
    <mergeCell ref="K64:K65"/>
    <mergeCell ref="L64:L65"/>
  </mergeCells>
  <pageMargins left="0.7" right="0.7" top="0.75" bottom="0.75" header="0" footer="0"/>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AA30D-F471-470F-B4E8-0910FB0AD01D}">
  <dimension ref="A1:Z1001"/>
  <sheetViews>
    <sheetView workbookViewId="0">
      <selection activeCell="M33" sqref="M33"/>
    </sheetView>
  </sheetViews>
  <sheetFormatPr defaultColWidth="12.6640625" defaultRowHeight="15" customHeight="1" x14ac:dyDescent="0.25"/>
  <cols>
    <col min="1" max="1" width="1.88671875" style="59" customWidth="1"/>
    <col min="2" max="2" width="42.21875" style="59" customWidth="1"/>
    <col min="3" max="3" width="12" style="100" customWidth="1"/>
    <col min="4" max="4" width="10.21875" style="59" bestFit="1" customWidth="1"/>
    <col min="5" max="5" width="13.6640625" style="59" bestFit="1" customWidth="1"/>
    <col min="6" max="6" width="11.33203125" style="59" bestFit="1" customWidth="1"/>
    <col min="7" max="8" width="10.77734375" style="59" bestFit="1" customWidth="1"/>
    <col min="9" max="12" width="11.44140625" style="59" bestFit="1" customWidth="1"/>
    <col min="13" max="13" width="12.33203125" style="59" customWidth="1"/>
    <col min="14" max="26" width="8.6640625" style="59" customWidth="1"/>
    <col min="27" max="16384" width="12.6640625" style="59"/>
  </cols>
  <sheetData>
    <row r="1" spans="1:26" ht="13.5" customHeight="1" x14ac:dyDescent="0.3">
      <c r="B1" s="38" t="s">
        <v>220</v>
      </c>
      <c r="C1" s="38"/>
      <c r="D1" s="38"/>
      <c r="E1" s="38"/>
      <c r="F1" s="38"/>
      <c r="G1" s="38"/>
      <c r="H1" s="38"/>
      <c r="I1" s="38"/>
      <c r="J1" s="38"/>
      <c r="K1" s="38"/>
      <c r="L1" s="38"/>
      <c r="N1" s="26"/>
      <c r="O1" s="26"/>
      <c r="P1" s="26"/>
      <c r="Q1" s="26"/>
      <c r="R1" s="26"/>
      <c r="S1" s="26"/>
      <c r="T1" s="26"/>
      <c r="U1" s="26"/>
      <c r="V1" s="26"/>
      <c r="W1" s="26"/>
      <c r="X1" s="26"/>
      <c r="Y1" s="26"/>
      <c r="Z1" s="26"/>
    </row>
    <row r="2" spans="1:26" ht="12.75" customHeight="1" x14ac:dyDescent="0.25">
      <c r="B2" s="180" t="s">
        <v>165</v>
      </c>
      <c r="C2" s="180"/>
      <c r="D2" s="180"/>
      <c r="E2" s="180"/>
      <c r="F2" s="180"/>
      <c r="G2" s="180"/>
      <c r="H2" s="180"/>
      <c r="I2" s="180"/>
      <c r="J2" s="180"/>
      <c r="K2" s="180"/>
      <c r="L2" s="180"/>
      <c r="N2" s="26"/>
      <c r="O2" s="26"/>
      <c r="P2" s="26"/>
      <c r="Q2" s="26"/>
      <c r="R2" s="26"/>
      <c r="S2" s="26"/>
      <c r="T2" s="26"/>
      <c r="U2" s="26"/>
      <c r="V2" s="26"/>
      <c r="W2" s="26"/>
      <c r="X2" s="26"/>
      <c r="Y2" s="26"/>
      <c r="Z2" s="26"/>
    </row>
    <row r="3" spans="1:26" ht="12.75" customHeight="1" x14ac:dyDescent="0.25">
      <c r="B3" s="37"/>
      <c r="C3" s="184" t="s">
        <v>95</v>
      </c>
      <c r="D3" s="184"/>
      <c r="E3" s="181" t="s">
        <v>163</v>
      </c>
      <c r="F3" s="181"/>
      <c r="G3" s="181"/>
      <c r="H3" s="181"/>
      <c r="I3" s="181"/>
      <c r="J3" s="181"/>
      <c r="K3" s="181"/>
      <c r="L3" s="181"/>
      <c r="N3" s="26"/>
      <c r="O3" s="26"/>
      <c r="P3" s="26"/>
      <c r="Q3" s="26"/>
      <c r="R3" s="26"/>
      <c r="S3" s="26"/>
      <c r="T3" s="26"/>
      <c r="U3" s="26"/>
      <c r="V3" s="26"/>
      <c r="W3" s="26"/>
      <c r="X3" s="26"/>
      <c r="Y3" s="26"/>
      <c r="Z3" s="26"/>
    </row>
    <row r="4" spans="1:26" ht="36.6" customHeight="1" x14ac:dyDescent="0.45">
      <c r="B4" s="42" t="s">
        <v>54</v>
      </c>
      <c r="C4" s="44">
        <v>2016</v>
      </c>
      <c r="D4" s="43">
        <v>2017</v>
      </c>
      <c r="E4" s="28">
        <v>2018</v>
      </c>
      <c r="F4" s="28">
        <v>2019</v>
      </c>
      <c r="G4" s="28">
        <v>2020</v>
      </c>
      <c r="H4" s="28">
        <v>2021</v>
      </c>
      <c r="I4" s="28">
        <v>2022</v>
      </c>
      <c r="J4" s="28">
        <v>2023</v>
      </c>
      <c r="K4" s="28">
        <v>2024</v>
      </c>
      <c r="L4" s="28">
        <v>2025</v>
      </c>
      <c r="N4" s="26"/>
      <c r="O4" s="101"/>
      <c r="P4" s="26"/>
      <c r="Q4" s="26"/>
      <c r="R4" s="26"/>
      <c r="S4" s="26"/>
      <c r="T4" s="26"/>
      <c r="U4" s="26"/>
      <c r="V4" s="26"/>
      <c r="W4" s="26"/>
      <c r="X4" s="26"/>
      <c r="Y4" s="26"/>
      <c r="Z4" s="26"/>
    </row>
    <row r="5" spans="1:26" ht="17.25" customHeight="1" x14ac:dyDescent="0.25">
      <c r="A5" s="26"/>
      <c r="B5" s="39" t="s">
        <v>141</v>
      </c>
      <c r="C5" s="94">
        <f>SUM(C6:C7)</f>
        <v>3418804.17</v>
      </c>
      <c r="D5" s="32">
        <f>SUM(D6:D7)</f>
        <v>5477915.8799999999</v>
      </c>
      <c r="E5" s="131">
        <f>SUM(E6:E7)</f>
        <v>6943619.9690000005</v>
      </c>
      <c r="F5" s="131">
        <f t="shared" ref="F5:L5" si="0">SUM(F6:F7)</f>
        <v>9026705.9596999995</v>
      </c>
      <c r="G5" s="131">
        <f t="shared" si="0"/>
        <v>11734717.747609999</v>
      </c>
      <c r="H5" s="131">
        <f t="shared" si="0"/>
        <v>13494925.409751497</v>
      </c>
      <c r="I5" s="131">
        <f t="shared" si="0"/>
        <v>15519164.221214222</v>
      </c>
      <c r="J5" s="131">
        <f t="shared" si="0"/>
        <v>17847038.854396351</v>
      </c>
      <c r="K5" s="131">
        <f t="shared" si="0"/>
        <v>20524094.682555802</v>
      </c>
      <c r="L5" s="131">
        <f t="shared" si="0"/>
        <v>23602708.884939171</v>
      </c>
      <c r="M5" s="26"/>
      <c r="N5" s="26"/>
      <c r="O5" s="26"/>
      <c r="P5" s="26"/>
      <c r="Q5" s="26"/>
      <c r="R5" s="26"/>
      <c r="S5" s="26"/>
      <c r="T5" s="26"/>
      <c r="U5" s="26"/>
      <c r="V5" s="26"/>
      <c r="W5" s="26"/>
      <c r="X5" s="26"/>
      <c r="Y5" s="26"/>
      <c r="Z5" s="26"/>
    </row>
    <row r="6" spans="1:26" ht="17.25" customHeight="1" x14ac:dyDescent="0.25">
      <c r="A6" s="26"/>
      <c r="B6" s="46" t="s">
        <v>142</v>
      </c>
      <c r="C6" s="92">
        <f>'Income Statement - PRODUCT'!D6*1.21</f>
        <v>3284154.17</v>
      </c>
      <c r="D6" s="93">
        <f>'Income Statement - PRODUCT'!E6*1.21</f>
        <v>5341246.13</v>
      </c>
      <c r="E6" s="132">
        <f>'Income Statement - PRODUCT'!F6*1.21</f>
        <v>6943619.9690000005</v>
      </c>
      <c r="F6" s="132">
        <f>'Income Statement - PRODUCT'!G6*1.21</f>
        <v>9026705.9596999995</v>
      </c>
      <c r="G6" s="132">
        <f>'Income Statement - PRODUCT'!H6*1.21</f>
        <v>11734717.747609999</v>
      </c>
      <c r="H6" s="132">
        <f>'Income Statement - PRODUCT'!I6*1.21</f>
        <v>13494925.409751497</v>
      </c>
      <c r="I6" s="132">
        <f>'Income Statement - PRODUCT'!J6*1.21</f>
        <v>15519164.221214222</v>
      </c>
      <c r="J6" s="132">
        <f>'Income Statement - PRODUCT'!K6*1.21</f>
        <v>17847038.854396351</v>
      </c>
      <c r="K6" s="132">
        <f>'Income Statement - PRODUCT'!L6*1.21</f>
        <v>20524094.682555802</v>
      </c>
      <c r="L6" s="132">
        <f>'Income Statement - PRODUCT'!M6*1.21</f>
        <v>23602708.884939171</v>
      </c>
      <c r="M6" s="26"/>
      <c r="N6" s="26"/>
      <c r="O6" s="26"/>
      <c r="P6" s="26"/>
      <c r="Q6" s="26"/>
      <c r="R6" s="26"/>
      <c r="S6" s="26"/>
      <c r="T6" s="26"/>
      <c r="U6" s="26"/>
      <c r="V6" s="26"/>
      <c r="W6" s="26"/>
      <c r="X6" s="26"/>
      <c r="Y6" s="26"/>
      <c r="Z6" s="26"/>
    </row>
    <row r="7" spans="1:26" ht="17.25" customHeight="1" x14ac:dyDescent="0.25">
      <c r="A7" s="26"/>
      <c r="B7" s="46" t="s">
        <v>63</v>
      </c>
      <c r="C7" s="92">
        <v>134650</v>
      </c>
      <c r="D7" s="93">
        <f>C7*1.015</f>
        <v>136669.75</v>
      </c>
      <c r="E7" s="132">
        <v>0</v>
      </c>
      <c r="F7" s="132">
        <f t="shared" ref="F7:L7" si="1">E7*1.015</f>
        <v>0</v>
      </c>
      <c r="G7" s="132">
        <f t="shared" si="1"/>
        <v>0</v>
      </c>
      <c r="H7" s="132">
        <f t="shared" si="1"/>
        <v>0</v>
      </c>
      <c r="I7" s="132">
        <f t="shared" si="1"/>
        <v>0</v>
      </c>
      <c r="J7" s="132">
        <f t="shared" si="1"/>
        <v>0</v>
      </c>
      <c r="K7" s="132">
        <f t="shared" si="1"/>
        <v>0</v>
      </c>
      <c r="L7" s="132">
        <f t="shared" si="1"/>
        <v>0</v>
      </c>
      <c r="M7" s="26" t="s">
        <v>213</v>
      </c>
      <c r="N7" s="35"/>
      <c r="O7" s="26"/>
      <c r="P7" s="26"/>
      <c r="Q7" s="26"/>
      <c r="R7" s="26"/>
      <c r="S7" s="26"/>
      <c r="T7" s="26"/>
      <c r="U7" s="26"/>
      <c r="V7" s="26"/>
      <c r="W7" s="26"/>
      <c r="X7" s="26"/>
      <c r="Y7" s="26"/>
      <c r="Z7" s="26"/>
    </row>
    <row r="8" spans="1:26" ht="17.25" customHeight="1" x14ac:dyDescent="0.25">
      <c r="A8" s="26"/>
      <c r="B8" s="39" t="s">
        <v>143</v>
      </c>
      <c r="C8" s="94">
        <f>SUM(C9:C12)</f>
        <v>-2865266</v>
      </c>
      <c r="D8" s="32">
        <f>SUM(D9:D12)</f>
        <v>-4917990</v>
      </c>
      <c r="E8" s="131">
        <f>SUM(E9:E12)</f>
        <v>-10618969.659913123</v>
      </c>
      <c r="F8" s="131">
        <f t="shared" ref="F8:L8" si="2">SUM(F9:F12)</f>
        <v>-12683150.10557883</v>
      </c>
      <c r="G8" s="131">
        <f t="shared" si="2"/>
        <v>-8809990.9892262761</v>
      </c>
      <c r="H8" s="131">
        <f t="shared" si="2"/>
        <v>-10005057.405725248</v>
      </c>
      <c r="I8" s="131">
        <f t="shared" si="2"/>
        <v>-11369929.16819378</v>
      </c>
      <c r="J8" s="131">
        <f t="shared" si="2"/>
        <v>-12948148.049944432</v>
      </c>
      <c r="K8" s="131">
        <f t="shared" si="2"/>
        <v>-14763716.703364847</v>
      </c>
      <c r="L8" s="131">
        <f t="shared" si="2"/>
        <v>-16825642.168684553</v>
      </c>
      <c r="M8" s="26"/>
      <c r="N8" s="26"/>
      <c r="O8" s="26"/>
      <c r="P8" s="26"/>
      <c r="Q8" s="26"/>
      <c r="R8" s="26"/>
      <c r="S8" s="26"/>
      <c r="T8" s="26"/>
      <c r="U8" s="26"/>
      <c r="V8" s="26"/>
      <c r="W8" s="26"/>
      <c r="X8" s="26"/>
      <c r="Y8" s="26"/>
      <c r="Z8" s="26"/>
    </row>
    <row r="9" spans="1:26" ht="17.25" customHeight="1" x14ac:dyDescent="0.25">
      <c r="A9" s="26"/>
      <c r="B9" s="46" t="s">
        <v>144</v>
      </c>
      <c r="C9" s="92">
        <v>-2232103</v>
      </c>
      <c r="D9" s="93">
        <v>-3598006</v>
      </c>
      <c r="E9" s="102">
        <f>-('Income Statement - PRODUCT'!F7+'Income Statement - PRODUCT'!F14-'Income Statement - PRODUCT'!F17-'Income Statement - PRODUCT'!F22)-('Balance sheet - PRODUCT'!E21-'Balance sheet - PRODUCT'!D21+'Balance sheet - PRODUCT'!E27-'Balance sheet - PRODUCT'!D27)+('Balance sheet - PRODUCT'!E57-'Balance sheet - PRODUCT'!D57)+('Balance sheet - PRODUCT'!E58-'Balance sheet - PRODUCT'!D58)</f>
        <v>-7732592.3745981567</v>
      </c>
      <c r="F9" s="102">
        <f>-('Income Statement - PRODUCT'!G7+'Income Statement - PRODUCT'!G14-'Income Statement - PRODUCT'!G17-'Income Statement - PRODUCT'!G22)-('Balance sheet - PRODUCT'!F21-'Balance sheet - PRODUCT'!E21+'Balance sheet - PRODUCT'!F27-'Balance sheet - PRODUCT'!E27)+('Balance sheet - PRODUCT'!F57-'Balance sheet - PRODUCT'!E57)+('Balance sheet - PRODUCT'!F58-'Balance sheet - PRODUCT'!E58)</f>
        <v>-8928951.6346693765</v>
      </c>
      <c r="G9" s="102">
        <f>-('Income Statement - PRODUCT'!H7+'Income Statement - PRODUCT'!H14-'Income Statement - PRODUCT'!H17-'Income Statement - PRODUCT'!H22)-('Balance sheet - PRODUCT'!G21-'Balance sheet - PRODUCT'!F21+'Balance sheet - PRODUCT'!G27-'Balance sheet - PRODUCT'!F27)+('Balance sheet - PRODUCT'!G57-'Balance sheet - PRODUCT'!F57)+('Balance sheet - PRODUCT'!G58-'Balance sheet - PRODUCT'!F58)</f>
        <v>-3456282.8195114378</v>
      </c>
      <c r="H9" s="102">
        <f>-('Income Statement - PRODUCT'!I7+'Income Statement - PRODUCT'!I14-'Income Statement - PRODUCT'!I17-'Income Statement - PRODUCT'!I22)-('Balance sheet - PRODUCT'!H21-'Balance sheet - PRODUCT'!G21+'Balance sheet - PRODUCT'!H27-'Balance sheet - PRODUCT'!G27)+('Balance sheet - PRODUCT'!H57-'Balance sheet - PRODUCT'!G57)+('Balance sheet - PRODUCT'!H58-'Balance sheet - PRODUCT'!G58)</f>
        <v>-3846054.1629311927</v>
      </c>
      <c r="I9" s="102">
        <f>-('Income Statement - PRODUCT'!J7+'Income Statement - PRODUCT'!J14-'Income Statement - PRODUCT'!J17-'Income Statement - PRODUCT'!J22)-('Balance sheet - PRODUCT'!I21-'Balance sheet - PRODUCT'!H21+'Balance sheet - PRODUCT'!I27-'Balance sheet - PRODUCT'!H27)+('Balance sheet - PRODUCT'!I57-'Balance sheet - PRODUCT'!H57)+('Balance sheet - PRODUCT'!I58-'Balance sheet - PRODUCT'!H58)</f>
        <v>-4255087.6138122007</v>
      </c>
      <c r="J9" s="102">
        <f>-('Income Statement - PRODUCT'!K7+'Income Statement - PRODUCT'!K14-'Income Statement - PRODUCT'!K17-'Income Statement - PRODUCT'!K22)-('Balance sheet - PRODUCT'!J21-'Balance sheet - PRODUCT'!I21+'Balance sheet - PRODUCT'!J27-'Balance sheet - PRODUCT'!I27)+('Balance sheet - PRODUCT'!J57-'Balance sheet - PRODUCT'!I57)+('Balance sheet - PRODUCT'!J58-'Balance sheet - PRODUCT'!I58)</f>
        <v>-4735186.7184350844</v>
      </c>
      <c r="K9" s="102">
        <f>-('Income Statement - PRODUCT'!L7+'Income Statement - PRODUCT'!L14-'Income Statement - PRODUCT'!L17-'Income Statement - PRODUCT'!L22)-('Balance sheet - PRODUCT'!K21-'Balance sheet - PRODUCT'!J21+'Balance sheet - PRODUCT'!K27-'Balance sheet - PRODUCT'!J27)+('Balance sheet - PRODUCT'!K57-'Balance sheet - PRODUCT'!J57)+('Balance sheet - PRODUCT'!K58-'Balance sheet - PRODUCT'!J58)</f>
        <v>-5287594.1617430924</v>
      </c>
      <c r="L9" s="102">
        <f>-('Income Statement - PRODUCT'!M7+'Income Statement - PRODUCT'!M14-'Income Statement - PRODUCT'!M17-'Income Statement - PRODUCT'!M22)-('Balance sheet - PRODUCT'!L21-'Balance sheet - PRODUCT'!K21+'Balance sheet - PRODUCT'!L27-'Balance sheet - PRODUCT'!K27)+('Balance sheet - PRODUCT'!L57-'Balance sheet - PRODUCT'!K57)+('Balance sheet - PRODUCT'!L58-'Balance sheet - PRODUCT'!K58)</f>
        <v>-5892034.0433906559</v>
      </c>
      <c r="M9" s="134"/>
      <c r="N9" s="26"/>
      <c r="O9" s="26"/>
      <c r="P9" s="26"/>
      <c r="Q9" s="26"/>
      <c r="R9" s="26"/>
      <c r="S9" s="26"/>
      <c r="T9" s="26"/>
      <c r="U9" s="26"/>
      <c r="V9" s="26"/>
      <c r="W9" s="26"/>
      <c r="X9" s="26"/>
      <c r="Y9" s="26"/>
      <c r="Z9" s="26"/>
    </row>
    <row r="10" spans="1:26" ht="17.25" customHeight="1" x14ac:dyDescent="0.25">
      <c r="A10" s="26"/>
      <c r="B10" s="46" t="s">
        <v>145</v>
      </c>
      <c r="C10" s="92">
        <v>-499966</v>
      </c>
      <c r="D10" s="93">
        <v>-1368507</v>
      </c>
      <c r="E10" s="102">
        <f>-('Income Statement - PRODUCT'!F22+'Income Statement - PRODUCT'!F17)</f>
        <v>-1797698.8497963559</v>
      </c>
      <c r="F10" s="102">
        <f>-('Income Statement - PRODUCT'!G22+'Income Statement - PRODUCT'!G17)</f>
        <v>-2338916.5047352626</v>
      </c>
      <c r="G10" s="102">
        <f>-('Income Statement - PRODUCT'!H22+'Income Statement - PRODUCT'!H17)</f>
        <v>-3035389.4561558412</v>
      </c>
      <c r="H10" s="102">
        <f>-('Income Statement - PRODUCT'!I22+'Income Statement - PRODUCT'!I17)</f>
        <v>-3465550.8745792168</v>
      </c>
      <c r="I10" s="102">
        <f>-('Income Statement - PRODUCT'!J22+'Income Statement - PRODUCT'!J17)</f>
        <v>-3993781.0057660993</v>
      </c>
      <c r="J10" s="102">
        <f>-('Income Statement - PRODUCT'!K22+'Income Statement - PRODUCT'!K17)</f>
        <v>-4601618.1566310134</v>
      </c>
      <c r="K10" s="102">
        <f>-('Income Statement - PRODUCT'!L22+'Income Statement - PRODUCT'!L17)</f>
        <v>-5301025.5301256645</v>
      </c>
      <c r="L10" s="102">
        <f>-('Income Statement - PRODUCT'!M22+'Income Statement - PRODUCT'!M17)</f>
        <v>-6105729.8896445138</v>
      </c>
      <c r="M10" s="26"/>
      <c r="N10" s="26"/>
      <c r="O10" s="26"/>
      <c r="P10" s="26"/>
      <c r="Q10" s="26"/>
      <c r="R10" s="26"/>
      <c r="S10" s="26"/>
      <c r="T10" s="26"/>
      <c r="U10" s="26"/>
      <c r="V10" s="26"/>
      <c r="W10" s="26"/>
      <c r="X10" s="26"/>
      <c r="Y10" s="26"/>
      <c r="Z10" s="26"/>
    </row>
    <row r="11" spans="1:26" ht="17.25" customHeight="1" x14ac:dyDescent="0.25">
      <c r="A11" s="26"/>
      <c r="B11" s="46" t="s">
        <v>146</v>
      </c>
      <c r="C11" s="92">
        <v>-238</v>
      </c>
      <c r="D11" s="93">
        <v>70322</v>
      </c>
      <c r="E11" s="90">
        <f>-('Cash flows - PRODUCT'!E5-'Income Statement - PRODUCT'!F6+'Income Statement - PRODUCT'!F36)</f>
        <v>-1205091.0690000001</v>
      </c>
      <c r="F11" s="90">
        <f>-('Cash flows - PRODUCT'!F5-'Income Statement - PRODUCT'!G6+'Income Statement - PRODUCT'!G36)</f>
        <v>-1566618.3896999992</v>
      </c>
      <c r="G11" s="90">
        <f>-('Cash flows - PRODUCT'!G5-'Income Statement - PRODUCT'!H6+'Income Statement - PRODUCT'!H36)</f>
        <v>-2515056.0641425485</v>
      </c>
      <c r="H11" s="90">
        <f>-('Cash flows - PRODUCT'!H5-'Income Statement - PRODUCT'!I6+'Income Statement - PRODUCT'!I36)</f>
        <v>-2919700.3213859219</v>
      </c>
      <c r="I11" s="90">
        <f>-('Cash flows - PRODUCT'!I5-'Income Statement - PRODUCT'!J6+'Income Statement - PRODUCT'!J36)</f>
        <v>-3381245.6947622262</v>
      </c>
      <c r="J11" s="90">
        <f>-('Cash flows - PRODUCT'!J5-'Income Statement - PRODUCT'!K6+'Income Statement - PRODUCT'!K36)</f>
        <v>-3910556.0929470933</v>
      </c>
      <c r="K11" s="90">
        <f>-('Cash flows - PRODUCT'!K5-'Income Statement - PRODUCT'!L6+'Income Statement - PRODUCT'!L36)</f>
        <v>-4519191.8672751645</v>
      </c>
      <c r="L11" s="90">
        <f>-('Cash flows - PRODUCT'!L5-'Income Statement - PRODUCT'!M6+'Income Statement - PRODUCT'!M36)</f>
        <v>-5223587.319795317</v>
      </c>
      <c r="N11" s="26"/>
      <c r="O11" s="26"/>
      <c r="P11" s="26"/>
      <c r="Q11" s="26"/>
      <c r="R11" s="26"/>
      <c r="S11" s="26"/>
      <c r="T11" s="26"/>
      <c r="U11" s="26"/>
      <c r="V11" s="26"/>
      <c r="W11" s="26"/>
      <c r="X11" s="26"/>
      <c r="Y11" s="26"/>
      <c r="Z11" s="26"/>
    </row>
    <row r="12" spans="1:26" ht="17.25" customHeight="1" x14ac:dyDescent="0.25">
      <c r="A12" s="26"/>
      <c r="B12" s="46" t="s">
        <v>147</v>
      </c>
      <c r="C12" s="92">
        <v>-132959</v>
      </c>
      <c r="D12" s="93">
        <v>-21799</v>
      </c>
      <c r="E12" s="102">
        <f>'Income Statement - PRODUCT'!F26</f>
        <v>116412.63348139147</v>
      </c>
      <c r="F12" s="102">
        <f>'Income Statement - PRODUCT'!G26</f>
        <v>151336.42352580893</v>
      </c>
      <c r="G12" s="102">
        <f>'Income Statement - PRODUCT'!H26</f>
        <v>196737.3505835516</v>
      </c>
      <c r="H12" s="102">
        <f>'Income Statement - PRODUCT'!I26</f>
        <v>226247.95317108429</v>
      </c>
      <c r="I12" s="102">
        <f>'Income Statement - PRODUCT'!J26</f>
        <v>260185.14614674691</v>
      </c>
      <c r="J12" s="102">
        <f>'Income Statement - PRODUCT'!K26</f>
        <v>299212.91806875891</v>
      </c>
      <c r="K12" s="102">
        <f>'Income Statement - PRODUCT'!L26</f>
        <v>344094.85577907274</v>
      </c>
      <c r="L12" s="102">
        <f>'Income Statement - PRODUCT'!M26</f>
        <v>395709.08414593356</v>
      </c>
      <c r="M12" s="26"/>
      <c r="N12" s="26"/>
      <c r="O12" s="26"/>
      <c r="P12" s="26"/>
      <c r="Q12" s="26"/>
      <c r="R12" s="26"/>
      <c r="S12" s="26"/>
      <c r="T12" s="26"/>
      <c r="U12" s="26"/>
      <c r="V12" s="26"/>
      <c r="W12" s="26"/>
      <c r="X12" s="26"/>
      <c r="Y12" s="26"/>
      <c r="Z12" s="26"/>
    </row>
    <row r="13" spans="1:26" ht="17.25" customHeight="1" x14ac:dyDescent="0.25">
      <c r="A13" s="26"/>
      <c r="B13" s="41" t="s">
        <v>148</v>
      </c>
      <c r="C13" s="95">
        <f t="shared" ref="C13" si="3">C5+C8</f>
        <v>553538.16999999993</v>
      </c>
      <c r="D13" s="96">
        <f>D5+D8</f>
        <v>559925.87999999989</v>
      </c>
      <c r="E13" s="133">
        <f>E5+E8</f>
        <v>-3675349.6909131221</v>
      </c>
      <c r="F13" s="133">
        <f t="shared" ref="F13:L13" si="4">F5+F8</f>
        <v>-3656444.1458788309</v>
      </c>
      <c r="G13" s="133">
        <f t="shared" si="4"/>
        <v>2924726.758383723</v>
      </c>
      <c r="H13" s="133">
        <f t="shared" si="4"/>
        <v>3489868.0040262491</v>
      </c>
      <c r="I13" s="133">
        <f t="shared" si="4"/>
        <v>4149235.0530204419</v>
      </c>
      <c r="J13" s="133">
        <f t="shared" si="4"/>
        <v>4898890.8044519182</v>
      </c>
      <c r="K13" s="133">
        <f t="shared" si="4"/>
        <v>5760377.9791909549</v>
      </c>
      <c r="L13" s="133">
        <f t="shared" si="4"/>
        <v>6777066.716254618</v>
      </c>
      <c r="M13" s="26"/>
      <c r="N13" s="26"/>
      <c r="O13" s="26"/>
      <c r="P13" s="26"/>
      <c r="Q13" s="26"/>
      <c r="R13" s="26"/>
      <c r="S13" s="26"/>
      <c r="T13" s="26"/>
      <c r="U13" s="26"/>
      <c r="V13" s="26"/>
      <c r="W13" s="26"/>
      <c r="X13" s="26"/>
      <c r="Y13" s="26"/>
      <c r="Z13" s="26"/>
    </row>
    <row r="14" spans="1:26" ht="17.25" customHeight="1" x14ac:dyDescent="0.25">
      <c r="A14" s="26"/>
      <c r="B14" s="97"/>
      <c r="C14" s="94"/>
      <c r="D14" s="32"/>
      <c r="E14" s="130"/>
      <c r="F14" s="127"/>
      <c r="G14" s="127"/>
      <c r="H14" s="127"/>
      <c r="I14" s="127"/>
      <c r="J14" s="127"/>
      <c r="K14" s="127"/>
      <c r="L14" s="127"/>
      <c r="M14" s="26"/>
      <c r="N14" s="26"/>
      <c r="O14" s="26"/>
      <c r="P14" s="26"/>
      <c r="Q14" s="26"/>
      <c r="R14" s="26"/>
      <c r="S14" s="26"/>
      <c r="T14" s="26"/>
      <c r="U14" s="26"/>
      <c r="V14" s="26"/>
      <c r="W14" s="26"/>
      <c r="X14" s="26"/>
      <c r="Y14" s="26"/>
      <c r="Z14" s="26"/>
    </row>
    <row r="15" spans="1:26" ht="17.25" customHeight="1" x14ac:dyDescent="0.25">
      <c r="A15" s="26"/>
      <c r="B15" s="46" t="s">
        <v>149</v>
      </c>
      <c r="C15" s="92">
        <v>-351467</v>
      </c>
      <c r="D15" s="93">
        <v>-243493</v>
      </c>
      <c r="E15" s="59">
        <v>0</v>
      </c>
      <c r="F15" s="59">
        <v>0</v>
      </c>
      <c r="G15" s="59">
        <v>0</v>
      </c>
      <c r="H15" s="59">
        <v>0</v>
      </c>
      <c r="I15" s="59">
        <v>0</v>
      </c>
      <c r="J15" s="59">
        <v>0</v>
      </c>
      <c r="K15" s="59">
        <v>0</v>
      </c>
      <c r="L15" s="59">
        <v>0</v>
      </c>
      <c r="M15" s="26"/>
      <c r="N15" s="26"/>
      <c r="O15" s="26"/>
      <c r="P15" s="26"/>
      <c r="Q15" s="26"/>
      <c r="R15" s="26"/>
      <c r="S15" s="26"/>
      <c r="T15" s="26"/>
      <c r="U15" s="26"/>
      <c r="V15" s="26"/>
      <c r="W15" s="26"/>
      <c r="X15" s="26"/>
      <c r="Y15" s="26"/>
      <c r="Z15" s="26"/>
    </row>
    <row r="16" spans="1:26" ht="17.25" customHeight="1" x14ac:dyDescent="0.25">
      <c r="A16" s="26"/>
      <c r="B16" s="46" t="s">
        <v>150</v>
      </c>
      <c r="C16" s="92">
        <v>0</v>
      </c>
      <c r="D16" s="93">
        <v>291013</v>
      </c>
      <c r="E16" s="122">
        <f>-('Balance sheet - PRODUCT'!E6-'Balance sheet - PRODUCT'!D6+'Balance sheet - PRODUCT'!E10-'Balance sheet - PRODUCT'!D10)</f>
        <v>72738.358333333279</v>
      </c>
      <c r="F16" s="122">
        <f>-('Balance sheet - PRODUCT'!F6-'Balance sheet - PRODUCT'!E6+'Balance sheet - PRODUCT'!F10-'Balance sheet - PRODUCT'!E10)</f>
        <v>80950.558333333232</v>
      </c>
      <c r="G16" s="122">
        <f>-('Balance sheet - PRODUCT'!G6-'Balance sheet - PRODUCT'!F6+'Balance sheet - PRODUCT'!G10-'Balance sheet - PRODUCT'!F10)</f>
        <v>80950.558333333349</v>
      </c>
      <c r="H16" s="122">
        <f>-('Balance sheet - PRODUCT'!H6-'Balance sheet - PRODUCT'!G6+'Balance sheet - PRODUCT'!H10-'Balance sheet - PRODUCT'!G10)</f>
        <v>80950.558333333232</v>
      </c>
      <c r="I16" s="122">
        <f>-('Balance sheet - PRODUCT'!I6-'Balance sheet - PRODUCT'!H6+'Balance sheet - PRODUCT'!I10-'Balance sheet - PRODUCT'!H10)</f>
        <v>80950.558333333465</v>
      </c>
      <c r="J16" s="122">
        <f>-('Balance sheet - PRODUCT'!J6-'Balance sheet - PRODUCT'!I6+'Balance sheet - PRODUCT'!J10-'Balance sheet - PRODUCT'!I10)</f>
        <v>80950.558333333349</v>
      </c>
      <c r="K16" s="122">
        <f>-('Balance sheet - PRODUCT'!K6-'Balance sheet - PRODUCT'!J6+'Balance sheet - PRODUCT'!K10-'Balance sheet - PRODUCT'!J10)</f>
        <v>72737.358333333279</v>
      </c>
      <c r="L16" s="122">
        <f>-('Balance sheet - PRODUCT'!L6-'Balance sheet - PRODUCT'!K6+'Balance sheet - PRODUCT'!L10-'Balance sheet - PRODUCT'!K10)</f>
        <v>72737.358333333337</v>
      </c>
      <c r="M16" s="26"/>
      <c r="N16" s="26"/>
      <c r="O16" s="26"/>
      <c r="P16" s="26"/>
      <c r="Q16" s="26"/>
      <c r="R16" s="26"/>
      <c r="S16" s="26"/>
      <c r="T16" s="26"/>
      <c r="U16" s="26"/>
      <c r="V16" s="26"/>
      <c r="W16" s="26"/>
      <c r="X16" s="26"/>
      <c r="Y16" s="26"/>
      <c r="Z16" s="26"/>
    </row>
    <row r="17" spans="1:26" ht="17.25" customHeight="1" x14ac:dyDescent="0.25">
      <c r="A17" s="26"/>
      <c r="B17" s="46" t="s">
        <v>151</v>
      </c>
      <c r="C17" s="92">
        <v>-131719</v>
      </c>
      <c r="D17" s="93">
        <v>-14027</v>
      </c>
      <c r="E17" s="122">
        <f>-('Balance sheet - PRODUCT'!E17-'Balance sheet - PRODUCT'!D17)</f>
        <v>-15482.949161565077</v>
      </c>
      <c r="F17" s="122">
        <f>-('Balance sheet - PRODUCT'!F17-'Balance sheet - PRODUCT'!E17)</f>
        <v>-17088.80202021735</v>
      </c>
      <c r="G17" s="122">
        <f>-('Balance sheet - PRODUCT'!G17-'Balance sheet - PRODUCT'!F17)</f>
        <v>-18861.209930929268</v>
      </c>
      <c r="H17" s="122">
        <f>-('Balance sheet - PRODUCT'!H17-'Balance sheet - PRODUCT'!G17)</f>
        <v>-20817.447568162548</v>
      </c>
      <c r="I17" s="122">
        <f>-('Balance sheet - PRODUCT'!I17-'Balance sheet - PRODUCT'!H17)</f>
        <v>-22976.581292515475</v>
      </c>
      <c r="J17" s="122">
        <f>-('Balance sheet - PRODUCT'!J17-'Balance sheet - PRODUCT'!I17)</f>
        <v>-25359.65497993899</v>
      </c>
      <c r="K17" s="122">
        <f>-('Balance sheet - PRODUCT'!K17-'Balance sheet - PRODUCT'!J17)</f>
        <v>-27989.89512469538</v>
      </c>
      <c r="L17" s="122">
        <f>-('Balance sheet - PRODUCT'!L17-'Balance sheet - PRODUCT'!K17)</f>
        <v>-30892.937215083861</v>
      </c>
      <c r="M17" s="26"/>
      <c r="N17" s="26"/>
      <c r="O17" s="26"/>
      <c r="P17" s="26"/>
      <c r="Q17" s="26"/>
      <c r="R17" s="26"/>
      <c r="S17" s="26"/>
      <c r="T17" s="26"/>
      <c r="U17" s="26"/>
      <c r="V17" s="26"/>
      <c r="W17" s="26"/>
      <c r="X17" s="26"/>
      <c r="Y17" s="26"/>
      <c r="Z17" s="26"/>
    </row>
    <row r="18" spans="1:26" ht="17.25" customHeight="1" x14ac:dyDescent="0.25">
      <c r="A18" s="26"/>
      <c r="B18" s="41" t="s">
        <v>152</v>
      </c>
      <c r="C18" s="95">
        <f t="shared" ref="C18" si="5">SUM(C15:C17)</f>
        <v>-483186</v>
      </c>
      <c r="D18" s="96">
        <f>SUM(D15:D17)</f>
        <v>33493</v>
      </c>
      <c r="E18" s="133">
        <f t="shared" ref="E18:L18" si="6">SUM(E16:E17)</f>
        <v>57255.409171768202</v>
      </c>
      <c r="F18" s="133">
        <f t="shared" si="6"/>
        <v>63861.756313115882</v>
      </c>
      <c r="G18" s="133">
        <f t="shared" si="6"/>
        <v>62089.348402404081</v>
      </c>
      <c r="H18" s="133">
        <f t="shared" si="6"/>
        <v>60133.110765170684</v>
      </c>
      <c r="I18" s="133">
        <f t="shared" si="6"/>
        <v>57973.97704081799</v>
      </c>
      <c r="J18" s="133">
        <f t="shared" si="6"/>
        <v>55590.903353394358</v>
      </c>
      <c r="K18" s="133">
        <f t="shared" si="6"/>
        <v>44747.463208637899</v>
      </c>
      <c r="L18" s="133">
        <f t="shared" si="6"/>
        <v>41844.421118249476</v>
      </c>
      <c r="M18" s="26"/>
      <c r="N18" s="26"/>
      <c r="O18" s="26"/>
      <c r="P18" s="26"/>
      <c r="Q18" s="26"/>
      <c r="R18" s="26"/>
      <c r="S18" s="26"/>
      <c r="T18" s="26"/>
      <c r="U18" s="26"/>
      <c r="V18" s="26"/>
      <c r="W18" s="26"/>
      <c r="X18" s="26"/>
      <c r="Y18" s="26"/>
      <c r="Z18" s="26"/>
    </row>
    <row r="19" spans="1:26" ht="17.25" customHeight="1" x14ac:dyDescent="0.25">
      <c r="A19" s="26"/>
      <c r="B19" s="97"/>
      <c r="C19" s="94"/>
      <c r="D19" s="32"/>
      <c r="E19" s="127"/>
      <c r="F19" s="127"/>
      <c r="G19" s="127"/>
      <c r="H19" s="127"/>
      <c r="I19" s="127"/>
      <c r="J19" s="127"/>
      <c r="K19" s="127"/>
      <c r="L19" s="127"/>
      <c r="M19" s="26"/>
      <c r="N19" s="26"/>
      <c r="O19" s="26"/>
      <c r="P19" s="26"/>
      <c r="Q19" s="26"/>
      <c r="R19" s="26"/>
      <c r="S19" s="26"/>
      <c r="T19" s="26"/>
      <c r="U19" s="26"/>
      <c r="V19" s="26"/>
      <c r="W19" s="26"/>
      <c r="X19" s="26"/>
      <c r="Y19" s="26"/>
      <c r="Z19" s="26"/>
    </row>
    <row r="20" spans="1:26" ht="17.25" customHeight="1" x14ac:dyDescent="0.25">
      <c r="A20" s="26"/>
      <c r="B20" s="46" t="s">
        <v>153</v>
      </c>
      <c r="C20" s="92"/>
      <c r="D20" s="93"/>
      <c r="E20" s="127"/>
      <c r="F20" s="127"/>
      <c r="G20" s="127"/>
      <c r="H20" s="127"/>
      <c r="I20" s="127"/>
      <c r="J20" s="127"/>
      <c r="K20" s="127"/>
      <c r="L20" s="127"/>
      <c r="M20" s="26"/>
      <c r="N20" s="26"/>
      <c r="O20" s="26"/>
      <c r="P20" s="26"/>
      <c r="Q20" s="26"/>
      <c r="R20" s="26"/>
      <c r="S20" s="26"/>
      <c r="T20" s="26"/>
      <c r="U20" s="26"/>
      <c r="V20" s="26"/>
      <c r="W20" s="26"/>
      <c r="X20" s="26"/>
      <c r="Y20" s="26"/>
      <c r="Z20" s="26"/>
    </row>
    <row r="21" spans="1:26" ht="17.25" customHeight="1" x14ac:dyDescent="0.25">
      <c r="A21" s="26"/>
      <c r="B21" s="46" t="s">
        <v>154</v>
      </c>
      <c r="C21" s="92"/>
      <c r="D21" s="93"/>
      <c r="M21" s="26"/>
      <c r="N21" s="26"/>
      <c r="O21" s="26"/>
      <c r="P21" s="26"/>
      <c r="Q21" s="26"/>
      <c r="R21" s="26"/>
      <c r="S21" s="26"/>
      <c r="T21" s="26"/>
      <c r="U21" s="26"/>
      <c r="V21" s="26"/>
      <c r="W21" s="26"/>
      <c r="X21" s="26"/>
      <c r="Y21" s="26"/>
      <c r="Z21" s="26"/>
    </row>
    <row r="22" spans="1:26" ht="17.25" customHeight="1" x14ac:dyDescent="0.25">
      <c r="A22" s="26"/>
      <c r="B22" s="46" t="s">
        <v>155</v>
      </c>
      <c r="C22" s="92">
        <v>53869</v>
      </c>
      <c r="D22" s="93">
        <v>0</v>
      </c>
      <c r="E22" s="93">
        <v>0</v>
      </c>
      <c r="F22" s="93">
        <v>0</v>
      </c>
      <c r="G22" s="93">
        <v>0</v>
      </c>
      <c r="H22" s="93">
        <v>0</v>
      </c>
      <c r="I22" s="93">
        <v>0</v>
      </c>
      <c r="J22" s="93">
        <v>0</v>
      </c>
      <c r="K22" s="93">
        <v>0</v>
      </c>
      <c r="L22" s="93">
        <v>0</v>
      </c>
      <c r="M22" s="26"/>
      <c r="N22" s="26"/>
      <c r="O22" s="26"/>
      <c r="P22" s="26"/>
      <c r="Q22" s="26"/>
      <c r="R22" s="26"/>
      <c r="S22" s="26"/>
      <c r="T22" s="26"/>
      <c r="U22" s="26"/>
      <c r="V22" s="26"/>
      <c r="W22" s="26"/>
      <c r="X22" s="26"/>
      <c r="Y22" s="26"/>
      <c r="Z22" s="26"/>
    </row>
    <row r="23" spans="1:26" ht="17.25" customHeight="1" x14ac:dyDescent="0.25">
      <c r="A23" s="26"/>
      <c r="B23" s="46" t="s">
        <v>156</v>
      </c>
      <c r="C23" s="92">
        <v>-56671</v>
      </c>
      <c r="D23" s="93">
        <v>-576913</v>
      </c>
      <c r="E23" s="122">
        <f>'Balance sheet - PRODUCT'!E50-'Balance sheet - PRODUCT'!D50+'Balance sheet - PRODUCT'!E55-'Balance sheet - PRODUCT'!D55</f>
        <v>-7327.1426661048972</v>
      </c>
      <c r="F23" s="122">
        <f>'Balance sheet - PRODUCT'!F50-'Balance sheet - PRODUCT'!E50+'Balance sheet - PRODUCT'!F55-'Balance sheet - PRODUCT'!E55</f>
        <v>-8172.4335525558126</v>
      </c>
      <c r="G23" s="122">
        <f>'Balance sheet - PRODUCT'!G50-'Balance sheet - PRODUCT'!F50+'Balance sheet - PRODUCT'!G55-'Balance sheet - PRODUCT'!F55</f>
        <v>-7945.6172744801443</v>
      </c>
      <c r="H23" s="122">
        <f>'Balance sheet - PRODUCT'!H50-'Balance sheet - PRODUCT'!G50+'Balance sheet - PRODUCT'!H55-'Balance sheet - PRODUCT'!G55</f>
        <v>-7695.2761779260472</v>
      </c>
      <c r="I23" s="122">
        <f>'Balance sheet - PRODUCT'!I50-'Balance sheet - PRODUCT'!H50+'Balance sheet - PRODUCT'!I55-'Balance sheet - PRODUCT'!H55</f>
        <v>-7418.9703274129351</v>
      </c>
      <c r="J23" s="122">
        <f>'Balance sheet - PRODUCT'!J50-'Balance sheet - PRODUCT'!I50+'Balance sheet - PRODUCT'!J55-'Balance sheet - PRODUCT'!I55</f>
        <v>-7114.0067234396265</v>
      </c>
      <c r="K23" s="122">
        <f>'Balance sheet - PRODUCT'!K50-'Balance sheet - PRODUCT'!J50+'Balance sheet - PRODUCT'!K55-'Balance sheet - PRODUCT'!J55</f>
        <v>-5726.3641157160455</v>
      </c>
      <c r="L23" s="122">
        <f>'Balance sheet - PRODUCT'!L50-'Balance sheet - PRODUCT'!K50+'Balance sheet - PRODUCT'!L55-'Balance sheet - PRODUCT'!K55</f>
        <v>-5354.8597921010223</v>
      </c>
      <c r="M23" s="26"/>
      <c r="N23" s="26"/>
      <c r="O23" s="26"/>
      <c r="P23" s="26"/>
      <c r="Q23" s="26"/>
      <c r="R23" s="26"/>
      <c r="S23" s="26"/>
      <c r="T23" s="26"/>
      <c r="U23" s="26"/>
      <c r="V23" s="26"/>
      <c r="W23" s="26"/>
      <c r="X23" s="26"/>
      <c r="Y23" s="26"/>
      <c r="Z23" s="26"/>
    </row>
    <row r="24" spans="1:26" ht="17.25" customHeight="1" x14ac:dyDescent="0.25">
      <c r="A24" s="26"/>
      <c r="B24" s="46" t="s">
        <v>157</v>
      </c>
      <c r="C24" s="92">
        <v>-11716</v>
      </c>
      <c r="D24" s="93">
        <v>-13756</v>
      </c>
      <c r="E24" s="117">
        <f>-'Income Statement - PRODUCT'!F31</f>
        <v>-10364.15679828791</v>
      </c>
      <c r="F24" s="117">
        <f>-'Income Statement - PRODUCT'!G31</f>
        <v>-4099.9895560158784</v>
      </c>
      <c r="G24" s="117">
        <f>-'Income Statement - PRODUCT'!H31</f>
        <v>-1510.870466932286</v>
      </c>
      <c r="H24" s="117">
        <f>-'Income Statement - PRODUCT'!I31</f>
        <v>-515.31657936317765</v>
      </c>
      <c r="I24" s="117">
        <f>-'Income Statement - PRODUCT'!J31</f>
        <v>-170.50580021333579</v>
      </c>
      <c r="J24" s="117">
        <f>-'Income Statement - PRODUCT'!K31</f>
        <v>-54.774375201618696</v>
      </c>
      <c r="K24" s="117">
        <f>-'Income Statement - PRODUCT'!L31</f>
        <v>-17.117289092223999</v>
      </c>
      <c r="L24" s="117">
        <f>-'Income Statement - PRODUCT'!M31</f>
        <v>-5.2043679283740776</v>
      </c>
      <c r="M24" s="26"/>
      <c r="N24" s="26"/>
      <c r="O24" s="26"/>
      <c r="P24" s="26"/>
      <c r="Q24" s="26"/>
      <c r="R24" s="26"/>
      <c r="S24" s="26"/>
      <c r="T24" s="26"/>
      <c r="U24" s="26"/>
      <c r="V24" s="26"/>
      <c r="W24" s="26"/>
      <c r="X24" s="26"/>
      <c r="Y24" s="26"/>
      <c r="Z24" s="26"/>
    </row>
    <row r="25" spans="1:26" ht="17.25" customHeight="1" x14ac:dyDescent="0.25">
      <c r="A25" s="26"/>
      <c r="B25" s="46" t="s">
        <v>158</v>
      </c>
      <c r="C25" s="92">
        <v>2253</v>
      </c>
      <c r="D25" s="93">
        <v>-7818</v>
      </c>
      <c r="E25" s="117">
        <f>'Income Statement - PRODUCT'!F30</f>
        <v>3555.7223686196967</v>
      </c>
      <c r="F25" s="117">
        <f>'Income Statement - PRODUCT'!G30</f>
        <v>4622.4390792056056</v>
      </c>
      <c r="G25" s="117">
        <f>'Income Statement - PRODUCT'!H30</f>
        <v>6009.1708029672864</v>
      </c>
      <c r="H25" s="117">
        <f>'Income Statement - PRODUCT'!I30</f>
        <v>6910.5464234123783</v>
      </c>
      <c r="I25" s="117">
        <f>'Income Statement - PRODUCT'!J30</f>
        <v>7947.1283869242352</v>
      </c>
      <c r="J25" s="117">
        <f>'Income Statement - PRODUCT'!K30</f>
        <v>9139.1976449628692</v>
      </c>
      <c r="K25" s="117">
        <f>'Income Statement - PRODUCT'!L30</f>
        <v>10510.077291707299</v>
      </c>
      <c r="L25" s="117">
        <f>'Income Statement - PRODUCT'!M30</f>
        <v>12086.58888546339</v>
      </c>
      <c r="M25" s="26"/>
      <c r="N25" s="26"/>
      <c r="O25" s="26"/>
      <c r="P25" s="26"/>
      <c r="Q25" s="26"/>
      <c r="R25" s="26"/>
      <c r="S25" s="26"/>
      <c r="T25" s="26"/>
      <c r="U25" s="26"/>
      <c r="V25" s="26"/>
      <c r="W25" s="26"/>
      <c r="X25" s="26"/>
      <c r="Y25" s="26"/>
      <c r="Z25" s="26"/>
    </row>
    <row r="26" spans="1:26" ht="17.25" customHeight="1" x14ac:dyDescent="0.25">
      <c r="A26" s="26"/>
      <c r="B26" s="41" t="s">
        <v>159</v>
      </c>
      <c r="C26" s="95">
        <f t="shared" ref="C26:D26" si="7">SUM(C20:C25)</f>
        <v>-12265</v>
      </c>
      <c r="D26" s="96">
        <f t="shared" si="7"/>
        <v>-598487</v>
      </c>
      <c r="E26" s="120">
        <f t="shared" ref="E26:L26" si="8">SUM(E23:E25)</f>
        <v>-14135.577095773111</v>
      </c>
      <c r="F26" s="120">
        <f t="shared" si="8"/>
        <v>-7649.9840293660855</v>
      </c>
      <c r="G26" s="120">
        <f t="shared" si="8"/>
        <v>-3447.3169384451448</v>
      </c>
      <c r="H26" s="120">
        <f t="shared" si="8"/>
        <v>-1300.0463338768468</v>
      </c>
      <c r="I26" s="120">
        <f t="shared" si="8"/>
        <v>357.65225929796452</v>
      </c>
      <c r="J26" s="120">
        <f t="shared" si="8"/>
        <v>1970.4165463216241</v>
      </c>
      <c r="K26" s="120">
        <f t="shared" si="8"/>
        <v>4766.5958868990292</v>
      </c>
      <c r="L26" s="120">
        <f t="shared" si="8"/>
        <v>6726.5247254339938</v>
      </c>
      <c r="M26" s="26"/>
      <c r="N26" s="26"/>
      <c r="O26" s="26"/>
      <c r="P26" s="26"/>
      <c r="Q26" s="26"/>
      <c r="R26" s="26"/>
      <c r="S26" s="26"/>
      <c r="T26" s="26"/>
      <c r="U26" s="26"/>
      <c r="V26" s="26"/>
      <c r="W26" s="26"/>
      <c r="X26" s="26"/>
      <c r="Y26" s="26"/>
      <c r="Z26" s="26"/>
    </row>
    <row r="27" spans="1:26" ht="17.25" customHeight="1" x14ac:dyDescent="0.25">
      <c r="A27" s="26"/>
      <c r="B27" s="97"/>
      <c r="C27" s="94"/>
      <c r="D27" s="32"/>
      <c r="E27" s="127"/>
      <c r="F27" s="127"/>
      <c r="G27" s="127"/>
      <c r="H27" s="127"/>
      <c r="I27" s="127"/>
      <c r="J27" s="127"/>
      <c r="K27" s="127"/>
      <c r="L27" s="127"/>
      <c r="M27" s="26"/>
      <c r="N27" s="26"/>
      <c r="O27" s="26"/>
      <c r="P27" s="26"/>
      <c r="Q27" s="26"/>
      <c r="R27" s="26"/>
      <c r="S27" s="26"/>
      <c r="T27" s="26"/>
      <c r="U27" s="26"/>
      <c r="V27" s="26"/>
      <c r="W27" s="26"/>
      <c r="X27" s="26"/>
      <c r="Y27" s="26"/>
      <c r="Z27" s="26"/>
    </row>
    <row r="28" spans="1:26" ht="17.25" customHeight="1" x14ac:dyDescent="0.25">
      <c r="A28" s="26"/>
      <c r="B28" s="41" t="s">
        <v>160</v>
      </c>
      <c r="C28" s="95">
        <f t="shared" ref="C28" si="9">SUM(C26,C18,C13)</f>
        <v>58087.169999999925</v>
      </c>
      <c r="D28" s="96">
        <f>SUM(D26,D18,D13)</f>
        <v>-5068.1200000001118</v>
      </c>
      <c r="E28" s="120">
        <f>E13+E18+E26-2</f>
        <v>-3632231.8588371272</v>
      </c>
      <c r="F28" s="120">
        <f t="shared" ref="F28:L28" si="10">F13+F18+F26</f>
        <v>-3600232.3735950813</v>
      </c>
      <c r="G28" s="120">
        <f t="shared" si="10"/>
        <v>2983368.7898476822</v>
      </c>
      <c r="H28" s="120">
        <f t="shared" si="10"/>
        <v>3548701.0684575429</v>
      </c>
      <c r="I28" s="120">
        <f t="shared" si="10"/>
        <v>4207566.6823205575</v>
      </c>
      <c r="J28" s="120">
        <f t="shared" si="10"/>
        <v>4956452.1243516337</v>
      </c>
      <c r="K28" s="120">
        <f t="shared" si="10"/>
        <v>5809892.0382864922</v>
      </c>
      <c r="L28" s="120">
        <f t="shared" si="10"/>
        <v>6825637.6620983016</v>
      </c>
      <c r="M28" s="26"/>
      <c r="N28" s="26"/>
      <c r="O28" s="26"/>
      <c r="P28" s="26"/>
      <c r="Q28" s="26"/>
      <c r="R28" s="26"/>
      <c r="S28" s="26"/>
      <c r="T28" s="26"/>
      <c r="U28" s="26"/>
      <c r="V28" s="26"/>
      <c r="W28" s="26"/>
      <c r="X28" s="26"/>
      <c r="Y28" s="26"/>
      <c r="Z28" s="26"/>
    </row>
    <row r="29" spans="1:26" ht="17.25" customHeight="1" x14ac:dyDescent="0.25">
      <c r="A29" s="26"/>
      <c r="B29" s="40" t="s">
        <v>161</v>
      </c>
      <c r="C29" s="94">
        <v>127541</v>
      </c>
      <c r="D29" s="32">
        <f>C30</f>
        <v>185628.16999999993</v>
      </c>
      <c r="E29" s="122">
        <f>D30</f>
        <v>180560.04999999981</v>
      </c>
      <c r="F29" s="122">
        <f>E30</f>
        <v>-3451671.8088371274</v>
      </c>
      <c r="G29" s="122">
        <f t="shared" ref="G29:L29" si="11">F30</f>
        <v>-7051904.1824322082</v>
      </c>
      <c r="H29" s="122">
        <f t="shared" si="11"/>
        <v>-4068535.392584526</v>
      </c>
      <c r="I29" s="122">
        <f t="shared" si="11"/>
        <v>-519834.32412698306</v>
      </c>
      <c r="J29" s="122">
        <f t="shared" si="11"/>
        <v>3687732.3581935745</v>
      </c>
      <c r="K29" s="122">
        <f t="shared" si="11"/>
        <v>8644184.4825452082</v>
      </c>
      <c r="L29" s="122">
        <f t="shared" si="11"/>
        <v>14454076.5208317</v>
      </c>
      <c r="M29" s="26"/>
      <c r="N29" s="26"/>
      <c r="O29" s="26"/>
      <c r="P29" s="26"/>
      <c r="Q29" s="26"/>
      <c r="R29" s="26"/>
      <c r="S29" s="26"/>
      <c r="T29" s="26"/>
      <c r="U29" s="26"/>
      <c r="V29" s="26"/>
      <c r="W29" s="26"/>
      <c r="X29" s="26"/>
      <c r="Y29" s="26"/>
      <c r="Z29" s="26"/>
    </row>
    <row r="30" spans="1:26" ht="17.25" customHeight="1" x14ac:dyDescent="0.25">
      <c r="A30" s="26"/>
      <c r="B30" s="40" t="s">
        <v>162</v>
      </c>
      <c r="C30" s="95">
        <f t="shared" ref="C30" si="12">C29+C28</f>
        <v>185628.16999999993</v>
      </c>
      <c r="D30" s="96">
        <f>D29+D28</f>
        <v>180560.04999999981</v>
      </c>
      <c r="E30" s="120">
        <f>E28+E29</f>
        <v>-3451671.8088371274</v>
      </c>
      <c r="F30" s="120">
        <f t="shared" ref="F30:L30" si="13">F28+F29</f>
        <v>-7051904.1824322082</v>
      </c>
      <c r="G30" s="120">
        <f t="shared" si="13"/>
        <v>-4068535.392584526</v>
      </c>
      <c r="H30" s="120">
        <f t="shared" si="13"/>
        <v>-519834.32412698306</v>
      </c>
      <c r="I30" s="120">
        <f t="shared" si="13"/>
        <v>3687732.3581935745</v>
      </c>
      <c r="J30" s="120">
        <f t="shared" si="13"/>
        <v>8644184.4825452082</v>
      </c>
      <c r="K30" s="120">
        <f t="shared" si="13"/>
        <v>14454076.5208317</v>
      </c>
      <c r="L30" s="120">
        <f t="shared" si="13"/>
        <v>21279714.18293</v>
      </c>
      <c r="M30" s="26"/>
      <c r="N30" s="26"/>
      <c r="O30" s="26"/>
      <c r="P30" s="26"/>
      <c r="Q30" s="26"/>
      <c r="R30" s="26"/>
      <c r="S30" s="26"/>
      <c r="T30" s="26"/>
      <c r="U30" s="26"/>
      <c r="V30" s="26"/>
      <c r="W30" s="26"/>
      <c r="X30" s="26"/>
      <c r="Y30" s="26"/>
      <c r="Z30" s="26"/>
    </row>
    <row r="31" spans="1:26" ht="17.25" customHeight="1" x14ac:dyDescent="0.25">
      <c r="A31" s="26"/>
      <c r="B31" s="26"/>
      <c r="C31" s="98"/>
      <c r="D31" s="26"/>
      <c r="E31" s="105"/>
      <c r="F31" s="105"/>
      <c r="G31" s="105"/>
      <c r="H31" s="105"/>
      <c r="I31" s="105"/>
      <c r="J31" s="105"/>
      <c r="K31" s="105"/>
      <c r="L31" s="105"/>
      <c r="M31" s="26"/>
      <c r="N31" s="26"/>
      <c r="O31" s="26"/>
      <c r="P31" s="26"/>
      <c r="Q31" s="26"/>
      <c r="R31" s="26"/>
      <c r="S31" s="26"/>
      <c r="T31" s="26"/>
      <c r="U31" s="26"/>
      <c r="V31" s="26"/>
      <c r="W31" s="26"/>
      <c r="X31" s="26"/>
      <c r="Y31" s="26"/>
      <c r="Z31" s="26"/>
    </row>
    <row r="32" spans="1:26" ht="17.25" customHeight="1" x14ac:dyDescent="0.25">
      <c r="A32" s="26"/>
      <c r="B32" s="26"/>
      <c r="C32" s="99"/>
      <c r="D32" s="35"/>
      <c r="E32" s="26"/>
      <c r="F32" s="26"/>
      <c r="G32" s="26"/>
      <c r="H32" s="26"/>
      <c r="I32" s="26"/>
      <c r="J32" s="26"/>
      <c r="K32" s="26"/>
      <c r="L32" s="26"/>
      <c r="M32" s="26"/>
      <c r="N32" s="26"/>
      <c r="O32" s="26"/>
      <c r="P32" s="26"/>
      <c r="Q32" s="26"/>
      <c r="R32" s="26"/>
      <c r="S32" s="26"/>
      <c r="T32" s="26"/>
      <c r="U32" s="26"/>
      <c r="V32" s="26"/>
      <c r="W32" s="26"/>
      <c r="X32" s="26"/>
      <c r="Y32" s="26"/>
      <c r="Z32" s="26"/>
    </row>
    <row r="33" spans="1:26" ht="17.25" customHeight="1" x14ac:dyDescent="0.25">
      <c r="A33" s="26"/>
      <c r="B33" s="26"/>
      <c r="C33" s="99"/>
      <c r="D33" s="35"/>
      <c r="E33" s="35"/>
      <c r="F33" s="35"/>
      <c r="G33" s="35"/>
      <c r="H33" s="35"/>
      <c r="I33" s="35"/>
      <c r="J33" s="35"/>
      <c r="K33" s="35"/>
      <c r="L33" s="35"/>
      <c r="M33" s="26"/>
      <c r="N33" s="26"/>
      <c r="O33" s="26"/>
      <c r="P33" s="26"/>
      <c r="Q33" s="26"/>
      <c r="R33" s="26"/>
      <c r="S33" s="26"/>
      <c r="T33" s="26"/>
      <c r="U33" s="26"/>
      <c r="V33" s="26"/>
      <c r="W33" s="26"/>
      <c r="X33" s="26"/>
      <c r="Y33" s="26"/>
      <c r="Z33" s="26"/>
    </row>
    <row r="34" spans="1:26" ht="12.75" customHeight="1" x14ac:dyDescent="0.25">
      <c r="A34" s="26"/>
      <c r="B34" s="26"/>
      <c r="C34" s="98"/>
      <c r="D34" s="26"/>
      <c r="E34" s="26"/>
      <c r="F34" s="26"/>
      <c r="G34" s="26"/>
      <c r="H34" s="26"/>
      <c r="I34" s="26"/>
      <c r="J34" s="26"/>
      <c r="K34" s="26"/>
      <c r="L34" s="26"/>
      <c r="M34" s="26"/>
      <c r="N34" s="26"/>
      <c r="O34" s="26"/>
      <c r="P34" s="26"/>
      <c r="Q34" s="26"/>
      <c r="R34" s="26"/>
      <c r="S34" s="26"/>
      <c r="T34" s="26"/>
      <c r="U34" s="26"/>
      <c r="V34" s="26"/>
      <c r="W34" s="26"/>
      <c r="X34" s="26"/>
      <c r="Y34" s="26"/>
      <c r="Z34" s="26"/>
    </row>
    <row r="35" spans="1:26" ht="12.75" customHeight="1" x14ac:dyDescent="0.25">
      <c r="A35" s="26"/>
      <c r="B35" s="26"/>
      <c r="C35" s="98"/>
      <c r="D35" s="26"/>
      <c r="E35" s="35"/>
      <c r="F35" s="26"/>
      <c r="G35" s="26"/>
      <c r="H35" s="26"/>
      <c r="I35" s="26"/>
      <c r="J35" s="26"/>
      <c r="K35" s="26"/>
      <c r="L35" s="26"/>
      <c r="M35" s="26"/>
      <c r="N35" s="26"/>
      <c r="O35" s="26"/>
      <c r="P35" s="26"/>
      <c r="Q35" s="26"/>
      <c r="R35" s="26"/>
      <c r="S35" s="26"/>
      <c r="T35" s="26"/>
      <c r="U35" s="26"/>
      <c r="V35" s="26"/>
      <c r="W35" s="26"/>
      <c r="X35" s="26"/>
      <c r="Y35" s="26"/>
      <c r="Z35" s="26"/>
    </row>
    <row r="36" spans="1:26" ht="12.75" customHeight="1" x14ac:dyDescent="0.25">
      <c r="A36" s="26"/>
      <c r="B36" s="26"/>
      <c r="C36" s="98"/>
      <c r="D36" s="26"/>
      <c r="E36" s="26"/>
      <c r="F36" s="26"/>
      <c r="G36" s="26"/>
      <c r="H36" s="26"/>
      <c r="I36" s="26"/>
      <c r="J36" s="26"/>
      <c r="K36" s="26"/>
      <c r="L36" s="26"/>
      <c r="M36" s="26"/>
      <c r="N36" s="26"/>
      <c r="O36" s="26"/>
      <c r="P36" s="26"/>
      <c r="Q36" s="26"/>
      <c r="R36" s="26"/>
      <c r="S36" s="26"/>
      <c r="T36" s="26"/>
      <c r="U36" s="26"/>
      <c r="V36" s="26"/>
      <c r="W36" s="26"/>
      <c r="X36" s="26"/>
      <c r="Y36" s="26"/>
      <c r="Z36" s="26"/>
    </row>
    <row r="37" spans="1:26" ht="12.75" customHeight="1" x14ac:dyDescent="0.25">
      <c r="A37" s="26"/>
      <c r="B37" s="26"/>
      <c r="C37" s="98"/>
      <c r="D37" s="26"/>
      <c r="E37" s="26"/>
      <c r="F37" s="26"/>
      <c r="G37" s="26"/>
      <c r="H37" s="26"/>
      <c r="I37" s="26"/>
      <c r="J37" s="26"/>
      <c r="K37" s="26"/>
      <c r="L37" s="26"/>
      <c r="M37" s="26"/>
      <c r="N37" s="26"/>
      <c r="O37" s="26"/>
      <c r="P37" s="26"/>
      <c r="Q37" s="26"/>
      <c r="R37" s="26"/>
      <c r="S37" s="26"/>
      <c r="T37" s="26"/>
      <c r="U37" s="26"/>
      <c r="V37" s="26"/>
      <c r="W37" s="26"/>
      <c r="X37" s="26"/>
      <c r="Y37" s="26"/>
      <c r="Z37" s="26"/>
    </row>
    <row r="38" spans="1:26" ht="12.75" customHeight="1" x14ac:dyDescent="0.25">
      <c r="A38" s="26"/>
      <c r="B38" s="26"/>
      <c r="C38" s="98"/>
      <c r="D38" s="26"/>
      <c r="E38" s="26"/>
      <c r="F38" s="26"/>
      <c r="G38" s="26"/>
      <c r="H38" s="26"/>
      <c r="I38" s="26"/>
      <c r="J38" s="26"/>
      <c r="K38" s="26"/>
      <c r="L38" s="26"/>
      <c r="M38" s="26"/>
      <c r="N38" s="26"/>
      <c r="O38" s="26"/>
      <c r="P38" s="26"/>
      <c r="Q38" s="26"/>
      <c r="R38" s="26"/>
      <c r="S38" s="26"/>
      <c r="T38" s="26"/>
      <c r="U38" s="26"/>
      <c r="V38" s="26"/>
      <c r="W38" s="26"/>
      <c r="X38" s="26"/>
      <c r="Y38" s="26"/>
      <c r="Z38" s="26"/>
    </row>
    <row r="39" spans="1:26" ht="12.75" customHeight="1" x14ac:dyDescent="0.25">
      <c r="A39" s="26"/>
      <c r="B39" s="26"/>
      <c r="C39" s="98"/>
      <c r="D39" s="26"/>
      <c r="E39" s="26"/>
      <c r="F39" s="26"/>
      <c r="G39" s="26"/>
      <c r="H39" s="26"/>
      <c r="I39" s="26"/>
      <c r="J39" s="26"/>
      <c r="K39" s="26"/>
      <c r="L39" s="26"/>
      <c r="M39" s="26"/>
      <c r="N39" s="26"/>
      <c r="O39" s="26"/>
      <c r="P39" s="26"/>
      <c r="Q39" s="26"/>
      <c r="R39" s="26"/>
      <c r="S39" s="26"/>
      <c r="T39" s="26"/>
      <c r="U39" s="26"/>
      <c r="V39" s="26"/>
      <c r="W39" s="26"/>
      <c r="X39" s="26"/>
      <c r="Y39" s="26"/>
      <c r="Z39" s="26"/>
    </row>
    <row r="40" spans="1:26" ht="12.75" customHeight="1" x14ac:dyDescent="0.25">
      <c r="A40" s="26"/>
      <c r="B40" s="26"/>
      <c r="C40" s="98"/>
      <c r="D40" s="26"/>
      <c r="E40" s="26"/>
      <c r="F40" s="26"/>
      <c r="G40" s="26"/>
      <c r="H40" s="26"/>
      <c r="I40" s="26"/>
      <c r="J40" s="26"/>
      <c r="K40" s="26"/>
      <c r="L40" s="26"/>
      <c r="M40" s="26"/>
      <c r="N40" s="26"/>
      <c r="O40" s="26"/>
      <c r="P40" s="26"/>
      <c r="Q40" s="26"/>
      <c r="R40" s="26"/>
      <c r="S40" s="26"/>
      <c r="T40" s="26"/>
      <c r="U40" s="26"/>
      <c r="V40" s="26"/>
      <c r="W40" s="26"/>
      <c r="X40" s="26"/>
      <c r="Y40" s="26"/>
      <c r="Z40" s="26"/>
    </row>
    <row r="41" spans="1:26" ht="12.75" customHeight="1" x14ac:dyDescent="0.25">
      <c r="A41" s="26"/>
      <c r="B41" s="26"/>
      <c r="C41" s="98"/>
      <c r="D41" s="26"/>
      <c r="E41" s="26"/>
      <c r="F41" s="26"/>
      <c r="G41" s="26"/>
      <c r="H41" s="26"/>
      <c r="I41" s="26"/>
      <c r="J41" s="26"/>
      <c r="K41" s="26"/>
      <c r="L41" s="26"/>
      <c r="M41" s="26"/>
      <c r="N41" s="26"/>
      <c r="O41" s="26"/>
      <c r="P41" s="26"/>
      <c r="Q41" s="26"/>
      <c r="R41" s="26"/>
      <c r="S41" s="26"/>
      <c r="T41" s="26"/>
      <c r="U41" s="26"/>
      <c r="V41" s="26"/>
      <c r="W41" s="26"/>
      <c r="X41" s="26"/>
      <c r="Y41" s="26"/>
      <c r="Z41" s="26"/>
    </row>
    <row r="42" spans="1:26" ht="12.75" customHeight="1" x14ac:dyDescent="0.25">
      <c r="A42" s="26"/>
      <c r="B42" s="26"/>
      <c r="C42" s="98"/>
      <c r="D42" s="26"/>
      <c r="E42" s="26"/>
      <c r="F42" s="26"/>
      <c r="G42" s="26"/>
      <c r="H42" s="26"/>
      <c r="I42" s="26"/>
      <c r="J42" s="26"/>
      <c r="K42" s="26"/>
      <c r="L42" s="26"/>
      <c r="M42" s="26"/>
      <c r="N42" s="26"/>
      <c r="O42" s="26"/>
      <c r="P42" s="26"/>
      <c r="Q42" s="26"/>
      <c r="R42" s="26"/>
      <c r="S42" s="26"/>
      <c r="T42" s="26"/>
      <c r="U42" s="26"/>
      <c r="V42" s="26"/>
      <c r="W42" s="26"/>
      <c r="X42" s="26"/>
      <c r="Y42" s="26"/>
      <c r="Z42" s="26"/>
    </row>
    <row r="43" spans="1:26" ht="12.75" customHeight="1" x14ac:dyDescent="0.25">
      <c r="A43" s="26"/>
      <c r="B43" s="26"/>
      <c r="C43" s="98"/>
      <c r="D43" s="26"/>
      <c r="E43" s="26"/>
      <c r="F43" s="26"/>
      <c r="G43" s="26"/>
      <c r="H43" s="26"/>
      <c r="I43" s="26"/>
      <c r="J43" s="26"/>
      <c r="K43" s="26"/>
      <c r="L43" s="26"/>
      <c r="M43" s="26"/>
      <c r="N43" s="26"/>
      <c r="O43" s="26"/>
      <c r="P43" s="26"/>
      <c r="Q43" s="26"/>
      <c r="R43" s="26"/>
      <c r="S43" s="26"/>
      <c r="T43" s="26"/>
      <c r="U43" s="26"/>
      <c r="V43" s="26"/>
      <c r="W43" s="26"/>
      <c r="X43" s="26"/>
      <c r="Y43" s="26"/>
      <c r="Z43" s="26"/>
    </row>
    <row r="44" spans="1:26" ht="12.75" customHeight="1" x14ac:dyDescent="0.25">
      <c r="A44" s="26"/>
      <c r="B44" s="26"/>
      <c r="C44" s="98"/>
      <c r="D44" s="26"/>
      <c r="E44" s="26"/>
      <c r="F44" s="26"/>
      <c r="G44" s="26"/>
      <c r="H44" s="26"/>
      <c r="I44" s="26"/>
      <c r="J44" s="26"/>
      <c r="K44" s="26"/>
      <c r="L44" s="26"/>
      <c r="M44" s="26"/>
      <c r="N44" s="26"/>
      <c r="O44" s="26"/>
      <c r="P44" s="26"/>
      <c r="Q44" s="26"/>
      <c r="R44" s="26"/>
      <c r="S44" s="26"/>
      <c r="T44" s="26"/>
      <c r="U44" s="26"/>
      <c r="V44" s="26"/>
      <c r="W44" s="26"/>
      <c r="X44" s="26"/>
      <c r="Y44" s="26"/>
      <c r="Z44" s="26"/>
    </row>
    <row r="45" spans="1:26" ht="12.75" customHeight="1" x14ac:dyDescent="0.25">
      <c r="A45" s="26"/>
      <c r="B45" s="26"/>
      <c r="C45" s="98"/>
      <c r="D45" s="26"/>
      <c r="E45" s="26"/>
      <c r="F45" s="26"/>
      <c r="G45" s="26"/>
      <c r="H45" s="26"/>
      <c r="I45" s="26"/>
      <c r="J45" s="26"/>
      <c r="K45" s="26"/>
      <c r="L45" s="26"/>
      <c r="M45" s="26"/>
      <c r="N45" s="26"/>
      <c r="O45" s="26"/>
      <c r="P45" s="26"/>
      <c r="Q45" s="26"/>
      <c r="R45" s="26"/>
      <c r="S45" s="26"/>
      <c r="T45" s="26"/>
      <c r="U45" s="26"/>
      <c r="V45" s="26"/>
      <c r="W45" s="26"/>
      <c r="X45" s="26"/>
      <c r="Y45" s="26"/>
      <c r="Z45" s="26"/>
    </row>
    <row r="46" spans="1:26" ht="12.75" customHeight="1" x14ac:dyDescent="0.25">
      <c r="A46" s="26"/>
      <c r="B46" s="26"/>
      <c r="C46" s="98"/>
      <c r="D46" s="26"/>
      <c r="E46" s="26"/>
      <c r="F46" s="26"/>
      <c r="G46" s="26"/>
      <c r="H46" s="26"/>
      <c r="I46" s="26"/>
      <c r="J46" s="26"/>
      <c r="K46" s="26"/>
      <c r="L46" s="26"/>
      <c r="M46" s="26"/>
      <c r="N46" s="26"/>
      <c r="O46" s="26"/>
      <c r="P46" s="26"/>
      <c r="Q46" s="26"/>
      <c r="R46" s="26"/>
      <c r="S46" s="26"/>
      <c r="T46" s="26"/>
      <c r="U46" s="26"/>
      <c r="V46" s="26"/>
      <c r="W46" s="26"/>
      <c r="X46" s="26"/>
      <c r="Y46" s="26"/>
      <c r="Z46" s="26"/>
    </row>
    <row r="47" spans="1:26" ht="12.75" customHeight="1" x14ac:dyDescent="0.25">
      <c r="A47" s="26"/>
      <c r="B47" s="26"/>
      <c r="C47" s="98"/>
      <c r="D47" s="26"/>
      <c r="E47" s="26"/>
      <c r="F47" s="26"/>
      <c r="G47" s="26"/>
      <c r="H47" s="26"/>
      <c r="I47" s="26"/>
      <c r="J47" s="26"/>
      <c r="K47" s="26"/>
      <c r="L47" s="26"/>
      <c r="M47" s="26"/>
      <c r="N47" s="26"/>
      <c r="O47" s="26"/>
      <c r="P47" s="26"/>
      <c r="Q47" s="26"/>
      <c r="R47" s="26"/>
      <c r="S47" s="26"/>
      <c r="T47" s="26"/>
      <c r="U47" s="26"/>
      <c r="V47" s="26"/>
      <c r="W47" s="26"/>
      <c r="X47" s="26"/>
      <c r="Y47" s="26"/>
      <c r="Z47" s="26"/>
    </row>
    <row r="48" spans="1:26" ht="12.75" customHeight="1" x14ac:dyDescent="0.25">
      <c r="A48" s="26"/>
      <c r="B48" s="26"/>
      <c r="C48" s="98"/>
      <c r="D48" s="26"/>
      <c r="E48" s="26"/>
      <c r="F48" s="26"/>
      <c r="G48" s="26"/>
      <c r="H48" s="26"/>
      <c r="I48" s="26"/>
      <c r="J48" s="26"/>
      <c r="K48" s="26"/>
      <c r="L48" s="26"/>
      <c r="M48" s="26"/>
      <c r="N48" s="26"/>
      <c r="O48" s="26"/>
      <c r="P48" s="26"/>
      <c r="Q48" s="26"/>
      <c r="R48" s="26"/>
      <c r="S48" s="26"/>
      <c r="T48" s="26"/>
      <c r="U48" s="26"/>
      <c r="V48" s="26"/>
      <c r="W48" s="26"/>
      <c r="X48" s="26"/>
      <c r="Y48" s="26"/>
      <c r="Z48" s="26"/>
    </row>
    <row r="49" spans="1:26" ht="12.75" customHeight="1" x14ac:dyDescent="0.25">
      <c r="A49" s="26"/>
      <c r="B49" s="26"/>
      <c r="C49" s="98"/>
      <c r="D49" s="26"/>
      <c r="E49" s="26"/>
      <c r="F49" s="26"/>
      <c r="G49" s="26"/>
      <c r="H49" s="26"/>
      <c r="I49" s="26"/>
      <c r="J49" s="26"/>
      <c r="K49" s="26"/>
      <c r="L49" s="26"/>
      <c r="M49" s="26"/>
      <c r="N49" s="26"/>
      <c r="O49" s="26"/>
      <c r="P49" s="26"/>
      <c r="Q49" s="26"/>
      <c r="R49" s="26"/>
      <c r="S49" s="26"/>
      <c r="T49" s="26"/>
      <c r="U49" s="26"/>
      <c r="V49" s="26"/>
      <c r="W49" s="26"/>
      <c r="X49" s="26"/>
      <c r="Y49" s="26"/>
      <c r="Z49" s="26"/>
    </row>
    <row r="50" spans="1:26" ht="12.75" customHeight="1" x14ac:dyDescent="0.25">
      <c r="A50" s="26"/>
      <c r="B50" s="26"/>
      <c r="C50" s="98"/>
      <c r="D50" s="26"/>
      <c r="E50" s="26"/>
      <c r="F50" s="26"/>
      <c r="G50" s="26"/>
      <c r="H50" s="26"/>
      <c r="I50" s="26"/>
      <c r="J50" s="26"/>
      <c r="K50" s="26"/>
      <c r="L50" s="26"/>
      <c r="M50" s="26"/>
      <c r="N50" s="26"/>
      <c r="O50" s="26"/>
      <c r="P50" s="26"/>
      <c r="Q50" s="26"/>
      <c r="R50" s="26"/>
      <c r="S50" s="26"/>
      <c r="T50" s="26"/>
      <c r="U50" s="26"/>
      <c r="V50" s="26"/>
      <c r="W50" s="26"/>
      <c r="X50" s="26"/>
      <c r="Y50" s="26"/>
      <c r="Z50" s="26"/>
    </row>
    <row r="51" spans="1:26" ht="12.75" customHeight="1" x14ac:dyDescent="0.25">
      <c r="A51" s="26"/>
      <c r="B51" s="26"/>
      <c r="C51" s="98"/>
      <c r="D51" s="26"/>
      <c r="E51" s="26"/>
      <c r="F51" s="26"/>
      <c r="G51" s="26"/>
      <c r="H51" s="26"/>
      <c r="I51" s="26"/>
      <c r="J51" s="26"/>
      <c r="K51" s="26"/>
      <c r="L51" s="26"/>
      <c r="M51" s="26"/>
      <c r="N51" s="26"/>
      <c r="O51" s="26"/>
      <c r="P51" s="26"/>
      <c r="Q51" s="26"/>
      <c r="R51" s="26"/>
      <c r="S51" s="26"/>
      <c r="T51" s="26"/>
      <c r="U51" s="26"/>
      <c r="V51" s="26"/>
      <c r="W51" s="26"/>
      <c r="X51" s="26"/>
      <c r="Y51" s="26"/>
      <c r="Z51" s="26"/>
    </row>
    <row r="52" spans="1:26" ht="12.75" customHeight="1" x14ac:dyDescent="0.25">
      <c r="A52" s="26"/>
      <c r="B52" s="26"/>
      <c r="C52" s="98"/>
      <c r="D52" s="26"/>
      <c r="E52" s="26"/>
      <c r="F52" s="26"/>
      <c r="G52" s="26"/>
      <c r="H52" s="26"/>
      <c r="I52" s="26"/>
      <c r="J52" s="26"/>
      <c r="K52" s="26"/>
      <c r="L52" s="26"/>
      <c r="M52" s="26"/>
      <c r="N52" s="26"/>
      <c r="O52" s="26"/>
      <c r="P52" s="26"/>
      <c r="Q52" s="26"/>
      <c r="R52" s="26"/>
      <c r="S52" s="26"/>
      <c r="T52" s="26"/>
      <c r="U52" s="26"/>
      <c r="V52" s="26"/>
      <c r="W52" s="26"/>
      <c r="X52" s="26"/>
      <c r="Y52" s="26"/>
      <c r="Z52" s="26"/>
    </row>
    <row r="53" spans="1:26" ht="12.75" customHeight="1" x14ac:dyDescent="0.25">
      <c r="A53" s="26"/>
      <c r="B53" s="26"/>
      <c r="C53" s="98"/>
      <c r="D53" s="26"/>
      <c r="E53" s="26"/>
      <c r="F53" s="26"/>
      <c r="G53" s="26"/>
      <c r="H53" s="26"/>
      <c r="I53" s="26"/>
      <c r="J53" s="26"/>
      <c r="K53" s="26"/>
      <c r="L53" s="26"/>
      <c r="M53" s="26"/>
      <c r="N53" s="26"/>
      <c r="O53" s="26"/>
      <c r="P53" s="26"/>
      <c r="Q53" s="26"/>
      <c r="R53" s="26"/>
      <c r="S53" s="26"/>
      <c r="T53" s="26"/>
      <c r="U53" s="26"/>
      <c r="V53" s="26"/>
      <c r="W53" s="26"/>
      <c r="X53" s="26"/>
      <c r="Y53" s="26"/>
      <c r="Z53" s="26"/>
    </row>
    <row r="54" spans="1:26" ht="12.75" customHeight="1" x14ac:dyDescent="0.25">
      <c r="A54" s="26"/>
      <c r="B54" s="26"/>
      <c r="C54" s="98"/>
      <c r="D54" s="26"/>
      <c r="E54" s="26"/>
      <c r="F54" s="26"/>
      <c r="G54" s="26"/>
      <c r="H54" s="26"/>
      <c r="I54" s="26"/>
      <c r="J54" s="26"/>
      <c r="K54" s="26"/>
      <c r="L54" s="26"/>
      <c r="M54" s="26"/>
      <c r="N54" s="26"/>
      <c r="O54" s="26"/>
      <c r="P54" s="26"/>
      <c r="Q54" s="26"/>
      <c r="R54" s="26"/>
      <c r="S54" s="26"/>
      <c r="T54" s="26"/>
      <c r="U54" s="26"/>
      <c r="V54" s="26"/>
      <c r="W54" s="26"/>
      <c r="X54" s="26"/>
      <c r="Y54" s="26"/>
      <c r="Z54" s="26"/>
    </row>
    <row r="55" spans="1:26" ht="12.75" customHeight="1" x14ac:dyDescent="0.25">
      <c r="A55" s="26"/>
      <c r="B55" s="26"/>
      <c r="C55" s="98"/>
      <c r="D55" s="26"/>
      <c r="E55" s="26"/>
      <c r="F55" s="26"/>
      <c r="G55" s="26"/>
      <c r="H55" s="26"/>
      <c r="I55" s="26"/>
      <c r="J55" s="26"/>
      <c r="K55" s="26"/>
      <c r="L55" s="26"/>
      <c r="M55" s="26"/>
      <c r="N55" s="26"/>
      <c r="O55" s="26"/>
      <c r="P55" s="26"/>
      <c r="Q55" s="26"/>
      <c r="R55" s="26"/>
      <c r="S55" s="26"/>
      <c r="T55" s="26"/>
      <c r="U55" s="26"/>
      <c r="V55" s="26"/>
      <c r="W55" s="26"/>
      <c r="X55" s="26"/>
      <c r="Y55" s="26"/>
      <c r="Z55" s="26"/>
    </row>
    <row r="56" spans="1:26" ht="12.75" customHeight="1" x14ac:dyDescent="0.25">
      <c r="A56" s="26"/>
      <c r="B56" s="26"/>
      <c r="C56" s="98"/>
      <c r="D56" s="26"/>
      <c r="E56" s="26"/>
      <c r="F56" s="26"/>
      <c r="G56" s="26"/>
      <c r="H56" s="26"/>
      <c r="I56" s="26"/>
      <c r="J56" s="26"/>
      <c r="K56" s="26"/>
      <c r="L56" s="26"/>
      <c r="M56" s="26"/>
      <c r="N56" s="26"/>
      <c r="O56" s="26"/>
      <c r="P56" s="26"/>
      <c r="Q56" s="26"/>
      <c r="R56" s="26"/>
      <c r="S56" s="26"/>
      <c r="T56" s="26"/>
      <c r="U56" s="26"/>
      <c r="V56" s="26"/>
      <c r="W56" s="26"/>
      <c r="X56" s="26"/>
      <c r="Y56" s="26"/>
      <c r="Z56" s="26"/>
    </row>
    <row r="57" spans="1:26" ht="12.75" customHeight="1" x14ac:dyDescent="0.25">
      <c r="A57" s="26"/>
      <c r="B57" s="26"/>
      <c r="C57" s="98"/>
      <c r="D57" s="26"/>
      <c r="E57" s="26"/>
      <c r="F57" s="26"/>
      <c r="G57" s="26"/>
      <c r="H57" s="26"/>
      <c r="I57" s="26"/>
      <c r="J57" s="26"/>
      <c r="K57" s="26"/>
      <c r="L57" s="26"/>
      <c r="M57" s="26"/>
      <c r="N57" s="26"/>
      <c r="O57" s="26"/>
      <c r="P57" s="26"/>
      <c r="Q57" s="26"/>
      <c r="R57" s="26"/>
      <c r="S57" s="26"/>
      <c r="T57" s="26"/>
      <c r="U57" s="26"/>
      <c r="V57" s="26"/>
      <c r="W57" s="26"/>
      <c r="X57" s="26"/>
      <c r="Y57" s="26"/>
      <c r="Z57" s="26"/>
    </row>
    <row r="58" spans="1:26" ht="12.75" customHeight="1" x14ac:dyDescent="0.25">
      <c r="A58" s="26"/>
      <c r="B58" s="26"/>
      <c r="C58" s="98"/>
      <c r="D58" s="26"/>
      <c r="E58" s="26"/>
      <c r="F58" s="26"/>
      <c r="G58" s="26"/>
      <c r="H58" s="26"/>
      <c r="I58" s="26"/>
      <c r="J58" s="26"/>
      <c r="K58" s="26"/>
      <c r="L58" s="26"/>
      <c r="M58" s="26"/>
      <c r="N58" s="26"/>
      <c r="O58" s="26"/>
      <c r="P58" s="26"/>
      <c r="Q58" s="26"/>
      <c r="R58" s="26"/>
      <c r="S58" s="26"/>
      <c r="T58" s="26"/>
      <c r="U58" s="26"/>
      <c r="V58" s="26"/>
      <c r="W58" s="26"/>
      <c r="X58" s="26"/>
      <c r="Y58" s="26"/>
      <c r="Z58" s="26"/>
    </row>
    <row r="59" spans="1:26" ht="12.75" customHeight="1" x14ac:dyDescent="0.25">
      <c r="A59" s="26"/>
      <c r="B59" s="26"/>
      <c r="C59" s="98"/>
      <c r="D59" s="26"/>
      <c r="E59" s="26"/>
      <c r="F59" s="26"/>
      <c r="G59" s="26"/>
      <c r="H59" s="26"/>
      <c r="I59" s="26"/>
      <c r="J59" s="26"/>
      <c r="K59" s="26"/>
      <c r="L59" s="26"/>
      <c r="M59" s="26"/>
      <c r="N59" s="26"/>
      <c r="O59" s="26"/>
      <c r="P59" s="26"/>
      <c r="Q59" s="26"/>
      <c r="R59" s="26"/>
      <c r="S59" s="26"/>
      <c r="T59" s="26"/>
      <c r="U59" s="26"/>
      <c r="V59" s="26"/>
      <c r="W59" s="26"/>
      <c r="X59" s="26"/>
      <c r="Y59" s="26"/>
      <c r="Z59" s="26"/>
    </row>
    <row r="60" spans="1:26" ht="12.75" customHeight="1" x14ac:dyDescent="0.25">
      <c r="A60" s="26"/>
      <c r="B60" s="26"/>
      <c r="C60" s="98"/>
      <c r="D60" s="26"/>
      <c r="E60" s="26"/>
      <c r="F60" s="26"/>
      <c r="G60" s="26"/>
      <c r="H60" s="26"/>
      <c r="I60" s="26"/>
      <c r="J60" s="26"/>
      <c r="K60" s="26"/>
      <c r="L60" s="26"/>
      <c r="M60" s="26"/>
      <c r="N60" s="26"/>
      <c r="O60" s="26"/>
      <c r="P60" s="26"/>
      <c r="Q60" s="26"/>
      <c r="R60" s="26"/>
      <c r="S60" s="26"/>
      <c r="T60" s="26"/>
      <c r="U60" s="26"/>
      <c r="V60" s="26"/>
      <c r="W60" s="26"/>
      <c r="X60" s="26"/>
      <c r="Y60" s="26"/>
      <c r="Z60" s="26"/>
    </row>
    <row r="61" spans="1:26" ht="12.75" customHeight="1" x14ac:dyDescent="0.25">
      <c r="A61" s="26"/>
      <c r="B61" s="26"/>
      <c r="C61" s="98"/>
      <c r="D61" s="26"/>
      <c r="E61" s="26"/>
      <c r="F61" s="26"/>
      <c r="G61" s="26"/>
      <c r="H61" s="26"/>
      <c r="I61" s="26"/>
      <c r="J61" s="26"/>
      <c r="K61" s="26"/>
      <c r="L61" s="26"/>
      <c r="M61" s="26"/>
      <c r="N61" s="26"/>
      <c r="O61" s="26"/>
      <c r="P61" s="26"/>
      <c r="Q61" s="26"/>
      <c r="R61" s="26"/>
      <c r="S61" s="26"/>
      <c r="T61" s="26"/>
      <c r="U61" s="26"/>
      <c r="V61" s="26"/>
      <c r="W61" s="26"/>
      <c r="X61" s="26"/>
      <c r="Y61" s="26"/>
      <c r="Z61" s="26"/>
    </row>
    <row r="62" spans="1:26" ht="12.75" customHeight="1" x14ac:dyDescent="0.25">
      <c r="A62" s="26"/>
      <c r="B62" s="26"/>
      <c r="C62" s="98"/>
      <c r="D62" s="26"/>
      <c r="E62" s="26"/>
      <c r="F62" s="26"/>
      <c r="G62" s="26"/>
      <c r="H62" s="26"/>
      <c r="I62" s="26"/>
      <c r="J62" s="26"/>
      <c r="K62" s="26"/>
      <c r="L62" s="26"/>
      <c r="M62" s="26"/>
      <c r="N62" s="26"/>
      <c r="O62" s="26"/>
      <c r="P62" s="26"/>
      <c r="Q62" s="26"/>
      <c r="R62" s="26"/>
      <c r="S62" s="26"/>
      <c r="T62" s="26"/>
      <c r="U62" s="26"/>
      <c r="V62" s="26"/>
      <c r="W62" s="26"/>
      <c r="X62" s="26"/>
      <c r="Y62" s="26"/>
      <c r="Z62" s="26"/>
    </row>
    <row r="63" spans="1:26" ht="12.75" customHeight="1" x14ac:dyDescent="0.25">
      <c r="A63" s="26"/>
      <c r="B63" s="26"/>
      <c r="C63" s="98"/>
      <c r="D63" s="26"/>
      <c r="E63" s="26"/>
      <c r="F63" s="26"/>
      <c r="G63" s="26"/>
      <c r="H63" s="26"/>
      <c r="I63" s="26"/>
      <c r="J63" s="26"/>
      <c r="K63" s="26"/>
      <c r="L63" s="26"/>
      <c r="M63" s="26"/>
      <c r="N63" s="26"/>
      <c r="O63" s="26"/>
      <c r="P63" s="26"/>
      <c r="Q63" s="26"/>
      <c r="R63" s="26"/>
      <c r="S63" s="26"/>
      <c r="T63" s="26"/>
      <c r="U63" s="26"/>
      <c r="V63" s="26"/>
      <c r="W63" s="26"/>
      <c r="X63" s="26"/>
      <c r="Y63" s="26"/>
      <c r="Z63" s="26"/>
    </row>
    <row r="64" spans="1:26" ht="12.75" customHeight="1" x14ac:dyDescent="0.25">
      <c r="A64" s="26"/>
      <c r="B64" s="26"/>
      <c r="C64" s="98"/>
      <c r="D64" s="26"/>
      <c r="E64" s="26"/>
      <c r="F64" s="26"/>
      <c r="G64" s="26"/>
      <c r="H64" s="26"/>
      <c r="I64" s="26"/>
      <c r="J64" s="26"/>
      <c r="K64" s="26"/>
      <c r="L64" s="26"/>
      <c r="M64" s="26"/>
      <c r="N64" s="26"/>
      <c r="O64" s="26"/>
      <c r="P64" s="26"/>
      <c r="Q64" s="26"/>
      <c r="R64" s="26"/>
      <c r="S64" s="26"/>
      <c r="T64" s="26"/>
      <c r="U64" s="26"/>
      <c r="V64" s="26"/>
      <c r="W64" s="26"/>
      <c r="X64" s="26"/>
      <c r="Y64" s="26"/>
      <c r="Z64" s="26"/>
    </row>
    <row r="65" spans="1:26" ht="12.75" customHeight="1" x14ac:dyDescent="0.25">
      <c r="A65" s="26"/>
      <c r="B65" s="26"/>
      <c r="C65" s="98"/>
      <c r="D65" s="26"/>
      <c r="E65" s="26"/>
      <c r="F65" s="26"/>
      <c r="G65" s="26"/>
      <c r="H65" s="26"/>
      <c r="I65" s="26"/>
      <c r="J65" s="26"/>
      <c r="K65" s="26"/>
      <c r="L65" s="26"/>
      <c r="M65" s="26"/>
      <c r="N65" s="26"/>
      <c r="O65" s="26"/>
      <c r="P65" s="26"/>
      <c r="Q65" s="26"/>
      <c r="R65" s="26"/>
      <c r="S65" s="26"/>
      <c r="T65" s="26"/>
      <c r="U65" s="26"/>
      <c r="V65" s="26"/>
      <c r="W65" s="26"/>
      <c r="X65" s="26"/>
      <c r="Y65" s="26"/>
      <c r="Z65" s="26"/>
    </row>
    <row r="66" spans="1:26" ht="12.75" customHeight="1" x14ac:dyDescent="0.25">
      <c r="A66" s="26"/>
      <c r="B66" s="26"/>
      <c r="C66" s="98"/>
      <c r="D66" s="26"/>
      <c r="E66" s="26"/>
      <c r="F66" s="26"/>
      <c r="G66" s="26"/>
      <c r="H66" s="26"/>
      <c r="I66" s="26"/>
      <c r="J66" s="26"/>
      <c r="K66" s="26"/>
      <c r="L66" s="26"/>
      <c r="M66" s="26"/>
      <c r="N66" s="26"/>
      <c r="O66" s="26"/>
      <c r="P66" s="26"/>
      <c r="Q66" s="26"/>
      <c r="R66" s="26"/>
      <c r="S66" s="26"/>
      <c r="T66" s="26"/>
      <c r="U66" s="26"/>
      <c r="V66" s="26"/>
      <c r="W66" s="26"/>
      <c r="X66" s="26"/>
      <c r="Y66" s="26"/>
      <c r="Z66" s="26"/>
    </row>
    <row r="67" spans="1:26" ht="12.75" customHeight="1" x14ac:dyDescent="0.25">
      <c r="A67" s="26"/>
      <c r="B67" s="26"/>
      <c r="C67" s="98"/>
      <c r="D67" s="26"/>
      <c r="E67" s="26"/>
      <c r="F67" s="26"/>
      <c r="G67" s="26"/>
      <c r="H67" s="26"/>
      <c r="I67" s="26"/>
      <c r="J67" s="26"/>
      <c r="K67" s="26"/>
      <c r="L67" s="26"/>
      <c r="M67" s="26"/>
      <c r="N67" s="26"/>
      <c r="O67" s="26"/>
      <c r="P67" s="26"/>
      <c r="Q67" s="26"/>
      <c r="R67" s="26"/>
      <c r="S67" s="26"/>
      <c r="T67" s="26"/>
      <c r="U67" s="26"/>
      <c r="V67" s="26"/>
      <c r="W67" s="26"/>
      <c r="X67" s="26"/>
      <c r="Y67" s="26"/>
      <c r="Z67" s="26"/>
    </row>
    <row r="68" spans="1:26" ht="12.75" customHeight="1" x14ac:dyDescent="0.25">
      <c r="A68" s="26"/>
      <c r="B68" s="26"/>
      <c r="C68" s="98"/>
      <c r="D68" s="26"/>
      <c r="E68" s="26"/>
      <c r="F68" s="26"/>
      <c r="G68" s="26"/>
      <c r="H68" s="26"/>
      <c r="I68" s="26"/>
      <c r="J68" s="26"/>
      <c r="K68" s="26"/>
      <c r="L68" s="26"/>
      <c r="M68" s="26"/>
      <c r="N68" s="26"/>
      <c r="O68" s="26"/>
      <c r="P68" s="26"/>
      <c r="Q68" s="26"/>
      <c r="R68" s="26"/>
      <c r="S68" s="26"/>
      <c r="T68" s="26"/>
      <c r="U68" s="26"/>
      <c r="V68" s="26"/>
      <c r="W68" s="26"/>
      <c r="X68" s="26"/>
      <c r="Y68" s="26"/>
      <c r="Z68" s="26"/>
    </row>
    <row r="69" spans="1:26" ht="12.75" customHeight="1" x14ac:dyDescent="0.25">
      <c r="A69" s="26"/>
      <c r="B69" s="26"/>
      <c r="C69" s="98"/>
      <c r="D69" s="26"/>
      <c r="E69" s="26"/>
      <c r="F69" s="26"/>
      <c r="G69" s="26"/>
      <c r="H69" s="26"/>
      <c r="I69" s="26"/>
      <c r="J69" s="26"/>
      <c r="K69" s="26"/>
      <c r="L69" s="26"/>
      <c r="M69" s="26"/>
      <c r="N69" s="26"/>
      <c r="O69" s="26"/>
      <c r="P69" s="26"/>
      <c r="Q69" s="26"/>
      <c r="R69" s="26"/>
      <c r="S69" s="26"/>
      <c r="T69" s="26"/>
      <c r="U69" s="26"/>
      <c r="V69" s="26"/>
      <c r="W69" s="26"/>
      <c r="X69" s="26"/>
      <c r="Y69" s="26"/>
      <c r="Z69" s="26"/>
    </row>
    <row r="70" spans="1:26" ht="12.75" customHeight="1" x14ac:dyDescent="0.25">
      <c r="A70" s="26"/>
      <c r="B70" s="26"/>
      <c r="C70" s="98"/>
      <c r="D70" s="26"/>
      <c r="E70" s="26"/>
      <c r="F70" s="26"/>
      <c r="G70" s="26"/>
      <c r="H70" s="26"/>
      <c r="I70" s="26"/>
      <c r="J70" s="26"/>
      <c r="K70" s="26"/>
      <c r="L70" s="26"/>
      <c r="M70" s="26"/>
      <c r="N70" s="26"/>
      <c r="O70" s="26"/>
      <c r="P70" s="26"/>
      <c r="Q70" s="26"/>
      <c r="R70" s="26"/>
      <c r="S70" s="26"/>
      <c r="T70" s="26"/>
      <c r="U70" s="26"/>
      <c r="V70" s="26"/>
      <c r="W70" s="26"/>
      <c r="X70" s="26"/>
      <c r="Y70" s="26"/>
      <c r="Z70" s="26"/>
    </row>
    <row r="71" spans="1:26" ht="12.75" customHeight="1" x14ac:dyDescent="0.25">
      <c r="A71" s="26"/>
      <c r="B71" s="26"/>
      <c r="C71" s="98"/>
      <c r="D71" s="26"/>
      <c r="E71" s="26"/>
      <c r="F71" s="26"/>
      <c r="G71" s="26"/>
      <c r="H71" s="26"/>
      <c r="I71" s="26"/>
      <c r="J71" s="26"/>
      <c r="K71" s="26"/>
      <c r="L71" s="26"/>
      <c r="M71" s="26"/>
      <c r="N71" s="26"/>
      <c r="O71" s="26"/>
      <c r="P71" s="26"/>
      <c r="Q71" s="26"/>
      <c r="R71" s="26"/>
      <c r="S71" s="26"/>
      <c r="T71" s="26"/>
      <c r="U71" s="26"/>
      <c r="V71" s="26"/>
      <c r="W71" s="26"/>
      <c r="X71" s="26"/>
      <c r="Y71" s="26"/>
      <c r="Z71" s="26"/>
    </row>
    <row r="72" spans="1:26" ht="12.75" customHeight="1" x14ac:dyDescent="0.25">
      <c r="A72" s="26"/>
      <c r="B72" s="26"/>
      <c r="C72" s="98"/>
      <c r="D72" s="26"/>
      <c r="E72" s="26"/>
      <c r="F72" s="26"/>
      <c r="G72" s="26"/>
      <c r="H72" s="26"/>
      <c r="I72" s="26"/>
      <c r="J72" s="26"/>
      <c r="K72" s="26"/>
      <c r="L72" s="26"/>
      <c r="M72" s="26"/>
      <c r="N72" s="26"/>
      <c r="O72" s="26"/>
      <c r="P72" s="26"/>
      <c r="Q72" s="26"/>
      <c r="R72" s="26"/>
      <c r="S72" s="26"/>
      <c r="T72" s="26"/>
      <c r="U72" s="26"/>
      <c r="V72" s="26"/>
      <c r="W72" s="26"/>
      <c r="X72" s="26"/>
      <c r="Y72" s="26"/>
      <c r="Z72" s="26"/>
    </row>
    <row r="73" spans="1:26" ht="12.75" customHeight="1" x14ac:dyDescent="0.25">
      <c r="A73" s="26"/>
      <c r="B73" s="26"/>
      <c r="C73" s="98"/>
      <c r="D73" s="26"/>
      <c r="E73" s="26"/>
      <c r="F73" s="26"/>
      <c r="G73" s="26"/>
      <c r="H73" s="26"/>
      <c r="I73" s="26"/>
      <c r="J73" s="26"/>
      <c r="K73" s="26"/>
      <c r="L73" s="26"/>
      <c r="M73" s="26"/>
      <c r="N73" s="26"/>
      <c r="O73" s="26"/>
      <c r="P73" s="26"/>
      <c r="Q73" s="26"/>
      <c r="R73" s="26"/>
      <c r="S73" s="26"/>
      <c r="T73" s="26"/>
      <c r="U73" s="26"/>
      <c r="V73" s="26"/>
      <c r="W73" s="26"/>
      <c r="X73" s="26"/>
      <c r="Y73" s="26"/>
      <c r="Z73" s="26"/>
    </row>
    <row r="74" spans="1:26" ht="12.75" customHeight="1" x14ac:dyDescent="0.25">
      <c r="A74" s="26"/>
      <c r="B74" s="26"/>
      <c r="C74" s="98"/>
      <c r="D74" s="26"/>
      <c r="E74" s="26"/>
      <c r="F74" s="26"/>
      <c r="G74" s="26"/>
      <c r="H74" s="26"/>
      <c r="I74" s="26"/>
      <c r="J74" s="26"/>
      <c r="K74" s="26"/>
      <c r="L74" s="26"/>
      <c r="M74" s="26"/>
      <c r="N74" s="26"/>
      <c r="O74" s="26"/>
      <c r="P74" s="26"/>
      <c r="Q74" s="26"/>
      <c r="R74" s="26"/>
      <c r="S74" s="26"/>
      <c r="T74" s="26"/>
      <c r="U74" s="26"/>
      <c r="V74" s="26"/>
      <c r="W74" s="26"/>
      <c r="X74" s="26"/>
      <c r="Y74" s="26"/>
      <c r="Z74" s="26"/>
    </row>
    <row r="75" spans="1:26" ht="12.75" customHeight="1" x14ac:dyDescent="0.25">
      <c r="A75" s="26"/>
      <c r="B75" s="26"/>
      <c r="C75" s="98"/>
      <c r="D75" s="26"/>
      <c r="E75" s="26"/>
      <c r="F75" s="26"/>
      <c r="G75" s="26"/>
      <c r="H75" s="26"/>
      <c r="I75" s="26"/>
      <c r="J75" s="26"/>
      <c r="K75" s="26"/>
      <c r="L75" s="26"/>
      <c r="M75" s="26"/>
      <c r="N75" s="26"/>
      <c r="O75" s="26"/>
      <c r="P75" s="26"/>
      <c r="Q75" s="26"/>
      <c r="R75" s="26"/>
      <c r="S75" s="26"/>
      <c r="T75" s="26"/>
      <c r="U75" s="26"/>
      <c r="V75" s="26"/>
      <c r="W75" s="26"/>
      <c r="X75" s="26"/>
      <c r="Y75" s="26"/>
      <c r="Z75" s="26"/>
    </row>
    <row r="76" spans="1:26" ht="12.75" customHeight="1" x14ac:dyDescent="0.25">
      <c r="A76" s="26"/>
      <c r="B76" s="26"/>
      <c r="C76" s="98"/>
      <c r="D76" s="26"/>
      <c r="E76" s="26"/>
      <c r="F76" s="26"/>
      <c r="G76" s="26"/>
      <c r="H76" s="26"/>
      <c r="I76" s="26"/>
      <c r="J76" s="26"/>
      <c r="K76" s="26"/>
      <c r="L76" s="26"/>
      <c r="M76" s="26"/>
      <c r="N76" s="26"/>
      <c r="O76" s="26"/>
      <c r="P76" s="26"/>
      <c r="Q76" s="26"/>
      <c r="R76" s="26"/>
      <c r="S76" s="26"/>
      <c r="T76" s="26"/>
      <c r="U76" s="26"/>
      <c r="V76" s="26"/>
      <c r="W76" s="26"/>
      <c r="X76" s="26"/>
      <c r="Y76" s="26"/>
      <c r="Z76" s="26"/>
    </row>
    <row r="77" spans="1:26" ht="12.75" customHeight="1" x14ac:dyDescent="0.25">
      <c r="A77" s="26"/>
      <c r="B77" s="26"/>
      <c r="C77" s="98"/>
      <c r="D77" s="26"/>
      <c r="E77" s="26"/>
      <c r="F77" s="26"/>
      <c r="G77" s="26"/>
      <c r="H77" s="26"/>
      <c r="I77" s="26"/>
      <c r="J77" s="26"/>
      <c r="K77" s="26"/>
      <c r="L77" s="26"/>
      <c r="M77" s="26"/>
      <c r="N77" s="26"/>
      <c r="O77" s="26"/>
      <c r="P77" s="26"/>
      <c r="Q77" s="26"/>
      <c r="R77" s="26"/>
      <c r="S77" s="26"/>
      <c r="T77" s="26"/>
      <c r="U77" s="26"/>
      <c r="V77" s="26"/>
      <c r="W77" s="26"/>
      <c r="X77" s="26"/>
      <c r="Y77" s="26"/>
      <c r="Z77" s="26"/>
    </row>
    <row r="78" spans="1:26" ht="12.75" customHeight="1" x14ac:dyDescent="0.25">
      <c r="A78" s="26"/>
      <c r="B78" s="26"/>
      <c r="C78" s="98"/>
      <c r="D78" s="26"/>
      <c r="E78" s="26"/>
      <c r="F78" s="26"/>
      <c r="G78" s="26"/>
      <c r="H78" s="26"/>
      <c r="I78" s="26"/>
      <c r="J78" s="26"/>
      <c r="K78" s="26"/>
      <c r="L78" s="26"/>
      <c r="M78" s="26"/>
      <c r="N78" s="26"/>
      <c r="O78" s="26"/>
      <c r="P78" s="26"/>
      <c r="Q78" s="26"/>
      <c r="R78" s="26"/>
      <c r="S78" s="26"/>
      <c r="T78" s="26"/>
      <c r="U78" s="26"/>
      <c r="V78" s="26"/>
      <c r="W78" s="26"/>
      <c r="X78" s="26"/>
      <c r="Y78" s="26"/>
      <c r="Z78" s="26"/>
    </row>
    <row r="79" spans="1:26" ht="12.75" customHeight="1" x14ac:dyDescent="0.25">
      <c r="A79" s="26"/>
      <c r="B79" s="26"/>
      <c r="C79" s="98"/>
      <c r="D79" s="26"/>
      <c r="E79" s="26"/>
      <c r="F79" s="26"/>
      <c r="G79" s="26"/>
      <c r="H79" s="26"/>
      <c r="I79" s="26"/>
      <c r="J79" s="26"/>
      <c r="K79" s="26"/>
      <c r="L79" s="26"/>
      <c r="M79" s="26"/>
      <c r="N79" s="26"/>
      <c r="O79" s="26"/>
      <c r="P79" s="26"/>
      <c r="Q79" s="26"/>
      <c r="R79" s="26"/>
      <c r="S79" s="26"/>
      <c r="T79" s="26"/>
      <c r="U79" s="26"/>
      <c r="V79" s="26"/>
      <c r="W79" s="26"/>
      <c r="X79" s="26"/>
      <c r="Y79" s="26"/>
      <c r="Z79" s="26"/>
    </row>
    <row r="80" spans="1:26" ht="12.75" customHeight="1" x14ac:dyDescent="0.25">
      <c r="A80" s="26"/>
      <c r="B80" s="26"/>
      <c r="C80" s="98"/>
      <c r="D80" s="26"/>
      <c r="E80" s="26"/>
      <c r="F80" s="26"/>
      <c r="G80" s="26"/>
      <c r="H80" s="26"/>
      <c r="I80" s="26"/>
      <c r="J80" s="26"/>
      <c r="K80" s="26"/>
      <c r="L80" s="26"/>
      <c r="M80" s="26"/>
      <c r="N80" s="26"/>
      <c r="O80" s="26"/>
      <c r="P80" s="26"/>
      <c r="Q80" s="26"/>
      <c r="R80" s="26"/>
      <c r="S80" s="26"/>
      <c r="T80" s="26"/>
      <c r="U80" s="26"/>
      <c r="V80" s="26"/>
      <c r="W80" s="26"/>
      <c r="X80" s="26"/>
      <c r="Y80" s="26"/>
      <c r="Z80" s="26"/>
    </row>
    <row r="81" spans="1:26" ht="12.75" customHeight="1" x14ac:dyDescent="0.25">
      <c r="A81" s="26"/>
      <c r="B81" s="26"/>
      <c r="C81" s="98"/>
      <c r="D81" s="26"/>
      <c r="E81" s="26"/>
      <c r="F81" s="26"/>
      <c r="G81" s="26"/>
      <c r="H81" s="26"/>
      <c r="I81" s="26"/>
      <c r="J81" s="26"/>
      <c r="K81" s="26"/>
      <c r="L81" s="26"/>
      <c r="M81" s="26"/>
      <c r="N81" s="26"/>
      <c r="O81" s="26"/>
      <c r="P81" s="26"/>
      <c r="Q81" s="26"/>
      <c r="R81" s="26"/>
      <c r="S81" s="26"/>
      <c r="T81" s="26"/>
      <c r="U81" s="26"/>
      <c r="V81" s="26"/>
      <c r="W81" s="26"/>
      <c r="X81" s="26"/>
      <c r="Y81" s="26"/>
      <c r="Z81" s="26"/>
    </row>
    <row r="82" spans="1:26" ht="12.75" customHeight="1" x14ac:dyDescent="0.25">
      <c r="A82" s="26"/>
      <c r="B82" s="26"/>
      <c r="C82" s="98"/>
      <c r="D82" s="26"/>
      <c r="E82" s="26"/>
      <c r="F82" s="26"/>
      <c r="G82" s="26"/>
      <c r="H82" s="26"/>
      <c r="I82" s="26"/>
      <c r="J82" s="26"/>
      <c r="K82" s="26"/>
      <c r="L82" s="26"/>
      <c r="M82" s="26"/>
      <c r="N82" s="26"/>
      <c r="O82" s="26"/>
      <c r="P82" s="26"/>
      <c r="Q82" s="26"/>
      <c r="R82" s="26"/>
      <c r="S82" s="26"/>
      <c r="T82" s="26"/>
      <c r="U82" s="26"/>
      <c r="V82" s="26"/>
      <c r="W82" s="26"/>
      <c r="X82" s="26"/>
      <c r="Y82" s="26"/>
      <c r="Z82" s="26"/>
    </row>
    <row r="83" spans="1:26" ht="12.75" customHeight="1" x14ac:dyDescent="0.25">
      <c r="A83" s="26"/>
      <c r="B83" s="26"/>
      <c r="C83" s="98"/>
      <c r="D83" s="26"/>
      <c r="E83" s="26"/>
      <c r="F83" s="26"/>
      <c r="G83" s="26"/>
      <c r="H83" s="26"/>
      <c r="I83" s="26"/>
      <c r="J83" s="26"/>
      <c r="K83" s="26"/>
      <c r="L83" s="26"/>
      <c r="M83" s="26"/>
      <c r="N83" s="26"/>
      <c r="O83" s="26"/>
      <c r="P83" s="26"/>
      <c r="Q83" s="26"/>
      <c r="R83" s="26"/>
      <c r="S83" s="26"/>
      <c r="T83" s="26"/>
      <c r="U83" s="26"/>
      <c r="V83" s="26"/>
      <c r="W83" s="26"/>
      <c r="X83" s="26"/>
      <c r="Y83" s="26"/>
      <c r="Z83" s="26"/>
    </row>
    <row r="84" spans="1:26" ht="12.75" customHeight="1" x14ac:dyDescent="0.25">
      <c r="A84" s="26"/>
      <c r="B84" s="26"/>
      <c r="C84" s="98"/>
      <c r="D84" s="26"/>
      <c r="E84" s="26"/>
      <c r="F84" s="26"/>
      <c r="G84" s="26"/>
      <c r="H84" s="26"/>
      <c r="I84" s="26"/>
      <c r="J84" s="26"/>
      <c r="K84" s="26"/>
      <c r="L84" s="26"/>
      <c r="M84" s="26"/>
      <c r="N84" s="26"/>
      <c r="O84" s="26"/>
      <c r="P84" s="26"/>
      <c r="Q84" s="26"/>
      <c r="R84" s="26"/>
      <c r="S84" s="26"/>
      <c r="T84" s="26"/>
      <c r="U84" s="26"/>
      <c r="V84" s="26"/>
      <c r="W84" s="26"/>
      <c r="X84" s="26"/>
      <c r="Y84" s="26"/>
      <c r="Z84" s="26"/>
    </row>
    <row r="85" spans="1:26" ht="12.75" customHeight="1" x14ac:dyDescent="0.25">
      <c r="A85" s="26"/>
      <c r="B85" s="26"/>
      <c r="C85" s="98"/>
      <c r="D85" s="26"/>
      <c r="E85" s="26"/>
      <c r="F85" s="26"/>
      <c r="G85" s="26"/>
      <c r="H85" s="26"/>
      <c r="I85" s="26"/>
      <c r="J85" s="26"/>
      <c r="K85" s="26"/>
      <c r="L85" s="26"/>
      <c r="M85" s="26"/>
      <c r="N85" s="26"/>
      <c r="O85" s="26"/>
      <c r="P85" s="26"/>
      <c r="Q85" s="26"/>
      <c r="R85" s="26"/>
      <c r="S85" s="26"/>
      <c r="T85" s="26"/>
      <c r="U85" s="26"/>
      <c r="V85" s="26"/>
      <c r="W85" s="26"/>
      <c r="X85" s="26"/>
      <c r="Y85" s="26"/>
      <c r="Z85" s="26"/>
    </row>
    <row r="86" spans="1:26" ht="12.75" customHeight="1" x14ac:dyDescent="0.25">
      <c r="A86" s="26"/>
      <c r="B86" s="26"/>
      <c r="C86" s="98"/>
      <c r="D86" s="26"/>
      <c r="E86" s="26"/>
      <c r="F86" s="26"/>
      <c r="G86" s="26"/>
      <c r="H86" s="26"/>
      <c r="I86" s="26"/>
      <c r="J86" s="26"/>
      <c r="K86" s="26"/>
      <c r="L86" s="26"/>
      <c r="M86" s="26"/>
      <c r="N86" s="26"/>
      <c r="O86" s="26"/>
      <c r="P86" s="26"/>
      <c r="Q86" s="26"/>
      <c r="R86" s="26"/>
      <c r="S86" s="26"/>
      <c r="T86" s="26"/>
      <c r="U86" s="26"/>
      <c r="V86" s="26"/>
      <c r="W86" s="26"/>
      <c r="X86" s="26"/>
      <c r="Y86" s="26"/>
      <c r="Z86" s="26"/>
    </row>
    <row r="87" spans="1:26" ht="12.75" customHeight="1" x14ac:dyDescent="0.25">
      <c r="A87" s="26"/>
      <c r="B87" s="26"/>
      <c r="C87" s="98"/>
      <c r="D87" s="26"/>
      <c r="E87" s="26"/>
      <c r="F87" s="26"/>
      <c r="G87" s="26"/>
      <c r="H87" s="26"/>
      <c r="I87" s="26"/>
      <c r="J87" s="26"/>
      <c r="K87" s="26"/>
      <c r="L87" s="26"/>
      <c r="M87" s="26"/>
      <c r="N87" s="26"/>
      <c r="O87" s="26"/>
      <c r="P87" s="26"/>
      <c r="Q87" s="26"/>
      <c r="R87" s="26"/>
      <c r="S87" s="26"/>
      <c r="T87" s="26"/>
      <c r="U87" s="26"/>
      <c r="V87" s="26"/>
      <c r="W87" s="26"/>
      <c r="X87" s="26"/>
      <c r="Y87" s="26"/>
      <c r="Z87" s="26"/>
    </row>
    <row r="88" spans="1:26" ht="12.75" customHeight="1" x14ac:dyDescent="0.25">
      <c r="A88" s="26"/>
      <c r="B88" s="26"/>
      <c r="C88" s="98"/>
      <c r="D88" s="26"/>
      <c r="E88" s="26"/>
      <c r="F88" s="26"/>
      <c r="G88" s="26"/>
      <c r="H88" s="26"/>
      <c r="I88" s="26"/>
      <c r="J88" s="26"/>
      <c r="K88" s="26"/>
      <c r="L88" s="26"/>
      <c r="M88" s="26"/>
      <c r="N88" s="26"/>
      <c r="O88" s="26"/>
      <c r="P88" s="26"/>
      <c r="Q88" s="26"/>
      <c r="R88" s="26"/>
      <c r="S88" s="26"/>
      <c r="T88" s="26"/>
      <c r="U88" s="26"/>
      <c r="V88" s="26"/>
      <c r="W88" s="26"/>
      <c r="X88" s="26"/>
      <c r="Y88" s="26"/>
      <c r="Z88" s="26"/>
    </row>
    <row r="89" spans="1:26" ht="12.75" customHeight="1" x14ac:dyDescent="0.25">
      <c r="A89" s="26"/>
      <c r="B89" s="26"/>
      <c r="C89" s="98"/>
      <c r="D89" s="26"/>
      <c r="E89" s="26"/>
      <c r="F89" s="26"/>
      <c r="G89" s="26"/>
      <c r="H89" s="26"/>
      <c r="I89" s="26"/>
      <c r="J89" s="26"/>
      <c r="K89" s="26"/>
      <c r="L89" s="26"/>
      <c r="M89" s="26"/>
      <c r="N89" s="26"/>
      <c r="O89" s="26"/>
      <c r="P89" s="26"/>
      <c r="Q89" s="26"/>
      <c r="R89" s="26"/>
      <c r="S89" s="26"/>
      <c r="T89" s="26"/>
      <c r="U89" s="26"/>
      <c r="V89" s="26"/>
      <c r="W89" s="26"/>
      <c r="X89" s="26"/>
      <c r="Y89" s="26"/>
      <c r="Z89" s="26"/>
    </row>
    <row r="90" spans="1:26" ht="12.75" customHeight="1" x14ac:dyDescent="0.25">
      <c r="A90" s="26"/>
      <c r="B90" s="26"/>
      <c r="C90" s="98"/>
      <c r="D90" s="26"/>
      <c r="E90" s="26"/>
      <c r="F90" s="26"/>
      <c r="G90" s="26"/>
      <c r="H90" s="26"/>
      <c r="I90" s="26"/>
      <c r="J90" s="26"/>
      <c r="K90" s="26"/>
      <c r="L90" s="26"/>
      <c r="M90" s="26"/>
      <c r="N90" s="26"/>
      <c r="O90" s="26"/>
      <c r="P90" s="26"/>
      <c r="Q90" s="26"/>
      <c r="R90" s="26"/>
      <c r="S90" s="26"/>
      <c r="T90" s="26"/>
      <c r="U90" s="26"/>
      <c r="V90" s="26"/>
      <c r="W90" s="26"/>
      <c r="X90" s="26"/>
      <c r="Y90" s="26"/>
      <c r="Z90" s="26"/>
    </row>
    <row r="91" spans="1:26" ht="12.75" customHeight="1" x14ac:dyDescent="0.25">
      <c r="A91" s="26"/>
      <c r="B91" s="26"/>
      <c r="C91" s="98"/>
      <c r="D91" s="26"/>
      <c r="E91" s="26"/>
      <c r="F91" s="26"/>
      <c r="G91" s="26"/>
      <c r="H91" s="26"/>
      <c r="I91" s="26"/>
      <c r="J91" s="26"/>
      <c r="K91" s="26"/>
      <c r="L91" s="26"/>
      <c r="M91" s="26"/>
      <c r="N91" s="26"/>
      <c r="O91" s="26"/>
      <c r="P91" s="26"/>
      <c r="Q91" s="26"/>
      <c r="R91" s="26"/>
      <c r="S91" s="26"/>
      <c r="T91" s="26"/>
      <c r="U91" s="26"/>
      <c r="V91" s="26"/>
      <c r="W91" s="26"/>
      <c r="X91" s="26"/>
      <c r="Y91" s="26"/>
      <c r="Z91" s="26"/>
    </row>
    <row r="92" spans="1:26" ht="12.75" customHeight="1" x14ac:dyDescent="0.25">
      <c r="A92" s="26"/>
      <c r="B92" s="26"/>
      <c r="C92" s="98"/>
      <c r="D92" s="26"/>
      <c r="E92" s="26"/>
      <c r="F92" s="26"/>
      <c r="G92" s="26"/>
      <c r="H92" s="26"/>
      <c r="I92" s="26"/>
      <c r="J92" s="26"/>
      <c r="K92" s="26"/>
      <c r="L92" s="26"/>
      <c r="M92" s="26"/>
      <c r="N92" s="26"/>
      <c r="O92" s="26"/>
      <c r="P92" s="26"/>
      <c r="Q92" s="26"/>
      <c r="R92" s="26"/>
      <c r="S92" s="26"/>
      <c r="T92" s="26"/>
      <c r="U92" s="26"/>
      <c r="V92" s="26"/>
      <c r="W92" s="26"/>
      <c r="X92" s="26"/>
      <c r="Y92" s="26"/>
      <c r="Z92" s="26"/>
    </row>
    <row r="93" spans="1:26" ht="12.75" customHeight="1" x14ac:dyDescent="0.25">
      <c r="A93" s="26"/>
      <c r="B93" s="26"/>
      <c r="C93" s="98"/>
      <c r="D93" s="26"/>
      <c r="E93" s="26"/>
      <c r="F93" s="26"/>
      <c r="G93" s="26"/>
      <c r="H93" s="26"/>
      <c r="I93" s="26"/>
      <c r="J93" s="26"/>
      <c r="K93" s="26"/>
      <c r="L93" s="26"/>
      <c r="M93" s="26"/>
      <c r="N93" s="26"/>
      <c r="O93" s="26"/>
      <c r="P93" s="26"/>
      <c r="Q93" s="26"/>
      <c r="R93" s="26"/>
      <c r="S93" s="26"/>
      <c r="T93" s="26"/>
      <c r="U93" s="26"/>
      <c r="V93" s="26"/>
      <c r="W93" s="26"/>
      <c r="X93" s="26"/>
      <c r="Y93" s="26"/>
      <c r="Z93" s="26"/>
    </row>
    <row r="94" spans="1:26" ht="12.75" customHeight="1" x14ac:dyDescent="0.25">
      <c r="A94" s="26"/>
      <c r="B94" s="26"/>
      <c r="C94" s="98"/>
      <c r="D94" s="26"/>
      <c r="E94" s="26"/>
      <c r="F94" s="26"/>
      <c r="G94" s="26"/>
      <c r="H94" s="26"/>
      <c r="I94" s="26"/>
      <c r="J94" s="26"/>
      <c r="K94" s="26"/>
      <c r="L94" s="26"/>
      <c r="M94" s="26"/>
      <c r="N94" s="26"/>
      <c r="O94" s="26"/>
      <c r="P94" s="26"/>
      <c r="Q94" s="26"/>
      <c r="R94" s="26"/>
      <c r="S94" s="26"/>
      <c r="T94" s="26"/>
      <c r="U94" s="26"/>
      <c r="V94" s="26"/>
      <c r="W94" s="26"/>
      <c r="X94" s="26"/>
      <c r="Y94" s="26"/>
      <c r="Z94" s="26"/>
    </row>
    <row r="95" spans="1:26" ht="12.75" customHeight="1" x14ac:dyDescent="0.25">
      <c r="A95" s="26"/>
      <c r="B95" s="26"/>
      <c r="C95" s="98"/>
      <c r="D95" s="26"/>
      <c r="E95" s="26"/>
      <c r="F95" s="26"/>
      <c r="G95" s="26"/>
      <c r="H95" s="26"/>
      <c r="I95" s="26"/>
      <c r="J95" s="26"/>
      <c r="K95" s="26"/>
      <c r="L95" s="26"/>
      <c r="M95" s="26"/>
      <c r="N95" s="26"/>
      <c r="O95" s="26"/>
      <c r="P95" s="26"/>
      <c r="Q95" s="26"/>
      <c r="R95" s="26"/>
      <c r="S95" s="26"/>
      <c r="T95" s="26"/>
      <c r="U95" s="26"/>
      <c r="V95" s="26"/>
      <c r="W95" s="26"/>
      <c r="X95" s="26"/>
      <c r="Y95" s="26"/>
      <c r="Z95" s="26"/>
    </row>
    <row r="96" spans="1:26" ht="12.75" customHeight="1" x14ac:dyDescent="0.25">
      <c r="A96" s="26"/>
      <c r="B96" s="26"/>
      <c r="C96" s="98"/>
      <c r="D96" s="26"/>
      <c r="E96" s="26"/>
      <c r="F96" s="26"/>
      <c r="G96" s="26"/>
      <c r="H96" s="26"/>
      <c r="I96" s="26"/>
      <c r="J96" s="26"/>
      <c r="K96" s="26"/>
      <c r="L96" s="26"/>
      <c r="M96" s="26"/>
      <c r="N96" s="26"/>
      <c r="O96" s="26"/>
      <c r="P96" s="26"/>
      <c r="Q96" s="26"/>
      <c r="R96" s="26"/>
      <c r="S96" s="26"/>
      <c r="T96" s="26"/>
      <c r="U96" s="26"/>
      <c r="V96" s="26"/>
      <c r="W96" s="26"/>
      <c r="X96" s="26"/>
      <c r="Y96" s="26"/>
      <c r="Z96" s="26"/>
    </row>
    <row r="97" spans="1:26" ht="12.75" customHeight="1" x14ac:dyDescent="0.25">
      <c r="A97" s="26"/>
      <c r="B97" s="26"/>
      <c r="C97" s="98"/>
      <c r="D97" s="26"/>
      <c r="E97" s="26"/>
      <c r="F97" s="26"/>
      <c r="G97" s="26"/>
      <c r="H97" s="26"/>
      <c r="I97" s="26"/>
      <c r="J97" s="26"/>
      <c r="K97" s="26"/>
      <c r="L97" s="26"/>
      <c r="M97" s="26"/>
      <c r="N97" s="26"/>
      <c r="O97" s="26"/>
      <c r="P97" s="26"/>
      <c r="Q97" s="26"/>
      <c r="R97" s="26"/>
      <c r="S97" s="26"/>
      <c r="T97" s="26"/>
      <c r="U97" s="26"/>
      <c r="V97" s="26"/>
      <c r="W97" s="26"/>
      <c r="X97" s="26"/>
      <c r="Y97" s="26"/>
      <c r="Z97" s="26"/>
    </row>
    <row r="98" spans="1:26" ht="12.75" customHeight="1" x14ac:dyDescent="0.25">
      <c r="A98" s="26"/>
      <c r="B98" s="26"/>
      <c r="C98" s="98"/>
      <c r="D98" s="26"/>
      <c r="E98" s="26"/>
      <c r="F98" s="26"/>
      <c r="G98" s="26"/>
      <c r="H98" s="26"/>
      <c r="I98" s="26"/>
      <c r="J98" s="26"/>
      <c r="K98" s="26"/>
      <c r="L98" s="26"/>
      <c r="M98" s="26"/>
      <c r="N98" s="26"/>
      <c r="O98" s="26"/>
      <c r="P98" s="26"/>
      <c r="Q98" s="26"/>
      <c r="R98" s="26"/>
      <c r="S98" s="26"/>
      <c r="T98" s="26"/>
      <c r="U98" s="26"/>
      <c r="V98" s="26"/>
      <c r="W98" s="26"/>
      <c r="X98" s="26"/>
      <c r="Y98" s="26"/>
      <c r="Z98" s="26"/>
    </row>
    <row r="99" spans="1:26" ht="12.75" customHeight="1" x14ac:dyDescent="0.25">
      <c r="A99" s="26"/>
      <c r="B99" s="26"/>
      <c r="C99" s="98"/>
      <c r="D99" s="26"/>
      <c r="E99" s="26"/>
      <c r="F99" s="26"/>
      <c r="G99" s="26"/>
      <c r="H99" s="26"/>
      <c r="I99" s="26"/>
      <c r="J99" s="26"/>
      <c r="K99" s="26"/>
      <c r="L99" s="26"/>
      <c r="M99" s="26"/>
      <c r="N99" s="26"/>
      <c r="O99" s="26"/>
      <c r="P99" s="26"/>
      <c r="Q99" s="26"/>
      <c r="R99" s="26"/>
      <c r="S99" s="26"/>
      <c r="T99" s="26"/>
      <c r="U99" s="26"/>
      <c r="V99" s="26"/>
      <c r="W99" s="26"/>
      <c r="X99" s="26"/>
      <c r="Y99" s="26"/>
      <c r="Z99" s="26"/>
    </row>
    <row r="100" spans="1:26" ht="12.75" customHeight="1" x14ac:dyDescent="0.25">
      <c r="A100" s="26"/>
      <c r="B100" s="26"/>
      <c r="C100" s="98"/>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25">
      <c r="A101" s="26"/>
      <c r="B101" s="26"/>
      <c r="C101" s="98"/>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25">
      <c r="A102" s="26"/>
      <c r="B102" s="26"/>
      <c r="C102" s="98"/>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25">
      <c r="A103" s="26"/>
      <c r="B103" s="26"/>
      <c r="C103" s="98"/>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25">
      <c r="A104" s="26"/>
      <c r="B104" s="26"/>
      <c r="C104" s="98"/>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25">
      <c r="A105" s="26"/>
      <c r="B105" s="26"/>
      <c r="C105" s="98"/>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25">
      <c r="A106" s="26"/>
      <c r="B106" s="26"/>
      <c r="C106" s="98"/>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25">
      <c r="A107" s="26"/>
      <c r="B107" s="26"/>
      <c r="C107" s="98"/>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25">
      <c r="A108" s="26"/>
      <c r="B108" s="26"/>
      <c r="C108" s="98"/>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25">
      <c r="A109" s="26"/>
      <c r="B109" s="26"/>
      <c r="C109" s="98"/>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25">
      <c r="A110" s="26"/>
      <c r="B110" s="26"/>
      <c r="C110" s="98"/>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25">
      <c r="A111" s="26"/>
      <c r="B111" s="26"/>
      <c r="C111" s="98"/>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25">
      <c r="A112" s="26"/>
      <c r="B112" s="26"/>
      <c r="C112" s="98"/>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25">
      <c r="A113" s="26"/>
      <c r="B113" s="26"/>
      <c r="C113" s="98"/>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25">
      <c r="A114" s="26"/>
      <c r="B114" s="26"/>
      <c r="C114" s="98"/>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25">
      <c r="A115" s="26"/>
      <c r="B115" s="26"/>
      <c r="C115" s="98"/>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25">
      <c r="A116" s="26"/>
      <c r="B116" s="26"/>
      <c r="C116" s="98"/>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25">
      <c r="A117" s="26"/>
      <c r="B117" s="26"/>
      <c r="C117" s="98"/>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25">
      <c r="A118" s="26"/>
      <c r="B118" s="26"/>
      <c r="C118" s="98"/>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25">
      <c r="A119" s="26"/>
      <c r="B119" s="26"/>
      <c r="C119" s="98"/>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25">
      <c r="A120" s="26"/>
      <c r="B120" s="26"/>
      <c r="C120" s="98"/>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25">
      <c r="A121" s="26"/>
      <c r="B121" s="26"/>
      <c r="C121" s="98"/>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25">
      <c r="A122" s="26"/>
      <c r="B122" s="26"/>
      <c r="C122" s="98"/>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25">
      <c r="A123" s="26"/>
      <c r="B123" s="26"/>
      <c r="C123" s="98"/>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25">
      <c r="A124" s="26"/>
      <c r="B124" s="26"/>
      <c r="C124" s="98"/>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25">
      <c r="A125" s="26"/>
      <c r="B125" s="26"/>
      <c r="C125" s="98"/>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25">
      <c r="A126" s="26"/>
      <c r="B126" s="26"/>
      <c r="C126" s="98"/>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25">
      <c r="A127" s="26"/>
      <c r="B127" s="26"/>
      <c r="C127" s="98"/>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25">
      <c r="A128" s="26"/>
      <c r="B128" s="26"/>
      <c r="C128" s="98"/>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25">
      <c r="A129" s="26"/>
      <c r="B129" s="26"/>
      <c r="C129" s="98"/>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25">
      <c r="A130" s="26"/>
      <c r="B130" s="26"/>
      <c r="C130" s="98"/>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25">
      <c r="A131" s="26"/>
      <c r="B131" s="26"/>
      <c r="C131" s="98"/>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25">
      <c r="A132" s="26"/>
      <c r="B132" s="26"/>
      <c r="C132" s="98"/>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25">
      <c r="A133" s="26"/>
      <c r="B133" s="26"/>
      <c r="C133" s="98"/>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25">
      <c r="A134" s="26"/>
      <c r="B134" s="26"/>
      <c r="C134" s="98"/>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25">
      <c r="A135" s="26"/>
      <c r="B135" s="26"/>
      <c r="C135" s="98"/>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25">
      <c r="A136" s="26"/>
      <c r="B136" s="26"/>
      <c r="C136" s="98"/>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25">
      <c r="A137" s="26"/>
      <c r="B137" s="26"/>
      <c r="C137" s="98"/>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25">
      <c r="A138" s="26"/>
      <c r="B138" s="26"/>
      <c r="C138" s="98"/>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25">
      <c r="A139" s="26"/>
      <c r="B139" s="26"/>
      <c r="C139" s="98"/>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25">
      <c r="A140" s="26"/>
      <c r="B140" s="26"/>
      <c r="C140" s="98"/>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25">
      <c r="A141" s="26"/>
      <c r="B141" s="26"/>
      <c r="C141" s="98"/>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25">
      <c r="A142" s="26"/>
      <c r="B142" s="26"/>
      <c r="C142" s="98"/>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25">
      <c r="A143" s="26"/>
      <c r="B143" s="26"/>
      <c r="C143" s="98"/>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25">
      <c r="A144" s="26"/>
      <c r="B144" s="26"/>
      <c r="C144" s="98"/>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25">
      <c r="A145" s="26"/>
      <c r="B145" s="26"/>
      <c r="C145" s="98"/>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25">
      <c r="A146" s="26"/>
      <c r="B146" s="26"/>
      <c r="C146" s="98"/>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25">
      <c r="A147" s="26"/>
      <c r="B147" s="26"/>
      <c r="C147" s="98"/>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25">
      <c r="A148" s="26"/>
      <c r="B148" s="26"/>
      <c r="C148" s="98"/>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25">
      <c r="A149" s="26"/>
      <c r="B149" s="26"/>
      <c r="C149" s="98"/>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25">
      <c r="A150" s="26"/>
      <c r="B150" s="26"/>
      <c r="C150" s="98"/>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25">
      <c r="A151" s="26"/>
      <c r="B151" s="26"/>
      <c r="C151" s="98"/>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25">
      <c r="A152" s="26"/>
      <c r="B152" s="26"/>
      <c r="C152" s="98"/>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25">
      <c r="A153" s="26"/>
      <c r="B153" s="26"/>
      <c r="C153" s="98"/>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25">
      <c r="A154" s="26"/>
      <c r="B154" s="26"/>
      <c r="C154" s="98"/>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25">
      <c r="A155" s="26"/>
      <c r="B155" s="26"/>
      <c r="C155" s="98"/>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25">
      <c r="A156" s="26"/>
      <c r="B156" s="26"/>
      <c r="C156" s="98"/>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25">
      <c r="A157" s="26"/>
      <c r="B157" s="26"/>
      <c r="C157" s="98"/>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25">
      <c r="A158" s="26"/>
      <c r="B158" s="26"/>
      <c r="C158" s="98"/>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25">
      <c r="A159" s="26"/>
      <c r="B159" s="26"/>
      <c r="C159" s="98"/>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25">
      <c r="A160" s="26"/>
      <c r="B160" s="26"/>
      <c r="C160" s="98"/>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25">
      <c r="A161" s="26"/>
      <c r="B161" s="26"/>
      <c r="C161" s="98"/>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25">
      <c r="A162" s="26"/>
      <c r="B162" s="26"/>
      <c r="C162" s="98"/>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25">
      <c r="A163" s="26"/>
      <c r="B163" s="26"/>
      <c r="C163" s="98"/>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25">
      <c r="A164" s="26"/>
      <c r="B164" s="26"/>
      <c r="C164" s="98"/>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25">
      <c r="A165" s="26"/>
      <c r="B165" s="26"/>
      <c r="C165" s="98"/>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25">
      <c r="A166" s="26"/>
      <c r="B166" s="26"/>
      <c r="C166" s="98"/>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25">
      <c r="A167" s="26"/>
      <c r="B167" s="26"/>
      <c r="C167" s="98"/>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25">
      <c r="A168" s="26"/>
      <c r="B168" s="26"/>
      <c r="C168" s="98"/>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25">
      <c r="A169" s="26"/>
      <c r="B169" s="26"/>
      <c r="C169" s="98"/>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25">
      <c r="A170" s="26"/>
      <c r="B170" s="26"/>
      <c r="C170" s="98"/>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25">
      <c r="A171" s="26"/>
      <c r="B171" s="26"/>
      <c r="C171" s="98"/>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25">
      <c r="A172" s="26"/>
      <c r="B172" s="26"/>
      <c r="C172" s="98"/>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25">
      <c r="A173" s="26"/>
      <c r="B173" s="26"/>
      <c r="C173" s="98"/>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25">
      <c r="A174" s="26"/>
      <c r="B174" s="26"/>
      <c r="C174" s="98"/>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25">
      <c r="A175" s="26"/>
      <c r="B175" s="26"/>
      <c r="C175" s="98"/>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25">
      <c r="A176" s="26"/>
      <c r="B176" s="26"/>
      <c r="C176" s="98"/>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25">
      <c r="A177" s="26"/>
      <c r="B177" s="26"/>
      <c r="C177" s="98"/>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25">
      <c r="A178" s="26"/>
      <c r="B178" s="26"/>
      <c r="C178" s="98"/>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25">
      <c r="A179" s="26"/>
      <c r="B179" s="26"/>
      <c r="C179" s="98"/>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25">
      <c r="A180" s="26"/>
      <c r="B180" s="26"/>
      <c r="C180" s="98"/>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25">
      <c r="A181" s="26"/>
      <c r="B181" s="26"/>
      <c r="C181" s="98"/>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25">
      <c r="A182" s="26"/>
      <c r="B182" s="26"/>
      <c r="C182" s="98"/>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25">
      <c r="A183" s="26"/>
      <c r="B183" s="26"/>
      <c r="C183" s="98"/>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25">
      <c r="A184" s="26"/>
      <c r="B184" s="26"/>
      <c r="C184" s="98"/>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25">
      <c r="A185" s="26"/>
      <c r="B185" s="26"/>
      <c r="C185" s="98"/>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25">
      <c r="A186" s="26"/>
      <c r="B186" s="26"/>
      <c r="C186" s="98"/>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25">
      <c r="A187" s="26"/>
      <c r="B187" s="26"/>
      <c r="C187" s="98"/>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25">
      <c r="A188" s="26"/>
      <c r="B188" s="26"/>
      <c r="C188" s="98"/>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25">
      <c r="A189" s="26"/>
      <c r="B189" s="26"/>
      <c r="C189" s="98"/>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25">
      <c r="A190" s="26"/>
      <c r="B190" s="26"/>
      <c r="C190" s="98"/>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25">
      <c r="A191" s="26"/>
      <c r="B191" s="26"/>
      <c r="C191" s="98"/>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25">
      <c r="A192" s="26"/>
      <c r="B192" s="26"/>
      <c r="C192" s="98"/>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25">
      <c r="A193" s="26"/>
      <c r="B193" s="26"/>
      <c r="C193" s="98"/>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25">
      <c r="A194" s="26"/>
      <c r="B194" s="26"/>
      <c r="C194" s="98"/>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25">
      <c r="A195" s="26"/>
      <c r="B195" s="26"/>
      <c r="C195" s="98"/>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25">
      <c r="A196" s="26"/>
      <c r="B196" s="26"/>
      <c r="C196" s="98"/>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25">
      <c r="A197" s="26"/>
      <c r="B197" s="26"/>
      <c r="C197" s="98"/>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25">
      <c r="A198" s="26"/>
      <c r="B198" s="26"/>
      <c r="C198" s="98"/>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25">
      <c r="A199" s="26"/>
      <c r="B199" s="26"/>
      <c r="C199" s="98"/>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25">
      <c r="A200" s="26"/>
      <c r="B200" s="26"/>
      <c r="C200" s="98"/>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25">
      <c r="A201" s="26"/>
      <c r="B201" s="26"/>
      <c r="C201" s="98"/>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25">
      <c r="A202" s="26"/>
      <c r="B202" s="26"/>
      <c r="C202" s="98"/>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25">
      <c r="A203" s="26"/>
      <c r="B203" s="26"/>
      <c r="C203" s="98"/>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25">
      <c r="A204" s="26"/>
      <c r="B204" s="26"/>
      <c r="C204" s="98"/>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25">
      <c r="A205" s="26"/>
      <c r="B205" s="26"/>
      <c r="C205" s="98"/>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25">
      <c r="A206" s="26"/>
      <c r="B206" s="26"/>
      <c r="C206" s="98"/>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25">
      <c r="A207" s="26"/>
      <c r="B207" s="26"/>
      <c r="C207" s="98"/>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25">
      <c r="A208" s="26"/>
      <c r="B208" s="26"/>
      <c r="C208" s="98"/>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25">
      <c r="A209" s="26"/>
      <c r="B209" s="26"/>
      <c r="C209" s="98"/>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25">
      <c r="A210" s="26"/>
      <c r="B210" s="26"/>
      <c r="C210" s="98"/>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25">
      <c r="A211" s="26"/>
      <c r="B211" s="26"/>
      <c r="C211" s="98"/>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25">
      <c r="A212" s="26"/>
      <c r="B212" s="26"/>
      <c r="C212" s="98"/>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25">
      <c r="A213" s="26"/>
      <c r="B213" s="26"/>
      <c r="C213" s="98"/>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25">
      <c r="A214" s="26"/>
      <c r="B214" s="26"/>
      <c r="C214" s="98"/>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25">
      <c r="A215" s="26"/>
      <c r="B215" s="26"/>
      <c r="C215" s="98"/>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25">
      <c r="A216" s="26"/>
      <c r="B216" s="26"/>
      <c r="C216" s="98"/>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25">
      <c r="A217" s="26"/>
      <c r="B217" s="26"/>
      <c r="C217" s="98"/>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25">
      <c r="A218" s="26"/>
      <c r="B218" s="26"/>
      <c r="C218" s="98"/>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25">
      <c r="A219" s="26"/>
      <c r="B219" s="26"/>
      <c r="C219" s="98"/>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25">
      <c r="A220" s="26"/>
      <c r="B220" s="26"/>
      <c r="C220" s="98"/>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25">
      <c r="A221" s="26"/>
      <c r="B221" s="26"/>
      <c r="C221" s="98"/>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25">
      <c r="A222" s="26"/>
      <c r="B222" s="26"/>
      <c r="C222" s="98"/>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25">
      <c r="A223" s="26"/>
      <c r="B223" s="26"/>
      <c r="C223" s="98"/>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25">
      <c r="A224" s="26"/>
      <c r="B224" s="26"/>
      <c r="C224" s="98"/>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25">
      <c r="A225" s="26"/>
      <c r="B225" s="26"/>
      <c r="C225" s="98"/>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25">
      <c r="A226" s="26"/>
      <c r="B226" s="26"/>
      <c r="C226" s="98"/>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25">
      <c r="A227" s="26"/>
      <c r="B227" s="26"/>
      <c r="C227" s="98"/>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25">
      <c r="A228" s="26"/>
      <c r="B228" s="26"/>
      <c r="C228" s="98"/>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25">
      <c r="A229" s="26"/>
      <c r="B229" s="26"/>
      <c r="C229" s="98"/>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25">
      <c r="A230" s="26"/>
      <c r="B230" s="26"/>
      <c r="C230" s="98"/>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25">
      <c r="A231" s="26"/>
      <c r="B231" s="26"/>
      <c r="C231" s="98"/>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25">
      <c r="A232" s="26"/>
      <c r="B232" s="26"/>
      <c r="C232" s="98"/>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25">
      <c r="A233" s="26"/>
      <c r="B233" s="26"/>
      <c r="C233" s="98"/>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25">
      <c r="A234" s="26"/>
      <c r="B234" s="26"/>
      <c r="C234" s="98"/>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25">
      <c r="A235" s="26"/>
      <c r="B235" s="26"/>
      <c r="C235" s="98"/>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25">
      <c r="A236" s="26"/>
      <c r="B236" s="26"/>
      <c r="C236" s="98"/>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25">
      <c r="A237" s="26"/>
      <c r="B237" s="26"/>
      <c r="C237" s="98"/>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25">
      <c r="A238" s="26"/>
      <c r="B238" s="26"/>
      <c r="C238" s="98"/>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25">
      <c r="A239" s="26"/>
      <c r="B239" s="26"/>
      <c r="C239" s="98"/>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25">
      <c r="A240" s="26"/>
      <c r="B240" s="26"/>
      <c r="C240" s="98"/>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25">
      <c r="A241" s="26"/>
      <c r="B241" s="26"/>
      <c r="C241" s="98"/>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25">
      <c r="A242" s="26"/>
      <c r="B242" s="26"/>
      <c r="C242" s="98"/>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25">
      <c r="A243" s="26"/>
      <c r="B243" s="26"/>
      <c r="C243" s="98"/>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25">
      <c r="A244" s="26"/>
      <c r="B244" s="26"/>
      <c r="C244" s="98"/>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25">
      <c r="A245" s="26"/>
      <c r="B245" s="26"/>
      <c r="C245" s="98"/>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25">
      <c r="A246" s="26"/>
      <c r="B246" s="26"/>
      <c r="C246" s="98"/>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25">
      <c r="A247" s="26"/>
      <c r="B247" s="26"/>
      <c r="C247" s="98"/>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25">
      <c r="A248" s="26"/>
      <c r="B248" s="26"/>
      <c r="C248" s="98"/>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25">
      <c r="A249" s="26"/>
      <c r="B249" s="26"/>
      <c r="C249" s="98"/>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25">
      <c r="A250" s="26"/>
      <c r="B250" s="26"/>
      <c r="C250" s="98"/>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25">
      <c r="A251" s="26"/>
      <c r="B251" s="26"/>
      <c r="C251" s="98"/>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25">
      <c r="A252" s="26"/>
      <c r="B252" s="26"/>
      <c r="C252" s="98"/>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25">
      <c r="A253" s="26"/>
      <c r="B253" s="26"/>
      <c r="C253" s="98"/>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25">
      <c r="A254" s="26"/>
      <c r="B254" s="26"/>
      <c r="C254" s="98"/>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x14ac:dyDescent="0.25">
      <c r="A255" s="26"/>
      <c r="B255" s="26"/>
      <c r="C255" s="98"/>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x14ac:dyDescent="0.25">
      <c r="A256" s="26"/>
      <c r="B256" s="26"/>
      <c r="C256" s="98"/>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x14ac:dyDescent="0.25">
      <c r="A257" s="26"/>
      <c r="B257" s="26"/>
      <c r="C257" s="98"/>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x14ac:dyDescent="0.25">
      <c r="A258" s="26"/>
      <c r="B258" s="26"/>
      <c r="C258" s="98"/>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x14ac:dyDescent="0.25">
      <c r="A259" s="26"/>
      <c r="B259" s="26"/>
      <c r="C259" s="98"/>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x14ac:dyDescent="0.25">
      <c r="A260" s="26"/>
      <c r="B260" s="26"/>
      <c r="C260" s="98"/>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x14ac:dyDescent="0.25">
      <c r="A261" s="26"/>
      <c r="B261" s="26"/>
      <c r="C261" s="98"/>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x14ac:dyDescent="0.25">
      <c r="A262" s="26"/>
      <c r="B262" s="26"/>
      <c r="C262" s="98"/>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x14ac:dyDescent="0.25">
      <c r="A263" s="26"/>
      <c r="B263" s="26"/>
      <c r="C263" s="98"/>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x14ac:dyDescent="0.25">
      <c r="A264" s="26"/>
      <c r="B264" s="26"/>
      <c r="C264" s="98"/>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x14ac:dyDescent="0.25">
      <c r="A265" s="26"/>
      <c r="B265" s="26"/>
      <c r="C265" s="98"/>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x14ac:dyDescent="0.25">
      <c r="A266" s="26"/>
      <c r="B266" s="26"/>
      <c r="C266" s="98"/>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x14ac:dyDescent="0.25">
      <c r="A267" s="26"/>
      <c r="B267" s="26"/>
      <c r="C267" s="98"/>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x14ac:dyDescent="0.25">
      <c r="A268" s="26"/>
      <c r="B268" s="26"/>
      <c r="C268" s="98"/>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x14ac:dyDescent="0.25">
      <c r="A269" s="26"/>
      <c r="B269" s="26"/>
      <c r="C269" s="98"/>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x14ac:dyDescent="0.25">
      <c r="A270" s="26"/>
      <c r="B270" s="26"/>
      <c r="C270" s="98"/>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x14ac:dyDescent="0.25">
      <c r="A271" s="26"/>
      <c r="B271" s="26"/>
      <c r="C271" s="98"/>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x14ac:dyDescent="0.25">
      <c r="A272" s="26"/>
      <c r="B272" s="26"/>
      <c r="C272" s="98"/>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x14ac:dyDescent="0.25">
      <c r="A273" s="26"/>
      <c r="B273" s="26"/>
      <c r="C273" s="98"/>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x14ac:dyDescent="0.25">
      <c r="A274" s="26"/>
      <c r="B274" s="26"/>
      <c r="C274" s="98"/>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x14ac:dyDescent="0.25">
      <c r="A275" s="26"/>
      <c r="B275" s="26"/>
      <c r="C275" s="98"/>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x14ac:dyDescent="0.25">
      <c r="A276" s="26"/>
      <c r="B276" s="26"/>
      <c r="C276" s="98"/>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x14ac:dyDescent="0.25">
      <c r="A277" s="26"/>
      <c r="B277" s="26"/>
      <c r="C277" s="98"/>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x14ac:dyDescent="0.25">
      <c r="A278" s="26"/>
      <c r="B278" s="26"/>
      <c r="C278" s="98"/>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x14ac:dyDescent="0.25">
      <c r="A279" s="26"/>
      <c r="B279" s="26"/>
      <c r="C279" s="98"/>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x14ac:dyDescent="0.25">
      <c r="A280" s="26"/>
      <c r="B280" s="26"/>
      <c r="C280" s="98"/>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x14ac:dyDescent="0.25">
      <c r="A281" s="26"/>
      <c r="B281" s="26"/>
      <c r="C281" s="98"/>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x14ac:dyDescent="0.25">
      <c r="A282" s="26"/>
      <c r="B282" s="26"/>
      <c r="C282" s="98"/>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x14ac:dyDescent="0.25">
      <c r="A283" s="26"/>
      <c r="B283" s="26"/>
      <c r="C283" s="98"/>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x14ac:dyDescent="0.25">
      <c r="A284" s="26"/>
      <c r="B284" s="26"/>
      <c r="C284" s="98"/>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x14ac:dyDescent="0.25">
      <c r="A285" s="26"/>
      <c r="B285" s="26"/>
      <c r="C285" s="98"/>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x14ac:dyDescent="0.25">
      <c r="A286" s="26"/>
      <c r="B286" s="26"/>
      <c r="C286" s="98"/>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x14ac:dyDescent="0.25">
      <c r="A287" s="26"/>
      <c r="B287" s="26"/>
      <c r="C287" s="98"/>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x14ac:dyDescent="0.25">
      <c r="A288" s="26"/>
      <c r="B288" s="26"/>
      <c r="C288" s="98"/>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x14ac:dyDescent="0.25">
      <c r="A289" s="26"/>
      <c r="B289" s="26"/>
      <c r="C289" s="98"/>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x14ac:dyDescent="0.25">
      <c r="A290" s="26"/>
      <c r="B290" s="26"/>
      <c r="C290" s="98"/>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x14ac:dyDescent="0.25">
      <c r="A291" s="26"/>
      <c r="B291" s="26"/>
      <c r="C291" s="98"/>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x14ac:dyDescent="0.25">
      <c r="A292" s="26"/>
      <c r="B292" s="26"/>
      <c r="C292" s="98"/>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x14ac:dyDescent="0.25">
      <c r="A293" s="26"/>
      <c r="B293" s="26"/>
      <c r="C293" s="98"/>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x14ac:dyDescent="0.25">
      <c r="A294" s="26"/>
      <c r="B294" s="26"/>
      <c r="C294" s="98"/>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x14ac:dyDescent="0.25">
      <c r="A295" s="26"/>
      <c r="B295" s="26"/>
      <c r="C295" s="98"/>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x14ac:dyDescent="0.25">
      <c r="A296" s="26"/>
      <c r="B296" s="26"/>
      <c r="C296" s="98"/>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x14ac:dyDescent="0.25">
      <c r="A297" s="26"/>
      <c r="B297" s="26"/>
      <c r="C297" s="98"/>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x14ac:dyDescent="0.25">
      <c r="A298" s="26"/>
      <c r="B298" s="26"/>
      <c r="C298" s="98"/>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x14ac:dyDescent="0.25">
      <c r="A299" s="26"/>
      <c r="B299" s="26"/>
      <c r="C299" s="98"/>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x14ac:dyDescent="0.25">
      <c r="A300" s="26"/>
      <c r="B300" s="26"/>
      <c r="C300" s="98"/>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x14ac:dyDescent="0.25">
      <c r="A301" s="26"/>
      <c r="B301" s="26"/>
      <c r="C301" s="98"/>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x14ac:dyDescent="0.25">
      <c r="A302" s="26"/>
      <c r="B302" s="26"/>
      <c r="C302" s="98"/>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x14ac:dyDescent="0.25">
      <c r="A303" s="26"/>
      <c r="B303" s="26"/>
      <c r="C303" s="98"/>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x14ac:dyDescent="0.25">
      <c r="A304" s="26"/>
      <c r="B304" s="26"/>
      <c r="C304" s="98"/>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x14ac:dyDescent="0.25">
      <c r="A305" s="26"/>
      <c r="B305" s="26"/>
      <c r="C305" s="98"/>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x14ac:dyDescent="0.25">
      <c r="A306" s="26"/>
      <c r="B306" s="26"/>
      <c r="C306" s="98"/>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x14ac:dyDescent="0.25">
      <c r="A307" s="26"/>
      <c r="B307" s="26"/>
      <c r="C307" s="98"/>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x14ac:dyDescent="0.25">
      <c r="A308" s="26"/>
      <c r="B308" s="26"/>
      <c r="C308" s="98"/>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x14ac:dyDescent="0.25">
      <c r="A309" s="26"/>
      <c r="B309" s="26"/>
      <c r="C309" s="98"/>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x14ac:dyDescent="0.25">
      <c r="A310" s="26"/>
      <c r="B310" s="26"/>
      <c r="C310" s="98"/>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x14ac:dyDescent="0.25">
      <c r="A311" s="26"/>
      <c r="B311" s="26"/>
      <c r="C311" s="98"/>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x14ac:dyDescent="0.25">
      <c r="A312" s="26"/>
      <c r="B312" s="26"/>
      <c r="C312" s="98"/>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x14ac:dyDescent="0.25">
      <c r="A313" s="26"/>
      <c r="B313" s="26"/>
      <c r="C313" s="98"/>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x14ac:dyDescent="0.25">
      <c r="A314" s="26"/>
      <c r="B314" s="26"/>
      <c r="C314" s="98"/>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x14ac:dyDescent="0.25">
      <c r="A315" s="26"/>
      <c r="B315" s="26"/>
      <c r="C315" s="98"/>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x14ac:dyDescent="0.25">
      <c r="A316" s="26"/>
      <c r="B316" s="26"/>
      <c r="C316" s="98"/>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x14ac:dyDescent="0.25">
      <c r="A317" s="26"/>
      <c r="B317" s="26"/>
      <c r="C317" s="98"/>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x14ac:dyDescent="0.25">
      <c r="A318" s="26"/>
      <c r="B318" s="26"/>
      <c r="C318" s="98"/>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x14ac:dyDescent="0.25">
      <c r="A319" s="26"/>
      <c r="B319" s="26"/>
      <c r="C319" s="98"/>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x14ac:dyDescent="0.25">
      <c r="A320" s="26"/>
      <c r="B320" s="26"/>
      <c r="C320" s="98"/>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x14ac:dyDescent="0.25">
      <c r="A321" s="26"/>
      <c r="B321" s="26"/>
      <c r="C321" s="98"/>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x14ac:dyDescent="0.25">
      <c r="A322" s="26"/>
      <c r="B322" s="26"/>
      <c r="C322" s="98"/>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x14ac:dyDescent="0.25">
      <c r="A323" s="26"/>
      <c r="B323" s="26"/>
      <c r="C323" s="98"/>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x14ac:dyDescent="0.25">
      <c r="A324" s="26"/>
      <c r="B324" s="26"/>
      <c r="C324" s="98"/>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x14ac:dyDescent="0.25">
      <c r="A325" s="26"/>
      <c r="B325" s="26"/>
      <c r="C325" s="98"/>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x14ac:dyDescent="0.25">
      <c r="A326" s="26"/>
      <c r="B326" s="26"/>
      <c r="C326" s="98"/>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x14ac:dyDescent="0.25">
      <c r="A327" s="26"/>
      <c r="B327" s="26"/>
      <c r="C327" s="98"/>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x14ac:dyDescent="0.25">
      <c r="A328" s="26"/>
      <c r="B328" s="26"/>
      <c r="C328" s="98"/>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x14ac:dyDescent="0.25">
      <c r="A329" s="26"/>
      <c r="B329" s="26"/>
      <c r="C329" s="98"/>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x14ac:dyDescent="0.25">
      <c r="A330" s="26"/>
      <c r="B330" s="26"/>
      <c r="C330" s="98"/>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x14ac:dyDescent="0.25">
      <c r="A331" s="26"/>
      <c r="B331" s="26"/>
      <c r="C331" s="98"/>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x14ac:dyDescent="0.25">
      <c r="A332" s="26"/>
      <c r="B332" s="26"/>
      <c r="C332" s="98"/>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x14ac:dyDescent="0.25">
      <c r="A333" s="26"/>
      <c r="B333" s="26"/>
      <c r="C333" s="98"/>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x14ac:dyDescent="0.25">
      <c r="A334" s="26"/>
      <c r="B334" s="26"/>
      <c r="C334" s="98"/>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x14ac:dyDescent="0.25">
      <c r="A335" s="26"/>
      <c r="B335" s="26"/>
      <c r="C335" s="98"/>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x14ac:dyDescent="0.25">
      <c r="A336" s="26"/>
      <c r="B336" s="26"/>
      <c r="C336" s="98"/>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x14ac:dyDescent="0.25">
      <c r="A337" s="26"/>
      <c r="B337" s="26"/>
      <c r="C337" s="98"/>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x14ac:dyDescent="0.25">
      <c r="A338" s="26"/>
      <c r="B338" s="26"/>
      <c r="C338" s="98"/>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x14ac:dyDescent="0.25">
      <c r="A339" s="26"/>
      <c r="B339" s="26"/>
      <c r="C339" s="98"/>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x14ac:dyDescent="0.25">
      <c r="A340" s="26"/>
      <c r="B340" s="26"/>
      <c r="C340" s="98"/>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x14ac:dyDescent="0.25">
      <c r="A341" s="26"/>
      <c r="B341" s="26"/>
      <c r="C341" s="98"/>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x14ac:dyDescent="0.25">
      <c r="A342" s="26"/>
      <c r="B342" s="26"/>
      <c r="C342" s="98"/>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x14ac:dyDescent="0.25">
      <c r="A343" s="26"/>
      <c r="B343" s="26"/>
      <c r="C343" s="98"/>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x14ac:dyDescent="0.25">
      <c r="A344" s="26"/>
      <c r="B344" s="26"/>
      <c r="C344" s="98"/>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x14ac:dyDescent="0.25">
      <c r="A345" s="26"/>
      <c r="B345" s="26"/>
      <c r="C345" s="98"/>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x14ac:dyDescent="0.25">
      <c r="A346" s="26"/>
      <c r="B346" s="26"/>
      <c r="C346" s="98"/>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x14ac:dyDescent="0.25">
      <c r="A347" s="26"/>
      <c r="B347" s="26"/>
      <c r="C347" s="98"/>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x14ac:dyDescent="0.25">
      <c r="A348" s="26"/>
      <c r="B348" s="26"/>
      <c r="C348" s="98"/>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x14ac:dyDescent="0.25">
      <c r="A349" s="26"/>
      <c r="B349" s="26"/>
      <c r="C349" s="98"/>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x14ac:dyDescent="0.25">
      <c r="A350" s="26"/>
      <c r="B350" s="26"/>
      <c r="C350" s="98"/>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x14ac:dyDescent="0.25">
      <c r="A351" s="26"/>
      <c r="B351" s="26"/>
      <c r="C351" s="98"/>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x14ac:dyDescent="0.25">
      <c r="A352" s="26"/>
      <c r="B352" s="26"/>
      <c r="C352" s="98"/>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x14ac:dyDescent="0.25">
      <c r="A353" s="26"/>
      <c r="B353" s="26"/>
      <c r="C353" s="98"/>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x14ac:dyDescent="0.25">
      <c r="A354" s="26"/>
      <c r="B354" s="26"/>
      <c r="C354" s="98"/>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x14ac:dyDescent="0.25">
      <c r="A355" s="26"/>
      <c r="B355" s="26"/>
      <c r="C355" s="98"/>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x14ac:dyDescent="0.25">
      <c r="A356" s="26"/>
      <c r="B356" s="26"/>
      <c r="C356" s="98"/>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x14ac:dyDescent="0.25">
      <c r="A357" s="26"/>
      <c r="B357" s="26"/>
      <c r="C357" s="98"/>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x14ac:dyDescent="0.25">
      <c r="A358" s="26"/>
      <c r="B358" s="26"/>
      <c r="C358" s="98"/>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x14ac:dyDescent="0.25">
      <c r="A359" s="26"/>
      <c r="B359" s="26"/>
      <c r="C359" s="98"/>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x14ac:dyDescent="0.25">
      <c r="A360" s="26"/>
      <c r="B360" s="26"/>
      <c r="C360" s="98"/>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x14ac:dyDescent="0.25">
      <c r="A361" s="26"/>
      <c r="B361" s="26"/>
      <c r="C361" s="98"/>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x14ac:dyDescent="0.25">
      <c r="A362" s="26"/>
      <c r="B362" s="26"/>
      <c r="C362" s="98"/>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x14ac:dyDescent="0.25">
      <c r="A363" s="26"/>
      <c r="B363" s="26"/>
      <c r="C363" s="98"/>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x14ac:dyDescent="0.25">
      <c r="A364" s="26"/>
      <c r="B364" s="26"/>
      <c r="C364" s="98"/>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x14ac:dyDescent="0.25">
      <c r="A365" s="26"/>
      <c r="B365" s="26"/>
      <c r="C365" s="98"/>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x14ac:dyDescent="0.25">
      <c r="A366" s="26"/>
      <c r="B366" s="26"/>
      <c r="C366" s="98"/>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x14ac:dyDescent="0.25">
      <c r="A367" s="26"/>
      <c r="B367" s="26"/>
      <c r="C367" s="98"/>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x14ac:dyDescent="0.25">
      <c r="A368" s="26"/>
      <c r="B368" s="26"/>
      <c r="C368" s="98"/>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x14ac:dyDescent="0.25">
      <c r="A369" s="26"/>
      <c r="B369" s="26"/>
      <c r="C369" s="98"/>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x14ac:dyDescent="0.25">
      <c r="A370" s="26"/>
      <c r="B370" s="26"/>
      <c r="C370" s="98"/>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x14ac:dyDescent="0.25">
      <c r="A371" s="26"/>
      <c r="B371" s="26"/>
      <c r="C371" s="98"/>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x14ac:dyDescent="0.25">
      <c r="A372" s="26"/>
      <c r="B372" s="26"/>
      <c r="C372" s="98"/>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x14ac:dyDescent="0.25">
      <c r="A373" s="26"/>
      <c r="B373" s="26"/>
      <c r="C373" s="98"/>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x14ac:dyDescent="0.25">
      <c r="A374" s="26"/>
      <c r="B374" s="26"/>
      <c r="C374" s="98"/>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x14ac:dyDescent="0.25">
      <c r="A375" s="26"/>
      <c r="B375" s="26"/>
      <c r="C375" s="98"/>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x14ac:dyDescent="0.25">
      <c r="A376" s="26"/>
      <c r="B376" s="26"/>
      <c r="C376" s="98"/>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x14ac:dyDescent="0.25">
      <c r="A377" s="26"/>
      <c r="B377" s="26"/>
      <c r="C377" s="98"/>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x14ac:dyDescent="0.25">
      <c r="A378" s="26"/>
      <c r="B378" s="26"/>
      <c r="C378" s="98"/>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x14ac:dyDescent="0.25">
      <c r="A379" s="26"/>
      <c r="B379" s="26"/>
      <c r="C379" s="98"/>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x14ac:dyDescent="0.25">
      <c r="A380" s="26"/>
      <c r="B380" s="26"/>
      <c r="C380" s="98"/>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x14ac:dyDescent="0.25">
      <c r="A381" s="26"/>
      <c r="B381" s="26"/>
      <c r="C381" s="98"/>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x14ac:dyDescent="0.25">
      <c r="A382" s="26"/>
      <c r="B382" s="26"/>
      <c r="C382" s="98"/>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x14ac:dyDescent="0.25">
      <c r="A383" s="26"/>
      <c r="B383" s="26"/>
      <c r="C383" s="98"/>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x14ac:dyDescent="0.25">
      <c r="A384" s="26"/>
      <c r="B384" s="26"/>
      <c r="C384" s="98"/>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x14ac:dyDescent="0.25">
      <c r="A385" s="26"/>
      <c r="B385" s="26"/>
      <c r="C385" s="98"/>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x14ac:dyDescent="0.25">
      <c r="A386" s="26"/>
      <c r="B386" s="26"/>
      <c r="C386" s="98"/>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x14ac:dyDescent="0.25">
      <c r="A387" s="26"/>
      <c r="B387" s="26"/>
      <c r="C387" s="98"/>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x14ac:dyDescent="0.25">
      <c r="A388" s="26"/>
      <c r="B388" s="26"/>
      <c r="C388" s="98"/>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x14ac:dyDescent="0.25">
      <c r="A389" s="26"/>
      <c r="B389" s="26"/>
      <c r="C389" s="98"/>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x14ac:dyDescent="0.25">
      <c r="A390" s="26"/>
      <c r="B390" s="26"/>
      <c r="C390" s="98"/>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x14ac:dyDescent="0.25">
      <c r="A391" s="26"/>
      <c r="B391" s="26"/>
      <c r="C391" s="98"/>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x14ac:dyDescent="0.25">
      <c r="A392" s="26"/>
      <c r="B392" s="26"/>
      <c r="C392" s="98"/>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x14ac:dyDescent="0.25">
      <c r="A393" s="26"/>
      <c r="B393" s="26"/>
      <c r="C393" s="98"/>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x14ac:dyDescent="0.25">
      <c r="A394" s="26"/>
      <c r="B394" s="26"/>
      <c r="C394" s="98"/>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x14ac:dyDescent="0.25">
      <c r="A395" s="26"/>
      <c r="B395" s="26"/>
      <c r="C395" s="98"/>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x14ac:dyDescent="0.25">
      <c r="A396" s="26"/>
      <c r="B396" s="26"/>
      <c r="C396" s="98"/>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x14ac:dyDescent="0.25">
      <c r="A397" s="26"/>
      <c r="B397" s="26"/>
      <c r="C397" s="98"/>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x14ac:dyDescent="0.25">
      <c r="A398" s="26"/>
      <c r="B398" s="26"/>
      <c r="C398" s="98"/>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x14ac:dyDescent="0.25">
      <c r="A399" s="26"/>
      <c r="B399" s="26"/>
      <c r="C399" s="98"/>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x14ac:dyDescent="0.25">
      <c r="A400" s="26"/>
      <c r="B400" s="26"/>
      <c r="C400" s="98"/>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x14ac:dyDescent="0.25">
      <c r="A401" s="26"/>
      <c r="B401" s="26"/>
      <c r="C401" s="98"/>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x14ac:dyDescent="0.25">
      <c r="A402" s="26"/>
      <c r="B402" s="26"/>
      <c r="C402" s="98"/>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x14ac:dyDescent="0.25">
      <c r="A403" s="26"/>
      <c r="B403" s="26"/>
      <c r="C403" s="98"/>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x14ac:dyDescent="0.25">
      <c r="A404" s="26"/>
      <c r="B404" s="26"/>
      <c r="C404" s="98"/>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x14ac:dyDescent="0.25">
      <c r="A405" s="26"/>
      <c r="B405" s="26"/>
      <c r="C405" s="98"/>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x14ac:dyDescent="0.25">
      <c r="A406" s="26"/>
      <c r="B406" s="26"/>
      <c r="C406" s="98"/>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x14ac:dyDescent="0.25">
      <c r="A407" s="26"/>
      <c r="B407" s="26"/>
      <c r="C407" s="98"/>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x14ac:dyDescent="0.25">
      <c r="A408" s="26"/>
      <c r="B408" s="26"/>
      <c r="C408" s="98"/>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x14ac:dyDescent="0.25">
      <c r="A409" s="26"/>
      <c r="B409" s="26"/>
      <c r="C409" s="98"/>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x14ac:dyDescent="0.25">
      <c r="A410" s="26"/>
      <c r="B410" s="26"/>
      <c r="C410" s="98"/>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x14ac:dyDescent="0.25">
      <c r="A411" s="26"/>
      <c r="B411" s="26"/>
      <c r="C411" s="98"/>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x14ac:dyDescent="0.25">
      <c r="A412" s="26"/>
      <c r="B412" s="26"/>
      <c r="C412" s="98"/>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x14ac:dyDescent="0.25">
      <c r="A413" s="26"/>
      <c r="B413" s="26"/>
      <c r="C413" s="98"/>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x14ac:dyDescent="0.25">
      <c r="A414" s="26"/>
      <c r="B414" s="26"/>
      <c r="C414" s="98"/>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x14ac:dyDescent="0.25">
      <c r="A415" s="26"/>
      <c r="B415" s="26"/>
      <c r="C415" s="98"/>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x14ac:dyDescent="0.25">
      <c r="A416" s="26"/>
      <c r="B416" s="26"/>
      <c r="C416" s="98"/>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x14ac:dyDescent="0.25">
      <c r="A417" s="26"/>
      <c r="B417" s="26"/>
      <c r="C417" s="98"/>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x14ac:dyDescent="0.25">
      <c r="A418" s="26"/>
      <c r="B418" s="26"/>
      <c r="C418" s="98"/>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x14ac:dyDescent="0.25">
      <c r="A419" s="26"/>
      <c r="B419" s="26"/>
      <c r="C419" s="98"/>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x14ac:dyDescent="0.25">
      <c r="A420" s="26"/>
      <c r="B420" s="26"/>
      <c r="C420" s="98"/>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x14ac:dyDescent="0.25">
      <c r="A421" s="26"/>
      <c r="B421" s="26"/>
      <c r="C421" s="98"/>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x14ac:dyDescent="0.25">
      <c r="A422" s="26"/>
      <c r="B422" s="26"/>
      <c r="C422" s="98"/>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x14ac:dyDescent="0.25">
      <c r="A423" s="26"/>
      <c r="B423" s="26"/>
      <c r="C423" s="98"/>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x14ac:dyDescent="0.25">
      <c r="A424" s="26"/>
      <c r="B424" s="26"/>
      <c r="C424" s="98"/>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x14ac:dyDescent="0.25">
      <c r="A425" s="26"/>
      <c r="B425" s="26"/>
      <c r="C425" s="98"/>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x14ac:dyDescent="0.25">
      <c r="A426" s="26"/>
      <c r="B426" s="26"/>
      <c r="C426" s="98"/>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x14ac:dyDescent="0.25">
      <c r="A427" s="26"/>
      <c r="B427" s="26"/>
      <c r="C427" s="98"/>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x14ac:dyDescent="0.25">
      <c r="A428" s="26"/>
      <c r="B428" s="26"/>
      <c r="C428" s="98"/>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x14ac:dyDescent="0.25">
      <c r="A429" s="26"/>
      <c r="B429" s="26"/>
      <c r="C429" s="98"/>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x14ac:dyDescent="0.25">
      <c r="A430" s="26"/>
      <c r="B430" s="26"/>
      <c r="C430" s="98"/>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x14ac:dyDescent="0.25">
      <c r="A431" s="26"/>
      <c r="B431" s="26"/>
      <c r="C431" s="98"/>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x14ac:dyDescent="0.25">
      <c r="A432" s="26"/>
      <c r="B432" s="26"/>
      <c r="C432" s="98"/>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x14ac:dyDescent="0.25">
      <c r="A433" s="26"/>
      <c r="B433" s="26"/>
      <c r="C433" s="98"/>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x14ac:dyDescent="0.25">
      <c r="A434" s="26"/>
      <c r="B434" s="26"/>
      <c r="C434" s="98"/>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x14ac:dyDescent="0.25">
      <c r="A435" s="26"/>
      <c r="B435" s="26"/>
      <c r="C435" s="98"/>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x14ac:dyDescent="0.25">
      <c r="A436" s="26"/>
      <c r="B436" s="26"/>
      <c r="C436" s="98"/>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x14ac:dyDescent="0.25">
      <c r="A437" s="26"/>
      <c r="B437" s="26"/>
      <c r="C437" s="98"/>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x14ac:dyDescent="0.25">
      <c r="A438" s="26"/>
      <c r="B438" s="26"/>
      <c r="C438" s="98"/>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x14ac:dyDescent="0.25">
      <c r="A439" s="26"/>
      <c r="B439" s="26"/>
      <c r="C439" s="98"/>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x14ac:dyDescent="0.25">
      <c r="A440" s="26"/>
      <c r="B440" s="26"/>
      <c r="C440" s="98"/>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x14ac:dyDescent="0.25">
      <c r="A441" s="26"/>
      <c r="B441" s="26"/>
      <c r="C441" s="98"/>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x14ac:dyDescent="0.25">
      <c r="A442" s="26"/>
      <c r="B442" s="26"/>
      <c r="C442" s="98"/>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x14ac:dyDescent="0.25">
      <c r="A443" s="26"/>
      <c r="B443" s="26"/>
      <c r="C443" s="98"/>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x14ac:dyDescent="0.25">
      <c r="A444" s="26"/>
      <c r="B444" s="26"/>
      <c r="C444" s="98"/>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x14ac:dyDescent="0.25">
      <c r="A445" s="26"/>
      <c r="B445" s="26"/>
      <c r="C445" s="98"/>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x14ac:dyDescent="0.25">
      <c r="A446" s="26"/>
      <c r="B446" s="26"/>
      <c r="C446" s="98"/>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x14ac:dyDescent="0.25">
      <c r="A447" s="26"/>
      <c r="B447" s="26"/>
      <c r="C447" s="98"/>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x14ac:dyDescent="0.25">
      <c r="A448" s="26"/>
      <c r="B448" s="26"/>
      <c r="C448" s="98"/>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x14ac:dyDescent="0.25">
      <c r="A449" s="26"/>
      <c r="B449" s="26"/>
      <c r="C449" s="98"/>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x14ac:dyDescent="0.25">
      <c r="A450" s="26"/>
      <c r="B450" s="26"/>
      <c r="C450" s="98"/>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x14ac:dyDescent="0.25">
      <c r="A451" s="26"/>
      <c r="B451" s="26"/>
      <c r="C451" s="98"/>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x14ac:dyDescent="0.25">
      <c r="A452" s="26"/>
      <c r="B452" s="26"/>
      <c r="C452" s="98"/>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x14ac:dyDescent="0.25">
      <c r="A453" s="26"/>
      <c r="B453" s="26"/>
      <c r="C453" s="98"/>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x14ac:dyDescent="0.25">
      <c r="A454" s="26"/>
      <c r="B454" s="26"/>
      <c r="C454" s="98"/>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x14ac:dyDescent="0.25">
      <c r="A455" s="26"/>
      <c r="B455" s="26"/>
      <c r="C455" s="98"/>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x14ac:dyDescent="0.25">
      <c r="A456" s="26"/>
      <c r="B456" s="26"/>
      <c r="C456" s="98"/>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x14ac:dyDescent="0.25">
      <c r="A457" s="26"/>
      <c r="B457" s="26"/>
      <c r="C457" s="98"/>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x14ac:dyDescent="0.25">
      <c r="A458" s="26"/>
      <c r="B458" s="26"/>
      <c r="C458" s="98"/>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x14ac:dyDescent="0.25">
      <c r="A459" s="26"/>
      <c r="B459" s="26"/>
      <c r="C459" s="98"/>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x14ac:dyDescent="0.25">
      <c r="A460" s="26"/>
      <c r="B460" s="26"/>
      <c r="C460" s="98"/>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x14ac:dyDescent="0.25">
      <c r="A461" s="26"/>
      <c r="B461" s="26"/>
      <c r="C461" s="98"/>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x14ac:dyDescent="0.25">
      <c r="A462" s="26"/>
      <c r="B462" s="26"/>
      <c r="C462" s="98"/>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x14ac:dyDescent="0.25">
      <c r="A463" s="26"/>
      <c r="B463" s="26"/>
      <c r="C463" s="98"/>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x14ac:dyDescent="0.25">
      <c r="A464" s="26"/>
      <c r="B464" s="26"/>
      <c r="C464" s="98"/>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x14ac:dyDescent="0.25">
      <c r="A465" s="26"/>
      <c r="B465" s="26"/>
      <c r="C465" s="98"/>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x14ac:dyDescent="0.25">
      <c r="A466" s="26"/>
      <c r="B466" s="26"/>
      <c r="C466" s="98"/>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x14ac:dyDescent="0.25">
      <c r="A467" s="26"/>
      <c r="B467" s="26"/>
      <c r="C467" s="98"/>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x14ac:dyDescent="0.25">
      <c r="A468" s="26"/>
      <c r="B468" s="26"/>
      <c r="C468" s="98"/>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x14ac:dyDescent="0.25">
      <c r="A469" s="26"/>
      <c r="B469" s="26"/>
      <c r="C469" s="98"/>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x14ac:dyDescent="0.25">
      <c r="A470" s="26"/>
      <c r="B470" s="26"/>
      <c r="C470" s="98"/>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x14ac:dyDescent="0.25">
      <c r="A471" s="26"/>
      <c r="B471" s="26"/>
      <c r="C471" s="98"/>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x14ac:dyDescent="0.25">
      <c r="A472" s="26"/>
      <c r="B472" s="26"/>
      <c r="C472" s="98"/>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x14ac:dyDescent="0.25">
      <c r="A473" s="26"/>
      <c r="B473" s="26"/>
      <c r="C473" s="98"/>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x14ac:dyDescent="0.25">
      <c r="A474" s="26"/>
      <c r="B474" s="26"/>
      <c r="C474" s="98"/>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x14ac:dyDescent="0.25">
      <c r="A475" s="26"/>
      <c r="B475" s="26"/>
      <c r="C475" s="98"/>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x14ac:dyDescent="0.25">
      <c r="A476" s="26"/>
      <c r="B476" s="26"/>
      <c r="C476" s="98"/>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x14ac:dyDescent="0.25">
      <c r="A477" s="26"/>
      <c r="B477" s="26"/>
      <c r="C477" s="98"/>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x14ac:dyDescent="0.25">
      <c r="A478" s="26"/>
      <c r="B478" s="26"/>
      <c r="C478" s="98"/>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x14ac:dyDescent="0.25">
      <c r="A479" s="26"/>
      <c r="B479" s="26"/>
      <c r="C479" s="98"/>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x14ac:dyDescent="0.25">
      <c r="A480" s="26"/>
      <c r="B480" s="26"/>
      <c r="C480" s="98"/>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x14ac:dyDescent="0.25">
      <c r="A481" s="26"/>
      <c r="B481" s="26"/>
      <c r="C481" s="98"/>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x14ac:dyDescent="0.25">
      <c r="A482" s="26"/>
      <c r="B482" s="26"/>
      <c r="C482" s="98"/>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x14ac:dyDescent="0.25">
      <c r="A483" s="26"/>
      <c r="B483" s="26"/>
      <c r="C483" s="98"/>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x14ac:dyDescent="0.25">
      <c r="A484" s="26"/>
      <c r="B484" s="26"/>
      <c r="C484" s="98"/>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x14ac:dyDescent="0.25">
      <c r="A485" s="26"/>
      <c r="B485" s="26"/>
      <c r="C485" s="98"/>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x14ac:dyDescent="0.25">
      <c r="A486" s="26"/>
      <c r="B486" s="26"/>
      <c r="C486" s="98"/>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x14ac:dyDescent="0.25">
      <c r="A487" s="26"/>
      <c r="B487" s="26"/>
      <c r="C487" s="98"/>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x14ac:dyDescent="0.25">
      <c r="A488" s="26"/>
      <c r="B488" s="26"/>
      <c r="C488" s="98"/>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x14ac:dyDescent="0.25">
      <c r="A489" s="26"/>
      <c r="B489" s="26"/>
      <c r="C489" s="98"/>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x14ac:dyDescent="0.25">
      <c r="A490" s="26"/>
      <c r="B490" s="26"/>
      <c r="C490" s="98"/>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x14ac:dyDescent="0.25">
      <c r="A491" s="26"/>
      <c r="B491" s="26"/>
      <c r="C491" s="98"/>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x14ac:dyDescent="0.25">
      <c r="A492" s="26"/>
      <c r="B492" s="26"/>
      <c r="C492" s="98"/>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x14ac:dyDescent="0.25">
      <c r="A493" s="26"/>
      <c r="B493" s="26"/>
      <c r="C493" s="98"/>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x14ac:dyDescent="0.25">
      <c r="A494" s="26"/>
      <c r="B494" s="26"/>
      <c r="C494" s="98"/>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x14ac:dyDescent="0.25">
      <c r="A495" s="26"/>
      <c r="B495" s="26"/>
      <c r="C495" s="98"/>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x14ac:dyDescent="0.25">
      <c r="A496" s="26"/>
      <c r="B496" s="26"/>
      <c r="C496" s="98"/>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x14ac:dyDescent="0.25">
      <c r="A497" s="26"/>
      <c r="B497" s="26"/>
      <c r="C497" s="98"/>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x14ac:dyDescent="0.25">
      <c r="A498" s="26"/>
      <c r="B498" s="26"/>
      <c r="C498" s="98"/>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x14ac:dyDescent="0.25">
      <c r="A499" s="26"/>
      <c r="B499" s="26"/>
      <c r="C499" s="98"/>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x14ac:dyDescent="0.25">
      <c r="A500" s="26"/>
      <c r="B500" s="26"/>
      <c r="C500" s="98"/>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x14ac:dyDescent="0.25">
      <c r="A501" s="26"/>
      <c r="B501" s="26"/>
      <c r="C501" s="98"/>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x14ac:dyDescent="0.25">
      <c r="A502" s="26"/>
      <c r="B502" s="26"/>
      <c r="C502" s="98"/>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x14ac:dyDescent="0.25">
      <c r="A503" s="26"/>
      <c r="B503" s="26"/>
      <c r="C503" s="98"/>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x14ac:dyDescent="0.25">
      <c r="A504" s="26"/>
      <c r="B504" s="26"/>
      <c r="C504" s="98"/>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x14ac:dyDescent="0.25">
      <c r="A505" s="26"/>
      <c r="B505" s="26"/>
      <c r="C505" s="98"/>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x14ac:dyDescent="0.25">
      <c r="A506" s="26"/>
      <c r="B506" s="26"/>
      <c r="C506" s="98"/>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x14ac:dyDescent="0.25">
      <c r="A507" s="26"/>
      <c r="B507" s="26"/>
      <c r="C507" s="98"/>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x14ac:dyDescent="0.25">
      <c r="A508" s="26"/>
      <c r="B508" s="26"/>
      <c r="C508" s="98"/>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x14ac:dyDescent="0.25">
      <c r="A509" s="26"/>
      <c r="B509" s="26"/>
      <c r="C509" s="98"/>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x14ac:dyDescent="0.25">
      <c r="A510" s="26"/>
      <c r="B510" s="26"/>
      <c r="C510" s="98"/>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x14ac:dyDescent="0.25">
      <c r="A511" s="26"/>
      <c r="B511" s="26"/>
      <c r="C511" s="98"/>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x14ac:dyDescent="0.25">
      <c r="A512" s="26"/>
      <c r="B512" s="26"/>
      <c r="C512" s="98"/>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x14ac:dyDescent="0.25">
      <c r="A513" s="26"/>
      <c r="B513" s="26"/>
      <c r="C513" s="98"/>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x14ac:dyDescent="0.25">
      <c r="A514" s="26"/>
      <c r="B514" s="26"/>
      <c r="C514" s="98"/>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x14ac:dyDescent="0.25">
      <c r="A515" s="26"/>
      <c r="B515" s="26"/>
      <c r="C515" s="98"/>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x14ac:dyDescent="0.25">
      <c r="A516" s="26"/>
      <c r="B516" s="26"/>
      <c r="C516" s="98"/>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x14ac:dyDescent="0.25">
      <c r="A517" s="26"/>
      <c r="B517" s="26"/>
      <c r="C517" s="98"/>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x14ac:dyDescent="0.25">
      <c r="A518" s="26"/>
      <c r="B518" s="26"/>
      <c r="C518" s="98"/>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x14ac:dyDescent="0.25">
      <c r="A519" s="26"/>
      <c r="B519" s="26"/>
      <c r="C519" s="98"/>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x14ac:dyDescent="0.25">
      <c r="A520" s="26"/>
      <c r="B520" s="26"/>
      <c r="C520" s="98"/>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x14ac:dyDescent="0.25">
      <c r="A521" s="26"/>
      <c r="B521" s="26"/>
      <c r="C521" s="98"/>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x14ac:dyDescent="0.25">
      <c r="A522" s="26"/>
      <c r="B522" s="26"/>
      <c r="C522" s="98"/>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x14ac:dyDescent="0.25">
      <c r="A523" s="26"/>
      <c r="B523" s="26"/>
      <c r="C523" s="98"/>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x14ac:dyDescent="0.25">
      <c r="A524" s="26"/>
      <c r="B524" s="26"/>
      <c r="C524" s="98"/>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x14ac:dyDescent="0.25">
      <c r="A525" s="26"/>
      <c r="B525" s="26"/>
      <c r="C525" s="98"/>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x14ac:dyDescent="0.25">
      <c r="A526" s="26"/>
      <c r="B526" s="26"/>
      <c r="C526" s="98"/>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x14ac:dyDescent="0.25">
      <c r="A527" s="26"/>
      <c r="B527" s="26"/>
      <c r="C527" s="98"/>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x14ac:dyDescent="0.25">
      <c r="A528" s="26"/>
      <c r="B528" s="26"/>
      <c r="C528" s="98"/>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x14ac:dyDescent="0.25">
      <c r="A529" s="26"/>
      <c r="B529" s="26"/>
      <c r="C529" s="98"/>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x14ac:dyDescent="0.25">
      <c r="A530" s="26"/>
      <c r="B530" s="26"/>
      <c r="C530" s="98"/>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x14ac:dyDescent="0.25">
      <c r="A531" s="26"/>
      <c r="B531" s="26"/>
      <c r="C531" s="98"/>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x14ac:dyDescent="0.25">
      <c r="A532" s="26"/>
      <c r="B532" s="26"/>
      <c r="C532" s="98"/>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x14ac:dyDescent="0.25">
      <c r="A533" s="26"/>
      <c r="B533" s="26"/>
      <c r="C533" s="98"/>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x14ac:dyDescent="0.25">
      <c r="A534" s="26"/>
      <c r="B534" s="26"/>
      <c r="C534" s="98"/>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x14ac:dyDescent="0.25">
      <c r="A535" s="26"/>
      <c r="B535" s="26"/>
      <c r="C535" s="98"/>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x14ac:dyDescent="0.25">
      <c r="A536" s="26"/>
      <c r="B536" s="26"/>
      <c r="C536" s="98"/>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x14ac:dyDescent="0.25">
      <c r="A537" s="26"/>
      <c r="B537" s="26"/>
      <c r="C537" s="98"/>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x14ac:dyDescent="0.25">
      <c r="A538" s="26"/>
      <c r="B538" s="26"/>
      <c r="C538" s="98"/>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x14ac:dyDescent="0.25">
      <c r="A539" s="26"/>
      <c r="B539" s="26"/>
      <c r="C539" s="98"/>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x14ac:dyDescent="0.25">
      <c r="A540" s="26"/>
      <c r="B540" s="26"/>
      <c r="C540" s="98"/>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x14ac:dyDescent="0.25">
      <c r="A541" s="26"/>
      <c r="B541" s="26"/>
      <c r="C541" s="98"/>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x14ac:dyDescent="0.25">
      <c r="A542" s="26"/>
      <c r="B542" s="26"/>
      <c r="C542" s="98"/>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x14ac:dyDescent="0.25">
      <c r="A543" s="26"/>
      <c r="B543" s="26"/>
      <c r="C543" s="98"/>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x14ac:dyDescent="0.25">
      <c r="A544" s="26"/>
      <c r="B544" s="26"/>
      <c r="C544" s="98"/>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x14ac:dyDescent="0.25">
      <c r="A545" s="26"/>
      <c r="B545" s="26"/>
      <c r="C545" s="98"/>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x14ac:dyDescent="0.25">
      <c r="A546" s="26"/>
      <c r="B546" s="26"/>
      <c r="C546" s="98"/>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x14ac:dyDescent="0.25">
      <c r="A547" s="26"/>
      <c r="B547" s="26"/>
      <c r="C547" s="98"/>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x14ac:dyDescent="0.25">
      <c r="A548" s="26"/>
      <c r="B548" s="26"/>
      <c r="C548" s="98"/>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x14ac:dyDescent="0.25">
      <c r="A549" s="26"/>
      <c r="B549" s="26"/>
      <c r="C549" s="98"/>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x14ac:dyDescent="0.25">
      <c r="A550" s="26"/>
      <c r="B550" s="26"/>
      <c r="C550" s="98"/>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x14ac:dyDescent="0.25">
      <c r="A551" s="26"/>
      <c r="B551" s="26"/>
      <c r="C551" s="98"/>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x14ac:dyDescent="0.25">
      <c r="A552" s="26"/>
      <c r="B552" s="26"/>
      <c r="C552" s="98"/>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x14ac:dyDescent="0.25">
      <c r="A553" s="26"/>
      <c r="B553" s="26"/>
      <c r="C553" s="98"/>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x14ac:dyDescent="0.25">
      <c r="A554" s="26"/>
      <c r="B554" s="26"/>
      <c r="C554" s="98"/>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x14ac:dyDescent="0.25">
      <c r="A555" s="26"/>
      <c r="B555" s="26"/>
      <c r="C555" s="98"/>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x14ac:dyDescent="0.25">
      <c r="A556" s="26"/>
      <c r="B556" s="26"/>
      <c r="C556" s="98"/>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x14ac:dyDescent="0.25">
      <c r="A557" s="26"/>
      <c r="B557" s="26"/>
      <c r="C557" s="98"/>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x14ac:dyDescent="0.25">
      <c r="A558" s="26"/>
      <c r="B558" s="26"/>
      <c r="C558" s="98"/>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x14ac:dyDescent="0.25">
      <c r="A559" s="26"/>
      <c r="B559" s="26"/>
      <c r="C559" s="98"/>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x14ac:dyDescent="0.25">
      <c r="A560" s="26"/>
      <c r="B560" s="26"/>
      <c r="C560" s="98"/>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x14ac:dyDescent="0.25">
      <c r="A561" s="26"/>
      <c r="B561" s="26"/>
      <c r="C561" s="98"/>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x14ac:dyDescent="0.25">
      <c r="A562" s="26"/>
      <c r="B562" s="26"/>
      <c r="C562" s="98"/>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x14ac:dyDescent="0.25">
      <c r="A563" s="26"/>
      <c r="B563" s="26"/>
      <c r="C563" s="98"/>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x14ac:dyDescent="0.25">
      <c r="A564" s="26"/>
      <c r="B564" s="26"/>
      <c r="C564" s="98"/>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x14ac:dyDescent="0.25">
      <c r="A565" s="26"/>
      <c r="B565" s="26"/>
      <c r="C565" s="98"/>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x14ac:dyDescent="0.25">
      <c r="A566" s="26"/>
      <c r="B566" s="26"/>
      <c r="C566" s="98"/>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x14ac:dyDescent="0.25">
      <c r="A567" s="26"/>
      <c r="B567" s="26"/>
      <c r="C567" s="98"/>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x14ac:dyDescent="0.25">
      <c r="A568" s="26"/>
      <c r="B568" s="26"/>
      <c r="C568" s="98"/>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x14ac:dyDescent="0.25">
      <c r="A569" s="26"/>
      <c r="B569" s="26"/>
      <c r="C569" s="98"/>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x14ac:dyDescent="0.25">
      <c r="A570" s="26"/>
      <c r="B570" s="26"/>
      <c r="C570" s="98"/>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x14ac:dyDescent="0.25">
      <c r="A571" s="26"/>
      <c r="B571" s="26"/>
      <c r="C571" s="98"/>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x14ac:dyDescent="0.25">
      <c r="A572" s="26"/>
      <c r="B572" s="26"/>
      <c r="C572" s="98"/>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x14ac:dyDescent="0.25">
      <c r="A573" s="26"/>
      <c r="B573" s="26"/>
      <c r="C573" s="98"/>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x14ac:dyDescent="0.25">
      <c r="A574" s="26"/>
      <c r="B574" s="26"/>
      <c r="C574" s="98"/>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x14ac:dyDescent="0.25">
      <c r="A575" s="26"/>
      <c r="B575" s="26"/>
      <c r="C575" s="98"/>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x14ac:dyDescent="0.25">
      <c r="A576" s="26"/>
      <c r="B576" s="26"/>
      <c r="C576" s="98"/>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x14ac:dyDescent="0.25">
      <c r="A577" s="26"/>
      <c r="B577" s="26"/>
      <c r="C577" s="98"/>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x14ac:dyDescent="0.25">
      <c r="A578" s="26"/>
      <c r="B578" s="26"/>
      <c r="C578" s="98"/>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x14ac:dyDescent="0.25">
      <c r="A579" s="26"/>
      <c r="B579" s="26"/>
      <c r="C579" s="98"/>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x14ac:dyDescent="0.25">
      <c r="A580" s="26"/>
      <c r="B580" s="26"/>
      <c r="C580" s="98"/>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x14ac:dyDescent="0.25">
      <c r="A581" s="26"/>
      <c r="B581" s="26"/>
      <c r="C581" s="98"/>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x14ac:dyDescent="0.25">
      <c r="A582" s="26"/>
      <c r="B582" s="26"/>
      <c r="C582" s="98"/>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x14ac:dyDescent="0.25">
      <c r="A583" s="26"/>
      <c r="B583" s="26"/>
      <c r="C583" s="98"/>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x14ac:dyDescent="0.25">
      <c r="A584" s="26"/>
      <c r="B584" s="26"/>
      <c r="C584" s="98"/>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x14ac:dyDescent="0.25">
      <c r="A585" s="26"/>
      <c r="B585" s="26"/>
      <c r="C585" s="98"/>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x14ac:dyDescent="0.25">
      <c r="A586" s="26"/>
      <c r="B586" s="26"/>
      <c r="C586" s="98"/>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x14ac:dyDescent="0.25">
      <c r="A587" s="26"/>
      <c r="B587" s="26"/>
      <c r="C587" s="98"/>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x14ac:dyDescent="0.25">
      <c r="A588" s="26"/>
      <c r="B588" s="26"/>
      <c r="C588" s="98"/>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x14ac:dyDescent="0.25">
      <c r="A589" s="26"/>
      <c r="B589" s="26"/>
      <c r="C589" s="98"/>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x14ac:dyDescent="0.25">
      <c r="A590" s="26"/>
      <c r="B590" s="26"/>
      <c r="C590" s="98"/>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x14ac:dyDescent="0.25">
      <c r="A591" s="26"/>
      <c r="B591" s="26"/>
      <c r="C591" s="98"/>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x14ac:dyDescent="0.25">
      <c r="A592" s="26"/>
      <c r="B592" s="26"/>
      <c r="C592" s="98"/>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x14ac:dyDescent="0.25">
      <c r="A593" s="26"/>
      <c r="B593" s="26"/>
      <c r="C593" s="98"/>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x14ac:dyDescent="0.25">
      <c r="A594" s="26"/>
      <c r="B594" s="26"/>
      <c r="C594" s="98"/>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x14ac:dyDescent="0.25">
      <c r="A595" s="26"/>
      <c r="B595" s="26"/>
      <c r="C595" s="98"/>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x14ac:dyDescent="0.25">
      <c r="A596" s="26"/>
      <c r="B596" s="26"/>
      <c r="C596" s="98"/>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x14ac:dyDescent="0.25">
      <c r="A597" s="26"/>
      <c r="B597" s="26"/>
      <c r="C597" s="98"/>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x14ac:dyDescent="0.25">
      <c r="A598" s="26"/>
      <c r="B598" s="26"/>
      <c r="C598" s="98"/>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x14ac:dyDescent="0.25">
      <c r="A599" s="26"/>
      <c r="B599" s="26"/>
      <c r="C599" s="98"/>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x14ac:dyDescent="0.25">
      <c r="A600" s="26"/>
      <c r="B600" s="26"/>
      <c r="C600" s="98"/>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x14ac:dyDescent="0.25">
      <c r="A601" s="26"/>
      <c r="B601" s="26"/>
      <c r="C601" s="98"/>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x14ac:dyDescent="0.25">
      <c r="A602" s="26"/>
      <c r="B602" s="26"/>
      <c r="C602" s="98"/>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x14ac:dyDescent="0.25">
      <c r="A603" s="26"/>
      <c r="B603" s="26"/>
      <c r="C603" s="98"/>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x14ac:dyDescent="0.25">
      <c r="A604" s="26"/>
      <c r="B604" s="26"/>
      <c r="C604" s="98"/>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x14ac:dyDescent="0.25">
      <c r="A605" s="26"/>
      <c r="B605" s="26"/>
      <c r="C605" s="98"/>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x14ac:dyDescent="0.25">
      <c r="A606" s="26"/>
      <c r="B606" s="26"/>
      <c r="C606" s="98"/>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x14ac:dyDescent="0.25">
      <c r="A607" s="26"/>
      <c r="B607" s="26"/>
      <c r="C607" s="98"/>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x14ac:dyDescent="0.25">
      <c r="A608" s="26"/>
      <c r="B608" s="26"/>
      <c r="C608" s="98"/>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x14ac:dyDescent="0.25">
      <c r="A609" s="26"/>
      <c r="B609" s="26"/>
      <c r="C609" s="98"/>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x14ac:dyDescent="0.25">
      <c r="A610" s="26"/>
      <c r="B610" s="26"/>
      <c r="C610" s="98"/>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x14ac:dyDescent="0.25">
      <c r="A611" s="26"/>
      <c r="B611" s="26"/>
      <c r="C611" s="98"/>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x14ac:dyDescent="0.25">
      <c r="A612" s="26"/>
      <c r="B612" s="26"/>
      <c r="C612" s="98"/>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x14ac:dyDescent="0.25">
      <c r="A613" s="26"/>
      <c r="B613" s="26"/>
      <c r="C613" s="98"/>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x14ac:dyDescent="0.25">
      <c r="A614" s="26"/>
      <c r="B614" s="26"/>
      <c r="C614" s="98"/>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x14ac:dyDescent="0.25">
      <c r="A615" s="26"/>
      <c r="B615" s="26"/>
      <c r="C615" s="98"/>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x14ac:dyDescent="0.25">
      <c r="A616" s="26"/>
      <c r="B616" s="26"/>
      <c r="C616" s="98"/>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x14ac:dyDescent="0.25">
      <c r="A617" s="26"/>
      <c r="B617" s="26"/>
      <c r="C617" s="98"/>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x14ac:dyDescent="0.25">
      <c r="A618" s="26"/>
      <c r="B618" s="26"/>
      <c r="C618" s="98"/>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x14ac:dyDescent="0.25">
      <c r="A619" s="26"/>
      <c r="B619" s="26"/>
      <c r="C619" s="98"/>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x14ac:dyDescent="0.25">
      <c r="A620" s="26"/>
      <c r="B620" s="26"/>
      <c r="C620" s="98"/>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x14ac:dyDescent="0.25">
      <c r="A621" s="26"/>
      <c r="B621" s="26"/>
      <c r="C621" s="98"/>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x14ac:dyDescent="0.25">
      <c r="A622" s="26"/>
      <c r="B622" s="26"/>
      <c r="C622" s="98"/>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x14ac:dyDescent="0.25">
      <c r="A623" s="26"/>
      <c r="B623" s="26"/>
      <c r="C623" s="98"/>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x14ac:dyDescent="0.25">
      <c r="A624" s="26"/>
      <c r="B624" s="26"/>
      <c r="C624" s="98"/>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x14ac:dyDescent="0.25">
      <c r="A625" s="26"/>
      <c r="B625" s="26"/>
      <c r="C625" s="98"/>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x14ac:dyDescent="0.25">
      <c r="A626" s="26"/>
      <c r="B626" s="26"/>
      <c r="C626" s="98"/>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x14ac:dyDescent="0.25">
      <c r="A627" s="26"/>
      <c r="B627" s="26"/>
      <c r="C627" s="98"/>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x14ac:dyDescent="0.25">
      <c r="A628" s="26"/>
      <c r="B628" s="26"/>
      <c r="C628" s="98"/>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x14ac:dyDescent="0.25">
      <c r="A629" s="26"/>
      <c r="B629" s="26"/>
      <c r="C629" s="98"/>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x14ac:dyDescent="0.25">
      <c r="A630" s="26"/>
      <c r="B630" s="26"/>
      <c r="C630" s="98"/>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x14ac:dyDescent="0.25">
      <c r="A631" s="26"/>
      <c r="B631" s="26"/>
      <c r="C631" s="98"/>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x14ac:dyDescent="0.25">
      <c r="A632" s="26"/>
      <c r="B632" s="26"/>
      <c r="C632" s="98"/>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x14ac:dyDescent="0.25">
      <c r="A633" s="26"/>
      <c r="B633" s="26"/>
      <c r="C633" s="98"/>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x14ac:dyDescent="0.25">
      <c r="A634" s="26"/>
      <c r="B634" s="26"/>
      <c r="C634" s="98"/>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x14ac:dyDescent="0.25">
      <c r="A635" s="26"/>
      <c r="B635" s="26"/>
      <c r="C635" s="98"/>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x14ac:dyDescent="0.25">
      <c r="A636" s="26"/>
      <c r="B636" s="26"/>
      <c r="C636" s="98"/>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x14ac:dyDescent="0.25">
      <c r="A637" s="26"/>
      <c r="B637" s="26"/>
      <c r="C637" s="98"/>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x14ac:dyDescent="0.25">
      <c r="A638" s="26"/>
      <c r="B638" s="26"/>
      <c r="C638" s="98"/>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x14ac:dyDescent="0.25">
      <c r="A639" s="26"/>
      <c r="B639" s="26"/>
      <c r="C639" s="98"/>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x14ac:dyDescent="0.25">
      <c r="A640" s="26"/>
      <c r="B640" s="26"/>
      <c r="C640" s="98"/>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x14ac:dyDescent="0.25">
      <c r="A641" s="26"/>
      <c r="B641" s="26"/>
      <c r="C641" s="98"/>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x14ac:dyDescent="0.25">
      <c r="A642" s="26"/>
      <c r="B642" s="26"/>
      <c r="C642" s="98"/>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x14ac:dyDescent="0.25">
      <c r="A643" s="26"/>
      <c r="B643" s="26"/>
      <c r="C643" s="98"/>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x14ac:dyDescent="0.25">
      <c r="A644" s="26"/>
      <c r="B644" s="26"/>
      <c r="C644" s="98"/>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x14ac:dyDescent="0.25">
      <c r="A645" s="26"/>
      <c r="B645" s="26"/>
      <c r="C645" s="98"/>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x14ac:dyDescent="0.25">
      <c r="A646" s="26"/>
      <c r="B646" s="26"/>
      <c r="C646" s="98"/>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x14ac:dyDescent="0.25">
      <c r="A647" s="26"/>
      <c r="B647" s="26"/>
      <c r="C647" s="98"/>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x14ac:dyDescent="0.25">
      <c r="A648" s="26"/>
      <c r="B648" s="26"/>
      <c r="C648" s="98"/>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x14ac:dyDescent="0.25">
      <c r="A649" s="26"/>
      <c r="B649" s="26"/>
      <c r="C649" s="98"/>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x14ac:dyDescent="0.25">
      <c r="A650" s="26"/>
      <c r="B650" s="26"/>
      <c r="C650" s="98"/>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x14ac:dyDescent="0.25">
      <c r="A651" s="26"/>
      <c r="B651" s="26"/>
      <c r="C651" s="98"/>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x14ac:dyDescent="0.25">
      <c r="A652" s="26"/>
      <c r="B652" s="26"/>
      <c r="C652" s="98"/>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x14ac:dyDescent="0.25">
      <c r="A653" s="26"/>
      <c r="B653" s="26"/>
      <c r="C653" s="98"/>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x14ac:dyDescent="0.25">
      <c r="A654" s="26"/>
      <c r="B654" s="26"/>
      <c r="C654" s="98"/>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x14ac:dyDescent="0.25">
      <c r="A655" s="26"/>
      <c r="B655" s="26"/>
      <c r="C655" s="98"/>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x14ac:dyDescent="0.25">
      <c r="A656" s="26"/>
      <c r="B656" s="26"/>
      <c r="C656" s="98"/>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x14ac:dyDescent="0.25">
      <c r="A657" s="26"/>
      <c r="B657" s="26"/>
      <c r="C657" s="98"/>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x14ac:dyDescent="0.25">
      <c r="A658" s="26"/>
      <c r="B658" s="26"/>
      <c r="C658" s="98"/>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x14ac:dyDescent="0.25">
      <c r="A659" s="26"/>
      <c r="B659" s="26"/>
      <c r="C659" s="98"/>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x14ac:dyDescent="0.25">
      <c r="A660" s="26"/>
      <c r="B660" s="26"/>
      <c r="C660" s="98"/>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x14ac:dyDescent="0.25">
      <c r="A661" s="26"/>
      <c r="B661" s="26"/>
      <c r="C661" s="98"/>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x14ac:dyDescent="0.25">
      <c r="A662" s="26"/>
      <c r="B662" s="26"/>
      <c r="C662" s="98"/>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x14ac:dyDescent="0.25">
      <c r="A663" s="26"/>
      <c r="B663" s="26"/>
      <c r="C663" s="98"/>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x14ac:dyDescent="0.25">
      <c r="A664" s="26"/>
      <c r="B664" s="26"/>
      <c r="C664" s="98"/>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x14ac:dyDescent="0.25">
      <c r="A665" s="26"/>
      <c r="B665" s="26"/>
      <c r="C665" s="98"/>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x14ac:dyDescent="0.25">
      <c r="A666" s="26"/>
      <c r="B666" s="26"/>
      <c r="C666" s="98"/>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x14ac:dyDescent="0.25">
      <c r="A667" s="26"/>
      <c r="B667" s="26"/>
      <c r="C667" s="98"/>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x14ac:dyDescent="0.25">
      <c r="A668" s="26"/>
      <c r="B668" s="26"/>
      <c r="C668" s="98"/>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x14ac:dyDescent="0.25">
      <c r="A669" s="26"/>
      <c r="B669" s="26"/>
      <c r="C669" s="98"/>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x14ac:dyDescent="0.25">
      <c r="A670" s="26"/>
      <c r="B670" s="26"/>
      <c r="C670" s="98"/>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x14ac:dyDescent="0.25">
      <c r="A671" s="26"/>
      <c r="B671" s="26"/>
      <c r="C671" s="98"/>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x14ac:dyDescent="0.25">
      <c r="A672" s="26"/>
      <c r="B672" s="26"/>
      <c r="C672" s="98"/>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x14ac:dyDescent="0.25">
      <c r="A673" s="26"/>
      <c r="B673" s="26"/>
      <c r="C673" s="98"/>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x14ac:dyDescent="0.25">
      <c r="A674" s="26"/>
      <c r="B674" s="26"/>
      <c r="C674" s="98"/>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x14ac:dyDescent="0.25">
      <c r="A675" s="26"/>
      <c r="B675" s="26"/>
      <c r="C675" s="98"/>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x14ac:dyDescent="0.25">
      <c r="A676" s="26"/>
      <c r="B676" s="26"/>
      <c r="C676" s="98"/>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x14ac:dyDescent="0.25">
      <c r="A677" s="26"/>
      <c r="B677" s="26"/>
      <c r="C677" s="98"/>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x14ac:dyDescent="0.25">
      <c r="A678" s="26"/>
      <c r="B678" s="26"/>
      <c r="C678" s="98"/>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x14ac:dyDescent="0.25">
      <c r="A679" s="26"/>
      <c r="B679" s="26"/>
      <c r="C679" s="98"/>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x14ac:dyDescent="0.25">
      <c r="A680" s="26"/>
      <c r="B680" s="26"/>
      <c r="C680" s="98"/>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x14ac:dyDescent="0.25">
      <c r="A681" s="26"/>
      <c r="B681" s="26"/>
      <c r="C681" s="98"/>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x14ac:dyDescent="0.25">
      <c r="A682" s="26"/>
      <c r="B682" s="26"/>
      <c r="C682" s="98"/>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x14ac:dyDescent="0.25">
      <c r="A683" s="26"/>
      <c r="B683" s="26"/>
      <c r="C683" s="98"/>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x14ac:dyDescent="0.25">
      <c r="A684" s="26"/>
      <c r="B684" s="26"/>
      <c r="C684" s="98"/>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x14ac:dyDescent="0.25">
      <c r="A685" s="26"/>
      <c r="B685" s="26"/>
      <c r="C685" s="98"/>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x14ac:dyDescent="0.25">
      <c r="A686" s="26"/>
      <c r="B686" s="26"/>
      <c r="C686" s="98"/>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x14ac:dyDescent="0.25">
      <c r="A687" s="26"/>
      <c r="B687" s="26"/>
      <c r="C687" s="98"/>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x14ac:dyDescent="0.25">
      <c r="A688" s="26"/>
      <c r="B688" s="26"/>
      <c r="C688" s="98"/>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x14ac:dyDescent="0.25">
      <c r="A689" s="26"/>
      <c r="B689" s="26"/>
      <c r="C689" s="98"/>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x14ac:dyDescent="0.25">
      <c r="A690" s="26"/>
      <c r="B690" s="26"/>
      <c r="C690" s="98"/>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x14ac:dyDescent="0.25">
      <c r="A691" s="26"/>
      <c r="B691" s="26"/>
      <c r="C691" s="98"/>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x14ac:dyDescent="0.25">
      <c r="A692" s="26"/>
      <c r="B692" s="26"/>
      <c r="C692" s="98"/>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x14ac:dyDescent="0.25">
      <c r="A693" s="26"/>
      <c r="B693" s="26"/>
      <c r="C693" s="98"/>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x14ac:dyDescent="0.25">
      <c r="A694" s="26"/>
      <c r="B694" s="26"/>
      <c r="C694" s="98"/>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x14ac:dyDescent="0.25">
      <c r="A695" s="26"/>
      <c r="B695" s="26"/>
      <c r="C695" s="98"/>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x14ac:dyDescent="0.25">
      <c r="A696" s="26"/>
      <c r="B696" s="26"/>
      <c r="C696" s="98"/>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x14ac:dyDescent="0.25">
      <c r="A697" s="26"/>
      <c r="B697" s="26"/>
      <c r="C697" s="98"/>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x14ac:dyDescent="0.25">
      <c r="A698" s="26"/>
      <c r="B698" s="26"/>
      <c r="C698" s="98"/>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x14ac:dyDescent="0.25">
      <c r="A699" s="26"/>
      <c r="B699" s="26"/>
      <c r="C699" s="98"/>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x14ac:dyDescent="0.25">
      <c r="A700" s="26"/>
      <c r="B700" s="26"/>
      <c r="C700" s="98"/>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x14ac:dyDescent="0.25">
      <c r="A701" s="26"/>
      <c r="B701" s="26"/>
      <c r="C701" s="98"/>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x14ac:dyDescent="0.25">
      <c r="A702" s="26"/>
      <c r="B702" s="26"/>
      <c r="C702" s="98"/>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x14ac:dyDescent="0.25">
      <c r="A703" s="26"/>
      <c r="B703" s="26"/>
      <c r="C703" s="98"/>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x14ac:dyDescent="0.25">
      <c r="A704" s="26"/>
      <c r="B704" s="26"/>
      <c r="C704" s="98"/>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x14ac:dyDescent="0.25">
      <c r="A705" s="26"/>
      <c r="B705" s="26"/>
      <c r="C705" s="98"/>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x14ac:dyDescent="0.25">
      <c r="A706" s="26"/>
      <c r="B706" s="26"/>
      <c r="C706" s="98"/>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x14ac:dyDescent="0.25">
      <c r="A707" s="26"/>
      <c r="B707" s="26"/>
      <c r="C707" s="98"/>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x14ac:dyDescent="0.25">
      <c r="A708" s="26"/>
      <c r="B708" s="26"/>
      <c r="C708" s="98"/>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x14ac:dyDescent="0.25">
      <c r="A709" s="26"/>
      <c r="B709" s="26"/>
      <c r="C709" s="98"/>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x14ac:dyDescent="0.25">
      <c r="A710" s="26"/>
      <c r="B710" s="26"/>
      <c r="C710" s="98"/>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x14ac:dyDescent="0.25">
      <c r="A711" s="26"/>
      <c r="B711" s="26"/>
      <c r="C711" s="98"/>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x14ac:dyDescent="0.25">
      <c r="A712" s="26"/>
      <c r="B712" s="26"/>
      <c r="C712" s="98"/>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x14ac:dyDescent="0.25">
      <c r="A713" s="26"/>
      <c r="B713" s="26"/>
      <c r="C713" s="98"/>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x14ac:dyDescent="0.25">
      <c r="A714" s="26"/>
      <c r="B714" s="26"/>
      <c r="C714" s="98"/>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x14ac:dyDescent="0.25">
      <c r="A715" s="26"/>
      <c r="B715" s="26"/>
      <c r="C715" s="98"/>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x14ac:dyDescent="0.25">
      <c r="A716" s="26"/>
      <c r="B716" s="26"/>
      <c r="C716" s="98"/>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x14ac:dyDescent="0.25">
      <c r="A717" s="26"/>
      <c r="B717" s="26"/>
      <c r="C717" s="98"/>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x14ac:dyDescent="0.25">
      <c r="A718" s="26"/>
      <c r="B718" s="26"/>
      <c r="C718" s="98"/>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x14ac:dyDescent="0.25">
      <c r="A719" s="26"/>
      <c r="B719" s="26"/>
      <c r="C719" s="98"/>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x14ac:dyDescent="0.25">
      <c r="A720" s="26"/>
      <c r="B720" s="26"/>
      <c r="C720" s="98"/>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x14ac:dyDescent="0.25">
      <c r="A721" s="26"/>
      <c r="B721" s="26"/>
      <c r="C721" s="98"/>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x14ac:dyDescent="0.25">
      <c r="A722" s="26"/>
      <c r="B722" s="26"/>
      <c r="C722" s="98"/>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x14ac:dyDescent="0.25">
      <c r="A723" s="26"/>
      <c r="B723" s="26"/>
      <c r="C723" s="98"/>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x14ac:dyDescent="0.25">
      <c r="A724" s="26"/>
      <c r="B724" s="26"/>
      <c r="C724" s="98"/>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x14ac:dyDescent="0.25">
      <c r="A725" s="26"/>
      <c r="B725" s="26"/>
      <c r="C725" s="98"/>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x14ac:dyDescent="0.25">
      <c r="A726" s="26"/>
      <c r="B726" s="26"/>
      <c r="C726" s="98"/>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x14ac:dyDescent="0.25">
      <c r="A727" s="26"/>
      <c r="B727" s="26"/>
      <c r="C727" s="98"/>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x14ac:dyDescent="0.25">
      <c r="A728" s="26"/>
      <c r="B728" s="26"/>
      <c r="C728" s="98"/>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x14ac:dyDescent="0.25">
      <c r="A729" s="26"/>
      <c r="B729" s="26"/>
      <c r="C729" s="98"/>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x14ac:dyDescent="0.25">
      <c r="A730" s="26"/>
      <c r="B730" s="26"/>
      <c r="C730" s="98"/>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x14ac:dyDescent="0.25">
      <c r="A731" s="26"/>
      <c r="B731" s="26"/>
      <c r="C731" s="98"/>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x14ac:dyDescent="0.25">
      <c r="A732" s="26"/>
      <c r="B732" s="26"/>
      <c r="C732" s="98"/>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x14ac:dyDescent="0.25">
      <c r="A733" s="26"/>
      <c r="B733" s="26"/>
      <c r="C733" s="98"/>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x14ac:dyDescent="0.25">
      <c r="A734" s="26"/>
      <c r="B734" s="26"/>
      <c r="C734" s="98"/>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x14ac:dyDescent="0.25">
      <c r="A735" s="26"/>
      <c r="B735" s="26"/>
      <c r="C735" s="98"/>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x14ac:dyDescent="0.25">
      <c r="A736" s="26"/>
      <c r="B736" s="26"/>
      <c r="C736" s="98"/>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x14ac:dyDescent="0.25">
      <c r="A737" s="26"/>
      <c r="B737" s="26"/>
      <c r="C737" s="98"/>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x14ac:dyDescent="0.25">
      <c r="A738" s="26"/>
      <c r="B738" s="26"/>
      <c r="C738" s="98"/>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x14ac:dyDescent="0.25">
      <c r="A739" s="26"/>
      <c r="B739" s="26"/>
      <c r="C739" s="98"/>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x14ac:dyDescent="0.25">
      <c r="A740" s="26"/>
      <c r="B740" s="26"/>
      <c r="C740" s="98"/>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x14ac:dyDescent="0.25">
      <c r="A741" s="26"/>
      <c r="B741" s="26"/>
      <c r="C741" s="98"/>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x14ac:dyDescent="0.25">
      <c r="A742" s="26"/>
      <c r="B742" s="26"/>
      <c r="C742" s="98"/>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x14ac:dyDescent="0.25">
      <c r="A743" s="26"/>
      <c r="B743" s="26"/>
      <c r="C743" s="98"/>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x14ac:dyDescent="0.25">
      <c r="A744" s="26"/>
      <c r="B744" s="26"/>
      <c r="C744" s="98"/>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x14ac:dyDescent="0.25">
      <c r="A745" s="26"/>
      <c r="B745" s="26"/>
      <c r="C745" s="98"/>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x14ac:dyDescent="0.25">
      <c r="A746" s="26"/>
      <c r="B746" s="26"/>
      <c r="C746" s="98"/>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x14ac:dyDescent="0.25">
      <c r="A747" s="26"/>
      <c r="B747" s="26"/>
      <c r="C747" s="98"/>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x14ac:dyDescent="0.25">
      <c r="A748" s="26"/>
      <c r="B748" s="26"/>
      <c r="C748" s="98"/>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x14ac:dyDescent="0.25">
      <c r="A749" s="26"/>
      <c r="B749" s="26"/>
      <c r="C749" s="98"/>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x14ac:dyDescent="0.25">
      <c r="A750" s="26"/>
      <c r="B750" s="26"/>
      <c r="C750" s="98"/>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x14ac:dyDescent="0.25">
      <c r="A751" s="26"/>
      <c r="B751" s="26"/>
      <c r="C751" s="98"/>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x14ac:dyDescent="0.25">
      <c r="A752" s="26"/>
      <c r="B752" s="26"/>
      <c r="C752" s="98"/>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x14ac:dyDescent="0.25">
      <c r="A753" s="26"/>
      <c r="B753" s="26"/>
      <c r="C753" s="98"/>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x14ac:dyDescent="0.25">
      <c r="A754" s="26"/>
      <c r="B754" s="26"/>
      <c r="C754" s="98"/>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x14ac:dyDescent="0.25">
      <c r="A755" s="26"/>
      <c r="B755" s="26"/>
      <c r="C755" s="98"/>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x14ac:dyDescent="0.25">
      <c r="A756" s="26"/>
      <c r="B756" s="26"/>
      <c r="C756" s="98"/>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x14ac:dyDescent="0.25">
      <c r="A757" s="26"/>
      <c r="B757" s="26"/>
      <c r="C757" s="98"/>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x14ac:dyDescent="0.25">
      <c r="A758" s="26"/>
      <c r="B758" s="26"/>
      <c r="C758" s="98"/>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x14ac:dyDescent="0.25">
      <c r="A759" s="26"/>
      <c r="B759" s="26"/>
      <c r="C759" s="98"/>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x14ac:dyDescent="0.25">
      <c r="A760" s="26"/>
      <c r="B760" s="26"/>
      <c r="C760" s="98"/>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x14ac:dyDescent="0.25">
      <c r="A761" s="26"/>
      <c r="B761" s="26"/>
      <c r="C761" s="98"/>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x14ac:dyDescent="0.25">
      <c r="A762" s="26"/>
      <c r="B762" s="26"/>
      <c r="C762" s="98"/>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x14ac:dyDescent="0.25">
      <c r="A763" s="26"/>
      <c r="B763" s="26"/>
      <c r="C763" s="98"/>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x14ac:dyDescent="0.25">
      <c r="A764" s="26"/>
      <c r="B764" s="26"/>
      <c r="C764" s="98"/>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x14ac:dyDescent="0.25">
      <c r="A765" s="26"/>
      <c r="B765" s="26"/>
      <c r="C765" s="98"/>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x14ac:dyDescent="0.25">
      <c r="A766" s="26"/>
      <c r="B766" s="26"/>
      <c r="C766" s="98"/>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x14ac:dyDescent="0.25">
      <c r="A767" s="26"/>
      <c r="B767" s="26"/>
      <c r="C767" s="98"/>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x14ac:dyDescent="0.25">
      <c r="A768" s="26"/>
      <c r="B768" s="26"/>
      <c r="C768" s="98"/>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x14ac:dyDescent="0.25">
      <c r="A769" s="26"/>
      <c r="B769" s="26"/>
      <c r="C769" s="98"/>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x14ac:dyDescent="0.25">
      <c r="A770" s="26"/>
      <c r="B770" s="26"/>
      <c r="C770" s="98"/>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x14ac:dyDescent="0.25">
      <c r="A771" s="26"/>
      <c r="B771" s="26"/>
      <c r="C771" s="98"/>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x14ac:dyDescent="0.25">
      <c r="A772" s="26"/>
      <c r="B772" s="26"/>
      <c r="C772" s="98"/>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x14ac:dyDescent="0.25">
      <c r="A773" s="26"/>
      <c r="B773" s="26"/>
      <c r="C773" s="98"/>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x14ac:dyDescent="0.25">
      <c r="A774" s="26"/>
      <c r="B774" s="26"/>
      <c r="C774" s="98"/>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x14ac:dyDescent="0.25">
      <c r="A775" s="26"/>
      <c r="B775" s="26"/>
      <c r="C775" s="98"/>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x14ac:dyDescent="0.25">
      <c r="A776" s="26"/>
      <c r="B776" s="26"/>
      <c r="C776" s="98"/>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x14ac:dyDescent="0.25">
      <c r="A777" s="26"/>
      <c r="B777" s="26"/>
      <c r="C777" s="98"/>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x14ac:dyDescent="0.25">
      <c r="A778" s="26"/>
      <c r="B778" s="26"/>
      <c r="C778" s="98"/>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x14ac:dyDescent="0.25">
      <c r="A779" s="26"/>
      <c r="B779" s="26"/>
      <c r="C779" s="98"/>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x14ac:dyDescent="0.25">
      <c r="A780" s="26"/>
      <c r="B780" s="26"/>
      <c r="C780" s="98"/>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x14ac:dyDescent="0.25">
      <c r="A781" s="26"/>
      <c r="B781" s="26"/>
      <c r="C781" s="98"/>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x14ac:dyDescent="0.25">
      <c r="A782" s="26"/>
      <c r="B782" s="26"/>
      <c r="C782" s="98"/>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x14ac:dyDescent="0.25">
      <c r="A783" s="26"/>
      <c r="B783" s="26"/>
      <c r="C783" s="98"/>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x14ac:dyDescent="0.25">
      <c r="A784" s="26"/>
      <c r="B784" s="26"/>
      <c r="C784" s="98"/>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x14ac:dyDescent="0.25">
      <c r="A785" s="26"/>
      <c r="B785" s="26"/>
      <c r="C785" s="98"/>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x14ac:dyDescent="0.25">
      <c r="A786" s="26"/>
      <c r="B786" s="26"/>
      <c r="C786" s="98"/>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x14ac:dyDescent="0.25">
      <c r="A787" s="26"/>
      <c r="B787" s="26"/>
      <c r="C787" s="98"/>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x14ac:dyDescent="0.25">
      <c r="A788" s="26"/>
      <c r="B788" s="26"/>
      <c r="C788" s="98"/>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x14ac:dyDescent="0.25">
      <c r="A789" s="26"/>
      <c r="B789" s="26"/>
      <c r="C789" s="98"/>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x14ac:dyDescent="0.25">
      <c r="A790" s="26"/>
      <c r="B790" s="26"/>
      <c r="C790" s="98"/>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x14ac:dyDescent="0.25">
      <c r="A791" s="26"/>
      <c r="B791" s="26"/>
      <c r="C791" s="98"/>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x14ac:dyDescent="0.25">
      <c r="A792" s="26"/>
      <c r="B792" s="26"/>
      <c r="C792" s="98"/>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x14ac:dyDescent="0.25">
      <c r="A793" s="26"/>
      <c r="B793" s="26"/>
      <c r="C793" s="98"/>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x14ac:dyDescent="0.25">
      <c r="A794" s="26"/>
      <c r="B794" s="26"/>
      <c r="C794" s="98"/>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x14ac:dyDescent="0.25">
      <c r="A795" s="26"/>
      <c r="B795" s="26"/>
      <c r="C795" s="98"/>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x14ac:dyDescent="0.25">
      <c r="A796" s="26"/>
      <c r="B796" s="26"/>
      <c r="C796" s="98"/>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x14ac:dyDescent="0.25">
      <c r="A797" s="26"/>
      <c r="B797" s="26"/>
      <c r="C797" s="98"/>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x14ac:dyDescent="0.25">
      <c r="A798" s="26"/>
      <c r="B798" s="26"/>
      <c r="C798" s="98"/>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x14ac:dyDescent="0.25">
      <c r="A799" s="26"/>
      <c r="B799" s="26"/>
      <c r="C799" s="98"/>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x14ac:dyDescent="0.25">
      <c r="A800" s="26"/>
      <c r="B800" s="26"/>
      <c r="C800" s="98"/>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x14ac:dyDescent="0.25">
      <c r="A801" s="26"/>
      <c r="B801" s="26"/>
      <c r="C801" s="98"/>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x14ac:dyDescent="0.25">
      <c r="A802" s="26"/>
      <c r="B802" s="26"/>
      <c r="C802" s="98"/>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x14ac:dyDescent="0.25">
      <c r="A803" s="26"/>
      <c r="B803" s="26"/>
      <c r="C803" s="98"/>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x14ac:dyDescent="0.25">
      <c r="A804" s="26"/>
      <c r="B804" s="26"/>
      <c r="C804" s="98"/>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x14ac:dyDescent="0.25">
      <c r="A805" s="26"/>
      <c r="B805" s="26"/>
      <c r="C805" s="98"/>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x14ac:dyDescent="0.25">
      <c r="A806" s="26"/>
      <c r="B806" s="26"/>
      <c r="C806" s="98"/>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x14ac:dyDescent="0.25">
      <c r="A807" s="26"/>
      <c r="B807" s="26"/>
      <c r="C807" s="98"/>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x14ac:dyDescent="0.25">
      <c r="A808" s="26"/>
      <c r="B808" s="26"/>
      <c r="C808" s="98"/>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x14ac:dyDescent="0.25">
      <c r="A809" s="26"/>
      <c r="B809" s="26"/>
      <c r="C809" s="98"/>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x14ac:dyDescent="0.25">
      <c r="A810" s="26"/>
      <c r="B810" s="26"/>
      <c r="C810" s="98"/>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x14ac:dyDescent="0.25">
      <c r="A811" s="26"/>
      <c r="B811" s="26"/>
      <c r="C811" s="98"/>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x14ac:dyDescent="0.25">
      <c r="A812" s="26"/>
      <c r="B812" s="26"/>
      <c r="C812" s="98"/>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x14ac:dyDescent="0.25">
      <c r="A813" s="26"/>
      <c r="B813" s="26"/>
      <c r="C813" s="98"/>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x14ac:dyDescent="0.25">
      <c r="A814" s="26"/>
      <c r="B814" s="26"/>
      <c r="C814" s="98"/>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x14ac:dyDescent="0.25">
      <c r="A815" s="26"/>
      <c r="B815" s="26"/>
      <c r="C815" s="98"/>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x14ac:dyDescent="0.25">
      <c r="A816" s="26"/>
      <c r="B816" s="26"/>
      <c r="C816" s="98"/>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x14ac:dyDescent="0.25">
      <c r="A817" s="26"/>
      <c r="B817" s="26"/>
      <c r="C817" s="98"/>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x14ac:dyDescent="0.25">
      <c r="A818" s="26"/>
      <c r="B818" s="26"/>
      <c r="C818" s="98"/>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x14ac:dyDescent="0.25">
      <c r="A819" s="26"/>
      <c r="B819" s="26"/>
      <c r="C819" s="98"/>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x14ac:dyDescent="0.25">
      <c r="A820" s="26"/>
      <c r="B820" s="26"/>
      <c r="C820" s="98"/>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x14ac:dyDescent="0.25">
      <c r="A821" s="26"/>
      <c r="B821" s="26"/>
      <c r="C821" s="98"/>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x14ac:dyDescent="0.25">
      <c r="A822" s="26"/>
      <c r="B822" s="26"/>
      <c r="C822" s="98"/>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x14ac:dyDescent="0.25">
      <c r="A823" s="26"/>
      <c r="B823" s="26"/>
      <c r="C823" s="98"/>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x14ac:dyDescent="0.25">
      <c r="A824" s="26"/>
      <c r="B824" s="26"/>
      <c r="C824" s="98"/>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x14ac:dyDescent="0.25">
      <c r="A825" s="26"/>
      <c r="B825" s="26"/>
      <c r="C825" s="98"/>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x14ac:dyDescent="0.25">
      <c r="A826" s="26"/>
      <c r="B826" s="26"/>
      <c r="C826" s="98"/>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x14ac:dyDescent="0.25">
      <c r="A827" s="26"/>
      <c r="B827" s="26"/>
      <c r="C827" s="98"/>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x14ac:dyDescent="0.25">
      <c r="A828" s="26"/>
      <c r="B828" s="26"/>
      <c r="C828" s="98"/>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x14ac:dyDescent="0.25">
      <c r="A829" s="26"/>
      <c r="B829" s="26"/>
      <c r="C829" s="98"/>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x14ac:dyDescent="0.25">
      <c r="A830" s="26"/>
      <c r="B830" s="26"/>
      <c r="C830" s="98"/>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x14ac:dyDescent="0.25">
      <c r="A831" s="26"/>
      <c r="B831" s="26"/>
      <c r="C831" s="98"/>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x14ac:dyDescent="0.25">
      <c r="A832" s="26"/>
      <c r="B832" s="26"/>
      <c r="C832" s="98"/>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x14ac:dyDescent="0.25">
      <c r="A833" s="26"/>
      <c r="B833" s="26"/>
      <c r="C833" s="98"/>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x14ac:dyDescent="0.25">
      <c r="A834" s="26"/>
      <c r="B834" s="26"/>
      <c r="C834" s="98"/>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x14ac:dyDescent="0.25">
      <c r="A835" s="26"/>
      <c r="B835" s="26"/>
      <c r="C835" s="98"/>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x14ac:dyDescent="0.25">
      <c r="A836" s="26"/>
      <c r="B836" s="26"/>
      <c r="C836" s="98"/>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x14ac:dyDescent="0.25">
      <c r="A837" s="26"/>
      <c r="B837" s="26"/>
      <c r="C837" s="98"/>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x14ac:dyDescent="0.25">
      <c r="A838" s="26"/>
      <c r="B838" s="26"/>
      <c r="C838" s="98"/>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x14ac:dyDescent="0.25">
      <c r="A839" s="26"/>
      <c r="B839" s="26"/>
      <c r="C839" s="98"/>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x14ac:dyDescent="0.25">
      <c r="A840" s="26"/>
      <c r="B840" s="26"/>
      <c r="C840" s="98"/>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x14ac:dyDescent="0.25">
      <c r="A841" s="26"/>
      <c r="B841" s="26"/>
      <c r="C841" s="98"/>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x14ac:dyDescent="0.25">
      <c r="A842" s="26"/>
      <c r="B842" s="26"/>
      <c r="C842" s="98"/>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x14ac:dyDescent="0.25">
      <c r="A843" s="26"/>
      <c r="B843" s="26"/>
      <c r="C843" s="98"/>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x14ac:dyDescent="0.25">
      <c r="A844" s="26"/>
      <c r="B844" s="26"/>
      <c r="C844" s="98"/>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x14ac:dyDescent="0.25">
      <c r="A845" s="26"/>
      <c r="B845" s="26"/>
      <c r="C845" s="98"/>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x14ac:dyDescent="0.25">
      <c r="A846" s="26"/>
      <c r="B846" s="26"/>
      <c r="C846" s="98"/>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x14ac:dyDescent="0.25">
      <c r="A847" s="26"/>
      <c r="B847" s="26"/>
      <c r="C847" s="98"/>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x14ac:dyDescent="0.25">
      <c r="A848" s="26"/>
      <c r="B848" s="26"/>
      <c r="C848" s="98"/>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x14ac:dyDescent="0.25">
      <c r="A849" s="26"/>
      <c r="B849" s="26"/>
      <c r="C849" s="98"/>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x14ac:dyDescent="0.25">
      <c r="A850" s="26"/>
      <c r="B850" s="26"/>
      <c r="C850" s="98"/>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x14ac:dyDescent="0.25">
      <c r="A851" s="26"/>
      <c r="B851" s="26"/>
      <c r="C851" s="98"/>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x14ac:dyDescent="0.25">
      <c r="A852" s="26"/>
      <c r="B852" s="26"/>
      <c r="C852" s="98"/>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x14ac:dyDescent="0.25">
      <c r="A853" s="26"/>
      <c r="B853" s="26"/>
      <c r="C853" s="98"/>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x14ac:dyDescent="0.25">
      <c r="A854" s="26"/>
      <c r="B854" s="26"/>
      <c r="C854" s="98"/>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x14ac:dyDescent="0.25">
      <c r="A855" s="26"/>
      <c r="B855" s="26"/>
      <c r="C855" s="98"/>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x14ac:dyDescent="0.25">
      <c r="A856" s="26"/>
      <c r="B856" s="26"/>
      <c r="C856" s="98"/>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x14ac:dyDescent="0.25">
      <c r="A857" s="26"/>
      <c r="B857" s="26"/>
      <c r="C857" s="98"/>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x14ac:dyDescent="0.25">
      <c r="A858" s="26"/>
      <c r="B858" s="26"/>
      <c r="C858" s="98"/>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x14ac:dyDescent="0.25">
      <c r="A859" s="26"/>
      <c r="B859" s="26"/>
      <c r="C859" s="98"/>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x14ac:dyDescent="0.25">
      <c r="A860" s="26"/>
      <c r="B860" s="26"/>
      <c r="C860" s="98"/>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x14ac:dyDescent="0.25">
      <c r="A861" s="26"/>
      <c r="B861" s="26"/>
      <c r="C861" s="98"/>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x14ac:dyDescent="0.25">
      <c r="A862" s="26"/>
      <c r="B862" s="26"/>
      <c r="C862" s="98"/>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x14ac:dyDescent="0.25">
      <c r="A863" s="26"/>
      <c r="B863" s="26"/>
      <c r="C863" s="98"/>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x14ac:dyDescent="0.25">
      <c r="A864" s="26"/>
      <c r="B864" s="26"/>
      <c r="C864" s="98"/>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x14ac:dyDescent="0.25">
      <c r="A865" s="26"/>
      <c r="B865" s="26"/>
      <c r="C865" s="98"/>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x14ac:dyDescent="0.25">
      <c r="A866" s="26"/>
      <c r="B866" s="26"/>
      <c r="C866" s="98"/>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x14ac:dyDescent="0.25">
      <c r="A867" s="26"/>
      <c r="B867" s="26"/>
      <c r="C867" s="98"/>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x14ac:dyDescent="0.25">
      <c r="A868" s="26"/>
      <c r="B868" s="26"/>
      <c r="C868" s="98"/>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x14ac:dyDescent="0.25">
      <c r="A869" s="26"/>
      <c r="B869" s="26"/>
      <c r="C869" s="98"/>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x14ac:dyDescent="0.25">
      <c r="A870" s="26"/>
      <c r="B870" s="26"/>
      <c r="C870" s="98"/>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x14ac:dyDescent="0.25">
      <c r="A871" s="26"/>
      <c r="B871" s="26"/>
      <c r="C871" s="98"/>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x14ac:dyDescent="0.25">
      <c r="A872" s="26"/>
      <c r="B872" s="26"/>
      <c r="C872" s="98"/>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x14ac:dyDescent="0.25">
      <c r="A873" s="26"/>
      <c r="B873" s="26"/>
      <c r="C873" s="98"/>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x14ac:dyDescent="0.25">
      <c r="A874" s="26"/>
      <c r="B874" s="26"/>
      <c r="C874" s="98"/>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x14ac:dyDescent="0.25">
      <c r="A875" s="26"/>
      <c r="B875" s="26"/>
      <c r="C875" s="98"/>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x14ac:dyDescent="0.25">
      <c r="A876" s="26"/>
      <c r="B876" s="26"/>
      <c r="C876" s="98"/>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x14ac:dyDescent="0.25">
      <c r="A877" s="26"/>
      <c r="B877" s="26"/>
      <c r="C877" s="98"/>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x14ac:dyDescent="0.25">
      <c r="A878" s="26"/>
      <c r="B878" s="26"/>
      <c r="C878" s="98"/>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x14ac:dyDescent="0.25">
      <c r="A879" s="26"/>
      <c r="B879" s="26"/>
      <c r="C879" s="98"/>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x14ac:dyDescent="0.25">
      <c r="A880" s="26"/>
      <c r="B880" s="26"/>
      <c r="C880" s="98"/>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x14ac:dyDescent="0.25">
      <c r="A881" s="26"/>
      <c r="B881" s="26"/>
      <c r="C881" s="98"/>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x14ac:dyDescent="0.25">
      <c r="A882" s="26"/>
      <c r="B882" s="26"/>
      <c r="C882" s="98"/>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x14ac:dyDescent="0.25">
      <c r="A883" s="26"/>
      <c r="B883" s="26"/>
      <c r="C883" s="98"/>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x14ac:dyDescent="0.25">
      <c r="A884" s="26"/>
      <c r="B884" s="26"/>
      <c r="C884" s="98"/>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x14ac:dyDescent="0.25">
      <c r="A885" s="26"/>
      <c r="B885" s="26"/>
      <c r="C885" s="98"/>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x14ac:dyDescent="0.25">
      <c r="A886" s="26"/>
      <c r="B886" s="26"/>
      <c r="C886" s="98"/>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x14ac:dyDescent="0.25">
      <c r="A887" s="26"/>
      <c r="B887" s="26"/>
      <c r="C887" s="98"/>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x14ac:dyDescent="0.25">
      <c r="A888" s="26"/>
      <c r="B888" s="26"/>
      <c r="C888" s="98"/>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x14ac:dyDescent="0.25">
      <c r="A889" s="26"/>
      <c r="B889" s="26"/>
      <c r="C889" s="98"/>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x14ac:dyDescent="0.25">
      <c r="A890" s="26"/>
      <c r="B890" s="26"/>
      <c r="C890" s="98"/>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x14ac:dyDescent="0.25">
      <c r="A891" s="26"/>
      <c r="B891" s="26"/>
      <c r="C891" s="98"/>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x14ac:dyDescent="0.25">
      <c r="A892" s="26"/>
      <c r="B892" s="26"/>
      <c r="C892" s="98"/>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x14ac:dyDescent="0.25">
      <c r="A893" s="26"/>
      <c r="B893" s="26"/>
      <c r="C893" s="98"/>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x14ac:dyDescent="0.25">
      <c r="A894" s="26"/>
      <c r="B894" s="26"/>
      <c r="C894" s="98"/>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x14ac:dyDescent="0.25">
      <c r="A895" s="26"/>
      <c r="B895" s="26"/>
      <c r="C895" s="98"/>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x14ac:dyDescent="0.25">
      <c r="A896" s="26"/>
      <c r="B896" s="26"/>
      <c r="C896" s="98"/>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x14ac:dyDescent="0.25">
      <c r="A897" s="26"/>
      <c r="B897" s="26"/>
      <c r="C897" s="98"/>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x14ac:dyDescent="0.25">
      <c r="A898" s="26"/>
      <c r="B898" s="26"/>
      <c r="C898" s="98"/>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x14ac:dyDescent="0.25">
      <c r="A899" s="26"/>
      <c r="B899" s="26"/>
      <c r="C899" s="98"/>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x14ac:dyDescent="0.25">
      <c r="A900" s="26"/>
      <c r="B900" s="26"/>
      <c r="C900" s="98"/>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x14ac:dyDescent="0.25">
      <c r="A901" s="26"/>
      <c r="B901" s="26"/>
      <c r="C901" s="98"/>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x14ac:dyDescent="0.25">
      <c r="A902" s="26"/>
      <c r="B902" s="26"/>
      <c r="C902" s="98"/>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x14ac:dyDescent="0.25">
      <c r="A903" s="26"/>
      <c r="B903" s="26"/>
      <c r="C903" s="98"/>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x14ac:dyDescent="0.25">
      <c r="A904" s="26"/>
      <c r="B904" s="26"/>
      <c r="C904" s="98"/>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x14ac:dyDescent="0.25">
      <c r="A905" s="26"/>
      <c r="B905" s="26"/>
      <c r="C905" s="98"/>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x14ac:dyDescent="0.25">
      <c r="A906" s="26"/>
      <c r="B906" s="26"/>
      <c r="C906" s="98"/>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x14ac:dyDescent="0.25">
      <c r="A907" s="26"/>
      <c r="B907" s="26"/>
      <c r="C907" s="98"/>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x14ac:dyDescent="0.25">
      <c r="A908" s="26"/>
      <c r="B908" s="26"/>
      <c r="C908" s="98"/>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x14ac:dyDescent="0.25">
      <c r="A909" s="26"/>
      <c r="B909" s="26"/>
      <c r="C909" s="98"/>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x14ac:dyDescent="0.25">
      <c r="A910" s="26"/>
      <c r="B910" s="26"/>
      <c r="C910" s="98"/>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x14ac:dyDescent="0.25">
      <c r="A911" s="26"/>
      <c r="B911" s="26"/>
      <c r="C911" s="98"/>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x14ac:dyDescent="0.25">
      <c r="A912" s="26"/>
      <c r="B912" s="26"/>
      <c r="C912" s="98"/>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x14ac:dyDescent="0.25">
      <c r="A913" s="26"/>
      <c r="B913" s="26"/>
      <c r="C913" s="98"/>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x14ac:dyDescent="0.25">
      <c r="A914" s="26"/>
      <c r="B914" s="26"/>
      <c r="C914" s="98"/>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x14ac:dyDescent="0.25">
      <c r="A915" s="26"/>
      <c r="B915" s="26"/>
      <c r="C915" s="98"/>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x14ac:dyDescent="0.25">
      <c r="A916" s="26"/>
      <c r="B916" s="26"/>
      <c r="C916" s="98"/>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x14ac:dyDescent="0.25">
      <c r="A917" s="26"/>
      <c r="B917" s="26"/>
      <c r="C917" s="98"/>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x14ac:dyDescent="0.25">
      <c r="A918" s="26"/>
      <c r="B918" s="26"/>
      <c r="C918" s="98"/>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x14ac:dyDescent="0.25">
      <c r="A919" s="26"/>
      <c r="B919" s="26"/>
      <c r="C919" s="98"/>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x14ac:dyDescent="0.25">
      <c r="A920" s="26"/>
      <c r="B920" s="26"/>
      <c r="C920" s="98"/>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x14ac:dyDescent="0.25">
      <c r="A921" s="26"/>
      <c r="B921" s="26"/>
      <c r="C921" s="98"/>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x14ac:dyDescent="0.25">
      <c r="A922" s="26"/>
      <c r="B922" s="26"/>
      <c r="C922" s="98"/>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x14ac:dyDescent="0.25">
      <c r="A923" s="26"/>
      <c r="B923" s="26"/>
      <c r="C923" s="98"/>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x14ac:dyDescent="0.25">
      <c r="A924" s="26"/>
      <c r="B924" s="26"/>
      <c r="C924" s="98"/>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x14ac:dyDescent="0.25">
      <c r="A925" s="26"/>
      <c r="B925" s="26"/>
      <c r="C925" s="98"/>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x14ac:dyDescent="0.25">
      <c r="A926" s="26"/>
      <c r="B926" s="26"/>
      <c r="C926" s="98"/>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x14ac:dyDescent="0.25">
      <c r="A927" s="26"/>
      <c r="B927" s="26"/>
      <c r="C927" s="98"/>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x14ac:dyDescent="0.25">
      <c r="A928" s="26"/>
      <c r="B928" s="26"/>
      <c r="C928" s="98"/>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x14ac:dyDescent="0.25">
      <c r="A929" s="26"/>
      <c r="B929" s="26"/>
      <c r="C929" s="98"/>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x14ac:dyDescent="0.25">
      <c r="A930" s="26"/>
      <c r="B930" s="26"/>
      <c r="C930" s="98"/>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x14ac:dyDescent="0.25">
      <c r="A931" s="26"/>
      <c r="B931" s="26"/>
      <c r="C931" s="98"/>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x14ac:dyDescent="0.25">
      <c r="A932" s="26"/>
      <c r="B932" s="26"/>
      <c r="C932" s="98"/>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x14ac:dyDescent="0.25">
      <c r="A933" s="26"/>
      <c r="B933" s="26"/>
      <c r="C933" s="98"/>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x14ac:dyDescent="0.25">
      <c r="A934" s="26"/>
      <c r="B934" s="26"/>
      <c r="C934" s="98"/>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x14ac:dyDescent="0.25">
      <c r="A935" s="26"/>
      <c r="B935" s="26"/>
      <c r="C935" s="98"/>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x14ac:dyDescent="0.25">
      <c r="A936" s="26"/>
      <c r="B936" s="26"/>
      <c r="C936" s="98"/>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x14ac:dyDescent="0.25">
      <c r="A937" s="26"/>
      <c r="B937" s="26"/>
      <c r="C937" s="98"/>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x14ac:dyDescent="0.25">
      <c r="A938" s="26"/>
      <c r="B938" s="26"/>
      <c r="C938" s="98"/>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x14ac:dyDescent="0.25">
      <c r="A939" s="26"/>
      <c r="B939" s="26"/>
      <c r="C939" s="98"/>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x14ac:dyDescent="0.25">
      <c r="A940" s="26"/>
      <c r="B940" s="26"/>
      <c r="C940" s="98"/>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x14ac:dyDescent="0.25">
      <c r="A941" s="26"/>
      <c r="B941" s="26"/>
      <c r="C941" s="98"/>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x14ac:dyDescent="0.25">
      <c r="A942" s="26"/>
      <c r="B942" s="26"/>
      <c r="C942" s="98"/>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x14ac:dyDescent="0.25">
      <c r="A943" s="26"/>
      <c r="B943" s="26"/>
      <c r="C943" s="98"/>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x14ac:dyDescent="0.25">
      <c r="A944" s="26"/>
      <c r="B944" s="26"/>
      <c r="C944" s="98"/>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x14ac:dyDescent="0.25">
      <c r="A945" s="26"/>
      <c r="B945" s="26"/>
      <c r="C945" s="98"/>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x14ac:dyDescent="0.25">
      <c r="A946" s="26"/>
      <c r="B946" s="26"/>
      <c r="C946" s="98"/>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x14ac:dyDescent="0.25">
      <c r="A947" s="26"/>
      <c r="B947" s="26"/>
      <c r="C947" s="98"/>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x14ac:dyDescent="0.25">
      <c r="A948" s="26"/>
      <c r="B948" s="26"/>
      <c r="C948" s="98"/>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x14ac:dyDescent="0.25">
      <c r="A949" s="26"/>
      <c r="B949" s="26"/>
      <c r="C949" s="98"/>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x14ac:dyDescent="0.25">
      <c r="A950" s="26"/>
      <c r="B950" s="26"/>
      <c r="C950" s="98"/>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x14ac:dyDescent="0.25">
      <c r="A951" s="26"/>
      <c r="B951" s="26"/>
      <c r="C951" s="98"/>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x14ac:dyDescent="0.25">
      <c r="A952" s="26"/>
      <c r="B952" s="26"/>
      <c r="C952" s="98"/>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x14ac:dyDescent="0.25">
      <c r="A953" s="26"/>
      <c r="B953" s="26"/>
      <c r="C953" s="98"/>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x14ac:dyDescent="0.25">
      <c r="A954" s="26"/>
      <c r="B954" s="26"/>
      <c r="C954" s="98"/>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x14ac:dyDescent="0.25">
      <c r="A955" s="26"/>
      <c r="B955" s="26"/>
      <c r="C955" s="98"/>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x14ac:dyDescent="0.25">
      <c r="A956" s="26"/>
      <c r="B956" s="26"/>
      <c r="C956" s="98"/>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x14ac:dyDescent="0.25">
      <c r="A957" s="26"/>
      <c r="B957" s="26"/>
      <c r="C957" s="98"/>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x14ac:dyDescent="0.25">
      <c r="A958" s="26"/>
      <c r="B958" s="26"/>
      <c r="C958" s="98"/>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x14ac:dyDescent="0.25">
      <c r="A959" s="26"/>
      <c r="B959" s="26"/>
      <c r="C959" s="98"/>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x14ac:dyDescent="0.25">
      <c r="A960" s="26"/>
      <c r="B960" s="26"/>
      <c r="C960" s="98"/>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x14ac:dyDescent="0.25">
      <c r="A961" s="26"/>
      <c r="B961" s="26"/>
      <c r="C961" s="98"/>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x14ac:dyDescent="0.25">
      <c r="A962" s="26"/>
      <c r="B962" s="26"/>
      <c r="C962" s="98"/>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x14ac:dyDescent="0.25">
      <c r="A963" s="26"/>
      <c r="B963" s="26"/>
      <c r="C963" s="98"/>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x14ac:dyDescent="0.25">
      <c r="A964" s="26"/>
      <c r="B964" s="26"/>
      <c r="C964" s="98"/>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x14ac:dyDescent="0.25">
      <c r="A965" s="26"/>
      <c r="B965" s="26"/>
      <c r="C965" s="98"/>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x14ac:dyDescent="0.25">
      <c r="A966" s="26"/>
      <c r="B966" s="26"/>
      <c r="C966" s="98"/>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x14ac:dyDescent="0.25">
      <c r="A967" s="26"/>
      <c r="B967" s="26"/>
      <c r="C967" s="98"/>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x14ac:dyDescent="0.25">
      <c r="A968" s="26"/>
      <c r="B968" s="26"/>
      <c r="C968" s="98"/>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x14ac:dyDescent="0.25">
      <c r="A969" s="26"/>
      <c r="B969" s="26"/>
      <c r="C969" s="98"/>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x14ac:dyDescent="0.25">
      <c r="A970" s="26"/>
      <c r="B970" s="26"/>
      <c r="C970" s="98"/>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x14ac:dyDescent="0.25">
      <c r="A971" s="26"/>
      <c r="B971" s="26"/>
      <c r="C971" s="98"/>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x14ac:dyDescent="0.25">
      <c r="A972" s="26"/>
      <c r="B972" s="26"/>
      <c r="C972" s="98"/>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x14ac:dyDescent="0.25">
      <c r="A973" s="26"/>
      <c r="B973" s="26"/>
      <c r="C973" s="98"/>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x14ac:dyDescent="0.25">
      <c r="A974" s="26"/>
      <c r="B974" s="26"/>
      <c r="C974" s="98"/>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x14ac:dyDescent="0.25">
      <c r="A975" s="26"/>
      <c r="B975" s="26"/>
      <c r="C975" s="98"/>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x14ac:dyDescent="0.25">
      <c r="A976" s="26"/>
      <c r="B976" s="26"/>
      <c r="C976" s="98"/>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x14ac:dyDescent="0.25">
      <c r="A977" s="26"/>
      <c r="B977" s="26"/>
      <c r="C977" s="98"/>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x14ac:dyDescent="0.25">
      <c r="A978" s="26"/>
      <c r="B978" s="26"/>
      <c r="C978" s="98"/>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x14ac:dyDescent="0.25">
      <c r="A979" s="26"/>
      <c r="B979" s="26"/>
      <c r="C979" s="98"/>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x14ac:dyDescent="0.25">
      <c r="A980" s="26"/>
      <c r="B980" s="26"/>
      <c r="C980" s="98"/>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x14ac:dyDescent="0.25">
      <c r="A981" s="26"/>
      <c r="B981" s="26"/>
      <c r="C981" s="98"/>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x14ac:dyDescent="0.25">
      <c r="A982" s="26"/>
      <c r="B982" s="26"/>
      <c r="C982" s="98"/>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x14ac:dyDescent="0.25">
      <c r="A983" s="26"/>
      <c r="B983" s="26"/>
      <c r="C983" s="98"/>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x14ac:dyDescent="0.25">
      <c r="A984" s="26"/>
      <c r="B984" s="26"/>
      <c r="C984" s="98"/>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x14ac:dyDescent="0.25">
      <c r="A985" s="26"/>
      <c r="B985" s="26"/>
      <c r="C985" s="98"/>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x14ac:dyDescent="0.25">
      <c r="A986" s="26"/>
      <c r="B986" s="26"/>
      <c r="C986" s="98"/>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x14ac:dyDescent="0.25">
      <c r="A987" s="26"/>
      <c r="B987" s="26"/>
      <c r="C987" s="98"/>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x14ac:dyDescent="0.25">
      <c r="A988" s="26"/>
      <c r="B988" s="26"/>
      <c r="C988" s="98"/>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x14ac:dyDescent="0.25">
      <c r="A989" s="26"/>
      <c r="B989" s="26"/>
      <c r="C989" s="98"/>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x14ac:dyDescent="0.25">
      <c r="A990" s="26"/>
      <c r="B990" s="26"/>
      <c r="C990" s="98"/>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x14ac:dyDescent="0.25">
      <c r="A991" s="26"/>
      <c r="B991" s="26"/>
      <c r="C991" s="98"/>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x14ac:dyDescent="0.25">
      <c r="A992" s="26"/>
      <c r="B992" s="26"/>
      <c r="C992" s="98"/>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x14ac:dyDescent="0.25">
      <c r="A993" s="26"/>
      <c r="B993" s="26"/>
      <c r="C993" s="98"/>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x14ac:dyDescent="0.25">
      <c r="A994" s="26"/>
      <c r="B994" s="26"/>
      <c r="C994" s="98"/>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x14ac:dyDescent="0.25">
      <c r="A995" s="26"/>
      <c r="B995" s="26"/>
      <c r="C995" s="98"/>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x14ac:dyDescent="0.25">
      <c r="A996" s="26"/>
      <c r="B996" s="26"/>
      <c r="C996" s="98"/>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x14ac:dyDescent="0.25">
      <c r="A997" s="26"/>
      <c r="B997" s="26"/>
      <c r="C997" s="98"/>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x14ac:dyDescent="0.25">
      <c r="A998" s="26"/>
      <c r="B998" s="26"/>
      <c r="C998" s="98"/>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x14ac:dyDescent="0.25">
      <c r="A999" s="26"/>
      <c r="B999" s="26"/>
      <c r="C999" s="98"/>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x14ac:dyDescent="0.25">
      <c r="A1000" s="26"/>
      <c r="B1000" s="26"/>
      <c r="C1000" s="98"/>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x14ac:dyDescent="0.25">
      <c r="A1001" s="26"/>
      <c r="B1001" s="26"/>
      <c r="C1001" s="98"/>
      <c r="D1001" s="26"/>
      <c r="E1001" s="26"/>
      <c r="F1001" s="26"/>
      <c r="G1001" s="26"/>
      <c r="H1001" s="26"/>
      <c r="I1001" s="26"/>
      <c r="J1001" s="26"/>
      <c r="K1001" s="26"/>
      <c r="L1001" s="26"/>
      <c r="M1001" s="26"/>
      <c r="N1001" s="26"/>
      <c r="O1001" s="26"/>
      <c r="P1001" s="26"/>
      <c r="Q1001" s="26"/>
      <c r="R1001" s="26"/>
      <c r="S1001" s="26"/>
      <c r="T1001" s="26"/>
      <c r="U1001" s="26"/>
      <c r="V1001" s="26"/>
      <c r="W1001" s="26"/>
      <c r="X1001" s="26"/>
      <c r="Y1001" s="26"/>
      <c r="Z1001" s="26"/>
    </row>
  </sheetData>
  <mergeCells count="3">
    <mergeCell ref="B2:L2"/>
    <mergeCell ref="C3:D3"/>
    <mergeCell ref="E3:L3"/>
  </mergeCells>
  <conditionalFormatting sqref="C33:L33">
    <cfRule type="cellIs" dxfId="0" priority="1" stopIfTrue="1" operator="notBetween">
      <formula>-1</formula>
      <formula>1</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Task</vt:lpstr>
      <vt:lpstr>Ratios</vt:lpstr>
      <vt:lpstr>Invesment</vt:lpstr>
      <vt:lpstr>Income Statement - FACTORY</vt:lpstr>
      <vt:lpstr>Balance sheet - FACTORY</vt:lpstr>
      <vt:lpstr>Cash flows - FACTORY</vt:lpstr>
      <vt:lpstr>Income Statement - PRODUCT</vt:lpstr>
      <vt:lpstr>Balance sheet - PRODUCT</vt:lpstr>
      <vt:lpstr>Cash flows - PRODUCT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DB</dc:creator>
  <cp:lastModifiedBy>Silvija Bendoraitytė</cp:lastModifiedBy>
  <dcterms:created xsi:type="dcterms:W3CDTF">2010-10-26T13:35:54Z</dcterms:created>
  <dcterms:modified xsi:type="dcterms:W3CDTF">2022-12-13T22:16:10Z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1984308891</vt:i4>
  </property>
  <property fmtid="{D5CDD505-2E9C-101B-9397-08002B2CF9AE}" pid="3" name="_EmailSubject">
    <vt:lpwstr>biodujos</vt:lpwstr>
  </property>
  <property fmtid="{D5CDD505-2E9C-101B-9397-08002B2CF9AE}" pid="4" name="_AuthorEmail">
    <vt:lpwstr>dariusbuzas@gmail.com</vt:lpwstr>
  </property>
  <property fmtid="{D5CDD505-2E9C-101B-9397-08002B2CF9AE}" pid="5" name="_AuthorEmailDisplayName">
    <vt:lpwstr>darius1</vt:lpwstr>
  </property>
  <property fmtid="{D5CDD505-2E9C-101B-9397-08002B2CF9AE}" pid="6" name="_ReviewingToolsShownOnce">
    <vt:lpwstr/>
  </property>
</Properties>
</file>