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541C3B80E9AE39F/Documente/"/>
    </mc:Choice>
  </mc:AlternateContent>
  <xr:revisionPtr revIDLastSave="25" documentId="8_{0BE00285-ED23-EC41-8344-E6516A943060}" xr6:coauthVersionLast="47" xr6:coauthVersionMax="47" xr10:uidLastSave="{6036AD3F-E6BF-884C-8CEE-F5BB806C4321}"/>
  <bookViews>
    <workbookView xWindow="14660" yWindow="500" windowWidth="14140" windowHeight="15600" activeTab="1" xr2:uid="{5B77E953-101E-4842-99C5-2529E3ADE58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0" i="2" l="1"/>
  <c r="Y20" i="2"/>
  <c r="X19" i="2"/>
  <c r="X20" i="2"/>
  <c r="Z19" i="2"/>
  <c r="Y19" i="2"/>
  <c r="Z18" i="2"/>
  <c r="Y18" i="2"/>
  <c r="X18" i="2"/>
  <c r="W18" i="2"/>
  <c r="AT30" i="2"/>
  <c r="AT33" i="2"/>
  <c r="AT31" i="2"/>
  <c r="AS14" i="2"/>
  <c r="C45" i="2"/>
  <c r="AL12" i="2"/>
  <c r="AL10" i="2"/>
  <c r="X3" i="2"/>
  <c r="Y3" i="2"/>
  <c r="Z3" i="2" s="1"/>
  <c r="AS2" i="2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AG19" i="2"/>
  <c r="AI8" i="2"/>
  <c r="AJ8" i="2" s="1"/>
  <c r="AK8" i="2" s="1"/>
  <c r="AL8" i="2" s="1"/>
  <c r="AM8" i="2" s="1"/>
  <c r="AN8" i="2" s="1"/>
  <c r="AO8" i="2" s="1"/>
  <c r="AP8" i="2" s="1"/>
  <c r="AQ8" i="2" s="1"/>
  <c r="AR8" i="2" s="1"/>
  <c r="AR13" i="2"/>
  <c r="AQ13" i="2"/>
  <c r="AP13" i="2"/>
  <c r="AO13" i="2"/>
  <c r="AN13" i="2"/>
  <c r="AM13" i="2"/>
  <c r="AL13" i="2"/>
  <c r="AK13" i="2"/>
  <c r="AJ13" i="2"/>
  <c r="Y6" i="2"/>
  <c r="Z6" i="2" s="1"/>
  <c r="Y7" i="2"/>
  <c r="Z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H13" i="2"/>
  <c r="AH8" i="2"/>
  <c r="AH4" i="2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AG4" i="2"/>
  <c r="AK2" i="2"/>
  <c r="AL2" i="2" s="1"/>
  <c r="AM2" i="2" s="1"/>
  <c r="AN2" i="2" s="1"/>
  <c r="AO2" i="2" s="1"/>
  <c r="AP2" i="2" s="1"/>
  <c r="AQ2" i="2" s="1"/>
  <c r="AR2" i="2" s="1"/>
  <c r="AJ2" i="2"/>
  <c r="AI2" i="2"/>
  <c r="AI13" i="2"/>
  <c r="Z11" i="2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Y11" i="2"/>
  <c r="Y8" i="2"/>
  <c r="Z8" i="2" s="1"/>
  <c r="Y4" i="2"/>
  <c r="Z4" i="2" s="1"/>
  <c r="X9" i="2"/>
  <c r="X5" i="2"/>
  <c r="V3" i="2"/>
  <c r="L74" i="2"/>
  <c r="M74" i="2"/>
  <c r="J58" i="2"/>
  <c r="J74" i="2" s="1"/>
  <c r="U74" i="2"/>
  <c r="V74" i="2"/>
  <c r="T74" i="2"/>
  <c r="F58" i="2"/>
  <c r="E58" i="2"/>
  <c r="D58" i="2"/>
  <c r="I58" i="2"/>
  <c r="H58" i="2"/>
  <c r="N58" i="2"/>
  <c r="M58" i="2"/>
  <c r="L58" i="2"/>
  <c r="Q74" i="2"/>
  <c r="W55" i="2"/>
  <c r="V55" i="2"/>
  <c r="S55" i="2"/>
  <c r="U55" i="2"/>
  <c r="T55" i="2"/>
  <c r="W56" i="2"/>
  <c r="W73" i="2"/>
  <c r="AH6" i="2" l="1"/>
  <c r="AI6" i="2" s="1"/>
  <c r="AI9" i="2" s="1"/>
  <c r="AJ6" i="2"/>
  <c r="X10" i="2"/>
  <c r="X12" i="2" s="1"/>
  <c r="X14" i="2" s="1"/>
  <c r="X16" i="2" s="1"/>
  <c r="Y9" i="2"/>
  <c r="Y5" i="2"/>
  <c r="AH3" i="2"/>
  <c r="Z9" i="2"/>
  <c r="Z5" i="2"/>
  <c r="AK6" i="2" l="1"/>
  <c r="AJ9" i="2"/>
  <c r="AH5" i="2"/>
  <c r="AI3" i="2"/>
  <c r="Y10" i="2"/>
  <c r="Y12" i="2" s="1"/>
  <c r="Y14" i="2" s="1"/>
  <c r="Y16" i="2" s="1"/>
  <c r="Z10" i="2"/>
  <c r="Z12" i="2" s="1"/>
  <c r="Z14" i="2" s="1"/>
  <c r="Z16" i="2" s="1"/>
  <c r="AL6" i="2" l="1"/>
  <c r="AK9" i="2"/>
  <c r="AJ3" i="2"/>
  <c r="AI20" i="2"/>
  <c r="AI5" i="2"/>
  <c r="AM6" i="2" l="1"/>
  <c r="AL9" i="2"/>
  <c r="AI18" i="2"/>
  <c r="AI10" i="2"/>
  <c r="AI12" i="2" s="1"/>
  <c r="AJ20" i="2"/>
  <c r="AJ5" i="2"/>
  <c r="AK3" i="2"/>
  <c r="AN6" i="2" l="1"/>
  <c r="AM9" i="2"/>
  <c r="AL3" i="2"/>
  <c r="AK20" i="2"/>
  <c r="AK5" i="2"/>
  <c r="AI14" i="2"/>
  <c r="AI16" i="2" s="1"/>
  <c r="AI19" i="2"/>
  <c r="AJ18" i="2"/>
  <c r="AJ10" i="2"/>
  <c r="AJ12" i="2" s="1"/>
  <c r="AO6" i="2" l="1"/>
  <c r="AN9" i="2"/>
  <c r="AJ14" i="2"/>
  <c r="AJ16" i="2" s="1"/>
  <c r="AJ19" i="2"/>
  <c r="AK10" i="2"/>
  <c r="AK12" i="2" s="1"/>
  <c r="AK18" i="2"/>
  <c r="AL20" i="2"/>
  <c r="AM3" i="2"/>
  <c r="AL5" i="2"/>
  <c r="AP6" i="2" l="1"/>
  <c r="AO9" i="2"/>
  <c r="AL18" i="2"/>
  <c r="AN3" i="2"/>
  <c r="AM20" i="2"/>
  <c r="AM5" i="2"/>
  <c r="AK14" i="2"/>
  <c r="AK16" i="2" s="1"/>
  <c r="AK19" i="2"/>
  <c r="AQ6" i="2" l="1"/>
  <c r="AP9" i="2"/>
  <c r="AM18" i="2"/>
  <c r="AM10" i="2"/>
  <c r="AM12" i="2" s="1"/>
  <c r="AO3" i="2"/>
  <c r="AN20" i="2"/>
  <c r="AN5" i="2"/>
  <c r="AL14" i="2"/>
  <c r="AL16" i="2" s="1"/>
  <c r="AL19" i="2"/>
  <c r="AR6" i="2" l="1"/>
  <c r="AR9" i="2" s="1"/>
  <c r="AQ9" i="2"/>
  <c r="AN18" i="2"/>
  <c r="AN10" i="2"/>
  <c r="AN12" i="2" s="1"/>
  <c r="AP3" i="2"/>
  <c r="AO20" i="2"/>
  <c r="AO5" i="2"/>
  <c r="AM19" i="2"/>
  <c r="AM14" i="2"/>
  <c r="AM16" i="2" s="1"/>
  <c r="AO10" i="2" l="1"/>
  <c r="AO12" i="2" s="1"/>
  <c r="AO18" i="2"/>
  <c r="AQ3" i="2"/>
  <c r="AP20" i="2"/>
  <c r="AP5" i="2"/>
  <c r="AN19" i="2"/>
  <c r="AN14" i="2"/>
  <c r="AN16" i="2" s="1"/>
  <c r="AP18" i="2" l="1"/>
  <c r="AP10" i="2"/>
  <c r="AP12" i="2" s="1"/>
  <c r="AR3" i="2"/>
  <c r="AQ20" i="2"/>
  <c r="AQ5" i="2"/>
  <c r="AO14" i="2"/>
  <c r="AO16" i="2" s="1"/>
  <c r="AO19" i="2"/>
  <c r="AQ18" i="2" l="1"/>
  <c r="AQ10" i="2"/>
  <c r="AQ12" i="2" s="1"/>
  <c r="AR20" i="2"/>
  <c r="AR5" i="2"/>
  <c r="AP14" i="2"/>
  <c r="AP16" i="2" s="1"/>
  <c r="AP19" i="2"/>
  <c r="AR18" i="2" l="1"/>
  <c r="AR10" i="2"/>
  <c r="AR12" i="2" s="1"/>
  <c r="AQ14" i="2"/>
  <c r="AQ16" i="2" s="1"/>
  <c r="AQ19" i="2"/>
  <c r="AR19" i="2" l="1"/>
  <c r="AR14" i="2"/>
  <c r="AT14" i="2" l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AR16" i="2"/>
  <c r="D53" i="2" l="1"/>
  <c r="H53" i="2"/>
  <c r="P52" i="2"/>
  <c r="N52" i="2"/>
  <c r="M52" i="2"/>
  <c r="L52" i="2"/>
  <c r="J52" i="2"/>
  <c r="I52" i="2"/>
  <c r="H52" i="2"/>
  <c r="F52" i="2"/>
  <c r="E52" i="2"/>
  <c r="D52" i="2"/>
  <c r="N51" i="2"/>
  <c r="M51" i="2"/>
  <c r="M56" i="2"/>
  <c r="L51" i="2"/>
  <c r="F51" i="2"/>
  <c r="E51" i="2"/>
  <c r="D51" i="2"/>
  <c r="N50" i="2"/>
  <c r="M50" i="2"/>
  <c r="L50" i="2"/>
  <c r="J50" i="2"/>
  <c r="I50" i="2"/>
  <c r="J51" i="2"/>
  <c r="I51" i="2"/>
  <c r="H51" i="2"/>
  <c r="H50" i="2"/>
  <c r="F50" i="2"/>
  <c r="E50" i="2"/>
  <c r="D50" i="2"/>
  <c r="T49" i="2"/>
  <c r="R49" i="2"/>
  <c r="Q49" i="2"/>
  <c r="N49" i="2"/>
  <c r="M49" i="2"/>
  <c r="L49" i="2"/>
  <c r="L56" i="2"/>
  <c r="H49" i="2"/>
  <c r="K49" i="2"/>
  <c r="I49" i="2"/>
  <c r="K56" i="2" s="1"/>
  <c r="F49" i="2"/>
  <c r="E49" i="2"/>
  <c r="D49" i="2"/>
  <c r="AF3" i="2"/>
  <c r="AE3" i="2"/>
  <c r="AD3" i="2"/>
  <c r="AC3" i="2"/>
  <c r="V49" i="2"/>
  <c r="U70" i="2"/>
  <c r="U68" i="2"/>
  <c r="U67" i="2"/>
  <c r="U66" i="2"/>
  <c r="U65" i="2"/>
  <c r="U64" i="2"/>
  <c r="U61" i="2"/>
  <c r="U60" i="2"/>
  <c r="U59" i="2"/>
  <c r="U58" i="2"/>
  <c r="U54" i="2"/>
  <c r="U53" i="2"/>
  <c r="U52" i="2"/>
  <c r="V52" i="2" s="1"/>
  <c r="U56" i="2"/>
  <c r="U51" i="2"/>
  <c r="U49" i="2"/>
  <c r="U23" i="2"/>
  <c r="T70" i="2"/>
  <c r="T68" i="2"/>
  <c r="T67" i="2"/>
  <c r="T65" i="2"/>
  <c r="T64" i="2"/>
  <c r="T60" i="2"/>
  <c r="T61" i="2"/>
  <c r="T59" i="2"/>
  <c r="T58" i="2"/>
  <c r="T54" i="2"/>
  <c r="T53" i="2"/>
  <c r="T52" i="2"/>
  <c r="T51" i="2"/>
  <c r="T39" i="2"/>
  <c r="T23" i="2"/>
  <c r="S71" i="2"/>
  <c r="S70" i="2"/>
  <c r="R69" i="2"/>
  <c r="S69" i="2"/>
  <c r="S67" i="2"/>
  <c r="S59" i="2"/>
  <c r="S56" i="2"/>
  <c r="R55" i="2"/>
  <c r="S39" i="2"/>
  <c r="S23" i="2"/>
  <c r="R39" i="2"/>
  <c r="R40" i="2"/>
  <c r="R31" i="2"/>
  <c r="R23" i="2"/>
  <c r="R70" i="2"/>
  <c r="R68" i="2"/>
  <c r="R67" i="2"/>
  <c r="R65" i="2"/>
  <c r="R64" i="2"/>
  <c r="R61" i="2"/>
  <c r="R60" i="2"/>
  <c r="R59" i="2"/>
  <c r="R58" i="2"/>
  <c r="R54" i="2"/>
  <c r="R53" i="2"/>
  <c r="R52" i="2"/>
  <c r="R51" i="2"/>
  <c r="R56" i="2"/>
  <c r="Q70" i="2"/>
  <c r="Q68" i="2"/>
  <c r="Q67" i="2"/>
  <c r="Q65" i="2"/>
  <c r="Q64" i="2"/>
  <c r="Q61" i="2"/>
  <c r="Q60" i="2"/>
  <c r="Q59" i="2"/>
  <c r="Q58" i="2"/>
  <c r="Q55" i="2"/>
  <c r="Q54" i="2"/>
  <c r="Q53" i="2"/>
  <c r="Q52" i="2"/>
  <c r="Q51" i="2"/>
  <c r="Q50" i="2"/>
  <c r="Q40" i="2"/>
  <c r="Q39" i="2"/>
  <c r="Q31" i="2"/>
  <c r="Q23" i="2"/>
  <c r="P55" i="2"/>
  <c r="P54" i="2"/>
  <c r="P53" i="2"/>
  <c r="P51" i="2"/>
  <c r="P50" i="2"/>
  <c r="P49" i="2"/>
  <c r="P70" i="2"/>
  <c r="P68" i="2"/>
  <c r="P67" i="2"/>
  <c r="P65" i="2"/>
  <c r="P64" i="2"/>
  <c r="P61" i="2"/>
  <c r="P60" i="2"/>
  <c r="P59" i="2"/>
  <c r="P58" i="2"/>
  <c r="P56" i="2"/>
  <c r="P71" i="2" s="1"/>
  <c r="P40" i="2"/>
  <c r="P39" i="2"/>
  <c r="P31" i="2"/>
  <c r="P23" i="2"/>
  <c r="O59" i="2"/>
  <c r="O67" i="2"/>
  <c r="N56" i="2"/>
  <c r="O56" i="2"/>
  <c r="O55" i="2"/>
  <c r="O39" i="2"/>
  <c r="O40" i="2"/>
  <c r="O31" i="2"/>
  <c r="O23" i="2"/>
  <c r="O14" i="2"/>
  <c r="N9" i="2"/>
  <c r="N40" i="2"/>
  <c r="N39" i="2"/>
  <c r="N69" i="2"/>
  <c r="N67" i="2"/>
  <c r="N59" i="2"/>
  <c r="N55" i="2"/>
  <c r="N48" i="2"/>
  <c r="N31" i="2"/>
  <c r="N23" i="2"/>
  <c r="N22" i="2"/>
  <c r="M67" i="2"/>
  <c r="M59" i="2"/>
  <c r="M55" i="2"/>
  <c r="M39" i="2"/>
  <c r="M40" i="2"/>
  <c r="M31" i="2"/>
  <c r="M23" i="2"/>
  <c r="L67" i="2"/>
  <c r="L59" i="2"/>
  <c r="L55" i="2"/>
  <c r="L39" i="2"/>
  <c r="L40" i="2"/>
  <c r="L31" i="2"/>
  <c r="L23" i="2"/>
  <c r="K67" i="2"/>
  <c r="K59" i="2"/>
  <c r="K55" i="2"/>
  <c r="K39" i="2"/>
  <c r="K40" i="2"/>
  <c r="K31" i="2"/>
  <c r="K30" i="2"/>
  <c r="K23" i="2"/>
  <c r="J67" i="2"/>
  <c r="J61" i="2"/>
  <c r="J59" i="2"/>
  <c r="J55" i="2"/>
  <c r="F55" i="2"/>
  <c r="J48" i="2"/>
  <c r="J47" i="2"/>
  <c r="J39" i="2"/>
  <c r="J40" i="2"/>
  <c r="J31" i="2"/>
  <c r="J23" i="2"/>
  <c r="J69" i="2"/>
  <c r="J62" i="2"/>
  <c r="J45" i="2"/>
  <c r="J33" i="2"/>
  <c r="J22" i="2"/>
  <c r="F23" i="2"/>
  <c r="I23" i="2"/>
  <c r="H67" i="2"/>
  <c r="H59" i="2"/>
  <c r="H55" i="2"/>
  <c r="I67" i="2"/>
  <c r="I69" i="2" s="1"/>
  <c r="I59" i="2"/>
  <c r="I62" i="2" s="1"/>
  <c r="I55" i="2"/>
  <c r="H47" i="2"/>
  <c r="I22" i="2"/>
  <c r="I31" i="2"/>
  <c r="I33" i="2"/>
  <c r="I39" i="2"/>
  <c r="I40" i="2"/>
  <c r="I45" i="2"/>
  <c r="I47" i="2"/>
  <c r="T56" i="2"/>
  <c r="Q56" i="2"/>
  <c r="H62" i="2"/>
  <c r="H39" i="2"/>
  <c r="H40" i="2"/>
  <c r="H31" i="2"/>
  <c r="H23" i="2"/>
  <c r="G56" i="2"/>
  <c r="E53" i="2" l="1"/>
  <c r="F53" i="2" s="1"/>
  <c r="F56" i="2" s="1"/>
  <c r="G71" i="2"/>
  <c r="I53" i="2"/>
  <c r="J53" i="2" s="1"/>
  <c r="J49" i="2"/>
  <c r="H56" i="2"/>
  <c r="I56" i="2"/>
  <c r="I71" i="2" l="1"/>
  <c r="J56" i="2"/>
  <c r="J71" i="2" s="1"/>
  <c r="G67" i="2"/>
  <c r="G59" i="2"/>
  <c r="F60" i="2"/>
  <c r="G55" i="2"/>
  <c r="G39" i="2"/>
  <c r="G40" i="2"/>
  <c r="G31" i="2"/>
  <c r="G23" i="2"/>
  <c r="G33" i="2" s="1"/>
  <c r="F67" i="2"/>
  <c r="E67" i="2"/>
  <c r="F59" i="2"/>
  <c r="F61" i="2"/>
  <c r="F48" i="2"/>
  <c r="F40" i="2"/>
  <c r="E40" i="2"/>
  <c r="E59" i="2"/>
  <c r="F62" i="2"/>
  <c r="E56" i="2"/>
  <c r="E55" i="2"/>
  <c r="E23" i="2"/>
  <c r="D67" i="2"/>
  <c r="D59" i="2"/>
  <c r="D56" i="2"/>
  <c r="D55" i="2"/>
  <c r="D40" i="2"/>
  <c r="D45" i="2" s="1"/>
  <c r="D31" i="2"/>
  <c r="D33" i="2" s="1"/>
  <c r="D23" i="2"/>
  <c r="C55" i="2"/>
  <c r="C67" i="2"/>
  <c r="C69" i="2" s="1"/>
  <c r="C59" i="2"/>
  <c r="C62" i="2" s="1"/>
  <c r="C40" i="2"/>
  <c r="C28" i="2"/>
  <c r="C31" i="2"/>
  <c r="C23" i="2"/>
  <c r="C33" i="2" s="1"/>
  <c r="V67" i="2"/>
  <c r="V58" i="2"/>
  <c r="V54" i="2"/>
  <c r="V53" i="2"/>
  <c r="V51" i="2"/>
  <c r="V48" i="2"/>
  <c r="V40" i="2"/>
  <c r="V45" i="2" s="1"/>
  <c r="V23" i="2"/>
  <c r="V22" i="2" s="1"/>
  <c r="S40" i="2"/>
  <c r="S45" i="2" s="1"/>
  <c r="S33" i="2"/>
  <c r="T22" i="2"/>
  <c r="C22" i="2"/>
  <c r="D22" i="2"/>
  <c r="E45" i="2"/>
  <c r="E33" i="2"/>
  <c r="F45" i="2"/>
  <c r="F33" i="2"/>
  <c r="F22" i="2"/>
  <c r="G45" i="2"/>
  <c r="G22" i="2"/>
  <c r="H45" i="2"/>
  <c r="H33" i="2"/>
  <c r="H22" i="2"/>
  <c r="K45" i="2"/>
  <c r="K33" i="2"/>
  <c r="L45" i="2"/>
  <c r="L33" i="2"/>
  <c r="M45" i="2"/>
  <c r="M33" i="2"/>
  <c r="M22" i="2"/>
  <c r="N45" i="2"/>
  <c r="N33" i="2"/>
  <c r="O45" i="2"/>
  <c r="O33" i="2"/>
  <c r="O22" i="2"/>
  <c r="P45" i="2"/>
  <c r="P33" i="2"/>
  <c r="Q45" i="2"/>
  <c r="Q22" i="2"/>
  <c r="R45" i="2"/>
  <c r="R33" i="2"/>
  <c r="R22" i="2"/>
  <c r="T40" i="2"/>
  <c r="T45" i="2"/>
  <c r="W23" i="2"/>
  <c r="W22" i="2" s="1"/>
  <c r="W45" i="2"/>
  <c r="U40" i="2"/>
  <c r="U39" i="2"/>
  <c r="U22" i="2"/>
  <c r="AG11" i="2"/>
  <c r="AD13" i="2"/>
  <c r="W5" i="2"/>
  <c r="F13" i="2"/>
  <c r="AC13" i="2" s="1"/>
  <c r="F11" i="2"/>
  <c r="AC11" i="2" s="1"/>
  <c r="F8" i="2"/>
  <c r="AC8" i="2" s="1"/>
  <c r="F7" i="2"/>
  <c r="AC7" i="2" s="1"/>
  <c r="F6" i="2"/>
  <c r="AC6" i="2" s="1"/>
  <c r="F4" i="2"/>
  <c r="AC4" i="2" s="1"/>
  <c r="F3" i="2"/>
  <c r="J13" i="2"/>
  <c r="J11" i="2"/>
  <c r="J8" i="2"/>
  <c r="J7" i="2"/>
  <c r="AD7" i="2" s="1"/>
  <c r="J6" i="2"/>
  <c r="AD6" i="2" s="1"/>
  <c r="J4" i="2"/>
  <c r="J3" i="2"/>
  <c r="AH18" i="2" s="1"/>
  <c r="N13" i="2"/>
  <c r="AE13" i="2" s="1"/>
  <c r="N11" i="2"/>
  <c r="AE11" i="2" s="1"/>
  <c r="AE8" i="2"/>
  <c r="N6" i="2"/>
  <c r="N4" i="2"/>
  <c r="AE4" i="2" s="1"/>
  <c r="N3" i="2"/>
  <c r="R11" i="2"/>
  <c r="AF11" i="2" s="1"/>
  <c r="R13" i="2"/>
  <c r="AF13" i="2" s="1"/>
  <c r="R8" i="2"/>
  <c r="AF8" i="2" s="1"/>
  <c r="R7" i="2"/>
  <c r="AF7" i="2" s="1"/>
  <c r="R6" i="2"/>
  <c r="AF6" i="2" s="1"/>
  <c r="R4" i="2"/>
  <c r="AF4" i="2" s="1"/>
  <c r="R3" i="2"/>
  <c r="V15" i="2"/>
  <c r="V13" i="2"/>
  <c r="AG13" i="2" s="1"/>
  <c r="V8" i="2"/>
  <c r="AG8" i="2" s="1"/>
  <c r="V7" i="2"/>
  <c r="AG7" i="2" s="1"/>
  <c r="V6" i="2"/>
  <c r="V4" i="2"/>
  <c r="AG3" i="2"/>
  <c r="O20" i="2"/>
  <c r="M20" i="2"/>
  <c r="H20" i="2"/>
  <c r="C15" i="2"/>
  <c r="D15" i="2"/>
  <c r="E15" i="2"/>
  <c r="I15" i="2"/>
  <c r="H15" i="2"/>
  <c r="G15" i="2"/>
  <c r="I9" i="2"/>
  <c r="H9" i="2"/>
  <c r="G9" i="2"/>
  <c r="I5" i="2"/>
  <c r="I18" i="2" s="1"/>
  <c r="H5" i="2"/>
  <c r="H18" i="2" s="1"/>
  <c r="G5" i="2"/>
  <c r="K5" i="2"/>
  <c r="K18" i="2" s="1"/>
  <c r="K9" i="2"/>
  <c r="K15" i="2"/>
  <c r="K20" i="2"/>
  <c r="U20" i="2"/>
  <c r="T20" i="2"/>
  <c r="S20" i="2"/>
  <c r="Q20" i="2"/>
  <c r="P20" i="2"/>
  <c r="L20" i="2"/>
  <c r="I20" i="2"/>
  <c r="G20" i="2"/>
  <c r="W20" i="2"/>
  <c r="L15" i="2"/>
  <c r="M15" i="2"/>
  <c r="O15" i="2"/>
  <c r="P15" i="2"/>
  <c r="Q15" i="2"/>
  <c r="S15" i="2"/>
  <c r="T15" i="2"/>
  <c r="C9" i="2"/>
  <c r="C5" i="2"/>
  <c r="C18" i="2" s="1"/>
  <c r="D9" i="2"/>
  <c r="D5" i="2"/>
  <c r="D18" i="2" s="1"/>
  <c r="E9" i="2"/>
  <c r="E5" i="2"/>
  <c r="E18" i="2" s="1"/>
  <c r="L9" i="2"/>
  <c r="L5" i="2"/>
  <c r="L18" i="2" s="1"/>
  <c r="M9" i="2"/>
  <c r="M5" i="2"/>
  <c r="M18" i="2" s="1"/>
  <c r="O9" i="2"/>
  <c r="O5" i="2"/>
  <c r="O18" i="2" s="1"/>
  <c r="P9" i="2"/>
  <c r="P5" i="2"/>
  <c r="P18" i="2" s="1"/>
  <c r="Q9" i="2"/>
  <c r="Q5" i="2"/>
  <c r="Q18" i="2" s="1"/>
  <c r="S9" i="2"/>
  <c r="S5" i="2"/>
  <c r="S18" i="2" s="1"/>
  <c r="T9" i="2"/>
  <c r="T5" i="2"/>
  <c r="T18" i="2" s="1"/>
  <c r="U5" i="2"/>
  <c r="U18" i="2" s="1"/>
  <c r="U9" i="2"/>
  <c r="U15" i="2"/>
  <c r="W9" i="2"/>
  <c r="H6" i="1"/>
  <c r="H7" i="1"/>
  <c r="H4" i="1"/>
  <c r="H5" i="1" s="1"/>
  <c r="H8" i="1" s="1"/>
  <c r="V56" i="2" l="1"/>
  <c r="U45" i="2"/>
  <c r="D62" i="2"/>
  <c r="C56" i="2"/>
  <c r="C71" i="2" s="1"/>
  <c r="F5" i="2"/>
  <c r="F69" i="2"/>
  <c r="F71" i="2" s="1"/>
  <c r="AF9" i="2"/>
  <c r="AD11" i="2"/>
  <c r="S22" i="2"/>
  <c r="V33" i="2"/>
  <c r="U33" i="2"/>
  <c r="W33" i="2"/>
  <c r="T33" i="2"/>
  <c r="G10" i="2"/>
  <c r="G12" i="2" s="1"/>
  <c r="G14" i="2" s="1"/>
  <c r="V9" i="2"/>
  <c r="AD8" i="2"/>
  <c r="AD9" i="2" s="1"/>
  <c r="Q33" i="2"/>
  <c r="K22" i="2"/>
  <c r="U10" i="2"/>
  <c r="U12" i="2" s="1"/>
  <c r="U19" i="2" s="1"/>
  <c r="P22" i="2"/>
  <c r="L22" i="2"/>
  <c r="AC9" i="2"/>
  <c r="D69" i="2"/>
  <c r="W67" i="2"/>
  <c r="V68" i="2"/>
  <c r="W68" i="2" s="1"/>
  <c r="E22" i="2"/>
  <c r="G18" i="2"/>
  <c r="R9" i="2"/>
  <c r="N5" i="2"/>
  <c r="N18" i="2" s="1"/>
  <c r="AE6" i="2"/>
  <c r="AE9" i="2" s="1"/>
  <c r="AH20" i="2"/>
  <c r="H10" i="2"/>
  <c r="H12" i="2" s="1"/>
  <c r="H19" i="2" s="1"/>
  <c r="K10" i="2"/>
  <c r="K12" i="2" s="1"/>
  <c r="K14" i="2" s="1"/>
  <c r="I10" i="2"/>
  <c r="I12" i="2" s="1"/>
  <c r="I14" i="2" s="1"/>
  <c r="AG5" i="2"/>
  <c r="AG18" i="2" s="1"/>
  <c r="R5" i="2"/>
  <c r="R18" i="2" s="1"/>
  <c r="N20" i="2"/>
  <c r="F9" i="2"/>
  <c r="F10" i="2" s="1"/>
  <c r="F12" i="2" s="1"/>
  <c r="R20" i="2"/>
  <c r="W10" i="2"/>
  <c r="W12" i="2" s="1"/>
  <c r="W19" i="2" s="1"/>
  <c r="E10" i="2"/>
  <c r="E12" i="2" s="1"/>
  <c r="AG6" i="2"/>
  <c r="AG9" i="2" s="1"/>
  <c r="J20" i="2"/>
  <c r="V5" i="2"/>
  <c r="V20" i="2"/>
  <c r="G19" i="2"/>
  <c r="AC5" i="2"/>
  <c r="AD4" i="2"/>
  <c r="J9" i="2"/>
  <c r="F18" i="2"/>
  <c r="J5" i="2"/>
  <c r="C10" i="2"/>
  <c r="C12" i="2" s="1"/>
  <c r="D10" i="2"/>
  <c r="D12" i="2" s="1"/>
  <c r="L10" i="2"/>
  <c r="L12" i="2" s="1"/>
  <c r="M10" i="2"/>
  <c r="M12" i="2" s="1"/>
  <c r="O10" i="2"/>
  <c r="P10" i="2"/>
  <c r="P12" i="2" s="1"/>
  <c r="Q10" i="2"/>
  <c r="Q12" i="2" s="1"/>
  <c r="S10" i="2"/>
  <c r="S12" i="2" s="1"/>
  <c r="T10" i="2"/>
  <c r="T12" i="2" s="1"/>
  <c r="AH9" i="2" l="1"/>
  <c r="N10" i="2"/>
  <c r="N12" i="2" s="1"/>
  <c r="N14" i="2" s="1"/>
  <c r="D71" i="2"/>
  <c r="E69" i="2"/>
  <c r="V64" i="2"/>
  <c r="V60" i="2"/>
  <c r="W60" i="2" s="1"/>
  <c r="V10" i="2"/>
  <c r="V12" i="2" s="1"/>
  <c r="V14" i="2" s="1"/>
  <c r="V16" i="2" s="1"/>
  <c r="K19" i="2"/>
  <c r="U14" i="2"/>
  <c r="U16" i="2" s="1"/>
  <c r="I16" i="2"/>
  <c r="K16" i="2"/>
  <c r="K47" i="2"/>
  <c r="K73" i="2" s="1"/>
  <c r="I19" i="2"/>
  <c r="G16" i="2"/>
  <c r="G47" i="2"/>
  <c r="H14" i="2"/>
  <c r="AE5" i="2"/>
  <c r="AE18" i="2" s="1"/>
  <c r="AE20" i="2"/>
  <c r="AC10" i="2"/>
  <c r="AC12" i="2" s="1"/>
  <c r="AC18" i="2"/>
  <c r="AG10" i="2"/>
  <c r="AG12" i="2" s="1"/>
  <c r="AF5" i="2"/>
  <c r="AF20" i="2"/>
  <c r="AG20" i="2"/>
  <c r="W14" i="2"/>
  <c r="E14" i="2"/>
  <c r="E19" i="2"/>
  <c r="R10" i="2"/>
  <c r="R12" i="2" s="1"/>
  <c r="R14" i="2" s="1"/>
  <c r="AD5" i="2"/>
  <c r="AD20" i="2"/>
  <c r="P14" i="2"/>
  <c r="P19" i="2"/>
  <c r="C14" i="2"/>
  <c r="C19" i="2"/>
  <c r="O12" i="2"/>
  <c r="L14" i="2"/>
  <c r="L19" i="2"/>
  <c r="D14" i="2"/>
  <c r="D19" i="2"/>
  <c r="M14" i="2"/>
  <c r="M19" i="2"/>
  <c r="Q14" i="2"/>
  <c r="Q19" i="2"/>
  <c r="V18" i="2"/>
  <c r="T14" i="2"/>
  <c r="T19" i="2"/>
  <c r="V19" i="2"/>
  <c r="S14" i="2"/>
  <c r="S19" i="2"/>
  <c r="F14" i="2"/>
  <c r="F47" i="2" s="1"/>
  <c r="F19" i="2"/>
  <c r="J18" i="2"/>
  <c r="J10" i="2"/>
  <c r="J12" i="2" s="1"/>
  <c r="AH10" i="2" l="1"/>
  <c r="AH12" i="2" s="1"/>
  <c r="N19" i="2"/>
  <c r="V47" i="2"/>
  <c r="V73" i="2" s="1"/>
  <c r="W64" i="2"/>
  <c r="K69" i="2"/>
  <c r="L69" i="2"/>
  <c r="G69" i="2"/>
  <c r="M69" i="2"/>
  <c r="H69" i="2"/>
  <c r="V61" i="2"/>
  <c r="W61" i="2" s="1"/>
  <c r="E62" i="2"/>
  <c r="E71" i="2" s="1"/>
  <c r="U47" i="2"/>
  <c r="U73" i="2" s="1"/>
  <c r="AE10" i="2"/>
  <c r="AE12" i="2" s="1"/>
  <c r="AE14" i="2" s="1"/>
  <c r="AE16" i="2" s="1"/>
  <c r="Q16" i="2"/>
  <c r="Q47" i="2"/>
  <c r="Q73" i="2" s="1"/>
  <c r="C16" i="2"/>
  <c r="C47" i="2"/>
  <c r="S16" i="2"/>
  <c r="S73" i="2"/>
  <c r="D16" i="2"/>
  <c r="D47" i="2"/>
  <c r="P16" i="2"/>
  <c r="P47" i="2"/>
  <c r="P73" i="2" s="1"/>
  <c r="H16" i="2"/>
  <c r="R16" i="2"/>
  <c r="R47" i="2"/>
  <c r="F16" i="2"/>
  <c r="W16" i="2"/>
  <c r="W47" i="2"/>
  <c r="R19" i="2"/>
  <c r="E16" i="2"/>
  <c r="E47" i="2"/>
  <c r="M16" i="2"/>
  <c r="M47" i="2"/>
  <c r="N16" i="2"/>
  <c r="N47" i="2"/>
  <c r="T16" i="2"/>
  <c r="T47" i="2"/>
  <c r="T73" i="2" s="1"/>
  <c r="L16" i="2"/>
  <c r="L47" i="2"/>
  <c r="V70" i="2"/>
  <c r="W70" i="2" s="1"/>
  <c r="V66" i="2"/>
  <c r="AG14" i="2"/>
  <c r="AG16" i="2" s="1"/>
  <c r="AC14" i="2"/>
  <c r="AC16" i="2" s="1"/>
  <c r="AC19" i="2"/>
  <c r="AF18" i="2"/>
  <c r="AF10" i="2"/>
  <c r="AF12" i="2" s="1"/>
  <c r="AD10" i="2"/>
  <c r="AD12" i="2" s="1"/>
  <c r="AD18" i="2"/>
  <c r="O19" i="2"/>
  <c r="J14" i="2"/>
  <c r="J19" i="2"/>
  <c r="AH14" i="2" l="1"/>
  <c r="AH19" i="2"/>
  <c r="W74" i="2"/>
  <c r="O74" i="2"/>
  <c r="AE19" i="2"/>
  <c r="G62" i="2"/>
  <c r="N74" i="2"/>
  <c r="O16" i="2"/>
  <c r="O47" i="2"/>
  <c r="O73" i="2" s="1"/>
  <c r="R74" i="2" s="1"/>
  <c r="J16" i="2"/>
  <c r="S74" i="2"/>
  <c r="O69" i="2"/>
  <c r="W66" i="2"/>
  <c r="AF14" i="2"/>
  <c r="AF16" i="2" s="1"/>
  <c r="AF19" i="2"/>
  <c r="AD14" i="2"/>
  <c r="AD16" i="2" s="1"/>
  <c r="AD19" i="2"/>
  <c r="AH16" i="2" l="1"/>
  <c r="P74" i="2"/>
  <c r="P69" i="2"/>
  <c r="L62" i="2" l="1"/>
  <c r="L71" i="2" s="1"/>
  <c r="K62" i="2"/>
  <c r="K71" i="2" s="1"/>
  <c r="Q69" i="2"/>
  <c r="O62" i="2" l="1"/>
  <c r="O71" i="2" s="1"/>
  <c r="N62" i="2"/>
  <c r="N71" i="2" s="1"/>
  <c r="M62" i="2"/>
  <c r="M71" i="2" s="1"/>
  <c r="Q62" i="2" l="1"/>
  <c r="Q71" i="2" s="1"/>
  <c r="P62" i="2" l="1"/>
  <c r="S62" i="2"/>
  <c r="T69" i="2"/>
  <c r="R62" i="2" l="1"/>
  <c r="R71" i="2" s="1"/>
  <c r="U62" i="2"/>
  <c r="V65" i="2"/>
  <c r="U69" i="2"/>
  <c r="U71" i="2" l="1"/>
  <c r="V59" i="2"/>
  <c r="V62" i="2" s="1"/>
  <c r="T62" i="2"/>
  <c r="T71" i="2" s="1"/>
  <c r="W65" i="2"/>
  <c r="W69" i="2" s="1"/>
  <c r="V69" i="2"/>
  <c r="W59" i="2" l="1"/>
  <c r="W62" i="2" s="1"/>
  <c r="W71" i="2" s="1"/>
  <c r="V71" i="2"/>
  <c r="K74" i="2"/>
  <c r="H71" i="2"/>
</calcChain>
</file>

<file path=xl/sharedStrings.xml><?xml version="1.0" encoding="utf-8"?>
<sst xmlns="http://schemas.openxmlformats.org/spreadsheetml/2006/main" count="145" uniqueCount="132">
  <si>
    <t>Revenue</t>
  </si>
  <si>
    <t>COGS</t>
  </si>
  <si>
    <t>Gross Profit</t>
  </si>
  <si>
    <t>R&amp;D</t>
  </si>
  <si>
    <t>S&amp;M</t>
  </si>
  <si>
    <t>G&amp;A</t>
  </si>
  <si>
    <t>OpEx</t>
  </si>
  <si>
    <t>OpInc</t>
  </si>
  <si>
    <t>Other</t>
  </si>
  <si>
    <t>Pretax</t>
  </si>
  <si>
    <t>Taxes</t>
  </si>
  <si>
    <t>Net Income</t>
  </si>
  <si>
    <t>Eps</t>
  </si>
  <si>
    <t>Shares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</si>
  <si>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</si>
  <si>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</si>
  <si>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</si>
  <si>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</si>
  <si>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</si>
  <si>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</si>
  <si>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</si>
  <si>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</si>
  <si>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</si>
  <si>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</si>
  <si>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Q223</t>
  </si>
  <si>
    <t>Q322</t>
  </si>
  <si>
    <t>Q422</t>
  </si>
  <si>
    <t>Q123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</si>
  <si>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</si>
  <si>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</si>
  <si>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</si>
  <si>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</si>
  <si>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</si>
  <si>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</si>
  <si>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</si>
  <si>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</si>
  <si>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</si>
  <si>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</si>
  <si>
    <t>Price</t>
  </si>
  <si>
    <t>MC</t>
  </si>
  <si>
    <t>Cash</t>
  </si>
  <si>
    <t>Debt</t>
  </si>
  <si>
    <t>EV</t>
  </si>
  <si>
    <t>Gross Margin</t>
  </si>
  <si>
    <t>Tax Rate</t>
  </si>
  <si>
    <t>Net Cash</t>
  </si>
  <si>
    <t>AR</t>
  </si>
  <si>
    <t>Iventory</t>
  </si>
  <si>
    <t>OCA</t>
  </si>
  <si>
    <t>DT</t>
  </si>
  <si>
    <t>PP&amp;E</t>
  </si>
  <si>
    <t>Lease</t>
  </si>
  <si>
    <t>Goodwill</t>
  </si>
  <si>
    <t>ONCA</t>
  </si>
  <si>
    <t>Assets</t>
  </si>
  <si>
    <t>AP</t>
  </si>
  <si>
    <t>Compensation</t>
  </si>
  <si>
    <t>AE</t>
  </si>
  <si>
    <t>RevShare</t>
  </si>
  <si>
    <t>DR</t>
  </si>
  <si>
    <t>OLTL</t>
  </si>
  <si>
    <t>SE</t>
  </si>
  <si>
    <t>L+SE</t>
  </si>
  <si>
    <t>MODEL NI</t>
  </si>
  <si>
    <t>REPORTED NI</t>
  </si>
  <si>
    <t>Depreciation</t>
  </si>
  <si>
    <t>Amortization</t>
  </si>
  <si>
    <t>SBC</t>
  </si>
  <si>
    <t>Gain on quities</t>
  </si>
  <si>
    <t>WC</t>
  </si>
  <si>
    <t>CFFO</t>
  </si>
  <si>
    <t>CapEx</t>
  </si>
  <si>
    <t>Investments</t>
  </si>
  <si>
    <t>Acquisitions</t>
  </si>
  <si>
    <t>CFFI</t>
  </si>
  <si>
    <t>Buybacks</t>
  </si>
  <si>
    <t>Dividend</t>
  </si>
  <si>
    <t>Sale of entities</t>
  </si>
  <si>
    <t>CFFF</t>
  </si>
  <si>
    <t>FX</t>
  </si>
  <si>
    <t>CIC</t>
  </si>
  <si>
    <t>FCFC</t>
  </si>
  <si>
    <t>TTM FCF</t>
  </si>
  <si>
    <t>Employees</t>
  </si>
  <si>
    <t>y/y</t>
  </si>
  <si>
    <t>Rev/HC</t>
  </si>
  <si>
    <t>Strenghts</t>
  </si>
  <si>
    <t>SWOT</t>
  </si>
  <si>
    <t>Market dominance across search over 90% share, strong brand recognition</t>
  </si>
  <si>
    <t>Weaknesses</t>
  </si>
  <si>
    <t>Heavy reliance on advertising revenue</t>
  </si>
  <si>
    <t>Opportunities</t>
  </si>
  <si>
    <t xml:space="preserve">AI, google cloud </t>
  </si>
  <si>
    <t>Threaths</t>
  </si>
  <si>
    <t>Competition in AI  powered search and generative model industry that migth steal shares from the AD business</t>
  </si>
  <si>
    <t>REVENUE</t>
  </si>
  <si>
    <t>Google Search other</t>
  </si>
  <si>
    <t>Youtube Ads</t>
  </si>
  <si>
    <t>Google network</t>
  </si>
  <si>
    <t>Google subscriptions</t>
  </si>
  <si>
    <t>Google cloud</t>
  </si>
  <si>
    <t>56.89%</t>
  </si>
  <si>
    <t>10.38%</t>
  </si>
  <si>
    <t>8.72%</t>
  </si>
  <si>
    <t>11.59%</t>
  </si>
  <si>
    <t>12.42%</t>
  </si>
  <si>
    <t>Search ads (Google Search, Google Shopping, Google Maps)</t>
  </si>
  <si>
    <t>YouTube ads (video, Shorts, YouTube TV ad inventory)</t>
  </si>
  <si>
    <t>Google Network ads (AdSense for websites, AdMob for apps, Google Ad Manager for programmatic display)</t>
  </si>
  <si>
    <t>YouTube Premium &amp; YouTube Music subscriptions</t>
  </si>
  <si>
    <t>Google One (paid cloud storage plans)</t>
  </si>
  <si>
    <t>Google Workspace subscriptions (Gmail, Drive, Docs, Meet, etc.)</t>
  </si>
  <si>
    <t>Google Play Store fees &amp; commissions on apps, games, movies, books</t>
  </si>
  <si>
    <t>Pixel phones, tablets, and earbuds</t>
  </si>
  <si>
    <t>Nest smart home devices (Hub, Thermostat, Doorbell, Cameras)</t>
  </si>
  <si>
    <t>Fitbit wearables</t>
  </si>
  <si>
    <t>Chromecast streaming devices</t>
  </si>
  <si>
    <t>Google Cloud Platform (GCP) — Compute Engine, Kubernetes Engine, Cloud Storage, BigQuery, Vertex AI, AI APIs</t>
  </si>
  <si>
    <t>Enterprise SaaS — Google Workspace enterprise licenses, Looker, Apigee, Mandiant (cybersecurity)</t>
  </si>
  <si>
    <t xml:space="preserve">4. Cloud Services </t>
  </si>
  <si>
    <t xml:space="preserve">3. Devices (Hardware) </t>
  </si>
  <si>
    <t xml:space="preserve">2. Subscriptions &amp; Platforms </t>
  </si>
  <si>
    <t xml:space="preserve">1. Advertising (Google Ads &amp; YouTube Ads) </t>
  </si>
  <si>
    <t xml:space="preserve">Founded </t>
  </si>
  <si>
    <t>Terminal</t>
  </si>
  <si>
    <t>Discount</t>
  </si>
  <si>
    <t>ROIC</t>
  </si>
  <si>
    <t>NPV</t>
  </si>
  <si>
    <t>Share</t>
  </si>
  <si>
    <t>Current</t>
  </si>
  <si>
    <t>Return</t>
  </si>
  <si>
    <t>Revenue Growth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</si>
</sst>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_R_O_N;[Red]\-#,##0\ _R_O_N"/>
  </numFmts>
  <fonts count="1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4"/>
      <color theme="1"/>
      <name val="Aptos Narrow"/>
      <family val="2"/>
      <scheme val="minor"/>
    </font>
    <font>
      <sz val="14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3" fontId="3" fillId="0" borderId="0" xfId="0" applyNumberFormat="1" applyFont="1"/>
    <xf numFmtId="3" fontId="4" fillId="0" borderId="0" xfId="0" applyNumberFormat="1" applyFont="1"/>
    <xf numFmtId="9" fontId="2" fillId="0" borderId="0" xfId="1" applyFont="1"/>
    <xf numFmtId="0" fontId="4" fillId="0" borderId="0" xfId="0" applyFont="1"/>
    <xf numFmtId="9" fontId="4" fillId="0" borderId="0" xfId="1" applyFont="1"/>
    <xf numFmtId="4" fontId="4" fillId="0" borderId="0" xfId="0" applyNumberFormat="1" applyFont="1"/>
    <xf numFmtId="3" fontId="5" fillId="0" borderId="0" xfId="0" applyNumberFormat="1" applyFont="1"/>
    <xf numFmtId="3" fontId="6" fillId="0" borderId="0" xfId="0" applyNumberFormat="1" applyFont="1"/>
    <xf numFmtId="0" fontId="8" fillId="0" borderId="0" xfId="0" applyFont="1"/>
    <xf numFmtId="0" fontId="7" fillId="0" borderId="0" xfId="0" applyFont="1"/>
    <xf numFmtId="0" fontId="9" fillId="0" borderId="0" xfId="0" applyFont="1"/>
    <xf numFmtId="0" fontId="6" fillId="0" borderId="0" xfId="0" applyFont="1"/>
    <xf numFmtId="0" fontId="10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3" fontId="8" fillId="0" borderId="0" xfId="0" applyNumberFormat="1" applyFont="1"/>
    <xf numFmtId="10" fontId="0" fillId="0" borderId="0" xfId="0" applyNumberFormat="1"/>
    <xf numFmtId="164" fontId="0" fillId="0" borderId="0" xfId="0" applyNumberFormat="1" applyAlignment="1">
      <alignment horizontal="right"/>
    </xf>
    <xf numFmtId="9" fontId="8" fillId="0" borderId="0" xfId="0" applyNumberFormat="1" applyFont="1"/>
    <xf numFmtId="9" fontId="8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828260</xdr:colOff>
      <xdr:row>0</xdr:row>
      <xdr:rowOff>0</xdr:rowOff>
    </xdr:from>
    <xdr:to>
      <xdr:col>22</xdr:col>
      <xdr:colOff>12699</xdr:colOff>
      <xdr:row>78</xdr:row>
      <xdr:rowOff>165100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2E1A4AF-48AD-4AAE-C6A7-C61053E9402F}"/>
            </a:ext>
          </a:extLst>
        </xdr:cNvPr>
        <xdr:cNvCxnSpPr/>
      </xdr:nvCxnSpPr>
      <xdr:spPr>
        <a:xfrm>
          <a:off x="18663477" y="0"/>
          <a:ext cx="12700" cy="1567014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817217</xdr:colOff>
      <xdr:row>0</xdr:row>
      <xdr:rowOff>0</xdr:rowOff>
    </xdr:from>
    <xdr:to>
      <xdr:col>33</xdr:col>
      <xdr:colOff>1656</xdr:colOff>
      <xdr:row>77</xdr:row>
      <xdr:rowOff>63499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93F98DF-DB42-39F2-39CA-EEB249749270}"/>
            </a:ext>
          </a:extLst>
        </xdr:cNvPr>
        <xdr:cNvCxnSpPr/>
      </xdr:nvCxnSpPr>
      <xdr:spPr>
        <a:xfrm>
          <a:off x="27763304" y="0"/>
          <a:ext cx="12700" cy="1536976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32</xdr:col>
      <xdr:colOff>823953</xdr:colOff>
      <xdr:row>23</xdr:row>
      <xdr:rowOff>46440</xdr:rowOff>
    </xdr:from>
    <xdr:to>
      <xdr:col>32</xdr:col>
      <xdr:colOff>824313</xdr:colOff>
      <xdr:row>23</xdr:row>
      <xdr:rowOff>46800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DF4F2BA4-F074-245E-5FEE-FD6B7AC51288}"/>
                </a:ext>
              </a:extLst>
            </xdr14:cNvPr>
            <xdr14:cNvContentPartPr/>
          </xdr14:nvContentPartPr>
          <xdr14:nvPr macro=""/>
          <xdr14:xfrm>
            <a:off x="27770040" y="4618440"/>
            <a:ext cx="360" cy="360"/>
          </xdr14:xfrm>
        </xdr:contentPart>
      </mc:Choice>
      <mc:Fallback xmlns=""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DF4F2BA4-F074-245E-5FEE-FD6B7AC5128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7752400" y="460044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44</xdr:col>
      <xdr:colOff>11043</xdr:colOff>
      <xdr:row>0</xdr:row>
      <xdr:rowOff>0</xdr:rowOff>
    </xdr:from>
    <xdr:to>
      <xdr:col>44</xdr:col>
      <xdr:colOff>23743</xdr:colOff>
      <xdr:row>77</xdr:row>
      <xdr:rowOff>63499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DD5FF72-8923-E146-84CB-2D867374F88B}"/>
            </a:ext>
          </a:extLst>
        </xdr:cNvPr>
        <xdr:cNvCxnSpPr/>
      </xdr:nvCxnSpPr>
      <xdr:spPr>
        <a:xfrm>
          <a:off x="36896260" y="0"/>
          <a:ext cx="12700" cy="1536976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15T22:10:38.546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0 24575,'0'0'0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D14D6-3051-8D42-AA77-1B5B5C734215}">
  <dimension ref="A2:I60"/>
  <sheetViews>
    <sheetView topLeftCell="C1" workbookViewId="0">
      <selection activeCell="H4" sqref="H4"/>
    </sheetView>
  </sheetViews>
  <sheetFormatPr baseColWidth="10" defaultColWidth="11.5" defaultRowHeight="16" x14ac:dyDescent="0.2"/>
  <cols>
    <col min="2" max="2" width="17.6640625" customWidth="1"/>
    <col min="3" max="3" width="57.5" customWidth="1"/>
  </cols>
  <sheetData>
    <row r="2" spans="2:9" x14ac:dyDescent="0.2">
      <c r="F2" s="1"/>
      <c r="G2" s="1"/>
      <c r="H2" s="1"/>
      <c r="I2" s="1"/>
    </row>
    <row r="3" spans="2:9" x14ac:dyDescent="0.2">
      <c r="B3" t="s">
        <v>87</v>
      </c>
      <c r="F3" s="1"/>
      <c r="G3" s="1" t="s">
        <v>38</v>
      </c>
      <c r="H3" s="3">
        <v>181</v>
      </c>
      <c r="I3" s="1"/>
    </row>
    <row r="4" spans="2:9" x14ac:dyDescent="0.2">
      <c r="B4" t="s">
        <v>86</v>
      </c>
      <c r="C4" t="s">
        <v>88</v>
      </c>
      <c r="F4" s="1"/>
      <c r="G4" s="1" t="s">
        <v>13</v>
      </c>
      <c r="H4" s="3">
        <f>5820+856+5459</f>
        <v>12135</v>
      </c>
      <c r="I4" s="1" t="s">
        <v>34</v>
      </c>
    </row>
    <row r="5" spans="2:9" x14ac:dyDescent="0.2">
      <c r="B5" t="s">
        <v>89</v>
      </c>
      <c r="C5" t="s">
        <v>90</v>
      </c>
      <c r="F5" s="1"/>
      <c r="G5" s="1" t="s">
        <v>39</v>
      </c>
      <c r="H5" s="3">
        <f>H4*H3</f>
        <v>2196435</v>
      </c>
      <c r="I5" s="1"/>
    </row>
    <row r="6" spans="2:9" x14ac:dyDescent="0.2">
      <c r="B6" t="s">
        <v>91</v>
      </c>
      <c r="C6" t="s">
        <v>92</v>
      </c>
      <c r="F6" s="1"/>
      <c r="G6" s="1" t="s">
        <v>40</v>
      </c>
      <c r="H6" s="3">
        <f>23264+72064+51029</f>
        <v>146357</v>
      </c>
      <c r="I6" s="1" t="s">
        <v>34</v>
      </c>
    </row>
    <row r="7" spans="2:9" x14ac:dyDescent="0.2">
      <c r="B7" t="s">
        <v>93</v>
      </c>
      <c r="C7" t="s">
        <v>94</v>
      </c>
      <c r="F7" s="1"/>
      <c r="G7" s="1" t="s">
        <v>41</v>
      </c>
      <c r="H7" s="3">
        <f>10886+6116</f>
        <v>17002</v>
      </c>
      <c r="I7" s="1"/>
    </row>
    <row r="8" spans="2:9" x14ac:dyDescent="0.2">
      <c r="F8" s="1"/>
      <c r="G8" s="1" t="s">
        <v>42</v>
      </c>
      <c r="H8" s="3">
        <f>H5+H7-H6</f>
        <v>2067080</v>
      </c>
      <c r="I8" s="1"/>
    </row>
    <row r="9" spans="2:9" x14ac:dyDescent="0.2">
      <c r="F9" s="1"/>
      <c r="G9" s="1"/>
      <c r="H9" s="1"/>
    </row>
    <row r="10" spans="2:9" x14ac:dyDescent="0.2">
      <c r="B10" s="17" t="s">
        <v>95</v>
      </c>
      <c r="C10" s="17"/>
      <c r="F10" s="1"/>
      <c r="G10" s="1" t="s">
        <v>123</v>
      </c>
      <c r="H10" s="1">
        <v>1998</v>
      </c>
      <c r="I10" s="1"/>
    </row>
    <row r="11" spans="2:9" x14ac:dyDescent="0.2">
      <c r="B11" s="17" t="s">
        <v>96</v>
      </c>
      <c r="C11" s="18" t="s">
        <v>101</v>
      </c>
      <c r="F11" s="1"/>
      <c r="G11" s="1"/>
      <c r="H11" s="1"/>
      <c r="I11" s="1"/>
    </row>
    <row r="12" spans="2:9" x14ac:dyDescent="0.2">
      <c r="B12" s="17" t="s">
        <v>97</v>
      </c>
      <c r="C12" s="18" t="s">
        <v>102</v>
      </c>
      <c r="F12" s="1"/>
      <c r="G12" s="1"/>
      <c r="H12" s="1"/>
      <c r="I12" s="1"/>
    </row>
    <row r="13" spans="2:9" x14ac:dyDescent="0.2">
      <c r="B13" s="17" t="s">
        <v>98</v>
      </c>
      <c r="C13" s="18" t="s">
        <v>103</v>
      </c>
    </row>
    <row r="14" spans="2:9" x14ac:dyDescent="0.2">
      <c r="B14" s="17" t="s">
        <v>99</v>
      </c>
      <c r="C14" s="18" t="s">
        <v>104</v>
      </c>
    </row>
    <row r="15" spans="2:9" x14ac:dyDescent="0.2">
      <c r="B15" s="17" t="s">
        <v>100</v>
      </c>
      <c r="C15" s="18" t="s">
        <v>105</v>
      </c>
    </row>
    <row r="16" spans="2:9" x14ac:dyDescent="0.2">
      <c r="C16" s="19"/>
    </row>
    <row r="17" spans="1:5" x14ac:dyDescent="0.2">
      <c r="B17" s="13" t="s">
        <v>122</v>
      </c>
    </row>
    <row r="19" spans="1:5" x14ac:dyDescent="0.2">
      <c r="B19" s="15" t="s">
        <v>106</v>
      </c>
    </row>
    <row r="20" spans="1:5" x14ac:dyDescent="0.2">
      <c r="A20" s="15"/>
      <c r="B20" s="15"/>
      <c r="C20" s="15"/>
      <c r="D20" s="15"/>
      <c r="E20" s="15"/>
    </row>
    <row r="21" spans="1:5" x14ac:dyDescent="0.2">
      <c r="A21" s="15"/>
      <c r="B21" s="15" t="s">
        <v>107</v>
      </c>
      <c r="C21" s="15"/>
      <c r="D21" s="15"/>
      <c r="E21" s="15"/>
    </row>
    <row r="22" spans="1:5" x14ac:dyDescent="0.2">
      <c r="A22" s="15"/>
      <c r="B22" s="15"/>
      <c r="C22" s="15"/>
      <c r="D22" s="15"/>
      <c r="E22" s="15"/>
    </row>
    <row r="23" spans="1:5" x14ac:dyDescent="0.2">
      <c r="A23" s="15"/>
      <c r="B23" s="15" t="s">
        <v>108</v>
      </c>
      <c r="C23" s="15"/>
      <c r="D23" s="15"/>
      <c r="E23" s="15"/>
    </row>
    <row r="24" spans="1:5" x14ac:dyDescent="0.2">
      <c r="A24" s="15"/>
      <c r="B24" s="15"/>
      <c r="C24" s="15"/>
      <c r="D24" s="15"/>
      <c r="E24" s="15"/>
    </row>
    <row r="27" spans="1:5" x14ac:dyDescent="0.2">
      <c r="B27" s="13" t="s">
        <v>121</v>
      </c>
    </row>
    <row r="29" spans="1:5" x14ac:dyDescent="0.2">
      <c r="A29" s="15"/>
      <c r="B29" s="15" t="s">
        <v>109</v>
      </c>
      <c r="C29" s="15"/>
    </row>
    <row r="30" spans="1:5" x14ac:dyDescent="0.2">
      <c r="A30" s="15"/>
      <c r="B30" s="15"/>
      <c r="C30" s="15"/>
    </row>
    <row r="31" spans="1:5" x14ac:dyDescent="0.2">
      <c r="A31" s="15"/>
      <c r="B31" s="15" t="s">
        <v>110</v>
      </c>
      <c r="C31" s="15"/>
    </row>
    <row r="32" spans="1:5" x14ac:dyDescent="0.2">
      <c r="A32" s="15"/>
      <c r="B32" s="15"/>
      <c r="C32" s="15"/>
    </row>
    <row r="33" spans="1:3" x14ac:dyDescent="0.2">
      <c r="A33" s="15"/>
      <c r="B33" s="15" t="s">
        <v>111</v>
      </c>
      <c r="C33" s="15"/>
    </row>
    <row r="34" spans="1:3" x14ac:dyDescent="0.2">
      <c r="A34" s="15"/>
      <c r="B34" s="15"/>
      <c r="C34" s="15"/>
    </row>
    <row r="35" spans="1:3" x14ac:dyDescent="0.2">
      <c r="A35" s="15"/>
      <c r="B35" s="15" t="s">
        <v>112</v>
      </c>
      <c r="C35" s="15"/>
    </row>
    <row r="36" spans="1:3" x14ac:dyDescent="0.2">
      <c r="A36" s="15"/>
      <c r="B36" s="15"/>
      <c r="C36" s="15"/>
    </row>
    <row r="39" spans="1:3" x14ac:dyDescent="0.2">
      <c r="B39" s="13" t="s">
        <v>120</v>
      </c>
    </row>
    <row r="41" spans="1:3" x14ac:dyDescent="0.2">
      <c r="B41" s="15" t="s">
        <v>113</v>
      </c>
      <c r="C41" s="15"/>
    </row>
    <row r="42" spans="1:3" x14ac:dyDescent="0.2">
      <c r="B42" s="15"/>
      <c r="C42" s="15"/>
    </row>
    <row r="43" spans="1:3" x14ac:dyDescent="0.2">
      <c r="B43" s="15" t="s">
        <v>114</v>
      </c>
      <c r="C43" s="15"/>
    </row>
    <row r="44" spans="1:3" x14ac:dyDescent="0.2">
      <c r="B44" s="15"/>
      <c r="C44" s="15"/>
    </row>
    <row r="45" spans="1:3" x14ac:dyDescent="0.2">
      <c r="B45" s="15" t="s">
        <v>115</v>
      </c>
      <c r="C45" s="15"/>
    </row>
    <row r="46" spans="1:3" x14ac:dyDescent="0.2">
      <c r="B46" s="15"/>
      <c r="C46" s="15"/>
    </row>
    <row r="47" spans="1:3" x14ac:dyDescent="0.2">
      <c r="B47" s="15" t="s">
        <v>116</v>
      </c>
      <c r="C47" s="15"/>
    </row>
    <row r="48" spans="1:3" x14ac:dyDescent="0.2">
      <c r="B48" s="15"/>
      <c r="C48" s="15"/>
    </row>
    <row r="51" spans="2:7" x14ac:dyDescent="0.2">
      <c r="B51" s="13" t="s">
        <v>119</v>
      </c>
    </row>
    <row r="53" spans="2:7" x14ac:dyDescent="0.2">
      <c r="B53" s="15" t="s">
        <v>117</v>
      </c>
      <c r="C53" s="15"/>
      <c r="D53" s="15"/>
      <c r="E53" s="15"/>
      <c r="F53" s="15"/>
      <c r="G53" s="15"/>
    </row>
    <row r="54" spans="2:7" x14ac:dyDescent="0.2">
      <c r="B54" s="15"/>
      <c r="C54" s="15"/>
      <c r="D54" s="15"/>
      <c r="E54" s="15"/>
      <c r="F54" s="15"/>
      <c r="G54" s="15"/>
    </row>
    <row r="55" spans="2:7" x14ac:dyDescent="0.2">
      <c r="B55" s="15" t="s">
        <v>118</v>
      </c>
      <c r="C55" s="15"/>
      <c r="D55" s="15"/>
      <c r="E55" s="15"/>
      <c r="F55" s="15"/>
      <c r="G55" s="15"/>
    </row>
    <row r="56" spans="2:7" ht="19" x14ac:dyDescent="0.25">
      <c r="B56" s="16"/>
      <c r="C56" s="16"/>
      <c r="D56" s="16"/>
      <c r="E56" s="16"/>
      <c r="F56" s="16"/>
      <c r="G56" s="15"/>
    </row>
    <row r="57" spans="2:7" ht="19" x14ac:dyDescent="0.25">
      <c r="B57" s="14"/>
      <c r="C57" s="14"/>
      <c r="D57" s="14"/>
      <c r="E57" s="14"/>
      <c r="F57" s="14"/>
    </row>
    <row r="58" spans="2:7" ht="19" x14ac:dyDescent="0.25">
      <c r="B58" s="14"/>
      <c r="C58" s="14"/>
      <c r="D58" s="14"/>
      <c r="E58" s="14"/>
      <c r="F58" s="14"/>
    </row>
    <row r="59" spans="2:7" ht="19" x14ac:dyDescent="0.25">
      <c r="B59" s="14"/>
      <c r="C59" s="14"/>
      <c r="D59" s="14"/>
      <c r="E59" s="14"/>
      <c r="F59" s="14"/>
    </row>
    <row r="60" spans="2:7" ht="19" x14ac:dyDescent="0.25">
      <c r="B60" s="14"/>
      <c r="C60" s="14"/>
      <c r="D60" s="14"/>
      <c r="E60" s="14"/>
      <c r="F60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9AFE5-0412-BE46-AA05-FD560F72645D}">
  <dimension ref="B1:BX80"/>
  <sheetViews>
    <sheetView tabSelected="1" zoomScaleNormal="100" workbookViewId="0">
      <pane xSplit="2" ySplit="2" topLeftCell="AE3" activePane="bottomRight" state="frozen"/>
      <selection pane="topRight" activeCell="C1" sqref="C1"/>
      <selection pane="bottomLeft" activeCell="A3" sqref="A3"/>
      <selection pane="bottomRight" activeCell="AB17" sqref="AB17"/>
    </sheetView>
  </sheetViews>
  <sheetFormatPr baseColWidth="10" defaultColWidth="11.5" defaultRowHeight="16" x14ac:dyDescent="0.2"/>
  <cols>
    <col min="2" max="2" width="20.6640625" bestFit="1" customWidth="1"/>
    <col min="22" max="23" width="10.6640625" customWidth="1"/>
    <col min="46" max="46" width="18.1640625" customWidth="1"/>
  </cols>
  <sheetData>
    <row r="1" spans="2:76" x14ac:dyDescent="0.2">
      <c r="AB1" s="1"/>
      <c r="AC1" s="1"/>
      <c r="AD1" s="1"/>
      <c r="AE1" s="1"/>
      <c r="AF1" s="1"/>
      <c r="AG1" s="1"/>
      <c r="AH1" s="1"/>
      <c r="AI1" s="1"/>
    </row>
    <row r="2" spans="2:76" x14ac:dyDescent="0.2">
      <c r="B2" s="1"/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25</v>
      </c>
      <c r="N2" s="1" t="s">
        <v>26</v>
      </c>
      <c r="O2" s="1" t="s">
        <v>27</v>
      </c>
      <c r="P2" s="1" t="s">
        <v>24</v>
      </c>
      <c r="Q2" s="1" t="s">
        <v>28</v>
      </c>
      <c r="R2" s="1" t="s">
        <v>29</v>
      </c>
      <c r="S2" s="1" t="s">
        <v>30</v>
      </c>
      <c r="T2" s="1" t="s">
        <v>31</v>
      </c>
      <c r="U2" s="1" t="s">
        <v>32</v>
      </c>
      <c r="V2" s="1" t="s">
        <v>33</v>
      </c>
      <c r="W2" s="1" t="s">
        <v>34</v>
      </c>
      <c r="X2" s="1" t="s">
        <v>35</v>
      </c>
      <c r="Y2" s="1" t="s">
        <v>36</v>
      </c>
      <c r="Z2" s="1" t="s">
        <v>37</v>
      </c>
      <c r="AA2" s="1"/>
      <c r="AB2" s="1"/>
      <c r="AC2" s="1">
        <v>2020</v>
      </c>
      <c r="AD2" s="1">
        <v>2021</v>
      </c>
      <c r="AE2" s="1">
        <v>2022</v>
      </c>
      <c r="AF2" s="1">
        <v>2023</v>
      </c>
      <c r="AG2" s="1">
        <v>2024</v>
      </c>
      <c r="AH2" s="1">
        <v>2025</v>
      </c>
      <c r="AI2" s="1">
        <f>2025+1</f>
        <v>2026</v>
      </c>
      <c r="AJ2" s="1">
        <f>AI2+1</f>
        <v>2027</v>
      </c>
      <c r="AK2" s="1">
        <f t="shared" ref="AK2:BX2" si="0">AJ2+1</f>
        <v>2028</v>
      </c>
      <c r="AL2" s="1">
        <f t="shared" si="0"/>
        <v>2029</v>
      </c>
      <c r="AM2" s="1">
        <f t="shared" si="0"/>
        <v>2030</v>
      </c>
      <c r="AN2" s="1">
        <f t="shared" si="0"/>
        <v>2031</v>
      </c>
      <c r="AO2" s="1">
        <f t="shared" si="0"/>
        <v>2032</v>
      </c>
      <c r="AP2" s="1">
        <f t="shared" si="0"/>
        <v>2033</v>
      </c>
      <c r="AQ2" s="1">
        <f t="shared" si="0"/>
        <v>2034</v>
      </c>
      <c r="AR2" s="1">
        <f t="shared" si="0"/>
        <v>2035</v>
      </c>
      <c r="AS2" s="1">
        <f t="shared" si="0"/>
        <v>2036</v>
      </c>
      <c r="AT2" s="1">
        <f t="shared" si="0"/>
        <v>2037</v>
      </c>
      <c r="AU2" s="1">
        <f t="shared" si="0"/>
        <v>2038</v>
      </c>
      <c r="AV2" s="1">
        <f t="shared" si="0"/>
        <v>2039</v>
      </c>
      <c r="AW2" s="1">
        <f t="shared" si="0"/>
        <v>2040</v>
      </c>
      <c r="AX2" s="1">
        <f t="shared" si="0"/>
        <v>2041</v>
      </c>
      <c r="AY2" s="1">
        <f t="shared" si="0"/>
        <v>2042</v>
      </c>
      <c r="AZ2" s="1">
        <f t="shared" si="0"/>
        <v>2043</v>
      </c>
      <c r="BA2" s="1">
        <f t="shared" si="0"/>
        <v>2044</v>
      </c>
      <c r="BB2" s="1">
        <f t="shared" si="0"/>
        <v>2045</v>
      </c>
      <c r="BC2" s="1">
        <f t="shared" si="0"/>
        <v>2046</v>
      </c>
      <c r="BD2" s="1">
        <f t="shared" si="0"/>
        <v>2047</v>
      </c>
      <c r="BE2" s="1">
        <f t="shared" si="0"/>
        <v>2048</v>
      </c>
      <c r="BF2" s="1">
        <f t="shared" si="0"/>
        <v>2049</v>
      </c>
      <c r="BG2" s="1">
        <f t="shared" si="0"/>
        <v>2050</v>
      </c>
      <c r="BH2" s="1">
        <f t="shared" si="0"/>
        <v>2051</v>
      </c>
      <c r="BI2" s="1">
        <f t="shared" si="0"/>
        <v>2052</v>
      </c>
      <c r="BJ2" s="1">
        <f t="shared" si="0"/>
        <v>2053</v>
      </c>
      <c r="BK2" s="1">
        <f t="shared" si="0"/>
        <v>2054</v>
      </c>
      <c r="BL2" s="1">
        <f t="shared" si="0"/>
        <v>2055</v>
      </c>
      <c r="BM2" s="1">
        <f t="shared" si="0"/>
        <v>2056</v>
      </c>
      <c r="BN2" s="1">
        <f t="shared" si="0"/>
        <v>2057</v>
      </c>
      <c r="BO2" s="1">
        <f t="shared" si="0"/>
        <v>2058</v>
      </c>
      <c r="BP2" s="1">
        <f t="shared" si="0"/>
        <v>2059</v>
      </c>
      <c r="BQ2" s="1">
        <f t="shared" si="0"/>
        <v>2060</v>
      </c>
      <c r="BR2" s="1">
        <f t="shared" si="0"/>
        <v>2061</v>
      </c>
      <c r="BS2" s="1">
        <f t="shared" si="0"/>
        <v>2062</v>
      </c>
      <c r="BT2" s="1">
        <f t="shared" si="0"/>
        <v>2063</v>
      </c>
      <c r="BU2" s="1">
        <f t="shared" si="0"/>
        <v>2064</v>
      </c>
      <c r="BV2" s="1">
        <f t="shared" si="0"/>
        <v>2065</v>
      </c>
      <c r="BW2" s="1">
        <f t="shared" si="0"/>
        <v>2066</v>
      </c>
      <c r="BX2" s="1">
        <f t="shared" si="0"/>
        <v>2067</v>
      </c>
    </row>
    <row r="3" spans="2:76" x14ac:dyDescent="0.2">
      <c r="B3" s="7" t="s">
        <v>0</v>
      </c>
      <c r="C3" s="5">
        <v>41159</v>
      </c>
      <c r="D3" s="5">
        <v>38297</v>
      </c>
      <c r="E3" s="5">
        <v>46173</v>
      </c>
      <c r="F3" s="5">
        <f>182527-SUM(C3:E3)</f>
        <v>56898</v>
      </c>
      <c r="G3" s="5">
        <v>55314</v>
      </c>
      <c r="H3" s="5">
        <v>61880</v>
      </c>
      <c r="I3" s="5">
        <v>65118</v>
      </c>
      <c r="J3" s="5">
        <f>257637-SUM(G3:I3)</f>
        <v>75325</v>
      </c>
      <c r="K3" s="5">
        <v>68011</v>
      </c>
      <c r="L3" s="5">
        <v>69685</v>
      </c>
      <c r="M3" s="5">
        <v>69092</v>
      </c>
      <c r="N3" s="5">
        <f>282836-SUM(K3:M3)</f>
        <v>76048</v>
      </c>
      <c r="O3" s="5">
        <v>69787</v>
      </c>
      <c r="P3" s="5">
        <v>74604</v>
      </c>
      <c r="Q3" s="5">
        <v>76693</v>
      </c>
      <c r="R3" s="5">
        <f>307394-SUM(O3:Q3)</f>
        <v>86310</v>
      </c>
      <c r="S3" s="5">
        <v>80539</v>
      </c>
      <c r="T3" s="5">
        <v>84742</v>
      </c>
      <c r="U3" s="5">
        <v>88268</v>
      </c>
      <c r="V3" s="5">
        <f>350018-SUM(S2:U3)</f>
        <v>96469</v>
      </c>
      <c r="W3" s="5">
        <v>90234</v>
      </c>
      <c r="X3" s="21">
        <f>96428</f>
        <v>96428</v>
      </c>
      <c r="Y3" s="21">
        <f>X3*1.06</f>
        <v>102213.68000000001</v>
      </c>
      <c r="Z3" s="21">
        <f>Y3*1.06</f>
        <v>108346.50080000001</v>
      </c>
      <c r="AB3" s="1"/>
      <c r="AC3" s="3">
        <f>SUM(C3:F3)</f>
        <v>182527</v>
      </c>
      <c r="AD3" s="3">
        <f>SUM(G3:J3)</f>
        <v>257637</v>
      </c>
      <c r="AE3" s="3">
        <f>SUM(K3:N3)</f>
        <v>282836</v>
      </c>
      <c r="AF3" s="3">
        <f>SUM(O3:R3)</f>
        <v>307394</v>
      </c>
      <c r="AG3" s="3">
        <f>SUM(S3:V3)</f>
        <v>350018</v>
      </c>
      <c r="AH3" s="3">
        <f>SUM(W3:Z3)</f>
        <v>397222.18079999997</v>
      </c>
      <c r="AI3" s="3">
        <f>AH3*1.1</f>
        <v>436944.39887999999</v>
      </c>
      <c r="AJ3" s="3">
        <f>AI3*1.1</f>
        <v>480638.83876800002</v>
      </c>
      <c r="AK3" s="3">
        <f>AJ3*1.1</f>
        <v>528702.72264480009</v>
      </c>
      <c r="AL3" s="3">
        <f t="shared" ref="AL3" si="1">AK3*1.1</f>
        <v>581572.9949092801</v>
      </c>
      <c r="AM3" s="3">
        <f>AL3*1.05</f>
        <v>610651.64465474407</v>
      </c>
      <c r="AN3" s="3">
        <f t="shared" ref="AN3:AR3" si="2">AM3*1.05</f>
        <v>641184.22688748129</v>
      </c>
      <c r="AO3" s="3">
        <f t="shared" si="2"/>
        <v>673243.4382318554</v>
      </c>
      <c r="AP3" s="3">
        <f t="shared" si="2"/>
        <v>706905.61014344823</v>
      </c>
      <c r="AQ3" s="3">
        <f t="shared" si="2"/>
        <v>742250.89065062068</v>
      </c>
      <c r="AR3" s="3">
        <f t="shared" si="2"/>
        <v>779363.43518315174</v>
      </c>
      <c r="AS3" s="2"/>
      <c r="AT3" s="2"/>
      <c r="AU3" s="2"/>
      <c r="AV3" s="2"/>
      <c r="AW3" s="2"/>
      <c r="AX3" s="2"/>
      <c r="AY3" s="2"/>
      <c r="AZ3" s="2"/>
      <c r="BA3" s="2"/>
    </row>
    <row r="4" spans="2:76" x14ac:dyDescent="0.2">
      <c r="B4" s="1" t="s">
        <v>1</v>
      </c>
      <c r="C4" s="3">
        <v>18982</v>
      </c>
      <c r="D4" s="3">
        <v>18553</v>
      </c>
      <c r="E4" s="3">
        <v>21117</v>
      </c>
      <c r="F4" s="3">
        <f>84732-SUM(C4:E4)</f>
        <v>26080</v>
      </c>
      <c r="G4" s="3">
        <v>24103</v>
      </c>
      <c r="H4" s="3">
        <v>26227</v>
      </c>
      <c r="I4" s="3">
        <v>27621</v>
      </c>
      <c r="J4" s="3">
        <f>110939-SUM(G4:I4)</f>
        <v>32988</v>
      </c>
      <c r="K4" s="3">
        <v>29599</v>
      </c>
      <c r="L4" s="3">
        <v>30104</v>
      </c>
      <c r="M4" s="3">
        <v>31158</v>
      </c>
      <c r="N4" s="3">
        <f>126203-SUM(K4:M4)</f>
        <v>35342</v>
      </c>
      <c r="O4" s="3">
        <v>30612</v>
      </c>
      <c r="P4" s="3">
        <v>31916</v>
      </c>
      <c r="Q4" s="3">
        <v>33229</v>
      </c>
      <c r="R4" s="3">
        <f>133332-SUM(O4:Q4)</f>
        <v>37575</v>
      </c>
      <c r="S4" s="3">
        <v>33712</v>
      </c>
      <c r="T4" s="3">
        <v>35507</v>
      </c>
      <c r="U4" s="3">
        <v>36474</v>
      </c>
      <c r="V4" s="3">
        <f>146306-SUM(S4:U4)</f>
        <v>40613</v>
      </c>
      <c r="W4" s="3">
        <v>36361</v>
      </c>
      <c r="X4" s="3">
        <v>39039</v>
      </c>
      <c r="Y4" s="3">
        <f t="shared" ref="Y4:Z4" si="3">X4*1.06</f>
        <v>41381.340000000004</v>
      </c>
      <c r="Z4" s="3">
        <f t="shared" si="3"/>
        <v>43864.220400000006</v>
      </c>
      <c r="AB4" s="1"/>
      <c r="AC4" s="3">
        <f>SUM(C4:F4)</f>
        <v>84732</v>
      </c>
      <c r="AD4" s="3">
        <f>SUM(G4:J4)</f>
        <v>110939</v>
      </c>
      <c r="AE4" s="3">
        <f>SUM(K4:N4)</f>
        <v>126203</v>
      </c>
      <c r="AF4" s="3">
        <f>SUM(O4:R4)</f>
        <v>133332</v>
      </c>
      <c r="AG4" s="3">
        <f>SUM(S4:V4)</f>
        <v>146306</v>
      </c>
      <c r="AH4" s="3">
        <f>SUM(W4:Z4)</f>
        <v>160645.56040000002</v>
      </c>
      <c r="AI4" s="3">
        <f>AH4*1.09</f>
        <v>175103.66083600002</v>
      </c>
      <c r="AJ4" s="3">
        <f t="shared" ref="AJ4:AL4" si="4">AI4*1.09</f>
        <v>190862.99031124005</v>
      </c>
      <c r="AK4" s="3">
        <f t="shared" si="4"/>
        <v>208040.65943925167</v>
      </c>
      <c r="AL4" s="3">
        <f t="shared" si="4"/>
        <v>226764.31878878435</v>
      </c>
      <c r="AM4" s="3">
        <f>AL4*1.04</f>
        <v>235834.89154033572</v>
      </c>
      <c r="AN4" s="3">
        <f t="shared" ref="AN4:AR4" si="5">AM4*1.04</f>
        <v>245268.28720194916</v>
      </c>
      <c r="AO4" s="3">
        <f t="shared" si="5"/>
        <v>255079.01869002715</v>
      </c>
      <c r="AP4" s="3">
        <f t="shared" si="5"/>
        <v>265282.17943762825</v>
      </c>
      <c r="AQ4" s="3">
        <f t="shared" si="5"/>
        <v>275893.46661513339</v>
      </c>
      <c r="AR4" s="3">
        <f t="shared" si="5"/>
        <v>286929.20527973876</v>
      </c>
      <c r="AS4" s="2"/>
      <c r="AT4" s="2"/>
      <c r="AU4" s="2"/>
      <c r="AV4" s="2"/>
      <c r="AW4" s="2"/>
      <c r="AX4" s="2"/>
      <c r="AY4" s="2"/>
      <c r="AZ4" s="2"/>
      <c r="BA4" s="2"/>
    </row>
    <row r="5" spans="2:76" x14ac:dyDescent="0.2">
      <c r="B5" s="1" t="s">
        <v>2</v>
      </c>
      <c r="C5" s="3">
        <f t="shared" ref="C5:X5" si="6">C3-C4</f>
        <v>22177</v>
      </c>
      <c r="D5" s="3">
        <f t="shared" si="6"/>
        <v>19744</v>
      </c>
      <c r="E5" s="3">
        <f t="shared" si="6"/>
        <v>25056</v>
      </c>
      <c r="F5" s="3">
        <f t="shared" si="6"/>
        <v>30818</v>
      </c>
      <c r="G5" s="3">
        <f t="shared" si="6"/>
        <v>31211</v>
      </c>
      <c r="H5" s="3">
        <f t="shared" si="6"/>
        <v>35653</v>
      </c>
      <c r="I5" s="3">
        <f t="shared" si="6"/>
        <v>37497</v>
      </c>
      <c r="J5" s="3">
        <f t="shared" si="6"/>
        <v>42337</v>
      </c>
      <c r="K5" s="3">
        <f t="shared" si="6"/>
        <v>38412</v>
      </c>
      <c r="L5" s="3">
        <f t="shared" si="6"/>
        <v>39581</v>
      </c>
      <c r="M5" s="3">
        <f t="shared" si="6"/>
        <v>37934</v>
      </c>
      <c r="N5" s="3">
        <f t="shared" si="6"/>
        <v>40706</v>
      </c>
      <c r="O5" s="3">
        <f t="shared" si="6"/>
        <v>39175</v>
      </c>
      <c r="P5" s="3">
        <f t="shared" si="6"/>
        <v>42688</v>
      </c>
      <c r="Q5" s="3">
        <f t="shared" si="6"/>
        <v>43464</v>
      </c>
      <c r="R5" s="3">
        <f t="shared" si="6"/>
        <v>48735</v>
      </c>
      <c r="S5" s="3">
        <f t="shared" si="6"/>
        <v>46827</v>
      </c>
      <c r="T5" s="3">
        <f t="shared" si="6"/>
        <v>49235</v>
      </c>
      <c r="U5" s="3">
        <f t="shared" si="6"/>
        <v>51794</v>
      </c>
      <c r="V5" s="3">
        <f t="shared" si="6"/>
        <v>55856</v>
      </c>
      <c r="W5" s="3">
        <f t="shared" si="6"/>
        <v>53873</v>
      </c>
      <c r="X5" s="3">
        <f t="shared" si="6"/>
        <v>57389</v>
      </c>
      <c r="Y5" s="3">
        <f t="shared" ref="Y5:Z5" si="7">Y3-Y4</f>
        <v>60832.340000000004</v>
      </c>
      <c r="Z5" s="3">
        <f t="shared" si="7"/>
        <v>64482.280400000003</v>
      </c>
      <c r="AB5" s="1"/>
      <c r="AC5" s="3">
        <f t="shared" ref="AC5:AG5" si="8">AC3-AC4</f>
        <v>97795</v>
      </c>
      <c r="AD5" s="3">
        <f t="shared" si="8"/>
        <v>146698</v>
      </c>
      <c r="AE5" s="3">
        <f t="shared" si="8"/>
        <v>156633</v>
      </c>
      <c r="AF5" s="3">
        <f t="shared" si="8"/>
        <v>174062</v>
      </c>
      <c r="AG5" s="3">
        <f t="shared" si="8"/>
        <v>203712</v>
      </c>
      <c r="AH5" s="3">
        <f>AH3-AH4</f>
        <v>236576.62039999996</v>
      </c>
      <c r="AI5" s="3">
        <f t="shared" ref="AI5:AR5" si="9">AI3-AI4</f>
        <v>261840.73804399997</v>
      </c>
      <c r="AJ5" s="3">
        <f t="shared" si="9"/>
        <v>289775.84845675994</v>
      </c>
      <c r="AK5" s="3">
        <f t="shared" si="9"/>
        <v>320662.06320554845</v>
      </c>
      <c r="AL5" s="3">
        <f t="shared" si="9"/>
        <v>354808.67612049577</v>
      </c>
      <c r="AM5" s="3">
        <f t="shared" si="9"/>
        <v>374816.75311440835</v>
      </c>
      <c r="AN5" s="3">
        <f t="shared" si="9"/>
        <v>395915.93968553212</v>
      </c>
      <c r="AO5" s="3">
        <f t="shared" si="9"/>
        <v>418164.41954182822</v>
      </c>
      <c r="AP5" s="3">
        <f t="shared" si="9"/>
        <v>441623.43070581998</v>
      </c>
      <c r="AQ5" s="3">
        <f t="shared" si="9"/>
        <v>466357.42403548729</v>
      </c>
      <c r="AR5" s="3">
        <f t="shared" si="9"/>
        <v>492434.22990341298</v>
      </c>
      <c r="AS5" s="2"/>
      <c r="AT5" s="2"/>
      <c r="AU5" s="2"/>
      <c r="AV5" s="2"/>
      <c r="AW5" s="2"/>
      <c r="AX5" s="2"/>
      <c r="AY5" s="2"/>
      <c r="AZ5" s="2"/>
      <c r="BA5" s="2"/>
    </row>
    <row r="6" spans="2:76" x14ac:dyDescent="0.2">
      <c r="B6" s="1" t="s">
        <v>3</v>
      </c>
      <c r="C6" s="3">
        <v>6820</v>
      </c>
      <c r="D6" s="3">
        <v>6875</v>
      </c>
      <c r="E6" s="3">
        <v>6856</v>
      </c>
      <c r="F6" s="3">
        <f>27573-SUM(C6:E6)</f>
        <v>7022</v>
      </c>
      <c r="G6" s="3">
        <v>7485</v>
      </c>
      <c r="H6" s="3">
        <v>7675</v>
      </c>
      <c r="I6" s="3">
        <v>7694</v>
      </c>
      <c r="J6" s="3">
        <f>31562-SUM(G6:I6)</f>
        <v>8708</v>
      </c>
      <c r="K6" s="3">
        <v>9119</v>
      </c>
      <c r="L6" s="3">
        <v>9841</v>
      </c>
      <c r="M6" s="3">
        <v>10273</v>
      </c>
      <c r="N6" s="3">
        <f>39500-SUM(K6:M6)</f>
        <v>10267</v>
      </c>
      <c r="O6" s="3">
        <v>11468</v>
      </c>
      <c r="P6" s="3">
        <v>10588</v>
      </c>
      <c r="Q6" s="3">
        <v>11258</v>
      </c>
      <c r="R6" s="3">
        <f>45427-SUM(O6:Q6)</f>
        <v>12113</v>
      </c>
      <c r="S6" s="3">
        <v>11903</v>
      </c>
      <c r="T6" s="3">
        <v>11860</v>
      </c>
      <c r="U6" s="3">
        <v>12447</v>
      </c>
      <c r="V6" s="3">
        <f>49326-SUM(S6:U6)</f>
        <v>13116</v>
      </c>
      <c r="W6" s="3">
        <v>13556</v>
      </c>
      <c r="X6" s="3">
        <v>13806</v>
      </c>
      <c r="Y6" s="3">
        <f t="shared" ref="Y6:Z6" si="10">X6*1.04</f>
        <v>14358.24</v>
      </c>
      <c r="Z6" s="3">
        <f t="shared" si="10"/>
        <v>14932.569600000001</v>
      </c>
      <c r="AB6" s="1"/>
      <c r="AC6" s="3">
        <f>SUM(C6:F6)</f>
        <v>27573</v>
      </c>
      <c r="AD6" s="3">
        <f>SUM(G6:J6)</f>
        <v>31562</v>
      </c>
      <c r="AE6" s="3">
        <f>SUM(K6:N6)</f>
        <v>39500</v>
      </c>
      <c r="AF6" s="3">
        <f>SUM(O6:R6)</f>
        <v>45427</v>
      </c>
      <c r="AG6" s="3">
        <f>SUM(S6:V6)</f>
        <v>49326</v>
      </c>
      <c r="AH6" s="3">
        <f>SUM(W6:Z6)</f>
        <v>56652.809600000001</v>
      </c>
      <c r="AI6" s="3">
        <f>AH6*1.1</f>
        <v>62318.090560000004</v>
      </c>
      <c r="AJ6" s="3">
        <f t="shared" ref="AJ6:AL6" si="11">AI6*1.1</f>
        <v>68549.89961600001</v>
      </c>
      <c r="AK6" s="3">
        <f t="shared" si="11"/>
        <v>75404.889577600014</v>
      </c>
      <c r="AL6" s="3">
        <f t="shared" si="11"/>
        <v>82945.378535360025</v>
      </c>
      <c r="AM6" s="3">
        <f>AL6*1.06</f>
        <v>87922.101247481638</v>
      </c>
      <c r="AN6" s="3">
        <f t="shared" ref="AN6:AR6" si="12">AM6*1.06</f>
        <v>93197.427322330535</v>
      </c>
      <c r="AO6" s="3">
        <f t="shared" si="12"/>
        <v>98789.272961670373</v>
      </c>
      <c r="AP6" s="3">
        <f t="shared" si="12"/>
        <v>104716.6293393706</v>
      </c>
      <c r="AQ6" s="3">
        <f t="shared" si="12"/>
        <v>110999.62709973284</v>
      </c>
      <c r="AR6" s="3">
        <f t="shared" si="12"/>
        <v>117659.60472571681</v>
      </c>
      <c r="AS6" s="2"/>
      <c r="AT6" s="2"/>
      <c r="AU6" s="2"/>
      <c r="AV6" s="2"/>
      <c r="AW6" s="2"/>
      <c r="AX6" s="2"/>
      <c r="AY6" s="2"/>
      <c r="AZ6" s="2"/>
      <c r="BA6" s="2"/>
    </row>
    <row r="7" spans="2:76" x14ac:dyDescent="0.2">
      <c r="B7" s="1" t="s">
        <v>4</v>
      </c>
      <c r="C7" s="3">
        <v>4500</v>
      </c>
      <c r="D7" s="3">
        <v>3901</v>
      </c>
      <c r="E7" s="3">
        <v>4231</v>
      </c>
      <c r="F7" s="3">
        <f>17946-SUM(C7:E7)</f>
        <v>5314</v>
      </c>
      <c r="G7" s="3">
        <v>4516</v>
      </c>
      <c r="H7" s="3">
        <v>5276</v>
      </c>
      <c r="I7" s="4">
        <v>5516</v>
      </c>
      <c r="J7" s="3">
        <f>22912-SUM(G7:I7)</f>
        <v>7604</v>
      </c>
      <c r="K7" s="3">
        <v>5825</v>
      </c>
      <c r="L7" s="3">
        <v>6630</v>
      </c>
      <c r="M7" s="3">
        <v>6929</v>
      </c>
      <c r="N7" s="3">
        <v>7183</v>
      </c>
      <c r="O7" s="3">
        <v>6533</v>
      </c>
      <c r="P7" s="3">
        <v>6781</v>
      </c>
      <c r="Q7" s="3">
        <v>6884</v>
      </c>
      <c r="R7" s="3">
        <f>27917-SUM(O7:Q7)</f>
        <v>7719</v>
      </c>
      <c r="S7" s="3">
        <v>6426</v>
      </c>
      <c r="T7" s="3">
        <v>6792</v>
      </c>
      <c r="U7" s="3">
        <v>7227</v>
      </c>
      <c r="V7" s="3">
        <f>27808-SUM(S7:U7)</f>
        <v>7363</v>
      </c>
      <c r="W7" s="3">
        <v>6172</v>
      </c>
      <c r="X7" s="3">
        <v>7101</v>
      </c>
      <c r="Y7" s="3">
        <f t="shared" ref="Y7:Z7" si="13">X7*1.09</f>
        <v>7740.09</v>
      </c>
      <c r="Z7" s="3">
        <f t="shared" si="13"/>
        <v>8436.6981000000014</v>
      </c>
      <c r="AB7" s="1"/>
      <c r="AC7" s="3">
        <f>SUM(C7:F7)</f>
        <v>17946</v>
      </c>
      <c r="AD7" s="3">
        <f>SUM(G7:J7)</f>
        <v>22912</v>
      </c>
      <c r="AE7" s="3">
        <v>26567</v>
      </c>
      <c r="AF7" s="3">
        <f>SUM(O7:R7)</f>
        <v>27917</v>
      </c>
      <c r="AG7" s="3">
        <f>SUM(S7:V7)</f>
        <v>27808</v>
      </c>
      <c r="AH7" s="3">
        <f>SUM(W7:Z7)</f>
        <v>29449.788100000002</v>
      </c>
      <c r="AI7" s="3">
        <f>AH7*1.05</f>
        <v>30922.277505000002</v>
      </c>
      <c r="AJ7" s="3">
        <f t="shared" ref="AJ7:AR7" si="14">AI7*1.05</f>
        <v>32468.391380250003</v>
      </c>
      <c r="AK7" s="3">
        <f t="shared" si="14"/>
        <v>34091.810949262501</v>
      </c>
      <c r="AL7" s="3">
        <f t="shared" si="14"/>
        <v>35796.40149672563</v>
      </c>
      <c r="AM7" s="3">
        <f t="shared" si="14"/>
        <v>37586.22157156191</v>
      </c>
      <c r="AN7" s="3">
        <f t="shared" si="14"/>
        <v>39465.532650140005</v>
      </c>
      <c r="AO7" s="3">
        <f t="shared" si="14"/>
        <v>41438.809282647009</v>
      </c>
      <c r="AP7" s="3">
        <f t="shared" si="14"/>
        <v>43510.749746779358</v>
      </c>
      <c r="AQ7" s="3">
        <f t="shared" si="14"/>
        <v>45686.287234118325</v>
      </c>
      <c r="AR7" s="3">
        <f t="shared" si="14"/>
        <v>47970.601595824242</v>
      </c>
      <c r="AS7" s="2"/>
      <c r="AT7" s="2"/>
      <c r="AU7" s="2"/>
      <c r="AV7" s="2"/>
      <c r="AW7" s="2"/>
      <c r="AX7" s="2"/>
      <c r="AY7" s="2"/>
      <c r="AZ7" s="2"/>
      <c r="BA7" s="2"/>
    </row>
    <row r="8" spans="2:76" x14ac:dyDescent="0.2">
      <c r="B8" s="1" t="s">
        <v>5</v>
      </c>
      <c r="C8" s="3">
        <v>2880</v>
      </c>
      <c r="D8" s="3">
        <v>2585</v>
      </c>
      <c r="E8" s="3">
        <v>2756</v>
      </c>
      <c r="F8" s="3">
        <f>11052-SUM(C8:E8)</f>
        <v>2831</v>
      </c>
      <c r="G8" s="3">
        <v>2773</v>
      </c>
      <c r="H8" s="3">
        <v>3341</v>
      </c>
      <c r="I8" s="3">
        <v>3256</v>
      </c>
      <c r="J8" s="3">
        <f>13510-SUM(G8:I8)</f>
        <v>4140</v>
      </c>
      <c r="K8" s="3">
        <v>3374</v>
      </c>
      <c r="L8" s="3">
        <v>3657</v>
      </c>
      <c r="M8" s="3">
        <v>3597</v>
      </c>
      <c r="N8" s="3">
        <v>7183</v>
      </c>
      <c r="O8" s="3">
        <v>3759</v>
      </c>
      <c r="P8" s="3">
        <v>3481</v>
      </c>
      <c r="Q8" s="3">
        <v>3979</v>
      </c>
      <c r="R8" s="3">
        <f>16425-SUM(O8:Q8)</f>
        <v>5206</v>
      </c>
      <c r="S8" s="3">
        <v>3026</v>
      </c>
      <c r="T8" s="3">
        <v>3158</v>
      </c>
      <c r="U8" s="3">
        <v>3599</v>
      </c>
      <c r="V8" s="3">
        <f>14188-SUM(S8:U8)</f>
        <v>4405</v>
      </c>
      <c r="W8" s="3">
        <v>3539</v>
      </c>
      <c r="X8" s="3">
        <v>5209</v>
      </c>
      <c r="Y8" s="3">
        <f t="shared" ref="Y8:Z8" si="15">X8*1.04</f>
        <v>5417.3600000000006</v>
      </c>
      <c r="Z8" s="3">
        <f t="shared" si="15"/>
        <v>5634.0544000000009</v>
      </c>
      <c r="AB8" s="1"/>
      <c r="AC8" s="3">
        <f>SUM(C8:F8)</f>
        <v>11052</v>
      </c>
      <c r="AD8" s="3">
        <f>SUM(G8:J8)</f>
        <v>13510</v>
      </c>
      <c r="AE8" s="3">
        <f>SUM(K8:N8)</f>
        <v>17811</v>
      </c>
      <c r="AF8" s="3">
        <f>SUM(O8:R8)</f>
        <v>16425</v>
      </c>
      <c r="AG8" s="3">
        <f>SUM(S8:V8)</f>
        <v>14188</v>
      </c>
      <c r="AH8" s="3">
        <f>SUM(W8:Z8)</f>
        <v>19799.414400000001</v>
      </c>
      <c r="AI8" s="3">
        <f>AH8*1.05</f>
        <v>20789.385120000003</v>
      </c>
      <c r="AJ8" s="3">
        <f t="shared" ref="AJ8:AR8" si="16">AI8*1.05</f>
        <v>21828.854376000003</v>
      </c>
      <c r="AK8" s="3">
        <f t="shared" si="16"/>
        <v>22920.297094800004</v>
      </c>
      <c r="AL8" s="3">
        <f t="shared" si="16"/>
        <v>24066.311949540006</v>
      </c>
      <c r="AM8" s="3">
        <f t="shared" si="16"/>
        <v>25269.627547017008</v>
      </c>
      <c r="AN8" s="3">
        <f t="shared" si="16"/>
        <v>26533.108924367858</v>
      </c>
      <c r="AO8" s="3">
        <f t="shared" si="16"/>
        <v>27859.764370586254</v>
      </c>
      <c r="AP8" s="3">
        <f t="shared" si="16"/>
        <v>29252.752589115567</v>
      </c>
      <c r="AQ8" s="3">
        <f t="shared" si="16"/>
        <v>30715.390218571349</v>
      </c>
      <c r="AR8" s="3">
        <f t="shared" si="16"/>
        <v>32251.159729499919</v>
      </c>
      <c r="AS8" s="2"/>
      <c r="AT8" s="2"/>
      <c r="AU8" s="2"/>
      <c r="AV8" s="2"/>
      <c r="AW8" s="2"/>
      <c r="AX8" s="2"/>
      <c r="AY8" s="2"/>
      <c r="AZ8" s="2"/>
      <c r="BA8" s="2"/>
    </row>
    <row r="9" spans="2:76" x14ac:dyDescent="0.2">
      <c r="B9" s="1" t="s">
        <v>6</v>
      </c>
      <c r="C9" s="3">
        <f t="shared" ref="C9:X9" si="17">SUM(C6:C8)</f>
        <v>14200</v>
      </c>
      <c r="D9" s="3">
        <f t="shared" si="17"/>
        <v>13361</v>
      </c>
      <c r="E9" s="3">
        <f t="shared" si="17"/>
        <v>13843</v>
      </c>
      <c r="F9" s="3">
        <f t="shared" si="17"/>
        <v>15167</v>
      </c>
      <c r="G9" s="3">
        <f t="shared" si="17"/>
        <v>14774</v>
      </c>
      <c r="H9" s="3">
        <f t="shared" si="17"/>
        <v>16292</v>
      </c>
      <c r="I9" s="3">
        <f t="shared" si="17"/>
        <v>16466</v>
      </c>
      <c r="J9" s="3">
        <f t="shared" si="17"/>
        <v>20452</v>
      </c>
      <c r="K9" s="3">
        <f t="shared" si="17"/>
        <v>18318</v>
      </c>
      <c r="L9" s="3">
        <f t="shared" si="17"/>
        <v>20128</v>
      </c>
      <c r="M9" s="3">
        <f t="shared" si="17"/>
        <v>20799</v>
      </c>
      <c r="N9" s="3">
        <f>SUM(N6:N8)</f>
        <v>24633</v>
      </c>
      <c r="O9" s="3">
        <f t="shared" si="17"/>
        <v>21760</v>
      </c>
      <c r="P9" s="3">
        <f t="shared" si="17"/>
        <v>20850</v>
      </c>
      <c r="Q9" s="3">
        <f t="shared" si="17"/>
        <v>22121</v>
      </c>
      <c r="R9" s="3">
        <f t="shared" si="17"/>
        <v>25038</v>
      </c>
      <c r="S9" s="3">
        <f t="shared" si="17"/>
        <v>21355</v>
      </c>
      <c r="T9" s="3">
        <f t="shared" si="17"/>
        <v>21810</v>
      </c>
      <c r="U9" s="3">
        <f t="shared" si="17"/>
        <v>23273</v>
      </c>
      <c r="V9" s="3">
        <f t="shared" si="17"/>
        <v>24884</v>
      </c>
      <c r="W9" s="3">
        <f t="shared" si="17"/>
        <v>23267</v>
      </c>
      <c r="X9" s="3">
        <f t="shared" si="17"/>
        <v>26116</v>
      </c>
      <c r="Y9" s="3">
        <f t="shared" ref="Y9:Z9" si="18">SUM(Y6:Y8)</f>
        <v>27515.690000000002</v>
      </c>
      <c r="Z9" s="3">
        <f t="shared" si="18"/>
        <v>29003.322100000005</v>
      </c>
      <c r="AB9" s="1"/>
      <c r="AC9" s="3">
        <f t="shared" ref="AC9:AH9" si="19">SUM(AC6:AC8)</f>
        <v>56571</v>
      </c>
      <c r="AD9" s="3">
        <f t="shared" si="19"/>
        <v>67984</v>
      </c>
      <c r="AE9" s="3">
        <f t="shared" si="19"/>
        <v>83878</v>
      </c>
      <c r="AF9" s="3">
        <f t="shared" si="19"/>
        <v>89769</v>
      </c>
      <c r="AG9" s="3">
        <f t="shared" si="19"/>
        <v>91322</v>
      </c>
      <c r="AH9" s="3">
        <f t="shared" si="19"/>
        <v>105902.01209999999</v>
      </c>
      <c r="AI9" s="3">
        <f>SUM(AI6:AI8)</f>
        <v>114029.75318500001</v>
      </c>
      <c r="AJ9" s="3">
        <f t="shared" ref="AJ9:AR9" si="20">SUM(AJ6:AJ8)</f>
        <v>122847.14537225002</v>
      </c>
      <c r="AK9" s="3">
        <f t="shared" si="20"/>
        <v>132416.99762166254</v>
      </c>
      <c r="AL9" s="3">
        <f t="shared" si="20"/>
        <v>142808.09198162568</v>
      </c>
      <c r="AM9" s="3">
        <f t="shared" si="20"/>
        <v>150777.95036606054</v>
      </c>
      <c r="AN9" s="3">
        <f t="shared" si="20"/>
        <v>159196.06889683841</v>
      </c>
      <c r="AO9" s="3">
        <f t="shared" si="20"/>
        <v>168087.84661490365</v>
      </c>
      <c r="AP9" s="3">
        <f t="shared" si="20"/>
        <v>177480.13167526555</v>
      </c>
      <c r="AQ9" s="3">
        <f t="shared" si="20"/>
        <v>187401.30455242252</v>
      </c>
      <c r="AR9" s="3">
        <f t="shared" si="20"/>
        <v>197881.36605104097</v>
      </c>
      <c r="AS9" s="2"/>
      <c r="AT9" s="2"/>
      <c r="AU9" s="2"/>
      <c r="AV9" s="2"/>
      <c r="AW9" s="2"/>
      <c r="AX9" s="2"/>
      <c r="AY9" s="2"/>
      <c r="AZ9" s="2"/>
      <c r="BA9" s="2"/>
    </row>
    <row r="10" spans="2:76" x14ac:dyDescent="0.2">
      <c r="B10" s="1" t="s">
        <v>7</v>
      </c>
      <c r="C10" s="3">
        <f t="shared" ref="C10:X10" si="21">C5-C9</f>
        <v>7977</v>
      </c>
      <c r="D10" s="3">
        <f t="shared" si="21"/>
        <v>6383</v>
      </c>
      <c r="E10" s="3">
        <f t="shared" si="21"/>
        <v>11213</v>
      </c>
      <c r="F10" s="3">
        <f t="shared" si="21"/>
        <v>15651</v>
      </c>
      <c r="G10" s="3">
        <f t="shared" si="21"/>
        <v>16437</v>
      </c>
      <c r="H10" s="3">
        <f t="shared" si="21"/>
        <v>19361</v>
      </c>
      <c r="I10" s="3">
        <f t="shared" si="21"/>
        <v>21031</v>
      </c>
      <c r="J10" s="3">
        <f t="shared" si="21"/>
        <v>21885</v>
      </c>
      <c r="K10" s="3">
        <f t="shared" si="21"/>
        <v>20094</v>
      </c>
      <c r="L10" s="3">
        <f t="shared" si="21"/>
        <v>19453</v>
      </c>
      <c r="M10" s="3">
        <f t="shared" si="21"/>
        <v>17135</v>
      </c>
      <c r="N10" s="3">
        <f t="shared" si="21"/>
        <v>16073</v>
      </c>
      <c r="O10" s="3">
        <f t="shared" si="21"/>
        <v>17415</v>
      </c>
      <c r="P10" s="3">
        <f t="shared" si="21"/>
        <v>21838</v>
      </c>
      <c r="Q10" s="3">
        <f t="shared" si="21"/>
        <v>21343</v>
      </c>
      <c r="R10" s="3">
        <f t="shared" si="21"/>
        <v>23697</v>
      </c>
      <c r="S10" s="3">
        <f t="shared" si="21"/>
        <v>25472</v>
      </c>
      <c r="T10" s="3">
        <f t="shared" si="21"/>
        <v>27425</v>
      </c>
      <c r="U10" s="3">
        <f t="shared" si="21"/>
        <v>28521</v>
      </c>
      <c r="V10" s="3">
        <f t="shared" si="21"/>
        <v>30972</v>
      </c>
      <c r="W10" s="3">
        <f t="shared" si="21"/>
        <v>30606</v>
      </c>
      <c r="X10" s="3">
        <f t="shared" si="21"/>
        <v>31273</v>
      </c>
      <c r="Y10" s="3">
        <f t="shared" ref="Y10:Z10" si="22">Y5-Y9</f>
        <v>33316.65</v>
      </c>
      <c r="Z10" s="3">
        <f t="shared" si="22"/>
        <v>35478.958299999998</v>
      </c>
      <c r="AB10" s="1"/>
      <c r="AC10" s="3">
        <f t="shared" ref="AC10:AG10" si="23">AC5-AC9</f>
        <v>41224</v>
      </c>
      <c r="AD10" s="3">
        <f t="shared" si="23"/>
        <v>78714</v>
      </c>
      <c r="AE10" s="3">
        <f t="shared" si="23"/>
        <v>72755</v>
      </c>
      <c r="AF10" s="3">
        <f t="shared" si="23"/>
        <v>84293</v>
      </c>
      <c r="AG10" s="3">
        <f t="shared" si="23"/>
        <v>112390</v>
      </c>
      <c r="AH10" s="3">
        <f>AH5-AH9</f>
        <v>130674.60829999996</v>
      </c>
      <c r="AI10" s="3">
        <f t="shared" ref="AI10:AR10" si="24">AI5-AI9</f>
        <v>147810.98485899996</v>
      </c>
      <c r="AJ10" s="3">
        <f t="shared" si="24"/>
        <v>166928.70308450994</v>
      </c>
      <c r="AK10" s="3">
        <f t="shared" si="24"/>
        <v>188245.06558388591</v>
      </c>
      <c r="AL10" s="3">
        <f>AL5-AL9</f>
        <v>212000.58413887009</v>
      </c>
      <c r="AM10" s="3">
        <f t="shared" si="24"/>
        <v>224038.80274834781</v>
      </c>
      <c r="AN10" s="3">
        <f t="shared" si="24"/>
        <v>236719.87078869372</v>
      </c>
      <c r="AO10" s="3">
        <f t="shared" si="24"/>
        <v>250076.57292692456</v>
      </c>
      <c r="AP10" s="3">
        <f t="shared" si="24"/>
        <v>264143.29903055442</v>
      </c>
      <c r="AQ10" s="3">
        <f t="shared" si="24"/>
        <v>278956.11948306474</v>
      </c>
      <c r="AR10" s="3">
        <f t="shared" si="24"/>
        <v>294552.86385237204</v>
      </c>
      <c r="AS10" s="2"/>
      <c r="AT10" s="2"/>
      <c r="AU10" s="2"/>
      <c r="AV10" s="2"/>
      <c r="AW10" s="2"/>
      <c r="AX10" s="2"/>
      <c r="AY10" s="2"/>
      <c r="AZ10" s="2"/>
      <c r="BA10" s="2"/>
    </row>
    <row r="11" spans="2:76" x14ac:dyDescent="0.2">
      <c r="B11" s="1" t="s">
        <v>8</v>
      </c>
      <c r="C11" s="3">
        <v>-220</v>
      </c>
      <c r="D11" s="3">
        <v>1894</v>
      </c>
      <c r="E11" s="3">
        <v>2146</v>
      </c>
      <c r="F11" s="3">
        <f>6858-SUM(C11:E11)</f>
        <v>3038</v>
      </c>
      <c r="G11" s="3">
        <v>4846</v>
      </c>
      <c r="H11" s="3">
        <v>2624</v>
      </c>
      <c r="I11" s="3">
        <v>2033</v>
      </c>
      <c r="J11" s="3">
        <f>12020-SUM(G11:I11)</f>
        <v>2517</v>
      </c>
      <c r="K11" s="3">
        <v>-1160</v>
      </c>
      <c r="L11" s="3">
        <v>-439</v>
      </c>
      <c r="M11" s="3">
        <v>-902</v>
      </c>
      <c r="N11" s="3">
        <f>-3514-SUM(K11:M11)</f>
        <v>-1013</v>
      </c>
      <c r="O11" s="3">
        <v>790</v>
      </c>
      <c r="P11" s="3">
        <v>65</v>
      </c>
      <c r="Q11" s="3">
        <v>-146</v>
      </c>
      <c r="R11" s="3">
        <f>1424-SUM(O11:Q11)</f>
        <v>715</v>
      </c>
      <c r="S11" s="3">
        <v>600</v>
      </c>
      <c r="T11" s="3">
        <v>126</v>
      </c>
      <c r="U11" s="3">
        <v>0</v>
      </c>
      <c r="V11" s="3">
        <v>1338</v>
      </c>
      <c r="W11" s="3"/>
      <c r="X11" s="3">
        <v>2662</v>
      </c>
      <c r="Y11" s="3">
        <f t="shared" ref="Y11:Z11" si="25">W11*1.01</f>
        <v>0</v>
      </c>
      <c r="Z11" s="3">
        <f t="shared" si="25"/>
        <v>2688.62</v>
      </c>
      <c r="AB11" s="1"/>
      <c r="AC11" s="3">
        <f>SUM(C11:F11)</f>
        <v>6858</v>
      </c>
      <c r="AD11" s="3">
        <f>SUM(G11:J11)</f>
        <v>12020</v>
      </c>
      <c r="AE11" s="3">
        <f>SUM(K11:N11)</f>
        <v>-3514</v>
      </c>
      <c r="AF11" s="3">
        <f>SUM(O11:R11)</f>
        <v>1424</v>
      </c>
      <c r="AG11" s="3">
        <f>SUM(S11:V11)</f>
        <v>2064</v>
      </c>
      <c r="AH11" s="3">
        <f>SUM(W11:Z11)</f>
        <v>5350.62</v>
      </c>
      <c r="AI11" s="3">
        <f>AH11*1.01</f>
        <v>5404.1261999999997</v>
      </c>
      <c r="AJ11" s="3">
        <f t="shared" ref="AJ11:AR11" si="26">AI11*1.01</f>
        <v>5458.1674619999994</v>
      </c>
      <c r="AK11" s="3">
        <f t="shared" si="26"/>
        <v>5512.7491366199993</v>
      </c>
      <c r="AL11" s="3">
        <f t="shared" si="26"/>
        <v>5567.8766279861993</v>
      </c>
      <c r="AM11" s="3">
        <f t="shared" si="26"/>
        <v>5623.5553942660617</v>
      </c>
      <c r="AN11" s="3">
        <f t="shared" si="26"/>
        <v>5679.7909482087225</v>
      </c>
      <c r="AO11" s="3">
        <f t="shared" si="26"/>
        <v>5736.5888576908101</v>
      </c>
      <c r="AP11" s="3">
        <f t="shared" si="26"/>
        <v>5793.9547462677183</v>
      </c>
      <c r="AQ11" s="3">
        <f t="shared" si="26"/>
        <v>5851.8942937303955</v>
      </c>
      <c r="AR11" s="3">
        <f t="shared" si="26"/>
        <v>5910.4132366676995</v>
      </c>
      <c r="AS11" s="2"/>
      <c r="AT11" s="2"/>
      <c r="AU11" s="2"/>
      <c r="AV11" s="2"/>
      <c r="AW11" s="2"/>
      <c r="AX11" s="2"/>
      <c r="AY11" s="2"/>
      <c r="AZ11" s="2"/>
      <c r="BA11" s="2"/>
    </row>
    <row r="12" spans="2:76" x14ac:dyDescent="0.2">
      <c r="B12" s="1" t="s">
        <v>9</v>
      </c>
      <c r="C12" s="3">
        <f t="shared" ref="C12:W12" si="27">SUM(C10:C11)</f>
        <v>7757</v>
      </c>
      <c r="D12" s="3">
        <f t="shared" si="27"/>
        <v>8277</v>
      </c>
      <c r="E12" s="3">
        <f t="shared" si="27"/>
        <v>13359</v>
      </c>
      <c r="F12" s="3">
        <f t="shared" si="27"/>
        <v>18689</v>
      </c>
      <c r="G12" s="3">
        <f t="shared" si="27"/>
        <v>21283</v>
      </c>
      <c r="H12" s="3">
        <f t="shared" si="27"/>
        <v>21985</v>
      </c>
      <c r="I12" s="3">
        <f t="shared" si="27"/>
        <v>23064</v>
      </c>
      <c r="J12" s="3">
        <f t="shared" si="27"/>
        <v>24402</v>
      </c>
      <c r="K12" s="3">
        <f t="shared" si="27"/>
        <v>18934</v>
      </c>
      <c r="L12" s="3">
        <f t="shared" si="27"/>
        <v>19014</v>
      </c>
      <c r="M12" s="3">
        <f t="shared" si="27"/>
        <v>16233</v>
      </c>
      <c r="N12" s="3">
        <f t="shared" si="27"/>
        <v>15060</v>
      </c>
      <c r="O12" s="3">
        <f t="shared" si="27"/>
        <v>18205</v>
      </c>
      <c r="P12" s="3">
        <f t="shared" si="27"/>
        <v>21903</v>
      </c>
      <c r="Q12" s="3">
        <f t="shared" si="27"/>
        <v>21197</v>
      </c>
      <c r="R12" s="3">
        <f t="shared" si="27"/>
        <v>24412</v>
      </c>
      <c r="S12" s="3">
        <f t="shared" si="27"/>
        <v>26072</v>
      </c>
      <c r="T12" s="3">
        <f t="shared" si="27"/>
        <v>27551</v>
      </c>
      <c r="U12" s="3">
        <f t="shared" si="27"/>
        <v>28521</v>
      </c>
      <c r="V12" s="3">
        <f t="shared" si="27"/>
        <v>32310</v>
      </c>
      <c r="W12" s="3">
        <f t="shared" si="27"/>
        <v>30606</v>
      </c>
      <c r="X12" s="3">
        <f>SUM(X10:X11)</f>
        <v>33935</v>
      </c>
      <c r="Y12" s="3">
        <f t="shared" ref="Y12:Z12" si="28">SUM(Y10:Y11)</f>
        <v>33316.65</v>
      </c>
      <c r="Z12" s="3">
        <f t="shared" si="28"/>
        <v>38167.578300000001</v>
      </c>
      <c r="AB12" s="1"/>
      <c r="AC12" s="3">
        <f t="shared" ref="AC12:AF12" si="29">SUM(AC10:AC11)</f>
        <v>48082</v>
      </c>
      <c r="AD12" s="3">
        <f t="shared" si="29"/>
        <v>90734</v>
      </c>
      <c r="AE12" s="3">
        <f t="shared" si="29"/>
        <v>69241</v>
      </c>
      <c r="AF12" s="3">
        <f t="shared" si="29"/>
        <v>85717</v>
      </c>
      <c r="AG12" s="3">
        <f>SUM(AG10:AG11)</f>
        <v>114454</v>
      </c>
      <c r="AH12" s="3">
        <f>SUM(AH10:AH11)</f>
        <v>136025.22829999996</v>
      </c>
      <c r="AI12" s="3">
        <f>SUM(AI10:AI11)</f>
        <v>153215.11105899996</v>
      </c>
      <c r="AJ12" s="3">
        <f t="shared" ref="AJ12:AR12" si="30">SUM(AJ10:AJ11)</f>
        <v>172386.87054650995</v>
      </c>
      <c r="AK12" s="3">
        <f t="shared" si="30"/>
        <v>193757.81472050591</v>
      </c>
      <c r="AL12" s="3">
        <f>SUM(AL10:AL11)</f>
        <v>217568.4607668563</v>
      </c>
      <c r="AM12" s="3">
        <f t="shared" si="30"/>
        <v>229662.35814261387</v>
      </c>
      <c r="AN12" s="3">
        <f t="shared" si="30"/>
        <v>242399.66173690243</v>
      </c>
      <c r="AO12" s="3">
        <f t="shared" si="30"/>
        <v>255813.16178461537</v>
      </c>
      <c r="AP12" s="3">
        <f t="shared" si="30"/>
        <v>269937.25377682212</v>
      </c>
      <c r="AQ12" s="3">
        <f t="shared" si="30"/>
        <v>284808.01377679512</v>
      </c>
      <c r="AR12" s="3">
        <f t="shared" si="30"/>
        <v>300463.27708903974</v>
      </c>
      <c r="AS12" s="2"/>
      <c r="AT12" s="2"/>
      <c r="AU12" s="2"/>
      <c r="AV12" s="2"/>
      <c r="AW12" s="2"/>
      <c r="AX12" s="2"/>
      <c r="AY12" s="2"/>
      <c r="AZ12" s="2"/>
      <c r="BA12" s="2"/>
    </row>
    <row r="13" spans="2:76" x14ac:dyDescent="0.2">
      <c r="B13" s="1" t="s">
        <v>10</v>
      </c>
      <c r="C13" s="3">
        <v>921</v>
      </c>
      <c r="D13" s="3">
        <v>1318</v>
      </c>
      <c r="E13" s="3">
        <v>2112</v>
      </c>
      <c r="F13" s="3">
        <f>7813-SUM(C13:E13)</f>
        <v>3462</v>
      </c>
      <c r="G13" s="3">
        <v>3353</v>
      </c>
      <c r="H13" s="3">
        <v>3460</v>
      </c>
      <c r="I13" s="3">
        <v>4128</v>
      </c>
      <c r="J13" s="3">
        <f>14701-SUM(G13:I13)</f>
        <v>3760</v>
      </c>
      <c r="K13" s="3">
        <v>2498</v>
      </c>
      <c r="L13" s="3">
        <v>3012</v>
      </c>
      <c r="M13" s="3">
        <v>2323</v>
      </c>
      <c r="N13" s="3">
        <f>11356-SUM(K13:M13)</f>
        <v>3523</v>
      </c>
      <c r="O13" s="3">
        <v>3154</v>
      </c>
      <c r="P13" s="3">
        <v>3535</v>
      </c>
      <c r="Q13" s="3">
        <v>1508</v>
      </c>
      <c r="R13" s="3">
        <f>11922-SUM(O13:Q13)</f>
        <v>3725</v>
      </c>
      <c r="S13" s="3">
        <v>4653</v>
      </c>
      <c r="T13" s="3">
        <v>3932</v>
      </c>
      <c r="U13" s="3">
        <v>5405</v>
      </c>
      <c r="V13" s="3">
        <f>19697-SUM(S13:U13)</f>
        <v>5707</v>
      </c>
      <c r="W13" s="3">
        <v>7249</v>
      </c>
      <c r="X13" s="3">
        <v>5737</v>
      </c>
      <c r="Y13" s="3">
        <v>7249</v>
      </c>
      <c r="Z13" s="3">
        <v>7249</v>
      </c>
      <c r="AB13" s="1"/>
      <c r="AC13" s="3">
        <f>SUM(C13:F13)</f>
        <v>7813</v>
      </c>
      <c r="AD13" s="3">
        <f>SUM(G13:J13)</f>
        <v>14701</v>
      </c>
      <c r="AE13" s="3">
        <f>SUM(K13:N13)</f>
        <v>11356</v>
      </c>
      <c r="AF13" s="3">
        <f>SUM(O13:R13)</f>
        <v>11922</v>
      </c>
      <c r="AG13" s="3">
        <f>SUM(S13:V13)</f>
        <v>19697</v>
      </c>
      <c r="AH13" s="3">
        <f>SUM(W13:Z13)</f>
        <v>27484</v>
      </c>
      <c r="AI13" s="3">
        <f>SUM(I13:L13)</f>
        <v>13398</v>
      </c>
      <c r="AJ13" s="3">
        <f t="shared" ref="AJ13:AR13" si="31">SUM(J13:M13)</f>
        <v>11593</v>
      </c>
      <c r="AK13" s="3">
        <f t="shared" si="31"/>
        <v>11356</v>
      </c>
      <c r="AL13" s="3">
        <f t="shared" si="31"/>
        <v>12012</v>
      </c>
      <c r="AM13" s="3">
        <f t="shared" si="31"/>
        <v>12535</v>
      </c>
      <c r="AN13" s="3">
        <f t="shared" si="31"/>
        <v>11720</v>
      </c>
      <c r="AO13" s="3">
        <f t="shared" si="31"/>
        <v>11922</v>
      </c>
      <c r="AP13" s="3">
        <f t="shared" si="31"/>
        <v>13421</v>
      </c>
      <c r="AQ13" s="3">
        <f t="shared" si="31"/>
        <v>13818</v>
      </c>
      <c r="AR13" s="3">
        <f t="shared" si="31"/>
        <v>17715</v>
      </c>
      <c r="AS13" s="2"/>
      <c r="AT13" s="2"/>
      <c r="AU13" s="2"/>
      <c r="AV13" s="2"/>
      <c r="AW13" s="2"/>
      <c r="AX13" s="2"/>
      <c r="AY13" s="2"/>
      <c r="AZ13" s="2"/>
      <c r="BA13" s="2"/>
    </row>
    <row r="14" spans="2:76" x14ac:dyDescent="0.2">
      <c r="B14" s="1" t="s">
        <v>11</v>
      </c>
      <c r="C14" s="3">
        <f t="shared" ref="C14:X14" si="32">C12-C13</f>
        <v>6836</v>
      </c>
      <c r="D14" s="3">
        <f t="shared" si="32"/>
        <v>6959</v>
      </c>
      <c r="E14" s="3">
        <f t="shared" si="32"/>
        <v>11247</v>
      </c>
      <c r="F14" s="3">
        <f t="shared" si="32"/>
        <v>15227</v>
      </c>
      <c r="G14" s="3">
        <f t="shared" si="32"/>
        <v>17930</v>
      </c>
      <c r="H14" s="3">
        <f t="shared" si="32"/>
        <v>18525</v>
      </c>
      <c r="I14" s="3">
        <f t="shared" si="32"/>
        <v>18936</v>
      </c>
      <c r="J14" s="3">
        <f t="shared" si="32"/>
        <v>20642</v>
      </c>
      <c r="K14" s="3">
        <f t="shared" si="32"/>
        <v>16436</v>
      </c>
      <c r="L14" s="3">
        <f t="shared" si="32"/>
        <v>16002</v>
      </c>
      <c r="M14" s="3">
        <f t="shared" si="32"/>
        <v>13910</v>
      </c>
      <c r="N14" s="3">
        <f t="shared" si="32"/>
        <v>11537</v>
      </c>
      <c r="O14" s="3">
        <f>O12-O13</f>
        <v>15051</v>
      </c>
      <c r="P14" s="3">
        <f t="shared" si="32"/>
        <v>18368</v>
      </c>
      <c r="Q14" s="3">
        <f t="shared" si="32"/>
        <v>19689</v>
      </c>
      <c r="R14" s="3">
        <f t="shared" si="32"/>
        <v>20687</v>
      </c>
      <c r="S14" s="3">
        <f t="shared" si="32"/>
        <v>21419</v>
      </c>
      <c r="T14" s="3">
        <f t="shared" si="32"/>
        <v>23619</v>
      </c>
      <c r="U14" s="3">
        <f t="shared" si="32"/>
        <v>23116</v>
      </c>
      <c r="V14" s="3">
        <f t="shared" si="32"/>
        <v>26603</v>
      </c>
      <c r="W14" s="3">
        <f t="shared" si="32"/>
        <v>23357</v>
      </c>
      <c r="X14" s="3">
        <f t="shared" si="32"/>
        <v>28198</v>
      </c>
      <c r="Y14" s="3">
        <f t="shared" ref="Y14:Z14" si="33">Y12-Y13</f>
        <v>26067.65</v>
      </c>
      <c r="Z14" s="3">
        <f t="shared" si="33"/>
        <v>30918.578300000001</v>
      </c>
      <c r="AB14" s="1"/>
      <c r="AC14" s="3">
        <f t="shared" ref="AC14:AG14" si="34">AC12-AC13</f>
        <v>40269</v>
      </c>
      <c r="AD14" s="3">
        <f t="shared" si="34"/>
        <v>76033</v>
      </c>
      <c r="AE14" s="3">
        <f t="shared" si="34"/>
        <v>57885</v>
      </c>
      <c r="AF14" s="3">
        <f t="shared" si="34"/>
        <v>73795</v>
      </c>
      <c r="AG14" s="3">
        <f t="shared" si="34"/>
        <v>94757</v>
      </c>
      <c r="AH14" s="3">
        <f>AH12-AH13</f>
        <v>108541.22829999996</v>
      </c>
      <c r="AI14" s="3">
        <f>AI12-AI13</f>
        <v>139817.11105899996</v>
      </c>
      <c r="AJ14" s="3">
        <f t="shared" ref="AJ14:AR14" si="35">AJ12-AJ13</f>
        <v>160793.87054650995</v>
      </c>
      <c r="AK14" s="3">
        <f t="shared" si="35"/>
        <v>182401.81472050591</v>
      </c>
      <c r="AL14" s="3">
        <f t="shared" si="35"/>
        <v>205556.4607668563</v>
      </c>
      <c r="AM14" s="3">
        <f t="shared" si="35"/>
        <v>217127.35814261387</v>
      </c>
      <c r="AN14" s="3">
        <f t="shared" si="35"/>
        <v>230679.66173690243</v>
      </c>
      <c r="AO14" s="3">
        <f t="shared" si="35"/>
        <v>243891.16178461537</v>
      </c>
      <c r="AP14" s="3">
        <f t="shared" si="35"/>
        <v>256516.25377682212</v>
      </c>
      <c r="AQ14" s="3">
        <f t="shared" si="35"/>
        <v>270990.01377679512</v>
      </c>
      <c r="AR14" s="3">
        <f t="shared" si="35"/>
        <v>282748.27708903974</v>
      </c>
      <c r="AS14" s="2">
        <f>+AR14*(1+$AT$25)</f>
        <v>279920.79431814933</v>
      </c>
      <c r="AT14" s="2">
        <f t="shared" ref="AT14:BX14" si="36">+AS14*(1+$AT$25)</f>
        <v>277121.58637496782</v>
      </c>
      <c r="AU14" s="2">
        <f t="shared" si="36"/>
        <v>274350.37051121815</v>
      </c>
      <c r="AV14" s="2">
        <f t="shared" si="36"/>
        <v>271606.86680610594</v>
      </c>
      <c r="AW14" s="2">
        <f t="shared" si="36"/>
        <v>268890.79813804489</v>
      </c>
      <c r="AX14" s="2">
        <f t="shared" si="36"/>
        <v>266201.89015666442</v>
      </c>
      <c r="AY14" s="2">
        <f t="shared" si="36"/>
        <v>263539.87125509779</v>
      </c>
      <c r="AZ14" s="2">
        <f t="shared" si="36"/>
        <v>260904.47254254681</v>
      </c>
      <c r="BA14" s="2">
        <f t="shared" si="36"/>
        <v>258295.42781712132</v>
      </c>
      <c r="BB14" s="2">
        <f t="shared" si="36"/>
        <v>255712.47353895011</v>
      </c>
      <c r="BC14" s="2">
        <f t="shared" si="36"/>
        <v>253155.3488035606</v>
      </c>
      <c r="BD14" s="2">
        <f t="shared" si="36"/>
        <v>250623.795315525</v>
      </c>
      <c r="BE14" s="2">
        <f t="shared" si="36"/>
        <v>248117.55736236976</v>
      </c>
      <c r="BF14" s="2">
        <f t="shared" si="36"/>
        <v>245636.38178874605</v>
      </c>
      <c r="BG14" s="2">
        <f t="shared" si="36"/>
        <v>243180.01797085858</v>
      </c>
      <c r="BH14" s="2">
        <f t="shared" si="36"/>
        <v>240748.21779115</v>
      </c>
      <c r="BI14" s="2">
        <f t="shared" si="36"/>
        <v>238340.7356132385</v>
      </c>
      <c r="BJ14" s="2">
        <f t="shared" si="36"/>
        <v>235957.32825710613</v>
      </c>
      <c r="BK14" s="2">
        <f t="shared" si="36"/>
        <v>233597.75497453506</v>
      </c>
      <c r="BL14" s="2">
        <f t="shared" si="36"/>
        <v>231261.7774247897</v>
      </c>
      <c r="BM14" s="2">
        <f t="shared" si="36"/>
        <v>228949.15965054181</v>
      </c>
      <c r="BN14" s="2">
        <f t="shared" si="36"/>
        <v>226659.66805403639</v>
      </c>
      <c r="BO14" s="2">
        <f t="shared" si="36"/>
        <v>224393.07137349603</v>
      </c>
      <c r="BP14" s="2">
        <f t="shared" si="36"/>
        <v>222149.14065976106</v>
      </c>
      <c r="BQ14" s="2">
        <f t="shared" si="36"/>
        <v>219927.64925316346</v>
      </c>
      <c r="BR14" s="2">
        <f t="shared" si="36"/>
        <v>217728.37276063181</v>
      </c>
      <c r="BS14" s="2">
        <f t="shared" si="36"/>
        <v>215551.08903302549</v>
      </c>
      <c r="BT14" s="2">
        <f t="shared" si="36"/>
        <v>213395.57814269525</v>
      </c>
      <c r="BU14" s="2">
        <f t="shared" si="36"/>
        <v>211261.6223612683</v>
      </c>
      <c r="BV14" s="2">
        <f t="shared" si="36"/>
        <v>209149.00613765561</v>
      </c>
      <c r="BW14" s="2">
        <f t="shared" si="36"/>
        <v>207057.51607627905</v>
      </c>
      <c r="BX14" s="2">
        <f t="shared" si="36"/>
        <v>204986.94091551626</v>
      </c>
    </row>
    <row r="15" spans="2:76" x14ac:dyDescent="0.2">
      <c r="B15" s="1" t="s">
        <v>13</v>
      </c>
      <c r="C15" s="3">
        <f>300+46+336</f>
        <v>682</v>
      </c>
      <c r="D15" s="3">
        <f>300+46+333</f>
        <v>679</v>
      </c>
      <c r="E15" s="3">
        <f>300+45+329</f>
        <v>674</v>
      </c>
      <c r="F15" s="3">
        <v>682.96900000000005</v>
      </c>
      <c r="G15" s="3">
        <f>300+45+323</f>
        <v>668</v>
      </c>
      <c r="H15" s="3">
        <f>301+45+320</f>
        <v>666</v>
      </c>
      <c r="I15" s="3">
        <f>300+45+317</f>
        <v>662</v>
      </c>
      <c r="J15" s="3">
        <v>672</v>
      </c>
      <c r="K15" s="3">
        <f>300+44+313</f>
        <v>657</v>
      </c>
      <c r="L15" s="3">
        <f>5996+885+6163</f>
        <v>13044</v>
      </c>
      <c r="M15" s="3">
        <f>5973+884+6086</f>
        <v>12943</v>
      </c>
      <c r="N15" s="3">
        <v>12823</v>
      </c>
      <c r="O15" s="3">
        <f>5941+882+5874</f>
        <v>12697</v>
      </c>
      <c r="P15" s="3">
        <f>5933+875+5801</f>
        <v>12609</v>
      </c>
      <c r="Q15" s="3">
        <f>5918+873+5725</f>
        <v>12516</v>
      </c>
      <c r="R15" s="3">
        <v>12602</v>
      </c>
      <c r="S15" s="3">
        <f>5874+867+5617</f>
        <v>12358</v>
      </c>
      <c r="T15" s="3">
        <f>5859+866+5585</f>
        <v>12310</v>
      </c>
      <c r="U15" s="3">
        <f>5843+864+5534</f>
        <v>12241</v>
      </c>
      <c r="V15" s="3">
        <f>5833+860+5497</f>
        <v>12190</v>
      </c>
      <c r="W15" s="3">
        <v>12135</v>
      </c>
      <c r="X15" s="3">
        <v>12135</v>
      </c>
      <c r="Y15" s="3">
        <v>12135</v>
      </c>
      <c r="Z15" s="3">
        <v>12135</v>
      </c>
      <c r="AB15" s="1"/>
      <c r="AC15" s="3">
        <v>687</v>
      </c>
      <c r="AD15" s="3">
        <v>687</v>
      </c>
      <c r="AE15" s="3">
        <v>13094</v>
      </c>
      <c r="AF15" s="3">
        <v>12688</v>
      </c>
      <c r="AG15" s="3">
        <v>687</v>
      </c>
      <c r="AH15" s="3">
        <v>2291</v>
      </c>
      <c r="AI15" s="3">
        <v>2291</v>
      </c>
      <c r="AJ15" s="3">
        <v>2291</v>
      </c>
      <c r="AK15" s="3">
        <v>2291</v>
      </c>
      <c r="AL15" s="3">
        <v>2291</v>
      </c>
      <c r="AM15" s="3">
        <v>2291</v>
      </c>
      <c r="AN15" s="3">
        <v>2291</v>
      </c>
      <c r="AO15" s="3">
        <v>2291</v>
      </c>
      <c r="AP15" s="3">
        <v>2291</v>
      </c>
      <c r="AQ15" s="3">
        <v>2291</v>
      </c>
      <c r="AR15" s="3">
        <v>2291</v>
      </c>
    </row>
    <row r="16" spans="2:76" x14ac:dyDescent="0.2">
      <c r="B16" s="7" t="s">
        <v>12</v>
      </c>
      <c r="C16" s="9">
        <f t="shared" ref="C16:X16" si="37">C14/C15</f>
        <v>10.023460410557185</v>
      </c>
      <c r="D16" s="9">
        <f t="shared" si="37"/>
        <v>10.248895434462444</v>
      </c>
      <c r="E16" s="9">
        <f t="shared" si="37"/>
        <v>16.686943620178042</v>
      </c>
      <c r="F16" s="9">
        <f t="shared" si="37"/>
        <v>22.295301836540162</v>
      </c>
      <c r="G16" s="9">
        <f t="shared" si="37"/>
        <v>26.841317365269461</v>
      </c>
      <c r="H16" s="9">
        <f t="shared" si="37"/>
        <v>27.815315315315317</v>
      </c>
      <c r="I16" s="9">
        <f t="shared" si="37"/>
        <v>28.604229607250755</v>
      </c>
      <c r="J16" s="9">
        <f t="shared" si="37"/>
        <v>30.717261904761905</v>
      </c>
      <c r="K16" s="9">
        <f t="shared" si="37"/>
        <v>25.016742770167429</v>
      </c>
      <c r="L16" s="9">
        <f t="shared" si="37"/>
        <v>1.2267709291628335</v>
      </c>
      <c r="M16" s="9">
        <f t="shared" si="37"/>
        <v>1.0747121996445956</v>
      </c>
      <c r="N16" s="9">
        <f t="shared" si="37"/>
        <v>0.89971145597754032</v>
      </c>
      <c r="O16" s="9">
        <f t="shared" si="37"/>
        <v>1.1853981255414665</v>
      </c>
      <c r="P16" s="9">
        <f t="shared" si="37"/>
        <v>1.4567372511697994</v>
      </c>
      <c r="Q16" s="9">
        <f t="shared" si="37"/>
        <v>1.5731064237775647</v>
      </c>
      <c r="R16" s="9">
        <f t="shared" si="37"/>
        <v>1.6415648309792097</v>
      </c>
      <c r="S16" s="9">
        <f t="shared" si="37"/>
        <v>1.7332092571613529</v>
      </c>
      <c r="T16" s="9">
        <f t="shared" si="37"/>
        <v>1.9186839967506093</v>
      </c>
      <c r="U16" s="9">
        <f t="shared" si="37"/>
        <v>1.8884078098194592</v>
      </c>
      <c r="V16" s="9">
        <f t="shared" si="37"/>
        <v>2.1823625922887611</v>
      </c>
      <c r="W16" s="9">
        <f t="shared" si="37"/>
        <v>1.9247630819942316</v>
      </c>
      <c r="X16" s="9">
        <f t="shared" si="37"/>
        <v>2.3236918005768437</v>
      </c>
      <c r="Y16" s="9">
        <f t="shared" ref="Y16:Z16" si="38">Y14/Y15</f>
        <v>2.1481376184590029</v>
      </c>
      <c r="Z16" s="9">
        <f t="shared" si="38"/>
        <v>2.547884491141327</v>
      </c>
      <c r="AB16" s="1"/>
      <c r="AC16" s="9">
        <f t="shared" ref="AC16:AG16" si="39">AC14/AC15</f>
        <v>58.615720524017469</v>
      </c>
      <c r="AD16" s="9">
        <f t="shared" si="39"/>
        <v>110.67394468704512</v>
      </c>
      <c r="AE16" s="9">
        <f t="shared" si="39"/>
        <v>4.4207270505575069</v>
      </c>
      <c r="AF16" s="9">
        <f t="shared" si="39"/>
        <v>5.8161254728877676</v>
      </c>
      <c r="AG16" s="9">
        <f t="shared" si="39"/>
        <v>137.92867540029113</v>
      </c>
      <c r="AH16" s="9">
        <f>AH14/AH15</f>
        <v>47.377227542557819</v>
      </c>
      <c r="AI16" s="9">
        <f t="shared" ref="AI16:AR16" si="40">AI14/AI15</f>
        <v>61.028856856831062</v>
      </c>
      <c r="AJ16" s="9">
        <f t="shared" si="40"/>
        <v>70.185015515718007</v>
      </c>
      <c r="AK16" s="9">
        <f t="shared" si="40"/>
        <v>79.616680366872941</v>
      </c>
      <c r="AL16" s="9">
        <f t="shared" si="40"/>
        <v>89.723466070212268</v>
      </c>
      <c r="AM16" s="9">
        <f t="shared" si="40"/>
        <v>94.774054187085937</v>
      </c>
      <c r="AN16" s="9">
        <f t="shared" si="40"/>
        <v>100.68950752374614</v>
      </c>
      <c r="AO16" s="9">
        <f t="shared" si="40"/>
        <v>106.45620331061343</v>
      </c>
      <c r="AP16" s="9">
        <f t="shared" si="40"/>
        <v>111.96693748442694</v>
      </c>
      <c r="AQ16" s="9">
        <f t="shared" si="40"/>
        <v>118.28459789471634</v>
      </c>
      <c r="AR16" s="9">
        <f t="shared" si="40"/>
        <v>123.41696948452193</v>
      </c>
    </row>
    <row r="17" spans="2:47" x14ac:dyDescent="0.2">
      <c r="B17" s="1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1"/>
      <c r="Y17" s="1"/>
      <c r="Z17" s="1"/>
      <c r="AB17" s="1"/>
      <c r="AC17" s="1"/>
      <c r="AD17" s="1"/>
      <c r="AE17" s="1"/>
      <c r="AF17" s="1"/>
      <c r="AG17" s="1"/>
      <c r="AH17" s="1"/>
      <c r="AI17" s="3"/>
      <c r="AJ17" s="3"/>
      <c r="AK17" s="3"/>
      <c r="AL17" s="3"/>
      <c r="AM17" s="3"/>
    </row>
    <row r="18" spans="2:47" x14ac:dyDescent="0.2">
      <c r="B18" s="1" t="s">
        <v>43</v>
      </c>
      <c r="C18" s="6">
        <f t="shared" ref="C18:W18" si="41">C5/C3</f>
        <v>0.53881289632887097</v>
      </c>
      <c r="D18" s="6">
        <f t="shared" si="41"/>
        <v>0.51554952085019712</v>
      </c>
      <c r="E18" s="6">
        <f t="shared" si="41"/>
        <v>0.54265479825872265</v>
      </c>
      <c r="F18" s="6">
        <f t="shared" si="41"/>
        <v>0.54163590987380927</v>
      </c>
      <c r="G18" s="6">
        <f t="shared" si="41"/>
        <v>0.56425136493473627</v>
      </c>
      <c r="H18" s="6">
        <f t="shared" si="41"/>
        <v>0.57616354234001288</v>
      </c>
      <c r="I18" s="6">
        <f t="shared" si="41"/>
        <v>0.57583156730857832</v>
      </c>
      <c r="J18" s="6">
        <f t="shared" si="41"/>
        <v>0.56205774975107869</v>
      </c>
      <c r="K18" s="6">
        <f t="shared" si="41"/>
        <v>0.5647909896928438</v>
      </c>
      <c r="L18" s="6">
        <f t="shared" si="41"/>
        <v>0.56799885197675248</v>
      </c>
      <c r="M18" s="6">
        <f t="shared" si="41"/>
        <v>0.54903606785156023</v>
      </c>
      <c r="N18" s="6">
        <f t="shared" si="41"/>
        <v>0.53526719966337055</v>
      </c>
      <c r="O18" s="6">
        <f t="shared" si="41"/>
        <v>0.56135096794531936</v>
      </c>
      <c r="P18" s="6">
        <f t="shared" si="41"/>
        <v>0.5721945204010509</v>
      </c>
      <c r="Q18" s="6">
        <f t="shared" si="41"/>
        <v>0.56672708069836886</v>
      </c>
      <c r="R18" s="6">
        <f t="shared" si="41"/>
        <v>0.56465067778936395</v>
      </c>
      <c r="S18" s="6">
        <f t="shared" si="41"/>
        <v>0.58142018152696207</v>
      </c>
      <c r="T18" s="6">
        <f t="shared" si="41"/>
        <v>0.58099879634655782</v>
      </c>
      <c r="U18" s="6">
        <f t="shared" si="41"/>
        <v>0.58678116644763678</v>
      </c>
      <c r="V18" s="6">
        <f t="shared" si="41"/>
        <v>0.5790046543449191</v>
      </c>
      <c r="W18" s="6">
        <f>W5/W3</f>
        <v>0.5970365937451515</v>
      </c>
      <c r="X18" s="6">
        <f t="shared" ref="X18:Z18" si="42">X5/X3</f>
        <v>0.59514871199236741</v>
      </c>
      <c r="Y18" s="6">
        <f t="shared" si="42"/>
        <v>0.59514871199236741</v>
      </c>
      <c r="Z18" s="6">
        <f t="shared" si="42"/>
        <v>0.5951487119923673</v>
      </c>
      <c r="AB18" s="1"/>
      <c r="AC18" s="6">
        <f t="shared" ref="AC18:AH18" si="43">AC5/AC3</f>
        <v>0.53578374706207854</v>
      </c>
      <c r="AD18" s="6">
        <f t="shared" si="43"/>
        <v>0.5693980290098084</v>
      </c>
      <c r="AE18" s="6">
        <f t="shared" si="43"/>
        <v>0.55379442503783116</v>
      </c>
      <c r="AF18" s="6">
        <f t="shared" si="43"/>
        <v>0.56625047984020505</v>
      </c>
      <c r="AG18" s="6">
        <f t="shared" si="43"/>
        <v>0.58200435406179107</v>
      </c>
      <c r="AH18" s="6">
        <f t="shared" si="43"/>
        <v>0.59557756800876005</v>
      </c>
      <c r="AI18" s="6">
        <f t="shared" ref="AI18:AR18" si="44">AI5/AI3</f>
        <v>0.59925413557231677</v>
      </c>
      <c r="AJ18" s="6">
        <f t="shared" si="44"/>
        <v>0.60289727979438656</v>
      </c>
      <c r="AK18" s="6">
        <f t="shared" si="44"/>
        <v>0.60650730452352863</v>
      </c>
      <c r="AL18" s="6">
        <f t="shared" si="44"/>
        <v>0.61008451084604187</v>
      </c>
      <c r="AM18" s="6">
        <f t="shared" si="44"/>
        <v>0.61379799169512717</v>
      </c>
      <c r="AN18" s="6">
        <f t="shared" si="44"/>
        <v>0.61747610605993553</v>
      </c>
      <c r="AO18" s="6">
        <f t="shared" si="44"/>
        <v>0.62111919076412647</v>
      </c>
      <c r="AP18" s="6">
        <f t="shared" si="44"/>
        <v>0.62472757942351587</v>
      </c>
      <c r="AQ18" s="6">
        <f t="shared" si="44"/>
        <v>0.62830160247662525</v>
      </c>
      <c r="AR18" s="6">
        <f t="shared" si="44"/>
        <v>0.6318415872149431</v>
      </c>
    </row>
    <row r="19" spans="2:47" x14ac:dyDescent="0.2">
      <c r="B19" s="1" t="s">
        <v>44</v>
      </c>
      <c r="C19" s="6">
        <f t="shared" ref="C19:V19" si="45">C13/C12</f>
        <v>0.11873146835116669</v>
      </c>
      <c r="D19" s="6">
        <f t="shared" si="45"/>
        <v>0.15923643832306392</v>
      </c>
      <c r="E19" s="6">
        <f t="shared" si="45"/>
        <v>0.15809566584325174</v>
      </c>
      <c r="F19" s="6">
        <f t="shared" si="45"/>
        <v>0.18524265610787094</v>
      </c>
      <c r="G19" s="6">
        <f t="shared" si="45"/>
        <v>0.15754357938260583</v>
      </c>
      <c r="H19" s="6">
        <f t="shared" si="45"/>
        <v>0.15738003183989083</v>
      </c>
      <c r="I19" s="6">
        <f t="shared" si="45"/>
        <v>0.17898022892819979</v>
      </c>
      <c r="J19" s="6">
        <f t="shared" si="45"/>
        <v>0.15408573067781328</v>
      </c>
      <c r="K19" s="6">
        <f t="shared" si="45"/>
        <v>0.13193197422625963</v>
      </c>
      <c r="L19" s="6">
        <f t="shared" si="45"/>
        <v>0.15840959293152415</v>
      </c>
      <c r="M19" s="6">
        <f t="shared" si="45"/>
        <v>0.14310355448777182</v>
      </c>
      <c r="N19" s="6">
        <f t="shared" si="45"/>
        <v>0.23393094289508631</v>
      </c>
      <c r="O19" s="6">
        <f t="shared" si="45"/>
        <v>0.17324910738808019</v>
      </c>
      <c r="P19" s="6">
        <f t="shared" si="45"/>
        <v>0.16139341642697347</v>
      </c>
      <c r="Q19" s="6">
        <f t="shared" si="45"/>
        <v>7.1142142756050381E-2</v>
      </c>
      <c r="R19" s="6">
        <f t="shared" si="45"/>
        <v>0.15258889070948714</v>
      </c>
      <c r="S19" s="6">
        <f t="shared" si="45"/>
        <v>0.17846732126419146</v>
      </c>
      <c r="T19" s="6">
        <f t="shared" si="45"/>
        <v>0.14271714275343908</v>
      </c>
      <c r="U19" s="6">
        <f t="shared" si="45"/>
        <v>0.18950948423968303</v>
      </c>
      <c r="V19" s="6">
        <f t="shared" si="45"/>
        <v>0.17663262147941813</v>
      </c>
      <c r="W19" s="6">
        <f>W13/W12</f>
        <v>0.23684898385937397</v>
      </c>
      <c r="X19" s="6">
        <f>X13/X12</f>
        <v>0.16905849418005009</v>
      </c>
      <c r="Y19" s="6">
        <f t="shared" ref="X19:Z19" si="46">Y13/Y12</f>
        <v>0.21757889823856841</v>
      </c>
      <c r="Z19" s="6">
        <f t="shared" si="46"/>
        <v>0.18992559451957683</v>
      </c>
      <c r="AB19" s="1"/>
      <c r="AC19" s="6">
        <f t="shared" ref="AC19:AF19" si="47">AC13/AC12</f>
        <v>0.16249324071378063</v>
      </c>
      <c r="AD19" s="6">
        <f t="shared" si="47"/>
        <v>0.16202305640663919</v>
      </c>
      <c r="AE19" s="6">
        <f t="shared" si="47"/>
        <v>0.16400687453965138</v>
      </c>
      <c r="AF19" s="6">
        <f t="shared" si="47"/>
        <v>0.13908559562280529</v>
      </c>
      <c r="AG19" s="6">
        <f>AG13/AG12</f>
        <v>0.17209533961242071</v>
      </c>
      <c r="AH19" s="6">
        <f>AH13/AH12</f>
        <v>0.20205075443347009</v>
      </c>
      <c r="AI19" s="6">
        <f>+AI13/AI12</f>
        <v>8.744568278804242E-2</v>
      </c>
      <c r="AJ19" s="6">
        <f t="shared" ref="AJ19:AR19" si="48">+AJ13/AJ12</f>
        <v>6.7249901127894834E-2</v>
      </c>
      <c r="AK19" s="6">
        <f t="shared" si="48"/>
        <v>5.8609248955356658E-2</v>
      </c>
      <c r="AL19" s="6">
        <f t="shared" si="48"/>
        <v>5.5210208123280848E-2</v>
      </c>
      <c r="AM19" s="6">
        <f t="shared" si="48"/>
        <v>5.458012406289113E-2</v>
      </c>
      <c r="AN19" s="6">
        <f t="shared" si="48"/>
        <v>4.8349902454570014E-2</v>
      </c>
      <c r="AO19" s="6">
        <f t="shared" si="48"/>
        <v>4.6604326051205514E-2</v>
      </c>
      <c r="AP19" s="6">
        <f t="shared" si="48"/>
        <v>4.9718961766930372E-2</v>
      </c>
      <c r="AQ19" s="6">
        <f t="shared" si="48"/>
        <v>4.8516893245950612E-2</v>
      </c>
      <c r="AR19" s="6">
        <f t="shared" si="48"/>
        <v>5.8958952227464091E-2</v>
      </c>
    </row>
    <row r="20" spans="2:47" x14ac:dyDescent="0.2">
      <c r="B20" s="7" t="s">
        <v>131</v>
      </c>
      <c r="C20" s="6"/>
      <c r="D20" s="6"/>
      <c r="E20" s="6"/>
      <c r="F20" s="8"/>
      <c r="G20" s="8">
        <f t="shared" ref="G20:W20" si="49">G3/C3-1</f>
        <v>0.34391020189994892</v>
      </c>
      <c r="H20" s="8">
        <f t="shared" si="49"/>
        <v>0.61579235971486024</v>
      </c>
      <c r="I20" s="8">
        <f t="shared" si="49"/>
        <v>0.41030472353973102</v>
      </c>
      <c r="J20" s="8">
        <f t="shared" si="49"/>
        <v>0.32386024113325607</v>
      </c>
      <c r="K20" s="8">
        <f t="shared" si="49"/>
        <v>0.22954405756228069</v>
      </c>
      <c r="L20" s="8">
        <f t="shared" si="49"/>
        <v>0.12613122171945701</v>
      </c>
      <c r="M20" s="8">
        <f t="shared" si="49"/>
        <v>6.1027672840074931E-2</v>
      </c>
      <c r="N20" s="8">
        <f t="shared" si="49"/>
        <v>9.5984069034185104E-3</v>
      </c>
      <c r="O20" s="8">
        <f t="shared" si="49"/>
        <v>2.6113422828660138E-2</v>
      </c>
      <c r="P20" s="8">
        <f t="shared" si="49"/>
        <v>7.0589079428858392E-2</v>
      </c>
      <c r="Q20" s="8">
        <f t="shared" si="49"/>
        <v>0.11001273664100042</v>
      </c>
      <c r="R20" s="8">
        <f t="shared" si="49"/>
        <v>0.13494108983799702</v>
      </c>
      <c r="S20" s="8">
        <f t="shared" si="49"/>
        <v>0.15406880937710454</v>
      </c>
      <c r="T20" s="8">
        <f t="shared" si="49"/>
        <v>0.13589083695244231</v>
      </c>
      <c r="U20" s="8">
        <f t="shared" si="49"/>
        <v>0.15092642092498654</v>
      </c>
      <c r="V20" s="8">
        <f t="shared" si="49"/>
        <v>0.11770362646275045</v>
      </c>
      <c r="W20" s="8">
        <f t="shared" si="49"/>
        <v>0.12037646357665222</v>
      </c>
      <c r="X20" s="8">
        <f t="shared" ref="X20" si="50">X3/T3-1</f>
        <v>0.13790092280097244</v>
      </c>
      <c r="Y20" s="8">
        <f>Y3/U3-1</f>
        <v>0.15799247745502343</v>
      </c>
      <c r="Z20" s="8">
        <f>Z3/V3-1</f>
        <v>0.12312246213809619</v>
      </c>
      <c r="AC20" s="8"/>
      <c r="AD20" s="8">
        <f>AD3/AC3-1</f>
        <v>0.41150076427049154</v>
      </c>
      <c r="AE20" s="8">
        <f t="shared" ref="AE20" si="51">AE3/AD3-1</f>
        <v>9.7808156437157789E-2</v>
      </c>
      <c r="AF20" s="8">
        <f>AF3/AE3-1</f>
        <v>8.6827702272695095E-2</v>
      </c>
      <c r="AG20" s="8">
        <f>AG3/AF3-1</f>
        <v>0.13866243322901561</v>
      </c>
      <c r="AH20" s="8">
        <f>AH3/AG3-1</f>
        <v>0.13486215223217091</v>
      </c>
      <c r="AI20" s="8">
        <f t="shared" ref="AI20:AR20" si="52">AI3/AH3-1</f>
        <v>0.10000000000000009</v>
      </c>
      <c r="AJ20" s="8">
        <f t="shared" si="52"/>
        <v>0.10000000000000009</v>
      </c>
      <c r="AK20" s="8">
        <f t="shared" si="52"/>
        <v>0.10000000000000009</v>
      </c>
      <c r="AL20" s="8">
        <f t="shared" si="52"/>
        <v>0.10000000000000009</v>
      </c>
      <c r="AM20" s="8">
        <f t="shared" si="52"/>
        <v>5.0000000000000044E-2</v>
      </c>
      <c r="AN20" s="8">
        <f t="shared" si="52"/>
        <v>5.0000000000000044E-2</v>
      </c>
      <c r="AO20" s="8">
        <f t="shared" si="52"/>
        <v>5.0000000000000044E-2</v>
      </c>
      <c r="AP20" s="8">
        <f t="shared" si="52"/>
        <v>5.0000000000000044E-2</v>
      </c>
      <c r="AQ20" s="8">
        <f>AQ3/AP3-1</f>
        <v>5.0000000000000044E-2</v>
      </c>
      <c r="AR20" s="8">
        <f t="shared" si="52"/>
        <v>5.0000000000000044E-2</v>
      </c>
    </row>
    <row r="21" spans="2:47" x14ac:dyDescent="0.2">
      <c r="C21" s="2"/>
      <c r="D21" s="2"/>
      <c r="E21" s="2"/>
      <c r="F21" s="3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AI21" s="2"/>
      <c r="AJ21" s="2"/>
      <c r="AK21" s="2"/>
      <c r="AL21" s="2"/>
      <c r="AM21" s="2"/>
    </row>
    <row r="22" spans="2:47" x14ac:dyDescent="0.2">
      <c r="B22" s="1" t="s">
        <v>45</v>
      </c>
      <c r="C22" s="2">
        <f t="shared" ref="C22:W22" si="53">C23-C41</f>
        <v>124580</v>
      </c>
      <c r="D22" s="2">
        <f t="shared" si="53"/>
        <v>130023</v>
      </c>
      <c r="E22" s="2">
        <f t="shared" si="53"/>
        <v>133350</v>
      </c>
      <c r="F22" s="2">
        <f t="shared" si="53"/>
        <v>143465</v>
      </c>
      <c r="G22" s="2">
        <f t="shared" si="53"/>
        <v>146511</v>
      </c>
      <c r="H22" s="2">
        <f t="shared" si="53"/>
        <v>147067</v>
      </c>
      <c r="I22" s="2">
        <f t="shared" si="53"/>
        <v>153816</v>
      </c>
      <c r="J22" s="2">
        <f t="shared" si="53"/>
        <v>154381</v>
      </c>
      <c r="K22" s="2">
        <f t="shared" si="53"/>
        <v>149723</v>
      </c>
      <c r="L22" s="2">
        <f t="shared" si="53"/>
        <v>140928</v>
      </c>
      <c r="M22" s="2">
        <f t="shared" si="53"/>
        <v>132025</v>
      </c>
      <c r="N22" s="2">
        <f t="shared" si="53"/>
        <v>129553</v>
      </c>
      <c r="O22" s="2">
        <f t="shared" si="53"/>
        <v>132618</v>
      </c>
      <c r="P22" s="2">
        <f t="shared" si="53"/>
        <v>135851</v>
      </c>
      <c r="Q22" s="2">
        <f t="shared" si="53"/>
        <v>137061</v>
      </c>
      <c r="R22" s="2">
        <f t="shared" si="53"/>
        <v>128671</v>
      </c>
      <c r="S22" s="2">
        <f t="shared" si="53"/>
        <v>128846</v>
      </c>
      <c r="T22" s="2">
        <f t="shared" si="53"/>
        <v>121659</v>
      </c>
      <c r="U22" s="2">
        <f t="shared" si="53"/>
        <v>117110</v>
      </c>
      <c r="V22" s="2">
        <f t="shared" si="53"/>
        <v>122756</v>
      </c>
      <c r="W22" s="2">
        <f t="shared" si="53"/>
        <v>135471</v>
      </c>
      <c r="AI22" s="2"/>
      <c r="AJ22" s="2"/>
      <c r="AK22" s="2"/>
      <c r="AL22" s="2"/>
      <c r="AM22" s="2"/>
    </row>
    <row r="23" spans="2:47" x14ac:dyDescent="0.2">
      <c r="B23" s="1" t="s">
        <v>40</v>
      </c>
      <c r="C23" s="2">
        <f>117229+12367</f>
        <v>129596</v>
      </c>
      <c r="D23" s="2">
        <f>121080+12961</f>
        <v>134041</v>
      </c>
      <c r="E23" s="2">
        <f>20129+112467+14656</f>
        <v>147252</v>
      </c>
      <c r="F23" s="2">
        <f>26465+110229+20703</f>
        <v>157397</v>
      </c>
      <c r="G23" s="2">
        <f>108482+26622+25294</f>
        <v>160398</v>
      </c>
      <c r="H23" s="2">
        <f>23630+112233+25532</f>
        <v>161395</v>
      </c>
      <c r="I23" s="2">
        <f>23719+118284+26101</f>
        <v>168104</v>
      </c>
      <c r="J23" s="2">
        <f>20945+118704+29549</f>
        <v>169198</v>
      </c>
      <c r="K23" s="2">
        <f>113084+20886+30544</f>
        <v>164514</v>
      </c>
      <c r="L23" s="2">
        <f>17936+107061+30665</f>
        <v>155662</v>
      </c>
      <c r="M23" s="2">
        <f>21984+94275+30419</f>
        <v>146678</v>
      </c>
      <c r="N23" s="2">
        <f>21879+91883+30492</f>
        <v>144254</v>
      </c>
      <c r="O23" s="2">
        <f>89178+25924+31213</f>
        <v>146315</v>
      </c>
      <c r="P23" s="2">
        <f>25929+92403+31224</f>
        <v>149556</v>
      </c>
      <c r="Q23" s="2">
        <f>30702+89233+30907</f>
        <v>150842</v>
      </c>
      <c r="R23" s="2">
        <f>24048+86868+31008</f>
        <v>141924</v>
      </c>
      <c r="S23" s="2">
        <f>24493+83597+33994</f>
        <v>142084</v>
      </c>
      <c r="T23" s="2">
        <f>27225+73500+34172</f>
        <v>134897</v>
      </c>
      <c r="U23" s="2">
        <f>93230+36177</f>
        <v>129407</v>
      </c>
      <c r="V23" s="2">
        <f>95657+37982</f>
        <v>133639</v>
      </c>
      <c r="W23" s="2">
        <f>95328+51029</f>
        <v>146357</v>
      </c>
      <c r="AI23" s="2"/>
      <c r="AJ23" s="2"/>
      <c r="AK23" s="2"/>
      <c r="AL23" s="2"/>
      <c r="AM23" s="2"/>
    </row>
    <row r="24" spans="2:47" x14ac:dyDescent="0.2">
      <c r="B24" s="1" t="s">
        <v>46</v>
      </c>
      <c r="C24" s="2">
        <v>21825</v>
      </c>
      <c r="D24" s="2">
        <v>21201</v>
      </c>
      <c r="E24" s="2">
        <v>24925</v>
      </c>
      <c r="F24" s="2">
        <v>30930</v>
      </c>
      <c r="G24" s="2">
        <v>28006</v>
      </c>
      <c r="H24" s="2">
        <v>31967</v>
      </c>
      <c r="I24" s="2">
        <v>34047</v>
      </c>
      <c r="J24" s="2">
        <v>39304</v>
      </c>
      <c r="K24" s="2">
        <v>34703</v>
      </c>
      <c r="L24" s="2">
        <v>35707</v>
      </c>
      <c r="M24" s="2">
        <v>34697</v>
      </c>
      <c r="N24" s="2">
        <v>40258</v>
      </c>
      <c r="O24" s="2">
        <v>36036</v>
      </c>
      <c r="P24" s="2">
        <v>38804</v>
      </c>
      <c r="Q24" s="2">
        <v>41020</v>
      </c>
      <c r="R24" s="2">
        <v>47964</v>
      </c>
      <c r="S24" s="2">
        <v>44552</v>
      </c>
      <c r="T24" s="2">
        <v>47087</v>
      </c>
      <c r="U24" s="2">
        <v>49104</v>
      </c>
      <c r="V24" s="2">
        <v>52340</v>
      </c>
      <c r="W24" s="2">
        <v>51000</v>
      </c>
      <c r="AI24" s="2"/>
      <c r="AJ24" s="2"/>
      <c r="AK24" s="2"/>
      <c r="AL24" s="2"/>
      <c r="AM24" s="2"/>
    </row>
    <row r="25" spans="2:47" x14ac:dyDescent="0.2">
      <c r="B25" s="1" t="s">
        <v>10</v>
      </c>
      <c r="C25" s="2">
        <v>1910</v>
      </c>
      <c r="D25" s="2">
        <v>394</v>
      </c>
      <c r="E25" s="2">
        <v>588</v>
      </c>
      <c r="F25" s="2">
        <v>454</v>
      </c>
      <c r="G25" s="2">
        <v>493</v>
      </c>
      <c r="H25" s="2">
        <v>884</v>
      </c>
      <c r="I25" s="2">
        <v>753</v>
      </c>
      <c r="J25" s="2">
        <v>966</v>
      </c>
      <c r="K25" s="2">
        <v>919</v>
      </c>
      <c r="L25" s="2">
        <v>1366</v>
      </c>
      <c r="M25" s="2">
        <v>1479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AI25" s="2"/>
      <c r="AJ25" s="2"/>
      <c r="AK25" s="2"/>
      <c r="AL25" s="2"/>
      <c r="AM25" s="2"/>
      <c r="AS25" s="12" t="s">
        <v>124</v>
      </c>
      <c r="AT25" s="24">
        <v>-0.01</v>
      </c>
    </row>
    <row r="26" spans="2:47" x14ac:dyDescent="0.2">
      <c r="B26" s="1" t="s">
        <v>47</v>
      </c>
      <c r="C26" s="2">
        <v>889</v>
      </c>
      <c r="D26" s="2">
        <v>815</v>
      </c>
      <c r="E26" s="2">
        <v>835</v>
      </c>
      <c r="F26" s="2">
        <v>728</v>
      </c>
      <c r="G26" s="2">
        <v>888</v>
      </c>
      <c r="H26" s="2">
        <v>907</v>
      </c>
      <c r="I26" s="2">
        <v>1278</v>
      </c>
      <c r="J26" s="11">
        <v>1170</v>
      </c>
      <c r="K26" s="2">
        <v>1369</v>
      </c>
      <c r="L26" s="2">
        <v>1980</v>
      </c>
      <c r="M26" s="2">
        <v>3156</v>
      </c>
      <c r="N26" s="2">
        <v>2670</v>
      </c>
      <c r="O26" s="2">
        <v>2315</v>
      </c>
      <c r="P26" s="2">
        <v>2231</v>
      </c>
      <c r="Q26" s="2">
        <v>2957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AI26" s="2"/>
      <c r="AJ26" s="2"/>
      <c r="AK26" s="2"/>
      <c r="AL26" s="2"/>
      <c r="AM26" s="2"/>
      <c r="AS26" s="12" t="s">
        <v>125</v>
      </c>
      <c r="AT26" s="24">
        <v>0.05</v>
      </c>
      <c r="AU26" s="20">
        <v>0.01</v>
      </c>
    </row>
    <row r="27" spans="2:47" x14ac:dyDescent="0.2">
      <c r="B27" s="1" t="s">
        <v>48</v>
      </c>
      <c r="C27" s="2">
        <v>5165</v>
      </c>
      <c r="D27" s="2">
        <v>5579</v>
      </c>
      <c r="E27" s="2">
        <v>5425</v>
      </c>
      <c r="F27" s="2">
        <v>5490</v>
      </c>
      <c r="G27" s="2">
        <v>7646</v>
      </c>
      <c r="H27" s="2">
        <v>6076</v>
      </c>
      <c r="I27" s="2">
        <v>6029</v>
      </c>
      <c r="J27" s="2">
        <v>7054</v>
      </c>
      <c r="K27" s="2">
        <v>6892</v>
      </c>
      <c r="L27" s="2">
        <v>8321</v>
      </c>
      <c r="M27" s="2">
        <v>10518</v>
      </c>
      <c r="N27" s="2">
        <v>8105</v>
      </c>
      <c r="O27" s="2">
        <v>8532</v>
      </c>
      <c r="P27" s="2">
        <v>9421</v>
      </c>
      <c r="Q27" s="2">
        <v>12398</v>
      </c>
      <c r="R27" s="2">
        <v>12650</v>
      </c>
      <c r="S27" s="2">
        <v>12829</v>
      </c>
      <c r="T27" s="2">
        <v>14183</v>
      </c>
      <c r="U27" s="2">
        <v>15207</v>
      </c>
      <c r="V27" s="2">
        <v>15714</v>
      </c>
      <c r="W27" s="2">
        <v>15724</v>
      </c>
      <c r="AI27" s="2"/>
      <c r="AJ27" s="2"/>
      <c r="AK27" s="2"/>
      <c r="AL27" s="2"/>
      <c r="AM27" s="2"/>
      <c r="AS27" t="s">
        <v>126</v>
      </c>
      <c r="AT27" s="22">
        <v>2.5000000000000001E-2</v>
      </c>
    </row>
    <row r="28" spans="2:47" x14ac:dyDescent="0.2">
      <c r="B28" s="1" t="s">
        <v>49</v>
      </c>
      <c r="C28" s="2">
        <f>730</f>
        <v>730</v>
      </c>
      <c r="D28" s="2">
        <v>895</v>
      </c>
      <c r="E28" s="2">
        <v>972</v>
      </c>
      <c r="F28" s="2">
        <v>1084</v>
      </c>
      <c r="G28" s="2">
        <v>1129</v>
      </c>
      <c r="H28" s="2">
        <v>1153</v>
      </c>
      <c r="I28" s="2">
        <v>1195</v>
      </c>
      <c r="J28" s="2">
        <v>1284</v>
      </c>
      <c r="K28" s="2">
        <v>1388</v>
      </c>
      <c r="L28" s="2">
        <v>1490</v>
      </c>
      <c r="M28" s="2">
        <v>2991</v>
      </c>
      <c r="N28" s="2">
        <v>5261</v>
      </c>
      <c r="O28" s="2">
        <v>6885</v>
      </c>
      <c r="P28" s="2">
        <v>9357</v>
      </c>
      <c r="Q28" s="2">
        <v>10983</v>
      </c>
      <c r="R28" s="2">
        <v>12169</v>
      </c>
      <c r="S28" s="2">
        <v>11687</v>
      </c>
      <c r="T28" s="2">
        <v>14958</v>
      </c>
      <c r="U28" s="2">
        <v>15915</v>
      </c>
      <c r="V28" s="2">
        <v>17180</v>
      </c>
      <c r="W28" s="2">
        <v>18386</v>
      </c>
      <c r="AI28" s="2"/>
      <c r="AJ28" s="2"/>
      <c r="AK28" s="2"/>
      <c r="AL28" s="2"/>
      <c r="AM28" s="2"/>
    </row>
    <row r="29" spans="2:47" x14ac:dyDescent="0.2">
      <c r="B29" s="1" t="s">
        <v>50</v>
      </c>
      <c r="C29" s="2">
        <v>76747</v>
      </c>
      <c r="D29" s="2">
        <v>78748</v>
      </c>
      <c r="E29" s="2">
        <v>81636</v>
      </c>
      <c r="F29" s="2">
        <v>84749</v>
      </c>
      <c r="G29" s="2">
        <v>87606</v>
      </c>
      <c r="H29" s="2">
        <v>91697</v>
      </c>
      <c r="I29" s="2">
        <v>94631</v>
      </c>
      <c r="J29" s="2">
        <v>97599</v>
      </c>
      <c r="K29" s="2">
        <v>104218</v>
      </c>
      <c r="L29" s="2">
        <v>106223</v>
      </c>
      <c r="M29" s="2">
        <v>108363</v>
      </c>
      <c r="N29" s="2">
        <v>112668</v>
      </c>
      <c r="O29" s="2">
        <v>117560</v>
      </c>
      <c r="P29" s="2">
        <v>121208</v>
      </c>
      <c r="Q29" s="2">
        <v>125705</v>
      </c>
      <c r="R29" s="2">
        <v>134345</v>
      </c>
      <c r="S29" s="2">
        <v>143182</v>
      </c>
      <c r="T29" s="2">
        <v>151155</v>
      </c>
      <c r="U29" s="2">
        <v>161270</v>
      </c>
      <c r="V29" s="2">
        <v>171036</v>
      </c>
      <c r="W29" s="2">
        <v>185062</v>
      </c>
      <c r="AI29" s="2"/>
      <c r="AJ29" s="2"/>
      <c r="AK29" s="2"/>
      <c r="AL29" s="2"/>
      <c r="AM29" s="2"/>
    </row>
    <row r="30" spans="2:47" x14ac:dyDescent="0.2">
      <c r="B30" s="1" t="s">
        <v>51</v>
      </c>
      <c r="C30" s="2">
        <v>11219</v>
      </c>
      <c r="D30" s="2">
        <v>11567</v>
      </c>
      <c r="E30" s="2">
        <v>11946</v>
      </c>
      <c r="F30" s="2">
        <v>12211</v>
      </c>
      <c r="G30" s="2">
        <v>12598</v>
      </c>
      <c r="H30" s="2">
        <v>12978</v>
      </c>
      <c r="I30" s="2">
        <v>12918</v>
      </c>
      <c r="J30" s="2">
        <v>12959</v>
      </c>
      <c r="K30" s="2">
        <f>12992</f>
        <v>12992</v>
      </c>
      <c r="L30" s="2">
        <v>13398</v>
      </c>
      <c r="M30" s="2">
        <v>13677</v>
      </c>
      <c r="N30" s="2">
        <v>14381</v>
      </c>
      <c r="O30" s="2">
        <v>14447</v>
      </c>
      <c r="P30" s="2">
        <v>14469</v>
      </c>
      <c r="Q30" s="2">
        <v>14199</v>
      </c>
      <c r="R30" s="2">
        <v>14091</v>
      </c>
      <c r="S30" s="2">
        <v>13768</v>
      </c>
      <c r="T30" s="2">
        <v>13606</v>
      </c>
      <c r="U30" s="2">
        <v>13561</v>
      </c>
      <c r="V30" s="2">
        <v>13588</v>
      </c>
      <c r="W30" s="2">
        <v>13722</v>
      </c>
      <c r="AI30" s="2"/>
      <c r="AJ30" s="2"/>
      <c r="AK30" s="2"/>
      <c r="AL30" s="2"/>
      <c r="AM30" s="2"/>
      <c r="AS30" t="s">
        <v>127</v>
      </c>
      <c r="AT30" s="23">
        <f>NPV(AT26,AF14:BX14)</f>
        <v>3767108.1385483732</v>
      </c>
    </row>
    <row r="31" spans="2:47" x14ac:dyDescent="0.2">
      <c r="B31" s="1" t="s">
        <v>52</v>
      </c>
      <c r="C31" s="2">
        <f>20737+1840</f>
        <v>22577</v>
      </c>
      <c r="D31" s="2">
        <f>20824+1697</f>
        <v>22521</v>
      </c>
      <c r="E31" s="2">
        <v>20870</v>
      </c>
      <c r="F31" s="2">
        <v>21175</v>
      </c>
      <c r="G31" s="2">
        <f>22341+1823</f>
        <v>24164</v>
      </c>
      <c r="H31" s="2">
        <f>22406+1626</f>
        <v>24032</v>
      </c>
      <c r="I31" s="2">
        <f>22623+1549</f>
        <v>24172</v>
      </c>
      <c r="J31" s="2">
        <f>22956+1417</f>
        <v>24373</v>
      </c>
      <c r="K31" s="2">
        <f>23010+1313</f>
        <v>24323</v>
      </c>
      <c r="L31" s="2">
        <f>23949+1377</f>
        <v>25326</v>
      </c>
      <c r="M31" s="2">
        <f>28834+2192</f>
        <v>31026</v>
      </c>
      <c r="N31" s="2">
        <f>28960+2084</f>
        <v>31044</v>
      </c>
      <c r="O31" s="2">
        <f>1968+28994</f>
        <v>30962</v>
      </c>
      <c r="P31" s="2">
        <f>29210+1966</f>
        <v>31176</v>
      </c>
      <c r="Q31" s="2">
        <f>1833+29146</f>
        <v>30979</v>
      </c>
      <c r="R31" s="2">
        <f>29198</f>
        <v>29198</v>
      </c>
      <c r="S31" s="2">
        <v>29183</v>
      </c>
      <c r="T31" s="2">
        <v>29185</v>
      </c>
      <c r="U31" s="2">
        <v>31935</v>
      </c>
      <c r="V31" s="2">
        <v>31885</v>
      </c>
      <c r="W31" s="2">
        <v>32173</v>
      </c>
      <c r="AI31" s="2"/>
      <c r="AJ31" s="2"/>
      <c r="AK31" s="2"/>
      <c r="AL31" s="2"/>
      <c r="AM31" s="2"/>
      <c r="AS31" t="s">
        <v>128</v>
      </c>
      <c r="AT31" s="2">
        <f>+AT30/Main!H4</f>
        <v>310.43330354745558</v>
      </c>
    </row>
    <row r="32" spans="2:47" x14ac:dyDescent="0.2">
      <c r="B32" s="1" t="s">
        <v>53</v>
      </c>
      <c r="C32" s="2">
        <v>2748</v>
      </c>
      <c r="D32" s="2">
        <v>2731</v>
      </c>
      <c r="E32" s="2">
        <v>3274</v>
      </c>
      <c r="F32" s="2">
        <v>3953</v>
      </c>
      <c r="G32" s="2">
        <v>4167</v>
      </c>
      <c r="H32" s="2">
        <v>4298</v>
      </c>
      <c r="I32" s="2">
        <v>4276</v>
      </c>
      <c r="J32" s="2">
        <v>5361</v>
      </c>
      <c r="K32" s="2">
        <v>5778</v>
      </c>
      <c r="L32" s="2">
        <v>5712</v>
      </c>
      <c r="M32" s="2">
        <v>5670</v>
      </c>
      <c r="N32" s="2">
        <v>6623</v>
      </c>
      <c r="O32" s="2">
        <v>6439</v>
      </c>
      <c r="P32" s="2">
        <v>6822</v>
      </c>
      <c r="Q32" s="2">
        <v>7628</v>
      </c>
      <c r="R32" s="2">
        <v>10051</v>
      </c>
      <c r="S32" s="2">
        <v>10065</v>
      </c>
      <c r="T32" s="2">
        <v>9699</v>
      </c>
      <c r="U32" s="2">
        <v>13867</v>
      </c>
      <c r="V32" s="2">
        <v>14874</v>
      </c>
      <c r="W32" s="2">
        <v>12950</v>
      </c>
      <c r="AI32" s="2"/>
      <c r="AJ32" s="2"/>
      <c r="AK32" s="2"/>
      <c r="AL32" s="2"/>
      <c r="AM32" s="2"/>
      <c r="AS32" t="s">
        <v>129</v>
      </c>
      <c r="AT32">
        <v>202</v>
      </c>
    </row>
    <row r="33" spans="2:46" x14ac:dyDescent="0.2">
      <c r="B33" s="1" t="s">
        <v>54</v>
      </c>
      <c r="C33" s="2">
        <f t="shared" ref="C33:W33" si="54">SUM(C23:C32)</f>
        <v>273406</v>
      </c>
      <c r="D33" s="2">
        <f t="shared" si="54"/>
        <v>278492</v>
      </c>
      <c r="E33" s="2">
        <f t="shared" si="54"/>
        <v>297723</v>
      </c>
      <c r="F33" s="2">
        <f t="shared" si="54"/>
        <v>318171</v>
      </c>
      <c r="G33" s="2">
        <f t="shared" si="54"/>
        <v>327095</v>
      </c>
      <c r="H33" s="2">
        <f t="shared" si="54"/>
        <v>335387</v>
      </c>
      <c r="I33" s="2">
        <f t="shared" si="54"/>
        <v>347403</v>
      </c>
      <c r="J33" s="2">
        <f t="shared" si="54"/>
        <v>359268</v>
      </c>
      <c r="K33" s="2">
        <f t="shared" si="54"/>
        <v>357096</v>
      </c>
      <c r="L33" s="2">
        <f t="shared" si="54"/>
        <v>355185</v>
      </c>
      <c r="M33" s="2">
        <f t="shared" si="54"/>
        <v>358255</v>
      </c>
      <c r="N33" s="2">
        <f t="shared" si="54"/>
        <v>365264</v>
      </c>
      <c r="O33" s="2">
        <f t="shared" si="54"/>
        <v>369491</v>
      </c>
      <c r="P33" s="2">
        <f t="shared" si="54"/>
        <v>383044</v>
      </c>
      <c r="Q33" s="2">
        <f t="shared" si="54"/>
        <v>396711</v>
      </c>
      <c r="R33" s="2">
        <f t="shared" si="54"/>
        <v>402392</v>
      </c>
      <c r="S33" s="2">
        <f t="shared" si="54"/>
        <v>407350</v>
      </c>
      <c r="T33" s="2">
        <f t="shared" si="54"/>
        <v>414770</v>
      </c>
      <c r="U33" s="2">
        <f t="shared" si="54"/>
        <v>430266</v>
      </c>
      <c r="V33" s="2">
        <f t="shared" si="54"/>
        <v>450256</v>
      </c>
      <c r="W33" s="2">
        <f t="shared" si="54"/>
        <v>475374</v>
      </c>
      <c r="AI33" s="2"/>
      <c r="AJ33" s="2"/>
      <c r="AK33" s="2"/>
      <c r="AL33" s="2"/>
      <c r="AM33" s="2"/>
      <c r="AS33" s="12" t="s">
        <v>130</v>
      </c>
      <c r="AT33" s="25">
        <f>AT31/AT32-1</f>
        <v>0.53679853241314635</v>
      </c>
    </row>
    <row r="34" spans="2:46" x14ac:dyDescent="0.2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AI34" s="2"/>
      <c r="AJ34" s="2"/>
      <c r="AK34" s="2"/>
      <c r="AL34" s="2"/>
      <c r="AM34" s="2"/>
    </row>
    <row r="35" spans="2:46" x14ac:dyDescent="0.2">
      <c r="B35" s="1" t="s">
        <v>55</v>
      </c>
      <c r="C35" s="2">
        <v>4099</v>
      </c>
      <c r="D35" s="2">
        <v>4064</v>
      </c>
      <c r="E35" s="2">
        <v>4391</v>
      </c>
      <c r="F35" s="2">
        <v>5589</v>
      </c>
      <c r="G35" s="2">
        <v>4801</v>
      </c>
      <c r="H35" s="2">
        <v>4708</v>
      </c>
      <c r="I35" s="2">
        <v>4616</v>
      </c>
      <c r="J35" s="2">
        <v>6037</v>
      </c>
      <c r="K35" s="2">
        <v>3436</v>
      </c>
      <c r="L35" s="2">
        <v>4409</v>
      </c>
      <c r="M35" s="2">
        <v>6303</v>
      </c>
      <c r="N35" s="2">
        <v>5128</v>
      </c>
      <c r="O35" s="2">
        <v>4184</v>
      </c>
      <c r="P35" s="2">
        <v>5313</v>
      </c>
      <c r="Q35" s="2">
        <v>5803</v>
      </c>
      <c r="R35" s="2">
        <v>7493</v>
      </c>
      <c r="S35" s="2">
        <v>6198</v>
      </c>
      <c r="T35" s="2">
        <v>6092</v>
      </c>
      <c r="U35" s="2">
        <v>7049</v>
      </c>
      <c r="V35" s="2">
        <v>7987</v>
      </c>
      <c r="W35" s="2">
        <v>8497</v>
      </c>
      <c r="AI35" s="2"/>
      <c r="AJ35" s="2"/>
      <c r="AK35" s="2"/>
      <c r="AL35" s="2"/>
      <c r="AM35" s="2"/>
    </row>
    <row r="36" spans="2:46" x14ac:dyDescent="0.2">
      <c r="B36" s="1" t="s">
        <v>56</v>
      </c>
      <c r="C36" s="2">
        <v>5656</v>
      </c>
      <c r="D36" s="2">
        <v>7127</v>
      </c>
      <c r="E36" s="2">
        <v>8747</v>
      </c>
      <c r="F36" s="2">
        <v>11086</v>
      </c>
      <c r="G36" s="2">
        <v>8375</v>
      </c>
      <c r="H36" s="2">
        <v>10088</v>
      </c>
      <c r="I36" s="2">
        <v>12170</v>
      </c>
      <c r="J36" s="2">
        <v>13889</v>
      </c>
      <c r="K36" s="2">
        <v>9803</v>
      </c>
      <c r="L36" s="2">
        <v>10852</v>
      </c>
      <c r="M36" s="2">
        <v>12366</v>
      </c>
      <c r="N36" s="2">
        <v>14028</v>
      </c>
      <c r="O36" s="2">
        <v>9954</v>
      </c>
      <c r="P36" s="2">
        <v>11260</v>
      </c>
      <c r="Q36" s="2">
        <v>12562</v>
      </c>
      <c r="R36" s="2">
        <v>15140</v>
      </c>
      <c r="S36" s="2">
        <v>9703</v>
      </c>
      <c r="T36" s="2">
        <v>11373</v>
      </c>
      <c r="U36" s="2">
        <v>12908</v>
      </c>
      <c r="V36" s="2">
        <v>15069</v>
      </c>
      <c r="W36" s="2">
        <v>9984</v>
      </c>
      <c r="AI36" s="2"/>
      <c r="AJ36" s="2"/>
      <c r="AK36" s="2"/>
      <c r="AL36" s="2"/>
      <c r="AM36" s="2"/>
    </row>
    <row r="37" spans="2:46" x14ac:dyDescent="0.2">
      <c r="B37" s="1" t="s">
        <v>57</v>
      </c>
      <c r="C37" s="2">
        <v>22601</v>
      </c>
      <c r="D37" s="2">
        <v>24426</v>
      </c>
      <c r="E37" s="2">
        <v>25631</v>
      </c>
      <c r="F37" s="2">
        <v>28631</v>
      </c>
      <c r="G37" s="2">
        <v>30732</v>
      </c>
      <c r="H37" s="2">
        <v>28891</v>
      </c>
      <c r="I37" s="2">
        <v>30113</v>
      </c>
      <c r="J37" s="2">
        <v>31236</v>
      </c>
      <c r="K37" s="2">
        <v>33051</v>
      </c>
      <c r="L37" s="2">
        <v>32976</v>
      </c>
      <c r="M37" s="2">
        <v>35038</v>
      </c>
      <c r="N37" s="2">
        <v>37866</v>
      </c>
      <c r="O37" s="2">
        <v>43185</v>
      </c>
      <c r="P37" s="2">
        <v>49300</v>
      </c>
      <c r="Q37" s="2">
        <v>55602</v>
      </c>
      <c r="R37" s="2">
        <v>46168</v>
      </c>
      <c r="S37" s="2">
        <v>48603</v>
      </c>
      <c r="T37" s="2">
        <v>47298</v>
      </c>
      <c r="U37" s="2">
        <v>46585</v>
      </c>
      <c r="V37" s="2">
        <v>51228</v>
      </c>
      <c r="W37" s="2">
        <v>58300</v>
      </c>
      <c r="AI37" s="2"/>
      <c r="AJ37" s="2"/>
      <c r="AK37" s="2"/>
      <c r="AL37" s="2"/>
      <c r="AM37" s="2"/>
    </row>
    <row r="38" spans="2:46" x14ac:dyDescent="0.2">
      <c r="B38" s="1" t="s">
        <v>58</v>
      </c>
      <c r="C38" s="2">
        <v>4982</v>
      </c>
      <c r="D38" s="2">
        <v>5005</v>
      </c>
      <c r="E38" s="2">
        <v>6030</v>
      </c>
      <c r="F38" s="2">
        <v>7500</v>
      </c>
      <c r="G38" s="11">
        <v>6962</v>
      </c>
      <c r="H38" s="2">
        <v>7438</v>
      </c>
      <c r="I38" s="2">
        <v>7745</v>
      </c>
      <c r="J38" s="2">
        <v>8996</v>
      </c>
      <c r="K38" s="2">
        <v>8116</v>
      </c>
      <c r="L38" s="2">
        <v>7889</v>
      </c>
      <c r="M38" s="2">
        <v>7662</v>
      </c>
      <c r="N38" s="2">
        <v>8370</v>
      </c>
      <c r="O38" s="2">
        <v>7816</v>
      </c>
      <c r="P38" s="2">
        <v>7990</v>
      </c>
      <c r="Q38" s="2">
        <v>8025</v>
      </c>
      <c r="R38" s="2">
        <v>8876</v>
      </c>
      <c r="S38" s="2">
        <v>8520</v>
      </c>
      <c r="T38" s="2">
        <v>8899</v>
      </c>
      <c r="U38" s="2">
        <v>9365</v>
      </c>
      <c r="V38" s="2">
        <v>9802</v>
      </c>
      <c r="W38" s="2">
        <v>9965</v>
      </c>
      <c r="AI38" s="2"/>
      <c r="AJ38" s="2"/>
      <c r="AK38" s="2"/>
      <c r="AL38" s="2"/>
      <c r="AM38" s="2"/>
    </row>
    <row r="39" spans="2:46" x14ac:dyDescent="0.2">
      <c r="B39" s="1" t="s">
        <v>59</v>
      </c>
      <c r="C39" s="2">
        <v>1939</v>
      </c>
      <c r="D39" s="2">
        <v>2061</v>
      </c>
      <c r="E39" s="2">
        <v>2302</v>
      </c>
      <c r="F39" s="2">
        <v>2543</v>
      </c>
      <c r="G39" s="2">
        <f>2690+530+4406</f>
        <v>7626</v>
      </c>
      <c r="H39" s="2">
        <f>2715+510+4703</f>
        <v>7928</v>
      </c>
      <c r="I39" s="2">
        <f>2968+510+3551</f>
        <v>7029</v>
      </c>
      <c r="J39" s="2">
        <f>3288+535+5257</f>
        <v>9080</v>
      </c>
      <c r="K39" s="2">
        <f>3198+499+2843</f>
        <v>6540</v>
      </c>
      <c r="L39" s="10">
        <f>3272+472+924</f>
        <v>4668</v>
      </c>
      <c r="M39" s="2">
        <f>476+594+3585</f>
        <v>4655</v>
      </c>
      <c r="N39" s="2">
        <f>3908+599</f>
        <v>4507</v>
      </c>
      <c r="O39" s="2">
        <f>3715+610</f>
        <v>4325</v>
      </c>
      <c r="P39" s="2">
        <f>3846+667</f>
        <v>4513</v>
      </c>
      <c r="Q39" s="2">
        <f>4303+884</f>
        <v>5187</v>
      </c>
      <c r="R39" s="2">
        <f>4137+911</f>
        <v>5048</v>
      </c>
      <c r="S39" s="2">
        <f>3973+921</f>
        <v>4894</v>
      </c>
      <c r="T39" s="2">
        <f>4251+985</f>
        <v>5236</v>
      </c>
      <c r="U39" s="2">
        <f>4896+1015</f>
        <v>5911</v>
      </c>
      <c r="V39" s="2">
        <v>5036</v>
      </c>
      <c r="W39" s="2">
        <v>4908</v>
      </c>
      <c r="AI39" s="2"/>
      <c r="AJ39" s="2"/>
      <c r="AK39" s="2"/>
      <c r="AL39" s="2"/>
      <c r="AM39" s="2"/>
    </row>
    <row r="40" spans="2:46" x14ac:dyDescent="0.2">
      <c r="B40" s="1" t="s">
        <v>10</v>
      </c>
      <c r="C40" s="2">
        <f>9207+2079+913</f>
        <v>12199</v>
      </c>
      <c r="D40" s="2">
        <f>975+8599</f>
        <v>9574</v>
      </c>
      <c r="E40" s="2">
        <f>1099+8616</f>
        <v>9715</v>
      </c>
      <c r="F40" s="2">
        <f>1485+8849+3561+481</f>
        <v>14376</v>
      </c>
      <c r="G40" s="2">
        <f>1893+9278</f>
        <v>11171</v>
      </c>
      <c r="H40" s="2">
        <f>1811+8651</f>
        <v>10462</v>
      </c>
      <c r="I40" s="2">
        <f>4170+8984</f>
        <v>13154</v>
      </c>
      <c r="J40" s="2">
        <f>808+9176</f>
        <v>9984</v>
      </c>
      <c r="K40" s="2">
        <f>4344+9406</f>
        <v>13750</v>
      </c>
      <c r="L40" s="2">
        <f>1956+8163</f>
        <v>10119</v>
      </c>
      <c r="M40" s="2">
        <f>1025+8572</f>
        <v>9597</v>
      </c>
      <c r="N40" s="11">
        <f>9258+514</f>
        <v>9772</v>
      </c>
      <c r="O40" s="2">
        <f>9722+542</f>
        <v>10264</v>
      </c>
      <c r="P40" s="2">
        <f>8753+558</f>
        <v>9311</v>
      </c>
      <c r="Q40" s="2">
        <f>8038+528</f>
        <v>8566</v>
      </c>
      <c r="R40" s="2">
        <f>485+8474</f>
        <v>8959</v>
      </c>
      <c r="S40" s="2">
        <f>9234+486</f>
        <v>9720</v>
      </c>
      <c r="T40" s="2">
        <f>7703+717</f>
        <v>8420</v>
      </c>
      <c r="U40" s="2">
        <f>8219+706</f>
        <v>8925</v>
      </c>
      <c r="V40" s="2">
        <f>8782</f>
        <v>8782</v>
      </c>
      <c r="W40" s="2">
        <v>9773</v>
      </c>
      <c r="AI40" s="2"/>
      <c r="AJ40" s="2"/>
      <c r="AK40" s="2"/>
      <c r="AL40" s="2"/>
      <c r="AM40" s="2"/>
    </row>
    <row r="41" spans="2:46" x14ac:dyDescent="0.2">
      <c r="B41" s="1" t="s">
        <v>41</v>
      </c>
      <c r="C41" s="2">
        <v>5016</v>
      </c>
      <c r="D41" s="2">
        <v>4018</v>
      </c>
      <c r="E41" s="2">
        <v>13902</v>
      </c>
      <c r="F41" s="2">
        <v>13932</v>
      </c>
      <c r="G41" s="2">
        <v>13887</v>
      </c>
      <c r="H41" s="2">
        <v>14328</v>
      </c>
      <c r="I41" s="2">
        <v>14288</v>
      </c>
      <c r="J41" s="2">
        <v>14817</v>
      </c>
      <c r="K41" s="2">
        <v>14791</v>
      </c>
      <c r="L41" s="2">
        <v>14734</v>
      </c>
      <c r="M41" s="2">
        <v>14653</v>
      </c>
      <c r="N41" s="2">
        <v>14701</v>
      </c>
      <c r="O41" s="2">
        <v>13697</v>
      </c>
      <c r="P41" s="2">
        <v>13705</v>
      </c>
      <c r="Q41" s="2">
        <v>13781</v>
      </c>
      <c r="R41" s="2">
        <v>13253</v>
      </c>
      <c r="S41" s="2">
        <v>13238</v>
      </c>
      <c r="T41" s="2">
        <v>13238</v>
      </c>
      <c r="U41" s="2">
        <v>12297</v>
      </c>
      <c r="V41" s="2">
        <v>10883</v>
      </c>
      <c r="W41" s="2">
        <v>10886</v>
      </c>
      <c r="AI41" s="2"/>
      <c r="AJ41" s="2"/>
      <c r="AK41" s="2"/>
      <c r="AL41" s="2"/>
      <c r="AM41" s="2"/>
    </row>
    <row r="42" spans="2:46" x14ac:dyDescent="0.2">
      <c r="B42" s="1" t="s">
        <v>51</v>
      </c>
      <c r="C42" s="2">
        <v>10476</v>
      </c>
      <c r="D42" s="2">
        <v>10709</v>
      </c>
      <c r="E42" s="2">
        <v>10984</v>
      </c>
      <c r="F42" s="2">
        <v>11146</v>
      </c>
      <c r="G42" s="2">
        <v>11382</v>
      </c>
      <c r="H42" s="2">
        <v>11619</v>
      </c>
      <c r="I42" s="2">
        <v>11471</v>
      </c>
      <c r="J42" s="2">
        <v>11389</v>
      </c>
      <c r="K42" s="2">
        <v>11363</v>
      </c>
      <c r="L42" s="2">
        <v>11697</v>
      </c>
      <c r="M42" s="2">
        <v>11984</v>
      </c>
      <c r="N42" s="2">
        <v>12501</v>
      </c>
      <c r="O42" s="2">
        <v>12799</v>
      </c>
      <c r="P42" s="2">
        <v>12746</v>
      </c>
      <c r="Q42" s="2">
        <v>12550</v>
      </c>
      <c r="R42" s="2">
        <v>12460</v>
      </c>
      <c r="S42" s="2">
        <v>11957</v>
      </c>
      <c r="T42" s="2">
        <v>11708</v>
      </c>
      <c r="U42" s="2">
        <v>11654</v>
      </c>
      <c r="V42" s="2">
        <v>11691</v>
      </c>
      <c r="W42" s="2">
        <v>11678</v>
      </c>
      <c r="AI42" s="2"/>
      <c r="AJ42" s="2"/>
      <c r="AK42" s="2"/>
      <c r="AL42" s="2"/>
      <c r="AM42" s="2"/>
    </row>
    <row r="43" spans="2:46" x14ac:dyDescent="0.2">
      <c r="B43" s="1" t="s">
        <v>60</v>
      </c>
      <c r="C43" s="2">
        <v>2427</v>
      </c>
      <c r="D43" s="2">
        <v>1992</v>
      </c>
      <c r="E43" s="2">
        <v>2194</v>
      </c>
      <c r="F43" s="2">
        <v>2269</v>
      </c>
      <c r="G43" s="2">
        <v>2146</v>
      </c>
      <c r="H43" s="2">
        <v>2270</v>
      </c>
      <c r="I43" s="2">
        <v>2250</v>
      </c>
      <c r="J43" s="2">
        <v>2205</v>
      </c>
      <c r="K43" s="2">
        <v>2242</v>
      </c>
      <c r="L43" s="2">
        <v>2422</v>
      </c>
      <c r="M43" s="2">
        <v>2371</v>
      </c>
      <c r="N43" s="2">
        <v>2247</v>
      </c>
      <c r="O43" s="2">
        <v>2373</v>
      </c>
      <c r="P43" s="2">
        <v>1765</v>
      </c>
      <c r="Q43" s="2">
        <v>1433</v>
      </c>
      <c r="R43" s="2">
        <v>1616</v>
      </c>
      <c r="S43" s="2">
        <v>1683</v>
      </c>
      <c r="T43" s="2">
        <v>1753</v>
      </c>
      <c r="U43" s="2">
        <v>1453</v>
      </c>
      <c r="V43" s="2">
        <v>4694</v>
      </c>
      <c r="W43" s="2">
        <v>6116</v>
      </c>
      <c r="AI43" s="2"/>
      <c r="AJ43" s="2"/>
      <c r="AK43" s="2"/>
      <c r="AL43" s="2"/>
      <c r="AM43" s="2"/>
    </row>
    <row r="44" spans="2:46" x14ac:dyDescent="0.2">
      <c r="B44" s="1" t="s">
        <v>61</v>
      </c>
      <c r="C44" s="2">
        <v>203659</v>
      </c>
      <c r="D44" s="2">
        <v>207322</v>
      </c>
      <c r="E44" s="2">
        <v>212920</v>
      </c>
      <c r="F44" s="2">
        <v>222544</v>
      </c>
      <c r="G44" s="2">
        <v>230013</v>
      </c>
      <c r="H44" s="2">
        <v>237565</v>
      </c>
      <c r="I44" s="2">
        <v>244567</v>
      </c>
      <c r="J44" s="2">
        <v>251635</v>
      </c>
      <c r="K44" s="2">
        <v>254004</v>
      </c>
      <c r="L44" s="2">
        <v>255419</v>
      </c>
      <c r="M44" s="2">
        <v>253626</v>
      </c>
      <c r="N44" s="2">
        <v>256144</v>
      </c>
      <c r="O44" s="2">
        <v>260894</v>
      </c>
      <c r="P44" s="2">
        <v>267141</v>
      </c>
      <c r="Q44" s="2">
        <v>273202</v>
      </c>
      <c r="R44" s="2">
        <v>283379</v>
      </c>
      <c r="S44" s="2">
        <v>292844</v>
      </c>
      <c r="T44" s="2">
        <v>300753</v>
      </c>
      <c r="U44" s="2">
        <v>314119</v>
      </c>
      <c r="V44" s="2">
        <v>325084</v>
      </c>
      <c r="W44" s="2">
        <v>345267</v>
      </c>
      <c r="AI44" s="2"/>
      <c r="AJ44" s="2"/>
      <c r="AK44" s="2"/>
      <c r="AL44" s="2"/>
      <c r="AM44" s="2"/>
    </row>
    <row r="45" spans="2:46" x14ac:dyDescent="0.2">
      <c r="B45" s="1" t="s">
        <v>62</v>
      </c>
      <c r="C45" s="2">
        <f>SUM(C35:C44)</f>
        <v>273054</v>
      </c>
      <c r="D45" s="2">
        <f t="shared" ref="D45:W45" si="55">SUM(D35:D44)</f>
        <v>276298</v>
      </c>
      <c r="E45" s="2">
        <f t="shared" si="55"/>
        <v>296816</v>
      </c>
      <c r="F45" s="2">
        <f t="shared" si="55"/>
        <v>319616</v>
      </c>
      <c r="G45" s="2">
        <f t="shared" si="55"/>
        <v>327095</v>
      </c>
      <c r="H45" s="2">
        <f t="shared" si="55"/>
        <v>335297</v>
      </c>
      <c r="I45" s="2">
        <f t="shared" si="55"/>
        <v>347403</v>
      </c>
      <c r="J45" s="2">
        <f t="shared" si="55"/>
        <v>359268</v>
      </c>
      <c r="K45" s="2">
        <f t="shared" si="55"/>
        <v>357096</v>
      </c>
      <c r="L45" s="2">
        <f t="shared" si="55"/>
        <v>355185</v>
      </c>
      <c r="M45" s="2">
        <f t="shared" si="55"/>
        <v>358255</v>
      </c>
      <c r="N45" s="2">
        <f t="shared" si="55"/>
        <v>365264</v>
      </c>
      <c r="O45" s="2">
        <f t="shared" si="55"/>
        <v>369491</v>
      </c>
      <c r="P45" s="2">
        <f t="shared" si="55"/>
        <v>383044</v>
      </c>
      <c r="Q45" s="2">
        <f t="shared" si="55"/>
        <v>396711</v>
      </c>
      <c r="R45" s="2">
        <f t="shared" si="55"/>
        <v>402392</v>
      </c>
      <c r="S45" s="2">
        <f t="shared" si="55"/>
        <v>407360</v>
      </c>
      <c r="T45" s="2">
        <f t="shared" si="55"/>
        <v>414770</v>
      </c>
      <c r="U45" s="2">
        <f t="shared" si="55"/>
        <v>430266</v>
      </c>
      <c r="V45" s="2">
        <f t="shared" si="55"/>
        <v>450256</v>
      </c>
      <c r="W45" s="2">
        <f t="shared" si="55"/>
        <v>475374</v>
      </c>
      <c r="AI45" s="2"/>
      <c r="AJ45" s="2"/>
      <c r="AK45" s="2"/>
      <c r="AL45" s="2"/>
      <c r="AM45" s="2"/>
    </row>
    <row r="46" spans="2:46" x14ac:dyDescent="0.2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AI46" s="2"/>
      <c r="AJ46" s="2"/>
      <c r="AK46" s="2"/>
      <c r="AL46" s="2"/>
      <c r="AM46" s="2"/>
    </row>
    <row r="47" spans="2:46" x14ac:dyDescent="0.2">
      <c r="B47" s="1" t="s">
        <v>63</v>
      </c>
      <c r="C47" s="2">
        <f t="shared" ref="C47:W47" si="56">+C14</f>
        <v>6836</v>
      </c>
      <c r="D47" s="2">
        <f t="shared" si="56"/>
        <v>6959</v>
      </c>
      <c r="E47" s="2">
        <f t="shared" si="56"/>
        <v>11247</v>
      </c>
      <c r="F47" s="2">
        <f t="shared" si="56"/>
        <v>15227</v>
      </c>
      <c r="G47" s="2">
        <f t="shared" si="56"/>
        <v>17930</v>
      </c>
      <c r="H47" s="2">
        <f t="shared" si="56"/>
        <v>18525</v>
      </c>
      <c r="I47" s="2">
        <f t="shared" si="56"/>
        <v>18936</v>
      </c>
      <c r="J47" s="2">
        <f t="shared" ref="J47" si="57">+J14</f>
        <v>20642</v>
      </c>
      <c r="K47" s="2">
        <f t="shared" si="56"/>
        <v>16436</v>
      </c>
      <c r="L47" s="2">
        <f t="shared" si="56"/>
        <v>16002</v>
      </c>
      <c r="M47" s="2">
        <f t="shared" si="56"/>
        <v>13910</v>
      </c>
      <c r="N47" s="2">
        <f t="shared" si="56"/>
        <v>11537</v>
      </c>
      <c r="O47" s="2">
        <f t="shared" si="56"/>
        <v>15051</v>
      </c>
      <c r="P47" s="2">
        <f t="shared" si="56"/>
        <v>18368</v>
      </c>
      <c r="Q47" s="2">
        <f t="shared" si="56"/>
        <v>19689</v>
      </c>
      <c r="R47" s="2">
        <f t="shared" si="56"/>
        <v>20687</v>
      </c>
      <c r="S47" s="2">
        <v>23662</v>
      </c>
      <c r="T47" s="2">
        <f t="shared" si="56"/>
        <v>23619</v>
      </c>
      <c r="U47" s="2">
        <f t="shared" si="56"/>
        <v>23116</v>
      </c>
      <c r="V47" s="2">
        <f t="shared" si="56"/>
        <v>26603</v>
      </c>
      <c r="W47" s="2">
        <f t="shared" si="56"/>
        <v>23357</v>
      </c>
      <c r="AI47" s="2"/>
      <c r="AJ47" s="2"/>
      <c r="AK47" s="2"/>
      <c r="AL47" s="2"/>
      <c r="AM47" s="2"/>
    </row>
    <row r="48" spans="2:46" x14ac:dyDescent="0.2">
      <c r="B48" s="1" t="s">
        <v>64</v>
      </c>
      <c r="C48" s="2">
        <v>6836</v>
      </c>
      <c r="D48" s="2">
        <v>6959</v>
      </c>
      <c r="E48" s="2">
        <v>11247</v>
      </c>
      <c r="F48" s="2">
        <f>34343-SUM(C48:E48)</f>
        <v>9301</v>
      </c>
      <c r="G48" s="2">
        <v>17930</v>
      </c>
      <c r="H48" s="11">
        <v>18525</v>
      </c>
      <c r="I48" s="2">
        <v>18936</v>
      </c>
      <c r="J48" s="2">
        <f>76033-SUM(G48:I48)</f>
        <v>20642</v>
      </c>
      <c r="K48" s="2">
        <v>16436</v>
      </c>
      <c r="L48" s="2">
        <v>16002</v>
      </c>
      <c r="M48" s="2">
        <v>13910</v>
      </c>
      <c r="N48" s="2">
        <f>59972-SUM(K48:M48)</f>
        <v>13624</v>
      </c>
      <c r="O48" s="2">
        <v>15051</v>
      </c>
      <c r="P48" s="2">
        <v>18368</v>
      </c>
      <c r="Q48" s="2">
        <v>19689</v>
      </c>
      <c r="R48" s="2">
        <v>20687</v>
      </c>
      <c r="S48" s="2">
        <v>23662</v>
      </c>
      <c r="T48" s="2">
        <v>23619</v>
      </c>
      <c r="U48" s="2">
        <v>26301</v>
      </c>
      <c r="V48" s="2">
        <f>100118-SUM(S48:U48)</f>
        <v>26536</v>
      </c>
      <c r="W48" s="2">
        <v>34540</v>
      </c>
      <c r="AI48" s="2"/>
      <c r="AJ48" s="2"/>
      <c r="AK48" s="2"/>
      <c r="AL48" s="2"/>
      <c r="AM48" s="2"/>
    </row>
    <row r="49" spans="2:39" x14ac:dyDescent="0.2">
      <c r="B49" s="1" t="s">
        <v>65</v>
      </c>
      <c r="C49" s="2">
        <v>2899</v>
      </c>
      <c r="D49" s="2">
        <f>6077-C49</f>
        <v>3178</v>
      </c>
      <c r="E49" s="2">
        <f>9366-SUM(C49:D49)</f>
        <v>3289</v>
      </c>
      <c r="F49" s="2">
        <f>12905-SUM(C49:E49)</f>
        <v>3539</v>
      </c>
      <c r="G49" s="2">
        <v>2525</v>
      </c>
      <c r="H49" s="2">
        <f>5255-G49</f>
        <v>2730</v>
      </c>
      <c r="I49" s="2">
        <f>8340-SUM(G49:H49)</f>
        <v>3085</v>
      </c>
      <c r="J49" s="2">
        <f>11555-SUM(G49:I49)</f>
        <v>3215</v>
      </c>
      <c r="K49" s="2">
        <f>3591</f>
        <v>3591</v>
      </c>
      <c r="L49" s="2">
        <f>7289-K49</f>
        <v>3698</v>
      </c>
      <c r="M49" s="2">
        <f>11222-SUM(K49:L49)</f>
        <v>3933</v>
      </c>
      <c r="N49" s="2">
        <f>15287-SUM(K49:M49)</f>
        <v>4065</v>
      </c>
      <c r="O49" s="2">
        <v>3060</v>
      </c>
      <c r="P49" s="2">
        <f>6339-O49</f>
        <v>3279</v>
      </c>
      <c r="Q49" s="2">
        <f>10010-SUM(O49:P49)</f>
        <v>3671</v>
      </c>
      <c r="R49" s="2">
        <f>11946-SUM(O49:Q49)</f>
        <v>1936</v>
      </c>
      <c r="S49" s="2">
        <v>3413</v>
      </c>
      <c r="T49" s="2">
        <f>7121-S49</f>
        <v>3708</v>
      </c>
      <c r="U49" s="2">
        <f>11106-SUM(S49:T49)</f>
        <v>3985</v>
      </c>
      <c r="V49" s="2">
        <f>15311-SUM(S49:U49)</f>
        <v>4205</v>
      </c>
      <c r="W49" s="2">
        <v>4487</v>
      </c>
      <c r="AI49" s="2"/>
      <c r="AJ49" s="2"/>
      <c r="AK49" s="2"/>
      <c r="AL49" s="2"/>
      <c r="AM49" s="2"/>
    </row>
    <row r="50" spans="2:39" x14ac:dyDescent="0.2">
      <c r="B50" s="1" t="s">
        <v>66</v>
      </c>
      <c r="C50" s="2">
        <v>209</v>
      </c>
      <c r="D50" s="2">
        <f>417-C50</f>
        <v>208</v>
      </c>
      <c r="E50" s="2">
        <f>606-SUM(C50:D50)</f>
        <v>189</v>
      </c>
      <c r="F50" s="2">
        <f>792-SUM(C50:E50)</f>
        <v>186</v>
      </c>
      <c r="G50" s="2">
        <v>228</v>
      </c>
      <c r="H50" s="2">
        <f>443-G50</f>
        <v>215</v>
      </c>
      <c r="I50" s="2">
        <f>662-SUM(G50:H50)</f>
        <v>219</v>
      </c>
      <c r="J50" s="2">
        <f>856-SUM(G50:I50)</f>
        <v>194</v>
      </c>
      <c r="K50" s="2">
        <v>191</v>
      </c>
      <c r="L50" s="2">
        <f>392-K50</f>
        <v>201</v>
      </c>
      <c r="M50" s="2">
        <f>505-SUM(K50:L50)</f>
        <v>113</v>
      </c>
      <c r="N50" s="2">
        <f>641-SUM(K50:M50)</f>
        <v>136</v>
      </c>
      <c r="O50" s="2">
        <v>126</v>
      </c>
      <c r="P50" s="2">
        <f>244-O50</f>
        <v>118</v>
      </c>
      <c r="Q50" s="2">
        <f>373-SUM(O50:P50)</f>
        <v>129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AI50" s="2"/>
      <c r="AJ50" s="2"/>
      <c r="AK50" s="2"/>
      <c r="AL50" s="2"/>
      <c r="AM50" s="2"/>
    </row>
    <row r="51" spans="2:39" x14ac:dyDescent="0.2">
      <c r="B51" s="1" t="s">
        <v>67</v>
      </c>
      <c r="C51" s="2">
        <v>3191</v>
      </c>
      <c r="D51" s="2">
        <f>6573-C51</f>
        <v>3382</v>
      </c>
      <c r="E51" s="2">
        <f>9768-SUM(C51:D51)</f>
        <v>3195</v>
      </c>
      <c r="F51" s="2">
        <f>12961-SUM(C51:E51)</f>
        <v>3193</v>
      </c>
      <c r="G51" s="2">
        <v>3745</v>
      </c>
      <c r="H51" s="2">
        <f>7548-G51</f>
        <v>3803</v>
      </c>
      <c r="I51" s="2">
        <f>11422-SUM(G51:H51)</f>
        <v>3874</v>
      </c>
      <c r="J51" s="2">
        <f>15376-SUM(G51:I51)</f>
        <v>3954</v>
      </c>
      <c r="K51" s="2">
        <v>4504</v>
      </c>
      <c r="L51" s="2">
        <f>9286-K51</f>
        <v>4782</v>
      </c>
      <c r="M51" s="11">
        <f>14262-SUM(K51:L51)</f>
        <v>4976</v>
      </c>
      <c r="N51" s="2">
        <f>19362-SUM(K51:M51)</f>
        <v>5100</v>
      </c>
      <c r="O51" s="2">
        <v>5284</v>
      </c>
      <c r="P51" s="2">
        <f>11058-O51</f>
        <v>5774</v>
      </c>
      <c r="Q51" s="2">
        <f>16801-SUM(O51:P51)</f>
        <v>5743</v>
      </c>
      <c r="R51" s="2">
        <f>22460-SUM(O51:Q51)</f>
        <v>5659</v>
      </c>
      <c r="S51" s="2">
        <v>5264</v>
      </c>
      <c r="T51" s="2">
        <f>11129-S51</f>
        <v>5865</v>
      </c>
      <c r="U51" s="2">
        <f>16975-SUM(S51:T51)</f>
        <v>5846</v>
      </c>
      <c r="V51" s="2">
        <f>22785-SUM(S51:U51)</f>
        <v>5810</v>
      </c>
      <c r="W51" s="2">
        <v>5516</v>
      </c>
      <c r="AI51" s="2"/>
      <c r="AJ51" s="2"/>
      <c r="AK51" s="2"/>
      <c r="AL51" s="2"/>
      <c r="AM51" s="2"/>
    </row>
    <row r="52" spans="2:39" x14ac:dyDescent="0.2">
      <c r="B52" s="1" t="s">
        <v>49</v>
      </c>
      <c r="C52" s="2">
        <v>175</v>
      </c>
      <c r="D52" s="2">
        <f>-416-C52</f>
        <v>-591</v>
      </c>
      <c r="E52" s="2">
        <f>-280-SUM(C52:D52)</f>
        <v>136</v>
      </c>
      <c r="F52" s="2">
        <f>1390-SUM(C52:E52)</f>
        <v>1670</v>
      </c>
      <c r="G52" s="11">
        <v>1100</v>
      </c>
      <c r="H52" s="2">
        <f>1479-G52</f>
        <v>379</v>
      </c>
      <c r="I52" s="2">
        <f>192-SUM(G52:H52)</f>
        <v>-1287</v>
      </c>
      <c r="J52" s="2">
        <f>1808-SUM(G52:I52)</f>
        <v>1616</v>
      </c>
      <c r="K52" s="2">
        <v>-2090</v>
      </c>
      <c r="L52" s="2">
        <f>-4237-K52</f>
        <v>-2147</v>
      </c>
      <c r="M52" s="2">
        <f>-6157-SUM(K52:L52)</f>
        <v>-1920</v>
      </c>
      <c r="N52" s="2">
        <f>-8081-SUM(K52:M52)</f>
        <v>-1924</v>
      </c>
      <c r="O52" s="2">
        <v>-1854</v>
      </c>
      <c r="P52" s="2">
        <f>-4269-O52</f>
        <v>-2415</v>
      </c>
      <c r="Q52" s="2">
        <f>-6093-SUM(O52:P52)</f>
        <v>-1824</v>
      </c>
      <c r="R52" s="2">
        <f>-7763-SUM(O52:Q52)</f>
        <v>-1670</v>
      </c>
      <c r="S52" s="2">
        <v>419</v>
      </c>
      <c r="T52" s="2">
        <f>-2738-S52</f>
        <v>-3157</v>
      </c>
      <c r="U52" s="2">
        <f>-3809-SUM(S52:T52)</f>
        <v>-1071</v>
      </c>
      <c r="V52" s="2">
        <f>-5257-SUM(S52:U52)</f>
        <v>-1448</v>
      </c>
      <c r="W52" s="2">
        <v>-1152</v>
      </c>
      <c r="AI52" s="2"/>
      <c r="AJ52" s="2"/>
      <c r="AK52" s="2"/>
      <c r="AL52" s="2"/>
      <c r="AM52" s="2"/>
    </row>
    <row r="53" spans="2:39" x14ac:dyDescent="0.2">
      <c r="B53" s="1" t="s">
        <v>68</v>
      </c>
      <c r="C53" s="2">
        <v>802</v>
      </c>
      <c r="D53" s="2">
        <f>-1040-ABS(C53)</f>
        <v>-1842</v>
      </c>
      <c r="E53" s="2">
        <f>-3055-SUM(C53:D53)</f>
        <v>-2015</v>
      </c>
      <c r="F53" s="2">
        <f>-6317-SUM(C53:E53)</f>
        <v>-3262</v>
      </c>
      <c r="G53" s="2">
        <v>-4751</v>
      </c>
      <c r="H53" s="2">
        <f>7634-SUM(G53)</f>
        <v>12385</v>
      </c>
      <c r="I53" s="2">
        <f>-9792-SUM(G53:H53)</f>
        <v>-17426</v>
      </c>
      <c r="J53" s="2">
        <f>-12270-SUM(G53:I53)</f>
        <v>-2478</v>
      </c>
      <c r="K53" s="2">
        <v>1437</v>
      </c>
      <c r="L53" s="2">
        <v>2478</v>
      </c>
      <c r="M53" s="2">
        <v>3856</v>
      </c>
      <c r="N53" s="2">
        <v>5519</v>
      </c>
      <c r="O53" s="2">
        <v>-84</v>
      </c>
      <c r="P53" s="2">
        <f>425-O53</f>
        <v>509</v>
      </c>
      <c r="Q53" s="2">
        <f>1294-SUM(O53:P53)</f>
        <v>869</v>
      </c>
      <c r="R53" s="2">
        <f>823-SUM(O53:Q53)</f>
        <v>-471</v>
      </c>
      <c r="S53" s="2">
        <v>-1781</v>
      </c>
      <c r="T53" s="2">
        <f>-757-S53</f>
        <v>1024</v>
      </c>
      <c r="U53" s="2">
        <f>-2738-SUM(S53:T53)</f>
        <v>-1981</v>
      </c>
      <c r="V53" s="2">
        <f>-2671-SUM(S53:U53)</f>
        <v>67</v>
      </c>
      <c r="W53" s="2">
        <v>-9960</v>
      </c>
      <c r="AI53" s="2"/>
      <c r="AJ53" s="2"/>
      <c r="AK53" s="2"/>
      <c r="AL53" s="2"/>
      <c r="AM53" s="2"/>
    </row>
    <row r="54" spans="2:39" x14ac:dyDescent="0.2">
      <c r="B54" s="1" t="s">
        <v>8</v>
      </c>
      <c r="C54" s="2">
        <v>297</v>
      </c>
      <c r="D54" s="2">
        <v>669</v>
      </c>
      <c r="E54" s="2">
        <v>875</v>
      </c>
      <c r="F54" s="2">
        <v>1267</v>
      </c>
      <c r="G54" s="2">
        <v>-255</v>
      </c>
      <c r="H54" s="2">
        <v>-263</v>
      </c>
      <c r="I54" s="2">
        <v>-199</v>
      </c>
      <c r="J54" s="2">
        <v>-213</v>
      </c>
      <c r="K54" s="2">
        <v>140</v>
      </c>
      <c r="L54" s="2">
        <v>202</v>
      </c>
      <c r="M54" s="2">
        <v>369</v>
      </c>
      <c r="N54" s="2">
        <v>1030</v>
      </c>
      <c r="O54" s="2">
        <v>553</v>
      </c>
      <c r="P54" s="2">
        <f>650-O54</f>
        <v>97</v>
      </c>
      <c r="Q54" s="2">
        <f>912-SUM(O54:P54)</f>
        <v>262</v>
      </c>
      <c r="R54" s="2">
        <f>4330-SUM(O54:Q54)</f>
        <v>3418</v>
      </c>
      <c r="S54" s="2">
        <v>334</v>
      </c>
      <c r="T54" s="2">
        <f>1185-S54</f>
        <v>851</v>
      </c>
      <c r="U54" s="2">
        <f>2592-SUM(S54:T54)</f>
        <v>1407</v>
      </c>
      <c r="V54" s="2">
        <f>3419-SUM(S54:U54)</f>
        <v>827</v>
      </c>
      <c r="W54" s="2">
        <v>481</v>
      </c>
      <c r="AI54" s="2"/>
      <c r="AJ54" s="2"/>
      <c r="AK54" s="2"/>
      <c r="AL54" s="2"/>
      <c r="AM54" s="2"/>
    </row>
    <row r="55" spans="2:39" x14ac:dyDescent="0.2">
      <c r="B55" s="1" t="s">
        <v>69</v>
      </c>
      <c r="C55" s="2">
        <f>2602-245-115-835-3531-871+37</f>
        <v>-2958</v>
      </c>
      <c r="D55" s="2">
        <f>2522+538-358-689-2099-692+148</f>
        <v>-630</v>
      </c>
      <c r="E55" s="2">
        <f>-1079+469-592-269+891+277+428</f>
        <v>125</v>
      </c>
      <c r="F55" s="2">
        <f>-6524+1209-1330+694+5504+1639+635-SUM(C55:E55)</f>
        <v>5290</v>
      </c>
      <c r="G55" s="2">
        <f>2794+785+7-962-3530-444+137</f>
        <v>-1213</v>
      </c>
      <c r="H55" s="2">
        <f>-867-297-192-112+201+29+134</f>
        <v>-1104</v>
      </c>
      <c r="I55" s="2">
        <f>-3276+2744-1447-874+2763+386+406</f>
        <v>702</v>
      </c>
      <c r="J55" s="2">
        <f>-9095-625-1846+283+7304+1682+774</f>
        <v>-1523</v>
      </c>
      <c r="K55" s="2">
        <f>4364+3820-776-2373-3216-828-94</f>
        <v>897</v>
      </c>
      <c r="L55" s="2">
        <f>2395-253-1621-1172-1719-942-8</f>
        <v>-3320</v>
      </c>
      <c r="M55" s="2">
        <f>2298-862-4268+735+491-1022+104</f>
        <v>-2524</v>
      </c>
      <c r="N55" s="2">
        <f>-2317+584-5046+707+3915-445+367</f>
        <v>-2235</v>
      </c>
      <c r="O55" s="2">
        <f>4454+4069-746-1105-4496-602-201</f>
        <v>1373</v>
      </c>
      <c r="P55" s="2">
        <f>1506+8520-1259+14-4037-418-17-O55</f>
        <v>2936</v>
      </c>
      <c r="Q55" s="2">
        <f>-1315+10392-2883+237-380-315+690-SUM(O55:P55)</f>
        <v>2117</v>
      </c>
      <c r="R55" s="2">
        <f>-7833+523-2143+664+3937+482+525-SUM(O55:Q55)</f>
        <v>-10271</v>
      </c>
      <c r="S55" s="2">
        <f>3167+3011-1000-2124-5054-322-141</f>
        <v>-2463</v>
      </c>
      <c r="T55" s="2">
        <f>110-889-1532-563-5176+97+220-S55</f>
        <v>-5270</v>
      </c>
      <c r="U55" s="2">
        <f>-1321-2797-2334-42-6366+478+860-SUM(S55:T55)</f>
        <v>-3789</v>
      </c>
      <c r="V55" s="2">
        <f>-5891-2418-1397+359-1161+1059+1043-SUM(S55:U55)</f>
        <v>3116</v>
      </c>
      <c r="W55" s="2">
        <f>1638+7197-1288-880-5045+116+500</f>
        <v>2238</v>
      </c>
      <c r="AI55" s="2"/>
      <c r="AJ55" s="2"/>
      <c r="AK55" s="2"/>
      <c r="AL55" s="2"/>
      <c r="AM55" s="2"/>
    </row>
    <row r="56" spans="2:39" x14ac:dyDescent="0.2">
      <c r="B56" s="1" t="s">
        <v>70</v>
      </c>
      <c r="C56" s="2">
        <f t="shared" ref="C56:J56" si="58">SUM(C48:C55)</f>
        <v>11451</v>
      </c>
      <c r="D56" s="2">
        <f t="shared" si="58"/>
        <v>11333</v>
      </c>
      <c r="E56" s="2">
        <f t="shared" si="58"/>
        <v>17041</v>
      </c>
      <c r="F56" s="2">
        <f t="shared" si="58"/>
        <v>21184</v>
      </c>
      <c r="G56" s="2">
        <f t="shared" si="58"/>
        <v>19309</v>
      </c>
      <c r="H56" s="2">
        <f t="shared" si="58"/>
        <v>36670</v>
      </c>
      <c r="I56" s="2">
        <f t="shared" si="58"/>
        <v>7904</v>
      </c>
      <c r="J56" s="2">
        <f t="shared" si="58"/>
        <v>25407</v>
      </c>
      <c r="K56" s="2">
        <f t="shared" ref="K56:U56" si="59">SUM(K48:K55)</f>
        <v>25106</v>
      </c>
      <c r="L56" s="2">
        <f t="shared" si="59"/>
        <v>21896</v>
      </c>
      <c r="M56" s="2">
        <f t="shared" si="59"/>
        <v>22713</v>
      </c>
      <c r="N56" s="2">
        <f>SUM(N48:N55)</f>
        <v>25315</v>
      </c>
      <c r="O56" s="2">
        <f>SUM(O48:O55)</f>
        <v>23509</v>
      </c>
      <c r="P56" s="2">
        <f>SUM(P48:P55)</f>
        <v>28666</v>
      </c>
      <c r="Q56" s="2">
        <f t="shared" si="59"/>
        <v>30656</v>
      </c>
      <c r="R56" s="2">
        <f>SUM(R48:R55)</f>
        <v>19288</v>
      </c>
      <c r="S56" s="2">
        <f>SUM(S48:S55)</f>
        <v>28848</v>
      </c>
      <c r="T56" s="2">
        <f t="shared" si="59"/>
        <v>26640</v>
      </c>
      <c r="U56" s="2">
        <f t="shared" si="59"/>
        <v>30698</v>
      </c>
      <c r="V56" s="2">
        <f>SUM(V48:V55)</f>
        <v>39113</v>
      </c>
      <c r="W56" s="2">
        <f>SUM(W48:W55)</f>
        <v>36150</v>
      </c>
      <c r="AI56" s="2"/>
      <c r="AJ56" s="2"/>
      <c r="AK56" s="2"/>
      <c r="AL56" s="2"/>
      <c r="AM56" s="2"/>
    </row>
    <row r="57" spans="2:39" x14ac:dyDescent="0.2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AI57" s="2"/>
      <c r="AJ57" s="2"/>
      <c r="AK57" s="2"/>
      <c r="AL57" s="2"/>
      <c r="AM57" s="2"/>
    </row>
    <row r="58" spans="2:39" x14ac:dyDescent="0.2">
      <c r="B58" s="1" t="s">
        <v>71</v>
      </c>
      <c r="C58" s="2">
        <v>-6005</v>
      </c>
      <c r="D58" s="2">
        <f>-11396-C58</f>
        <v>-5391</v>
      </c>
      <c r="E58" s="2">
        <f>-16802-SUM(C58:D58)</f>
        <v>-5406</v>
      </c>
      <c r="F58" s="2">
        <f>-22281-SUM(C58:E58)</f>
        <v>-5479</v>
      </c>
      <c r="G58" s="2">
        <v>-5942</v>
      </c>
      <c r="H58" s="2">
        <f>-11438-G58</f>
        <v>-5496</v>
      </c>
      <c r="I58" s="2">
        <f>-18257-SUM(G58:H58)</f>
        <v>-6819</v>
      </c>
      <c r="J58" s="2">
        <f>-24640-SUM(G58:I58)</f>
        <v>-6383</v>
      </c>
      <c r="K58" s="2">
        <v>-9786</v>
      </c>
      <c r="L58" s="2">
        <f>-16614-K58</f>
        <v>-6828</v>
      </c>
      <c r="M58" s="2">
        <f>-23890-SUM(K58:L58)</f>
        <v>-7276</v>
      </c>
      <c r="N58" s="2">
        <f>-31485-SUM(K58:M58)</f>
        <v>-7595</v>
      </c>
      <c r="O58" s="2">
        <v>-6289</v>
      </c>
      <c r="P58" s="2">
        <f>-13177-O58</f>
        <v>-6888</v>
      </c>
      <c r="Q58" s="2">
        <f>-21232-SUM(O58:P58)</f>
        <v>-8055</v>
      </c>
      <c r="R58" s="2">
        <f>-32251-SUM(O58:Q58)</f>
        <v>-11019</v>
      </c>
      <c r="S58" s="2">
        <v>-12012</v>
      </c>
      <c r="T58" s="2">
        <f>-25198-S58</f>
        <v>-13186</v>
      </c>
      <c r="U58" s="2">
        <f>-38259-SUM(S58:T58)</f>
        <v>-13061</v>
      </c>
      <c r="V58" s="2">
        <f>-52535-SUM(S58:U58)</f>
        <v>-14276</v>
      </c>
      <c r="W58" s="2">
        <v>-17197</v>
      </c>
      <c r="AI58" s="2"/>
      <c r="AJ58" s="2"/>
      <c r="AK58" s="2"/>
      <c r="AL58" s="2"/>
      <c r="AM58" s="2"/>
    </row>
    <row r="59" spans="2:39" x14ac:dyDescent="0.2">
      <c r="B59" s="1" t="s">
        <v>72</v>
      </c>
      <c r="C59" s="2">
        <f>-37563+41811-572+260</f>
        <v>3936</v>
      </c>
      <c r="D59" s="2">
        <f>-64111+65874-1311+473</f>
        <v>925</v>
      </c>
      <c r="E59" s="2">
        <f>-104932+97751-1864+598</f>
        <v>-8447</v>
      </c>
      <c r="F59" s="2">
        <f>-136576+132906-7175+1023</f>
        <v>-9822</v>
      </c>
      <c r="G59" s="2">
        <f>-36426+39248-646+19</f>
        <v>2195</v>
      </c>
      <c r="H59" s="2">
        <f>-60609+60667-1412+256</f>
        <v>-1098</v>
      </c>
      <c r="I59" s="2">
        <f>-95106+92126-2068+590</f>
        <v>-4458</v>
      </c>
      <c r="J59" s="2">
        <f>-135196+128294-2838+934</f>
        <v>-8806</v>
      </c>
      <c r="K59" s="2">
        <f>-28462+29779-776+12</f>
        <v>553</v>
      </c>
      <c r="L59" s="2">
        <f>-50199+55374-1264+125</f>
        <v>4036</v>
      </c>
      <c r="M59" s="2">
        <f>-67253+84087-1628+131</f>
        <v>15337</v>
      </c>
      <c r="N59" s="2">
        <f>-78874+97822-2531+150</f>
        <v>16567</v>
      </c>
      <c r="O59" s="2">
        <f>-14227+18327-626+36</f>
        <v>3510</v>
      </c>
      <c r="P59" s="2">
        <f>-35589+37049-1513+181-O59</f>
        <v>-3382</v>
      </c>
      <c r="Q59" s="2">
        <f>-49422+52642-2176+743-SUM(O59:P59)</f>
        <v>1659</v>
      </c>
      <c r="R59" s="2">
        <f>-77858+86672-3027+947-SUM(O59:Q59)</f>
        <v>4947</v>
      </c>
      <c r="S59" s="2">
        <f>-20684+24985-1206+313</f>
        <v>3408</v>
      </c>
      <c r="T59" s="2">
        <f>-43011+58577-2199+605-S59</f>
        <v>10564</v>
      </c>
      <c r="U59" s="2">
        <f>-65034+81779-3234+732</f>
        <v>14243</v>
      </c>
      <c r="V59" s="2">
        <f t="shared" ref="V59:W59" si="60">-86679-SUM(S59:U59)</f>
        <v>-114894</v>
      </c>
      <c r="W59" s="2">
        <f t="shared" si="60"/>
        <v>3408</v>
      </c>
      <c r="AI59" s="2"/>
      <c r="AJ59" s="2"/>
      <c r="AK59" s="2"/>
      <c r="AL59" s="2"/>
      <c r="AM59" s="2"/>
    </row>
    <row r="60" spans="2:39" x14ac:dyDescent="0.2">
      <c r="B60" s="1" t="s">
        <v>73</v>
      </c>
      <c r="C60" s="2">
        <v>-190</v>
      </c>
      <c r="D60" s="2">
        <v>-355</v>
      </c>
      <c r="E60" s="2">
        <v>-368</v>
      </c>
      <c r="F60" s="2">
        <f>-738-SUM(C60:E60)</f>
        <v>175</v>
      </c>
      <c r="G60" s="2">
        <v>-1666</v>
      </c>
      <c r="H60" s="2">
        <v>-1974</v>
      </c>
      <c r="I60" s="2">
        <v>-2233</v>
      </c>
      <c r="J60" s="2">
        <v>-2618</v>
      </c>
      <c r="K60" s="2">
        <v>-173</v>
      </c>
      <c r="L60" s="2">
        <v>-1236</v>
      </c>
      <c r="M60" s="2">
        <v>-6885</v>
      </c>
      <c r="N60" s="2">
        <v>-6969</v>
      </c>
      <c r="O60" s="2">
        <v>-42</v>
      </c>
      <c r="P60" s="2">
        <f>-340-O60</f>
        <v>-298</v>
      </c>
      <c r="Q60" s="2">
        <f>-466-SUM(O60:P60)</f>
        <v>-126</v>
      </c>
      <c r="R60" s="2">
        <f>-495-SUM(O60:Q60)</f>
        <v>-29</v>
      </c>
      <c r="S60" s="2">
        <v>-61</v>
      </c>
      <c r="T60" s="2">
        <f>-87-S60</f>
        <v>-26</v>
      </c>
      <c r="U60" s="2">
        <f>-2840-SUM(S60:T60)</f>
        <v>-2753</v>
      </c>
      <c r="V60" s="2">
        <f t="shared" ref="V60:W60" si="61">-2931-SUM(S60:U60)</f>
        <v>-91</v>
      </c>
      <c r="W60" s="2">
        <f t="shared" si="61"/>
        <v>-61</v>
      </c>
      <c r="AI60" s="2"/>
      <c r="AJ60" s="2"/>
      <c r="AK60" s="2"/>
      <c r="AL60" s="2"/>
      <c r="AM60" s="2"/>
    </row>
    <row r="61" spans="2:39" x14ac:dyDescent="0.2">
      <c r="B61" s="1" t="s">
        <v>8</v>
      </c>
      <c r="C61" s="2">
        <v>412</v>
      </c>
      <c r="D61" s="2">
        <v>531</v>
      </c>
      <c r="E61" s="2">
        <v>125</v>
      </c>
      <c r="F61" s="2">
        <f>-68-SUM(C61:E61)</f>
        <v>-1136</v>
      </c>
      <c r="G61" s="2">
        <v>30</v>
      </c>
      <c r="H61" s="2">
        <v>53</v>
      </c>
      <c r="I61" s="2">
        <v>441</v>
      </c>
      <c r="J61" s="2">
        <f>541-SUM(G61:I61)</f>
        <v>17</v>
      </c>
      <c r="K61" s="10">
        <v>355</v>
      </c>
      <c r="L61" s="2">
        <v>576</v>
      </c>
      <c r="M61" s="2">
        <v>1367</v>
      </c>
      <c r="N61" s="2">
        <v>1589</v>
      </c>
      <c r="O61" s="2">
        <v>-125</v>
      </c>
      <c r="P61" s="2">
        <f>-357-O61</f>
        <v>-232</v>
      </c>
      <c r="Q61" s="2">
        <f>-985-SUM(O61:P61)</f>
        <v>-628</v>
      </c>
      <c r="R61" s="2">
        <f>-1051-SUM(Q61)</f>
        <v>-423</v>
      </c>
      <c r="S61" s="2">
        <v>101</v>
      </c>
      <c r="T61" s="2">
        <f>-32-S61</f>
        <v>-133</v>
      </c>
      <c r="U61" s="2">
        <f>-2500-SUM(S61:T61)</f>
        <v>-2468</v>
      </c>
      <c r="V61" s="2">
        <f t="shared" ref="V61:W61" si="62">-2668-SUM(S61:U61)</f>
        <v>-168</v>
      </c>
      <c r="W61" s="2">
        <f t="shared" si="62"/>
        <v>101</v>
      </c>
      <c r="AI61" s="2"/>
      <c r="AJ61" s="2"/>
      <c r="AK61" s="2"/>
      <c r="AL61" s="2"/>
      <c r="AM61" s="2"/>
    </row>
    <row r="62" spans="2:39" x14ac:dyDescent="0.2">
      <c r="B62" s="1" t="s">
        <v>74</v>
      </c>
      <c r="C62" s="2">
        <f t="shared" ref="C62:W62" si="63">SUM(C58:C61)</f>
        <v>-1847</v>
      </c>
      <c r="D62" s="2">
        <f t="shared" si="63"/>
        <v>-4290</v>
      </c>
      <c r="E62" s="2">
        <f t="shared" si="63"/>
        <v>-14096</v>
      </c>
      <c r="F62" s="2">
        <f t="shared" si="63"/>
        <v>-16262</v>
      </c>
      <c r="G62" s="2">
        <f t="shared" si="63"/>
        <v>-5383</v>
      </c>
      <c r="H62" s="2">
        <f>SUM(H58:H61)</f>
        <v>-8515</v>
      </c>
      <c r="I62" s="2">
        <f>SUM(I58:I61)</f>
        <v>-13069</v>
      </c>
      <c r="J62" s="2">
        <f t="shared" si="63"/>
        <v>-17790</v>
      </c>
      <c r="K62" s="2">
        <f t="shared" si="63"/>
        <v>-9051</v>
      </c>
      <c r="L62" s="2">
        <f t="shared" si="63"/>
        <v>-3452</v>
      </c>
      <c r="M62" s="2">
        <f t="shared" si="63"/>
        <v>2543</v>
      </c>
      <c r="N62" s="2">
        <f t="shared" si="63"/>
        <v>3592</v>
      </c>
      <c r="O62" s="2">
        <f t="shared" si="63"/>
        <v>-2946</v>
      </c>
      <c r="P62" s="2">
        <f t="shared" si="63"/>
        <v>-10800</v>
      </c>
      <c r="Q62" s="2">
        <f t="shared" si="63"/>
        <v>-7150</v>
      </c>
      <c r="R62" s="2">
        <f t="shared" si="63"/>
        <v>-6524</v>
      </c>
      <c r="S62" s="2">
        <f t="shared" si="63"/>
        <v>-8564</v>
      </c>
      <c r="T62" s="2">
        <f t="shared" si="63"/>
        <v>-2781</v>
      </c>
      <c r="U62" s="2">
        <f t="shared" si="63"/>
        <v>-4039</v>
      </c>
      <c r="V62" s="2">
        <f t="shared" si="63"/>
        <v>-129429</v>
      </c>
      <c r="W62" s="2">
        <f t="shared" si="63"/>
        <v>-13749</v>
      </c>
      <c r="AI62" s="2"/>
      <c r="AJ62" s="2"/>
      <c r="AK62" s="2"/>
      <c r="AL62" s="2"/>
      <c r="AM62" s="2"/>
    </row>
    <row r="63" spans="2:39" x14ac:dyDescent="0.2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AI63" s="2"/>
      <c r="AJ63" s="2"/>
      <c r="AK63" s="2"/>
      <c r="AL63" s="2"/>
      <c r="AM63" s="2"/>
    </row>
    <row r="64" spans="2:39" x14ac:dyDescent="0.2">
      <c r="B64" s="1" t="s">
        <v>67</v>
      </c>
      <c r="C64" s="2">
        <v>-1241</v>
      </c>
      <c r="D64" s="2">
        <v>-2716</v>
      </c>
      <c r="E64" s="2">
        <v>-4073</v>
      </c>
      <c r="F64" s="2">
        <v>-5720</v>
      </c>
      <c r="G64" s="2">
        <v>-2184</v>
      </c>
      <c r="H64" s="2">
        <v>-4637</v>
      </c>
      <c r="I64" s="2">
        <v>-7239</v>
      </c>
      <c r="J64" s="2">
        <v>-10162</v>
      </c>
      <c r="K64" s="2">
        <v>-2916</v>
      </c>
      <c r="L64" s="2">
        <v>-5180</v>
      </c>
      <c r="M64" s="2">
        <v>-7221</v>
      </c>
      <c r="N64" s="2">
        <v>-9300</v>
      </c>
      <c r="O64" s="2">
        <v>-1989</v>
      </c>
      <c r="P64" s="2">
        <f>-4725-O64</f>
        <v>-2736</v>
      </c>
      <c r="Q64" s="2">
        <f>-7157-SUM(O64:P64)</f>
        <v>-2432</v>
      </c>
      <c r="R64" s="2">
        <f>-9837-SUM(O64:Q64)</f>
        <v>-2680</v>
      </c>
      <c r="S64" s="2">
        <v>-2929</v>
      </c>
      <c r="T64" s="2">
        <f>-6138-S64</f>
        <v>-3209</v>
      </c>
      <c r="U64" s="2">
        <f>-9141-SUM(S64:T64)</f>
        <v>-3003</v>
      </c>
      <c r="V64" s="2">
        <f t="shared" ref="V64:W64" si="64">-12190-SUM(S64:U64)</f>
        <v>-3049</v>
      </c>
      <c r="W64" s="2">
        <f t="shared" si="64"/>
        <v>-2929</v>
      </c>
      <c r="AI64" s="2"/>
      <c r="AJ64" s="2"/>
      <c r="AK64" s="2"/>
      <c r="AL64" s="2"/>
      <c r="AM64" s="2"/>
    </row>
    <row r="65" spans="2:39" x14ac:dyDescent="0.2">
      <c r="B65" s="1" t="s">
        <v>75</v>
      </c>
      <c r="C65" s="2">
        <v>-8496</v>
      </c>
      <c r="D65" s="2">
        <v>-15348</v>
      </c>
      <c r="E65" s="2">
        <v>-23245</v>
      </c>
      <c r="F65" s="2">
        <v>31149</v>
      </c>
      <c r="G65" s="2">
        <v>-11395</v>
      </c>
      <c r="H65" s="2">
        <v>-24191</v>
      </c>
      <c r="I65" s="2">
        <v>36801</v>
      </c>
      <c r="J65" s="2">
        <v>-50274</v>
      </c>
      <c r="K65" s="2">
        <v>-13300</v>
      </c>
      <c r="L65" s="2">
        <v>-28497</v>
      </c>
      <c r="M65" s="2">
        <v>-43889</v>
      </c>
      <c r="N65" s="2">
        <v>-59296</v>
      </c>
      <c r="O65" s="2">
        <v>-14557</v>
      </c>
      <c r="P65" s="2">
        <f>-29526-O65</f>
        <v>-14969</v>
      </c>
      <c r="Q65" s="2">
        <f>-45313-SUM(O65:P65)</f>
        <v>-15787</v>
      </c>
      <c r="R65" s="2">
        <f>-61504-SUM(O65:Q65)</f>
        <v>-16191</v>
      </c>
      <c r="S65" s="2">
        <v>-15696</v>
      </c>
      <c r="T65" s="2">
        <f>-31380-S65</f>
        <v>-15684</v>
      </c>
      <c r="U65" s="2">
        <f>-46671-SUM(S65:T65)</f>
        <v>-15291</v>
      </c>
      <c r="V65" s="2">
        <f t="shared" ref="V65:W65" si="65">-62222-SUM(S65:U65)</f>
        <v>-15551</v>
      </c>
      <c r="W65" s="2">
        <f t="shared" si="65"/>
        <v>-15696</v>
      </c>
      <c r="AI65" s="2"/>
      <c r="AJ65" s="2"/>
      <c r="AK65" s="2"/>
      <c r="AL65" s="2"/>
      <c r="AM65" s="2"/>
    </row>
    <row r="66" spans="2:39" x14ac:dyDescent="0.2">
      <c r="B66" s="1" t="s">
        <v>76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-2466</v>
      </c>
      <c r="U66" s="2">
        <f>-4921-T66</f>
        <v>-2455</v>
      </c>
      <c r="V66" s="2">
        <f t="shared" ref="V66:W66" si="66">-7363-SUM(S66:U66)</f>
        <v>-2442</v>
      </c>
      <c r="W66" s="2">
        <f t="shared" si="66"/>
        <v>0</v>
      </c>
      <c r="AI66" s="2"/>
      <c r="AJ66" s="2"/>
      <c r="AK66" s="2"/>
      <c r="AL66" s="2"/>
      <c r="AM66" s="2"/>
    </row>
    <row r="67" spans="2:39" x14ac:dyDescent="0.2">
      <c r="B67" s="1" t="s">
        <v>41</v>
      </c>
      <c r="C67" s="2">
        <f>1898-1947</f>
        <v>-49</v>
      </c>
      <c r="D67" s="2">
        <f>1898-1982</f>
        <v>-84</v>
      </c>
      <c r="E67" s="2">
        <f>11761-2043</f>
        <v>9718</v>
      </c>
      <c r="F67" s="2">
        <f>11761-2100</f>
        <v>9661</v>
      </c>
      <c r="G67" s="2">
        <f>900-937</f>
        <v>-37</v>
      </c>
      <c r="H67" s="2">
        <f>7599-8678</f>
        <v>-1079</v>
      </c>
      <c r="I67" s="2">
        <f>13949-15070</f>
        <v>-1121</v>
      </c>
      <c r="J67" s="2">
        <f>20199-21435</f>
        <v>-1236</v>
      </c>
      <c r="K67" s="2">
        <f>16422-16420</f>
        <v>2</v>
      </c>
      <c r="L67" s="2">
        <f>29228-29582</f>
        <v>-354</v>
      </c>
      <c r="M67" s="2">
        <f>44322-45350</f>
        <v>-1028</v>
      </c>
      <c r="N67" s="2">
        <f>52872-54068</f>
        <v>-1196</v>
      </c>
      <c r="O67" s="2">
        <f>6927-6952</f>
        <v>-25</v>
      </c>
      <c r="P67" s="2">
        <f>8050-8207-O67</f>
        <v>-132</v>
      </c>
      <c r="Q67" s="2">
        <f>9298-9621-SUM(O67:P67)</f>
        <v>-166</v>
      </c>
      <c r="R67" s="2">
        <f>10790-11550-SUM(O67:Q67)</f>
        <v>-437</v>
      </c>
      <c r="S67" s="2">
        <f>1982-3079</f>
        <v>-1097</v>
      </c>
      <c r="T67" s="2">
        <f>4875-5502-S67</f>
        <v>470</v>
      </c>
      <c r="U67" s="2">
        <f>8694-8951-SUM(S67:T67)</f>
        <v>370</v>
      </c>
      <c r="V67" s="2">
        <f t="shared" ref="V67:W67" si="67">13589-SUM(S67:U67)</f>
        <v>13846</v>
      </c>
      <c r="W67" s="2">
        <f t="shared" si="67"/>
        <v>-1097</v>
      </c>
      <c r="AI67" s="2"/>
      <c r="AJ67" s="2"/>
      <c r="AK67" s="2"/>
      <c r="AL67" s="2"/>
      <c r="AM67" s="2"/>
    </row>
    <row r="68" spans="2:39" x14ac:dyDescent="0.2">
      <c r="B68" s="1" t="s">
        <v>77</v>
      </c>
      <c r="C68" s="2">
        <v>1600</v>
      </c>
      <c r="D68" s="2">
        <v>2464</v>
      </c>
      <c r="E68" s="2">
        <v>2462</v>
      </c>
      <c r="F68" s="2">
        <v>2800</v>
      </c>
      <c r="G68" s="2">
        <v>10</v>
      </c>
      <c r="H68" s="2">
        <v>310</v>
      </c>
      <c r="I68" s="2">
        <v>310</v>
      </c>
      <c r="J68" s="2">
        <v>310</v>
      </c>
      <c r="K68" s="2">
        <v>0</v>
      </c>
      <c r="L68" s="2">
        <v>0</v>
      </c>
      <c r="M68" s="2">
        <v>10</v>
      </c>
      <c r="N68" s="2">
        <v>35</v>
      </c>
      <c r="O68" s="2">
        <v>3</v>
      </c>
      <c r="P68" s="2">
        <f>5-O68</f>
        <v>2</v>
      </c>
      <c r="Q68" s="2">
        <f>8-SUM(O68:P68)</f>
        <v>3</v>
      </c>
      <c r="R68" s="2">
        <f>8-SUM(O68:Q68)</f>
        <v>0</v>
      </c>
      <c r="S68" s="2">
        <v>8</v>
      </c>
      <c r="T68" s="2">
        <f>8-S68</f>
        <v>0</v>
      </c>
      <c r="U68" s="2">
        <f>293-SUM(S68:T68)</f>
        <v>285</v>
      </c>
      <c r="V68" s="2">
        <f t="shared" ref="V68:W68" si="68">1154-SUM(S68:U68)</f>
        <v>861</v>
      </c>
      <c r="W68" s="2">
        <f t="shared" si="68"/>
        <v>8</v>
      </c>
      <c r="AI68" s="2"/>
      <c r="AJ68" s="2"/>
      <c r="AK68" s="2"/>
      <c r="AL68" s="2"/>
      <c r="AM68" s="2"/>
    </row>
    <row r="69" spans="2:39" x14ac:dyDescent="0.2">
      <c r="B69" s="1" t="s">
        <v>78</v>
      </c>
      <c r="C69" s="2">
        <f t="shared" ref="C69:W69" si="69">SUM(C64:C68)</f>
        <v>-8186</v>
      </c>
      <c r="D69" s="2">
        <f t="shared" si="69"/>
        <v>-15684</v>
      </c>
      <c r="E69" s="2">
        <f t="shared" si="69"/>
        <v>-15138</v>
      </c>
      <c r="F69" s="2">
        <f t="shared" si="69"/>
        <v>37890</v>
      </c>
      <c r="G69" s="2">
        <f t="shared" si="69"/>
        <v>-13606</v>
      </c>
      <c r="H69" s="2">
        <f t="shared" si="69"/>
        <v>-29597</v>
      </c>
      <c r="I69" s="2">
        <f t="shared" si="69"/>
        <v>28751</v>
      </c>
      <c r="J69" s="2">
        <f t="shared" si="69"/>
        <v>-61362</v>
      </c>
      <c r="K69" s="2">
        <f t="shared" si="69"/>
        <v>-16214</v>
      </c>
      <c r="L69" s="2">
        <f t="shared" si="69"/>
        <v>-34031</v>
      </c>
      <c r="M69" s="2">
        <f t="shared" si="69"/>
        <v>-52128</v>
      </c>
      <c r="N69" s="2">
        <f>SUM(N64:N68)</f>
        <v>-69757</v>
      </c>
      <c r="O69" s="2">
        <f t="shared" si="69"/>
        <v>-16568</v>
      </c>
      <c r="P69" s="2">
        <f t="shared" si="69"/>
        <v>-17835</v>
      </c>
      <c r="Q69" s="2">
        <f t="shared" si="69"/>
        <v>-18382</v>
      </c>
      <c r="R69" s="2">
        <f>SUM(R64:R68)</f>
        <v>-19308</v>
      </c>
      <c r="S69" s="2">
        <f>SUM(S64:S68)</f>
        <v>-19714</v>
      </c>
      <c r="T69" s="2">
        <f t="shared" si="69"/>
        <v>-20889</v>
      </c>
      <c r="U69" s="2">
        <f t="shared" si="69"/>
        <v>-20094</v>
      </c>
      <c r="V69" s="2">
        <f t="shared" si="69"/>
        <v>-6335</v>
      </c>
      <c r="W69" s="2">
        <f t="shared" si="69"/>
        <v>-19714</v>
      </c>
      <c r="AI69" s="2"/>
      <c r="AJ69" s="2"/>
      <c r="AK69" s="2"/>
      <c r="AL69" s="2"/>
      <c r="AM69" s="2"/>
    </row>
    <row r="70" spans="2:39" x14ac:dyDescent="0.2">
      <c r="B70" s="1" t="s">
        <v>79</v>
      </c>
      <c r="C70" s="2">
        <v>-272</v>
      </c>
      <c r="D70" s="2">
        <v>-221</v>
      </c>
      <c r="E70" s="2">
        <v>-186</v>
      </c>
      <c r="F70" s="2">
        <v>24</v>
      </c>
      <c r="G70" s="2">
        <v>-143</v>
      </c>
      <c r="H70" s="2">
        <v>40</v>
      </c>
      <c r="I70" s="2">
        <v>-106</v>
      </c>
      <c r="J70" s="2">
        <v>-287</v>
      </c>
      <c r="K70" s="2">
        <v>100</v>
      </c>
      <c r="L70" s="2">
        <v>-268</v>
      </c>
      <c r="M70" s="2">
        <v>-643</v>
      </c>
      <c r="N70" s="2">
        <v>-506</v>
      </c>
      <c r="O70" s="2">
        <v>50</v>
      </c>
      <c r="P70" s="2">
        <f>24-O70</f>
        <v>-26</v>
      </c>
      <c r="Q70" s="2">
        <f>-327-SUM(O70:P70)</f>
        <v>-351</v>
      </c>
      <c r="R70" s="2">
        <f>-421-SUM(O70:Q70)</f>
        <v>-94</v>
      </c>
      <c r="S70" s="2">
        <f>-612-SUM(P70:R70)</f>
        <v>-141</v>
      </c>
      <c r="T70" s="2">
        <f>-363-S70</f>
        <v>-222</v>
      </c>
      <c r="U70" s="2">
        <f>-222-SUM(S70:T70)</f>
        <v>141</v>
      </c>
      <c r="V70" s="2">
        <f t="shared" ref="V70:W70" si="70">-612-SUM(S70:U70)</f>
        <v>-390</v>
      </c>
      <c r="W70" s="2">
        <f t="shared" si="70"/>
        <v>-141</v>
      </c>
      <c r="AI70" s="2"/>
      <c r="AJ70" s="2"/>
      <c r="AK70" s="2"/>
      <c r="AL70" s="2"/>
      <c r="AM70" s="2"/>
    </row>
    <row r="71" spans="2:39" x14ac:dyDescent="0.2">
      <c r="B71" s="1" t="s">
        <v>80</v>
      </c>
      <c r="C71" s="2">
        <f>+C70+C69+C62+C56</f>
        <v>1146</v>
      </c>
      <c r="D71" s="2">
        <f t="shared" ref="D71:W71" si="71">D62+D56+D69+D70</f>
        <v>-8862</v>
      </c>
      <c r="E71" s="2">
        <f t="shared" si="71"/>
        <v>-12379</v>
      </c>
      <c r="F71" s="2">
        <f t="shared" si="71"/>
        <v>42836</v>
      </c>
      <c r="G71" s="2">
        <f>G62+G56+G69+G70</f>
        <v>177</v>
      </c>
      <c r="H71" s="2">
        <f t="shared" si="71"/>
        <v>-1402</v>
      </c>
      <c r="I71" s="2">
        <f t="shared" si="71"/>
        <v>23480</v>
      </c>
      <c r="J71" s="2">
        <f t="shared" si="71"/>
        <v>-54032</v>
      </c>
      <c r="K71" s="2">
        <f t="shared" si="71"/>
        <v>-59</v>
      </c>
      <c r="L71" s="2">
        <f t="shared" si="71"/>
        <v>-15855</v>
      </c>
      <c r="M71" s="2">
        <f t="shared" si="71"/>
        <v>-27515</v>
      </c>
      <c r="N71" s="2">
        <f t="shared" si="71"/>
        <v>-41356</v>
      </c>
      <c r="O71" s="2">
        <f t="shared" si="71"/>
        <v>4045</v>
      </c>
      <c r="P71" s="2">
        <f>P62+P56+P69+P70</f>
        <v>5</v>
      </c>
      <c r="Q71" s="2">
        <f t="shared" si="71"/>
        <v>4773</v>
      </c>
      <c r="R71" s="2">
        <f t="shared" si="71"/>
        <v>-6638</v>
      </c>
      <c r="S71" s="2">
        <f>S62+S56+S69+S70</f>
        <v>429</v>
      </c>
      <c r="T71" s="2">
        <f t="shared" si="71"/>
        <v>2748</v>
      </c>
      <c r="U71" s="2">
        <f t="shared" si="71"/>
        <v>6706</v>
      </c>
      <c r="V71" s="2">
        <f t="shared" si="71"/>
        <v>-97041</v>
      </c>
      <c r="W71" s="2">
        <f t="shared" si="71"/>
        <v>2546</v>
      </c>
      <c r="AI71" s="2"/>
      <c r="AJ71" s="2"/>
      <c r="AK71" s="2"/>
      <c r="AL71" s="2"/>
      <c r="AM71" s="2"/>
    </row>
    <row r="72" spans="2:39" x14ac:dyDescent="0.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AI72" s="2"/>
      <c r="AJ72" s="2"/>
      <c r="AK72" s="2"/>
      <c r="AL72" s="2"/>
      <c r="AM72" s="2"/>
    </row>
    <row r="73" spans="2:39" x14ac:dyDescent="0.2">
      <c r="B73" s="1" t="s">
        <v>81</v>
      </c>
      <c r="C73" s="2"/>
      <c r="D73" s="2"/>
      <c r="E73" s="2"/>
      <c r="F73" s="2"/>
      <c r="G73" s="2">
        <v>25231</v>
      </c>
      <c r="H73" s="2"/>
      <c r="I73" s="2">
        <v>32358</v>
      </c>
      <c r="J73" s="2">
        <v>6383</v>
      </c>
      <c r="K73" s="2">
        <f t="shared" ref="K73:V73" si="72">K58+K56</f>
        <v>15320</v>
      </c>
      <c r="L73" s="2">
        <v>12594</v>
      </c>
      <c r="M73" s="2">
        <v>16077</v>
      </c>
      <c r="N73" s="2">
        <v>16019</v>
      </c>
      <c r="O73" s="2">
        <f t="shared" si="72"/>
        <v>17220</v>
      </c>
      <c r="P73" s="2">
        <f t="shared" si="72"/>
        <v>21778</v>
      </c>
      <c r="Q73" s="2">
        <f t="shared" si="72"/>
        <v>22601</v>
      </c>
      <c r="R73" s="2">
        <v>7896</v>
      </c>
      <c r="S73" s="2">
        <f t="shared" si="72"/>
        <v>16836</v>
      </c>
      <c r="T73" s="2">
        <f t="shared" si="72"/>
        <v>13454</v>
      </c>
      <c r="U73" s="2">
        <f t="shared" si="72"/>
        <v>17637</v>
      </c>
      <c r="V73" s="2">
        <f t="shared" si="72"/>
        <v>24837</v>
      </c>
      <c r="W73" s="2">
        <f>W58+W56</f>
        <v>18953</v>
      </c>
      <c r="AI73" s="2"/>
      <c r="AJ73" s="2"/>
      <c r="AK73" s="2"/>
      <c r="AL73" s="2"/>
      <c r="AM73" s="2"/>
    </row>
    <row r="74" spans="2:39" x14ac:dyDescent="0.2">
      <c r="B74" s="1" t="s">
        <v>82</v>
      </c>
      <c r="C74" s="2"/>
      <c r="D74" s="2"/>
      <c r="E74" s="2"/>
      <c r="F74" s="2"/>
      <c r="G74" s="2"/>
      <c r="H74" s="2"/>
      <c r="I74" s="2"/>
      <c r="J74" s="2">
        <f>SUM(G73:J73)</f>
        <v>63972</v>
      </c>
      <c r="K74" s="2">
        <f>SUM(H73:K73)</f>
        <v>54061</v>
      </c>
      <c r="L74" s="2">
        <f t="shared" ref="L74:S74" si="73">SUM(I73:L73)</f>
        <v>66655</v>
      </c>
      <c r="M74" s="2">
        <f t="shared" si="73"/>
        <v>50374</v>
      </c>
      <c r="N74" s="2">
        <f t="shared" si="73"/>
        <v>60010</v>
      </c>
      <c r="O74" s="2">
        <f>SUM(L73:O73)</f>
        <v>61910</v>
      </c>
      <c r="P74" s="2">
        <f t="shared" si="73"/>
        <v>71094</v>
      </c>
      <c r="Q74" s="2">
        <f>SUM(N73:Q73)</f>
        <v>77618</v>
      </c>
      <c r="R74" s="2">
        <f t="shared" si="73"/>
        <v>69495</v>
      </c>
      <c r="S74" s="2">
        <f t="shared" si="73"/>
        <v>69111</v>
      </c>
      <c r="T74" s="2">
        <f>SUM(Q73:T73)</f>
        <v>60787</v>
      </c>
      <c r="U74" s="2">
        <f>SUM(R73:U73)</f>
        <v>55823</v>
      </c>
      <c r="V74" s="2">
        <f>SUM(S73:V73)</f>
        <v>72764</v>
      </c>
      <c r="W74" s="2">
        <f>SUM(T73:W73)</f>
        <v>74881</v>
      </c>
      <c r="AI74" s="2"/>
      <c r="AJ74" s="2"/>
      <c r="AK74" s="2"/>
      <c r="AL74" s="2"/>
      <c r="AM74" s="2"/>
    </row>
    <row r="75" spans="2:39" x14ac:dyDescent="0.2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2:39" x14ac:dyDescent="0.2">
      <c r="B76" s="1" t="s">
        <v>83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2:39" x14ac:dyDescent="0.2">
      <c r="B77" s="1" t="s">
        <v>84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2:39" x14ac:dyDescent="0.2">
      <c r="B78" s="1" t="s">
        <v>85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2:39" x14ac:dyDescent="0.2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2:39" x14ac:dyDescent="0.2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</sheetData>
  <pageMargins left="0.7" right="0.7" top="0.75" bottom="0.75" header="0.3" footer="0.3"/>
  <pageSetup paperSize="9" orientation="portrait" r:id="rId1"/>
  <rowBreaks count="1" manualBreakCount="1">
    <brk id="1" max="16383" man="1"/>
  </rowBreaks>
  <colBreaks count="1" manualBreakCount="1">
    <brk id="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COCA V S SILVIU-MARIAN</dc:creator>
  <cp:lastModifiedBy>Coca Silviu</cp:lastModifiedBy>
  <dcterms:created xsi:type="dcterms:W3CDTF">2025-07-12T19:27:19Z</dcterms:created>
  <dcterms:modified xsi:type="dcterms:W3CDTF">2025-10-19T13:32:23Z</dcterms:modified>
</cp:coreProperties>
</file>