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1c3b80e9ae39f/"/>
    </mc:Choice>
  </mc:AlternateContent>
  <xr:revisionPtr revIDLastSave="0" documentId="8_{15570610-5D2E-469B-A1E4-C2C15847B102}" xr6:coauthVersionLast="47" xr6:coauthVersionMax="47" xr10:uidLastSave="{00000000-0000-0000-0000-000000000000}"/>
  <bookViews>
    <workbookView xWindow="30" yWindow="4140" windowWidth="13005" windowHeight="10245" tabRatio="597" activeTab="1" xr2:uid="{A79DC868-4891-4F8D-B732-1FF8EA5A5411}"/>
  </bookViews>
  <sheets>
    <sheet name="Main" sheetId="1" r:id="rId1"/>
    <sheet name="Sheet2" sheetId="2" r:id="rId2"/>
  </sheets>
  <definedNames>
    <definedName name="_xlnm._FilterDatabase" localSheetId="0" hidden="1">Main!$D$6:$D$15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2" i="2" l="1"/>
  <c r="BG12" i="2"/>
  <c r="BH12" i="2" s="1"/>
  <c r="BI12" i="2" s="1"/>
  <c r="BJ12" i="2" s="1"/>
  <c r="BK12" i="2" s="1"/>
  <c r="BL12" i="2" s="1"/>
  <c r="BM12" i="2" s="1"/>
  <c r="BN12" i="2" s="1"/>
  <c r="BO12" i="2" s="1"/>
  <c r="BF43" i="2"/>
  <c r="AH40" i="2"/>
  <c r="BE43" i="2"/>
  <c r="BD43" i="2"/>
  <c r="BC43" i="2"/>
  <c r="BB43" i="2"/>
  <c r="BA43" i="2"/>
  <c r="AZ43" i="2"/>
  <c r="AY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BO38" i="2"/>
  <c r="BA7" i="2"/>
  <c r="AZ13" i="2"/>
  <c r="AZ12" i="2"/>
  <c r="AZ11" i="2"/>
  <c r="AZ10" i="2"/>
  <c r="AZ9" i="2"/>
  <c r="AZ8" i="2"/>
  <c r="AZ7" i="2"/>
  <c r="AY13" i="2"/>
  <c r="AY12" i="2"/>
  <c r="AY11" i="2"/>
  <c r="AY10" i="2"/>
  <c r="AY9" i="2"/>
  <c r="AY8" i="2"/>
  <c r="AY7" i="2"/>
  <c r="AX13" i="2"/>
  <c r="AX12" i="2"/>
  <c r="AX11" i="2"/>
  <c r="AX10" i="2"/>
  <c r="AX9" i="2"/>
  <c r="AX8" i="2"/>
  <c r="AX7" i="2"/>
  <c r="BC7" i="2"/>
  <c r="BC13" i="2"/>
  <c r="BC12" i="2"/>
  <c r="BC11" i="2"/>
  <c r="BC10" i="2"/>
  <c r="BC9" i="2"/>
  <c r="BC8" i="2"/>
  <c r="BB13" i="2"/>
  <c r="BB12" i="2"/>
  <c r="BB11" i="2"/>
  <c r="BB10" i="2"/>
  <c r="BB9" i="2"/>
  <c r="BB8" i="2"/>
  <c r="BB7" i="2"/>
  <c r="BA13" i="2"/>
  <c r="BA12" i="2"/>
  <c r="BA11" i="2"/>
  <c r="BA10" i="2"/>
  <c r="BA9" i="2"/>
  <c r="BA8" i="2"/>
  <c r="AH43" i="2"/>
  <c r="AG43" i="2"/>
  <c r="AH42" i="2"/>
  <c r="AG42" i="2"/>
  <c r="AH41" i="2"/>
  <c r="AG41" i="2"/>
  <c r="AG40" i="2"/>
  <c r="AH39" i="2"/>
  <c r="AG39" i="2"/>
  <c r="AH38" i="2"/>
  <c r="AG38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AF42" i="2"/>
  <c r="AE42" i="2"/>
  <c r="AD42" i="2"/>
  <c r="AC42" i="2"/>
  <c r="AB42" i="2"/>
  <c r="AA42" i="2"/>
  <c r="Z42" i="2"/>
  <c r="Y42" i="2"/>
  <c r="X42" i="2"/>
  <c r="W42" i="2"/>
  <c r="V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43" i="2"/>
  <c r="G41" i="2"/>
  <c r="G40" i="2"/>
  <c r="G39" i="2"/>
  <c r="G38" i="2"/>
  <c r="AG9" i="2"/>
  <c r="AG10" i="2"/>
  <c r="AG11" i="2"/>
  <c r="AG13" i="2"/>
  <c r="AG12" i="2"/>
  <c r="AG8" i="2"/>
  <c r="AG7" i="2"/>
  <c r="AG18" i="2"/>
  <c r="AG23" i="2"/>
  <c r="AG22" i="2"/>
  <c r="AG21" i="2"/>
  <c r="AG20" i="2"/>
  <c r="AG16" i="2"/>
  <c r="AG17" i="2" l="1"/>
  <c r="BC83" i="2" l="1"/>
  <c r="BC65" i="2"/>
  <c r="BC64" i="2"/>
  <c r="BC63" i="2"/>
  <c r="BC62" i="2"/>
  <c r="BC61" i="2"/>
  <c r="BC60" i="2"/>
  <c r="BC59" i="2"/>
  <c r="BC56" i="2"/>
  <c r="BC53" i="2"/>
  <c r="BC52" i="2"/>
  <c r="BC51" i="2"/>
  <c r="BC50" i="2"/>
  <c r="BC49" i="2"/>
  <c r="BD83" i="2"/>
  <c r="BD65" i="2"/>
  <c r="BD64" i="2"/>
  <c r="BD63" i="2"/>
  <c r="BD62" i="2"/>
  <c r="BD61" i="2"/>
  <c r="BD60" i="2"/>
  <c r="BD59" i="2"/>
  <c r="BD56" i="2"/>
  <c r="BD53" i="2"/>
  <c r="BD52" i="2"/>
  <c r="BD51" i="2"/>
  <c r="BD50" i="2"/>
  <c r="BD49" i="2"/>
  <c r="AG15" i="2"/>
  <c r="AB17" i="2" l="1"/>
  <c r="AW28" i="2"/>
  <c r="AW26" i="2"/>
  <c r="AW24" i="2"/>
  <c r="AV28" i="2"/>
  <c r="AV26" i="2"/>
  <c r="AV24" i="2"/>
  <c r="AU28" i="2"/>
  <c r="AU26" i="2"/>
  <c r="AU24" i="2"/>
  <c r="AT28" i="2"/>
  <c r="AT26" i="2"/>
  <c r="AT24" i="2"/>
  <c r="AS28" i="2"/>
  <c r="AS26" i="2"/>
  <c r="AS24" i="2"/>
  <c r="AW17" i="2"/>
  <c r="AW19" i="2" s="1"/>
  <c r="AV17" i="2"/>
  <c r="AV19" i="2" s="1"/>
  <c r="AU17" i="2"/>
  <c r="AU19" i="2" s="1"/>
  <c r="AT17" i="2"/>
  <c r="AT19" i="2" s="1"/>
  <c r="AS17" i="2"/>
  <c r="AS19" i="2" s="1"/>
  <c r="AR28" i="2"/>
  <c r="AR26" i="2"/>
  <c r="AR24" i="2"/>
  <c r="AR17" i="2"/>
  <c r="AQ28" i="2"/>
  <c r="AQ26" i="2"/>
  <c r="AQ24" i="2"/>
  <c r="AQ17" i="2"/>
  <c r="AQ19" i="2" s="1"/>
  <c r="AP28" i="2"/>
  <c r="AP26" i="2"/>
  <c r="AP24" i="2"/>
  <c r="AO28" i="2"/>
  <c r="AO26" i="2"/>
  <c r="AO24" i="2"/>
  <c r="AN28" i="2"/>
  <c r="AN26" i="2"/>
  <c r="AN24" i="2"/>
  <c r="AK28" i="2"/>
  <c r="AM26" i="2"/>
  <c r="AM24" i="2"/>
  <c r="AL26" i="2"/>
  <c r="AL24" i="2"/>
  <c r="AR19" i="2"/>
  <c r="AP19" i="2"/>
  <c r="AO19" i="2"/>
  <c r="AN19" i="2"/>
  <c r="AM19" i="2"/>
  <c r="AL19" i="2"/>
  <c r="AK26" i="2"/>
  <c r="AK24" i="2"/>
  <c r="AK19" i="2"/>
  <c r="AN2" i="2"/>
  <c r="AO2" i="2" s="1"/>
  <c r="AP2" i="2" s="1"/>
  <c r="AQ2" i="2" s="1"/>
  <c r="AR2" i="2" s="1"/>
  <c r="AS2" i="2" s="1"/>
  <c r="AT2" i="2" s="1"/>
  <c r="AU2" i="2" s="1"/>
  <c r="AV2" i="2" s="1"/>
  <c r="AW2" i="2" s="1"/>
  <c r="R11" i="2"/>
  <c r="N13" i="2"/>
  <c r="N12" i="2"/>
  <c r="N10" i="2"/>
  <c r="N9" i="2"/>
  <c r="N8" i="2"/>
  <c r="N7" i="2"/>
  <c r="N5" i="2"/>
  <c r="N4" i="2"/>
  <c r="N3" i="2"/>
  <c r="J13" i="2"/>
  <c r="J12" i="2"/>
  <c r="J10" i="2"/>
  <c r="J9" i="2"/>
  <c r="J8" i="2"/>
  <c r="J7" i="2"/>
  <c r="J5" i="2"/>
  <c r="J4" i="2"/>
  <c r="J3" i="2"/>
  <c r="F13" i="2"/>
  <c r="F12" i="2"/>
  <c r="F10" i="2"/>
  <c r="F9" i="2"/>
  <c r="F8" i="2"/>
  <c r="F7" i="2"/>
  <c r="F5" i="2"/>
  <c r="F4" i="2"/>
  <c r="F3" i="2"/>
  <c r="R10" i="2"/>
  <c r="R12" i="2"/>
  <c r="R13" i="2"/>
  <c r="R9" i="2"/>
  <c r="R8" i="2"/>
  <c r="R7" i="2"/>
  <c r="R5" i="2"/>
  <c r="R4" i="2"/>
  <c r="R3" i="2"/>
  <c r="V13" i="2"/>
  <c r="V12" i="2"/>
  <c r="V11" i="2"/>
  <c r="V10" i="2"/>
  <c r="V9" i="2"/>
  <c r="V8" i="2"/>
  <c r="V7" i="2"/>
  <c r="V5" i="2"/>
  <c r="V4" i="2"/>
  <c r="V3" i="2"/>
  <c r="AD13" i="2"/>
  <c r="AD12" i="2"/>
  <c r="AD11" i="2"/>
  <c r="AD10" i="2"/>
  <c r="AD9" i="2"/>
  <c r="AD8" i="2"/>
  <c r="AD7" i="2"/>
  <c r="AD5" i="2"/>
  <c r="AD4" i="2"/>
  <c r="AD3" i="2"/>
  <c r="Z13" i="2"/>
  <c r="Z12" i="2"/>
  <c r="Z11" i="2"/>
  <c r="Z10" i="2"/>
  <c r="Z9" i="2"/>
  <c r="Z8" i="2"/>
  <c r="Z7" i="2"/>
  <c r="Z5" i="2"/>
  <c r="Z4" i="2"/>
  <c r="Z3" i="2"/>
  <c r="C17" i="2"/>
  <c r="C19" i="2" s="1"/>
  <c r="C35" i="2" s="1"/>
  <c r="C24" i="2"/>
  <c r="C26" i="2"/>
  <c r="C28" i="2"/>
  <c r="C48" i="2"/>
  <c r="C57" i="2" s="1"/>
  <c r="C66" i="2"/>
  <c r="C73" i="2"/>
  <c r="C74" i="2"/>
  <c r="C80" i="2"/>
  <c r="C81" i="2" s="1"/>
  <c r="C84" i="2"/>
  <c r="C85" i="2" s="1"/>
  <c r="V28" i="2"/>
  <c r="V26" i="2"/>
  <c r="V22" i="2"/>
  <c r="T28" i="2"/>
  <c r="T26" i="2"/>
  <c r="AD70" i="2"/>
  <c r="BD70" i="2" s="1"/>
  <c r="Y74" i="2"/>
  <c r="T80" i="2"/>
  <c r="T81" i="2" s="1"/>
  <c r="X81" i="2"/>
  <c r="M81" i="2"/>
  <c r="L81" i="2"/>
  <c r="AB28" i="2"/>
  <c r="S26" i="2"/>
  <c r="S28" i="2"/>
  <c r="R69" i="2"/>
  <c r="BD11" i="2" l="1"/>
  <c r="AH11" i="2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D7" i="2"/>
  <c r="AH7" i="2"/>
  <c r="BD8" i="2"/>
  <c r="AH8" i="2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D10" i="2"/>
  <c r="AH10" i="2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H12" i="2"/>
  <c r="BE12" i="2" s="1"/>
  <c r="BG43" i="2" s="1"/>
  <c r="BD12" i="2"/>
  <c r="BD13" i="2"/>
  <c r="AH13" i="2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D9" i="2"/>
  <c r="AH9" i="2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K25" i="2"/>
  <c r="AK27" i="2" s="1"/>
  <c r="AK29" i="2" s="1"/>
  <c r="AO25" i="2"/>
  <c r="AO27" i="2" s="1"/>
  <c r="AO29" i="2" s="1"/>
  <c r="AL25" i="2"/>
  <c r="AL27" i="2" s="1"/>
  <c r="AL29" i="2" s="1"/>
  <c r="AW25" i="2"/>
  <c r="AW27" i="2" s="1"/>
  <c r="AW29" i="2" s="1"/>
  <c r="AV25" i="2"/>
  <c r="AV27" i="2" s="1"/>
  <c r="AV29" i="2" s="1"/>
  <c r="AU25" i="2"/>
  <c r="AU27" i="2" s="1"/>
  <c r="AU29" i="2" s="1"/>
  <c r="AS25" i="2"/>
  <c r="AS27" i="2" s="1"/>
  <c r="AS29" i="2" s="1"/>
  <c r="AT25" i="2"/>
  <c r="AT27" i="2" s="1"/>
  <c r="AT29" i="2" s="1"/>
  <c r="AR25" i="2"/>
  <c r="AR27" i="2" s="1"/>
  <c r="AR29" i="2" s="1"/>
  <c r="AQ25" i="2"/>
  <c r="AQ27" i="2" s="1"/>
  <c r="AQ29" i="2" s="1"/>
  <c r="AP25" i="2"/>
  <c r="AP27" i="2" s="1"/>
  <c r="AP29" i="2" s="1"/>
  <c r="AN25" i="2"/>
  <c r="AN27" i="2" s="1"/>
  <c r="AN29" i="2" s="1"/>
  <c r="AM25" i="2"/>
  <c r="AM27" i="2" s="1"/>
  <c r="AM29" i="2" s="1"/>
  <c r="C75" i="2"/>
  <c r="C47" i="2"/>
  <c r="C25" i="2"/>
  <c r="C27" i="2" s="1"/>
  <c r="C29" i="2" s="1"/>
  <c r="BE7" i="2" l="1"/>
  <c r="AH17" i="2"/>
  <c r="C30" i="2"/>
  <c r="C68" i="2"/>
  <c r="BH43" i="2" l="1"/>
  <c r="BF7" i="2"/>
  <c r="BE17" i="2"/>
  <c r="J69" i="2"/>
  <c r="F69" i="2"/>
  <c r="AE28" i="2"/>
  <c r="BI43" i="2" l="1"/>
  <c r="BG7" i="2"/>
  <c r="BF17" i="2"/>
  <c r="R91" i="2"/>
  <c r="R90" i="2"/>
  <c r="R89" i="2"/>
  <c r="R87" i="2"/>
  <c r="R86" i="2"/>
  <c r="R79" i="2"/>
  <c r="R78" i="2"/>
  <c r="R77" i="2"/>
  <c r="R72" i="2"/>
  <c r="R71" i="2"/>
  <c r="R70" i="2"/>
  <c r="R48" i="2"/>
  <c r="R57" i="2" s="1"/>
  <c r="Q84" i="2"/>
  <c r="Q80" i="2"/>
  <c r="Q81" i="2" s="1"/>
  <c r="Q74" i="2"/>
  <c r="Q73" i="2"/>
  <c r="BJ43" i="2" l="1"/>
  <c r="BH7" i="2"/>
  <c r="BG17" i="2"/>
  <c r="Q48" i="2"/>
  <c r="Q57" i="2" s="1"/>
  <c r="P84" i="2"/>
  <c r="P80" i="2"/>
  <c r="P81" i="2" s="1"/>
  <c r="P74" i="2"/>
  <c r="P73" i="2"/>
  <c r="P48" i="2"/>
  <c r="P57" i="2" s="1"/>
  <c r="O84" i="2"/>
  <c r="O80" i="2"/>
  <c r="O74" i="2"/>
  <c r="O73" i="2"/>
  <c r="O48" i="2"/>
  <c r="O57" i="2" s="1"/>
  <c r="N91" i="2"/>
  <c r="N90" i="2"/>
  <c r="N89" i="2"/>
  <c r="N87" i="2"/>
  <c r="N86" i="2"/>
  <c r="N79" i="2"/>
  <c r="N78" i="2"/>
  <c r="N72" i="2"/>
  <c r="N71" i="2"/>
  <c r="N70" i="2"/>
  <c r="N69" i="2"/>
  <c r="N48" i="2"/>
  <c r="L84" i="2"/>
  <c r="L74" i="2"/>
  <c r="L73" i="2"/>
  <c r="L48" i="2"/>
  <c r="L57" i="2" s="1"/>
  <c r="M84" i="2"/>
  <c r="M85" i="2" s="1"/>
  <c r="M74" i="2"/>
  <c r="M73" i="2"/>
  <c r="M66" i="2"/>
  <c r="M48" i="2"/>
  <c r="M57" i="2" s="1"/>
  <c r="K84" i="2"/>
  <c r="K80" i="2"/>
  <c r="N80" i="2" s="1"/>
  <c r="K77" i="2"/>
  <c r="K74" i="2"/>
  <c r="K73" i="2"/>
  <c r="K48" i="2"/>
  <c r="K57" i="2" s="1"/>
  <c r="J91" i="2"/>
  <c r="J90" i="2"/>
  <c r="J89" i="2"/>
  <c r="J87" i="2"/>
  <c r="J86" i="2"/>
  <c r="J79" i="2"/>
  <c r="J78" i="2"/>
  <c r="I80" i="2"/>
  <c r="J72" i="2"/>
  <c r="J71" i="2"/>
  <c r="J70" i="2"/>
  <c r="J48" i="2"/>
  <c r="J57" i="2" s="1"/>
  <c r="I84" i="2"/>
  <c r="I77" i="2"/>
  <c r="I74" i="2"/>
  <c r="I73" i="2"/>
  <c r="I48" i="2"/>
  <c r="I57" i="2" s="1"/>
  <c r="H84" i="2"/>
  <c r="H80" i="2"/>
  <c r="H81" i="2" s="1"/>
  <c r="H74" i="2"/>
  <c r="H73" i="2"/>
  <c r="H48" i="2"/>
  <c r="H57" i="2" s="1"/>
  <c r="G84" i="2"/>
  <c r="G80" i="2"/>
  <c r="G81" i="2" s="1"/>
  <c r="G74" i="2"/>
  <c r="G73" i="2"/>
  <c r="G48" i="2"/>
  <c r="G57" i="2" s="1"/>
  <c r="F91" i="2"/>
  <c r="F90" i="2"/>
  <c r="F89" i="2"/>
  <c r="F87" i="2"/>
  <c r="F86" i="2"/>
  <c r="F77" i="2"/>
  <c r="F78" i="2"/>
  <c r="F79" i="2"/>
  <c r="BK43" i="2" l="1"/>
  <c r="BI7" i="2"/>
  <c r="BH17" i="2"/>
  <c r="BH34" i="2" s="1"/>
  <c r="N84" i="2"/>
  <c r="J74" i="2"/>
  <c r="J73" i="2"/>
  <c r="K81" i="2"/>
  <c r="R84" i="2"/>
  <c r="N74" i="2"/>
  <c r="N73" i="2"/>
  <c r="M47" i="2"/>
  <c r="R73" i="2"/>
  <c r="J84" i="2"/>
  <c r="N77" i="2"/>
  <c r="N81" i="2" s="1"/>
  <c r="R74" i="2"/>
  <c r="M75" i="2"/>
  <c r="M92" i="2" s="1"/>
  <c r="I81" i="2"/>
  <c r="J77" i="2"/>
  <c r="J80" i="2"/>
  <c r="N47" i="2"/>
  <c r="N57" i="2"/>
  <c r="O81" i="2"/>
  <c r="R80" i="2"/>
  <c r="R81" i="2" s="1"/>
  <c r="F72" i="2"/>
  <c r="F71" i="2"/>
  <c r="F70" i="2"/>
  <c r="F48" i="2"/>
  <c r="F57" i="2" s="1"/>
  <c r="E84" i="2"/>
  <c r="E85" i="2" s="1"/>
  <c r="E80" i="2"/>
  <c r="E81" i="2" s="1"/>
  <c r="E74" i="2"/>
  <c r="E73" i="2"/>
  <c r="E48" i="2"/>
  <c r="D84" i="2"/>
  <c r="D85" i="2" s="1"/>
  <c r="D80" i="2"/>
  <c r="D74" i="2"/>
  <c r="D73" i="2"/>
  <c r="D48" i="2"/>
  <c r="Q85" i="2"/>
  <c r="Q75" i="2"/>
  <c r="Q92" i="2" s="1"/>
  <c r="Q66" i="2"/>
  <c r="Q47" i="2"/>
  <c r="P75" i="2"/>
  <c r="P92" i="2" s="1"/>
  <c r="P66" i="2"/>
  <c r="P47" i="2"/>
  <c r="O85" i="2"/>
  <c r="O75" i="2"/>
  <c r="O92" i="2" s="1"/>
  <c r="O66" i="2"/>
  <c r="O47" i="2"/>
  <c r="L85" i="2"/>
  <c r="L75" i="2"/>
  <c r="L92" i="2" s="1"/>
  <c r="L66" i="2"/>
  <c r="L47" i="2"/>
  <c r="K75" i="2"/>
  <c r="K92" i="2" s="1"/>
  <c r="K66" i="2"/>
  <c r="K47" i="2"/>
  <c r="I85" i="2"/>
  <c r="I75" i="2"/>
  <c r="I66" i="2"/>
  <c r="I47" i="2"/>
  <c r="H85" i="2"/>
  <c r="H75" i="2"/>
  <c r="H66" i="2"/>
  <c r="H47" i="2"/>
  <c r="G75" i="2"/>
  <c r="G66" i="2"/>
  <c r="G47" i="2"/>
  <c r="E66" i="2"/>
  <c r="D66" i="2"/>
  <c r="V87" i="2"/>
  <c r="V86" i="2"/>
  <c r="V79" i="2"/>
  <c r="V78" i="2"/>
  <c r="V77" i="2"/>
  <c r="V72" i="2"/>
  <c r="V71" i="2"/>
  <c r="V70" i="2"/>
  <c r="V69" i="2"/>
  <c r="V48" i="2"/>
  <c r="U84" i="2"/>
  <c r="U85" i="2" s="1"/>
  <c r="U80" i="2"/>
  <c r="U81" i="2" s="1"/>
  <c r="U74" i="2"/>
  <c r="U73" i="2"/>
  <c r="U48" i="2"/>
  <c r="T84" i="2"/>
  <c r="T85" i="2" s="1"/>
  <c r="T74" i="2"/>
  <c r="T73" i="2"/>
  <c r="T48" i="2"/>
  <c r="S84" i="2"/>
  <c r="S85" i="2" s="1"/>
  <c r="S80" i="2"/>
  <c r="S81" i="2" s="1"/>
  <c r="S74" i="2"/>
  <c r="S73" i="2"/>
  <c r="S48" i="2"/>
  <c r="U66" i="2"/>
  <c r="T66" i="2"/>
  <c r="S66" i="2"/>
  <c r="AB48" i="2"/>
  <c r="AA48" i="2"/>
  <c r="W84" i="2"/>
  <c r="W80" i="2"/>
  <c r="W81" i="2" s="1"/>
  <c r="W74" i="2"/>
  <c r="W75" i="2" s="1"/>
  <c r="W92" i="2" s="1"/>
  <c r="W48" i="2"/>
  <c r="W57" i="2" s="1"/>
  <c r="X84" i="2"/>
  <c r="X85" i="2" s="1"/>
  <c r="X74" i="2"/>
  <c r="X48" i="2"/>
  <c r="Y48" i="2"/>
  <c r="Y66" i="2"/>
  <c r="W66" i="2"/>
  <c r="X66" i="2"/>
  <c r="Z87" i="2"/>
  <c r="BC87" i="2" s="1"/>
  <c r="Z86" i="2"/>
  <c r="BC86" i="2" s="1"/>
  <c r="Z79" i="2"/>
  <c r="BC79" i="2" s="1"/>
  <c r="Z78" i="2"/>
  <c r="BC78" i="2" s="1"/>
  <c r="Z77" i="2"/>
  <c r="BC77" i="2" s="1"/>
  <c r="Z73" i="2"/>
  <c r="BC73" i="2" s="1"/>
  <c r="Z72" i="2"/>
  <c r="BC72" i="2" s="1"/>
  <c r="Z71" i="2"/>
  <c r="BC71" i="2" s="1"/>
  <c r="Z70" i="2"/>
  <c r="BC70" i="2" s="1"/>
  <c r="Z69" i="2"/>
  <c r="BC69" i="2" s="1"/>
  <c r="Z48" i="2"/>
  <c r="BC48" i="2" s="1"/>
  <c r="F66" i="2"/>
  <c r="J66" i="2"/>
  <c r="J47" i="2"/>
  <c r="N66" i="2"/>
  <c r="R66" i="2"/>
  <c r="R47" i="2"/>
  <c r="V66" i="2"/>
  <c r="Z66" i="2"/>
  <c r="BC66" i="2" s="1"/>
  <c r="V91" i="2"/>
  <c r="V90" i="2"/>
  <c r="V89" i="2"/>
  <c r="Z91" i="2"/>
  <c r="BC91" i="2" s="1"/>
  <c r="Z90" i="2"/>
  <c r="BC90" i="2" s="1"/>
  <c r="Z89" i="2"/>
  <c r="BC89" i="2" s="1"/>
  <c r="AD91" i="2"/>
  <c r="BD91" i="2" s="1"/>
  <c r="AD90" i="2"/>
  <c r="BD90" i="2" s="1"/>
  <c r="AD89" i="2"/>
  <c r="BD89" i="2" s="1"/>
  <c r="AD87" i="2"/>
  <c r="BD87" i="2" s="1"/>
  <c r="AD86" i="2"/>
  <c r="BD86" i="2" s="1"/>
  <c r="AD79" i="2"/>
  <c r="BD79" i="2" s="1"/>
  <c r="AD78" i="2"/>
  <c r="BD78" i="2" s="1"/>
  <c r="AD77" i="2"/>
  <c r="BD77" i="2" s="1"/>
  <c r="AD72" i="2"/>
  <c r="BD72" i="2" s="1"/>
  <c r="AD73" i="2"/>
  <c r="BD73" i="2" s="1"/>
  <c r="AD71" i="2"/>
  <c r="BD71" i="2" s="1"/>
  <c r="AD69" i="2"/>
  <c r="BD69" i="2" s="1"/>
  <c r="AD48" i="2"/>
  <c r="BD48" i="2" s="1"/>
  <c r="AD66" i="2"/>
  <c r="BD66" i="2" s="1"/>
  <c r="AC84" i="2"/>
  <c r="AC85" i="2" s="1"/>
  <c r="Y80" i="2"/>
  <c r="Y81" i="2" s="1"/>
  <c r="AA80" i="2"/>
  <c r="AA81" i="2" s="1"/>
  <c r="AC80" i="2"/>
  <c r="AC81" i="2" s="1"/>
  <c r="Y75" i="2"/>
  <c r="Y92" i="2" s="1"/>
  <c r="Y84" i="2"/>
  <c r="Y85" i="2" s="1"/>
  <c r="AC74" i="2"/>
  <c r="AC75" i="2" s="1"/>
  <c r="AC92" i="2" s="1"/>
  <c r="AC48" i="2"/>
  <c r="AC66" i="2"/>
  <c r="AB84" i="2"/>
  <c r="AB80" i="2"/>
  <c r="AB81" i="2" s="1"/>
  <c r="AB74" i="2"/>
  <c r="AB75" i="2" s="1"/>
  <c r="AB92" i="2" s="1"/>
  <c r="AA84" i="2"/>
  <c r="AA85" i="2" s="1"/>
  <c r="AE84" i="2"/>
  <c r="AE85" i="2" s="1"/>
  <c r="AE80" i="2"/>
  <c r="AE81" i="2" s="1"/>
  <c r="AA74" i="2"/>
  <c r="AE74" i="2"/>
  <c r="AE75" i="2" s="1"/>
  <c r="AE92" i="2" s="1"/>
  <c r="AA66" i="2"/>
  <c r="AE48" i="2"/>
  <c r="AE66" i="2"/>
  <c r="AF84" i="2"/>
  <c r="AF85" i="2" s="1"/>
  <c r="AF80" i="2"/>
  <c r="AF81" i="2" s="1"/>
  <c r="AF74" i="2"/>
  <c r="AF75" i="2" s="1"/>
  <c r="AF92" i="2" s="1"/>
  <c r="AF48" i="2"/>
  <c r="AF66" i="2"/>
  <c r="AB66" i="2"/>
  <c r="BL43" i="2" l="1"/>
  <c r="BJ7" i="2"/>
  <c r="BI17" i="2"/>
  <c r="BI34" i="2" s="1"/>
  <c r="F73" i="2"/>
  <c r="F47" i="2"/>
  <c r="W47" i="2"/>
  <c r="F84" i="2"/>
  <c r="F85" i="2" s="1"/>
  <c r="F74" i="2"/>
  <c r="S47" i="2"/>
  <c r="S57" i="2"/>
  <c r="D81" i="2"/>
  <c r="F80" i="2"/>
  <c r="F81" i="2" s="1"/>
  <c r="T47" i="2"/>
  <c r="T57" i="2"/>
  <c r="U47" i="2"/>
  <c r="U57" i="2"/>
  <c r="D47" i="2"/>
  <c r="D57" i="2"/>
  <c r="AF47" i="2"/>
  <c r="AF57" i="2"/>
  <c r="AD74" i="2"/>
  <c r="AC47" i="2"/>
  <c r="AC57" i="2"/>
  <c r="V47" i="2"/>
  <c r="V57" i="2"/>
  <c r="E47" i="2"/>
  <c r="E57" i="2"/>
  <c r="J81" i="2"/>
  <c r="X47" i="2"/>
  <c r="X57" i="2"/>
  <c r="AB47" i="2"/>
  <c r="AB57" i="2"/>
  <c r="AE47" i="2"/>
  <c r="AE57" i="2"/>
  <c r="AD47" i="2"/>
  <c r="BD47" i="2" s="1"/>
  <c r="BE26" i="2" s="1"/>
  <c r="AD57" i="2"/>
  <c r="BD57" i="2" s="1"/>
  <c r="Z47" i="2"/>
  <c r="BC47" i="2" s="1"/>
  <c r="Z57" i="2"/>
  <c r="BC57" i="2" s="1"/>
  <c r="Y47" i="2"/>
  <c r="Y57" i="2"/>
  <c r="AA47" i="2"/>
  <c r="AA57" i="2"/>
  <c r="E75" i="2"/>
  <c r="D75" i="2"/>
  <c r="R85" i="2"/>
  <c r="P85" i="2"/>
  <c r="R75" i="2"/>
  <c r="R92" i="2" s="1"/>
  <c r="R93" i="2" s="1"/>
  <c r="N85" i="2"/>
  <c r="K85" i="2"/>
  <c r="N75" i="2"/>
  <c r="N92" i="2" s="1"/>
  <c r="N93" i="2" s="1"/>
  <c r="J85" i="2"/>
  <c r="J75" i="2"/>
  <c r="G85" i="2"/>
  <c r="V74" i="2"/>
  <c r="U75" i="2"/>
  <c r="U92" i="2" s="1"/>
  <c r="V73" i="2"/>
  <c r="AD84" i="2"/>
  <c r="AA75" i="2"/>
  <c r="AA92" i="2" s="1"/>
  <c r="AB85" i="2"/>
  <c r="AD80" i="2"/>
  <c r="V84" i="2"/>
  <c r="V85" i="2" s="1"/>
  <c r="V80" i="2"/>
  <c r="V81" i="2" s="1"/>
  <c r="S75" i="2"/>
  <c r="S92" i="2" s="1"/>
  <c r="T75" i="2"/>
  <c r="T92" i="2" s="1"/>
  <c r="Z74" i="2"/>
  <c r="Z84" i="2"/>
  <c r="W85" i="2"/>
  <c r="X75" i="2"/>
  <c r="X92" i="2" s="1"/>
  <c r="Z80" i="2"/>
  <c r="BM43" i="2" l="1"/>
  <c r="AD75" i="2"/>
  <c r="BD74" i="2"/>
  <c r="AD81" i="2"/>
  <c r="BD81" i="2" s="1"/>
  <c r="BD80" i="2"/>
  <c r="Z85" i="2"/>
  <c r="BC85" i="2" s="1"/>
  <c r="BC84" i="2"/>
  <c r="BK7" i="2"/>
  <c r="BJ17" i="2"/>
  <c r="BJ34" i="2" s="1"/>
  <c r="Z81" i="2"/>
  <c r="BC81" i="2" s="1"/>
  <c r="BC80" i="2"/>
  <c r="Z75" i="2"/>
  <c r="BC74" i="2"/>
  <c r="AD85" i="2"/>
  <c r="BD85" i="2" s="1"/>
  <c r="BD84" i="2"/>
  <c r="O93" i="2"/>
  <c r="Q93" i="2"/>
  <c r="P93" i="2"/>
  <c r="F75" i="2"/>
  <c r="V75" i="2"/>
  <c r="V92" i="2" s="1"/>
  <c r="Y93" i="2" s="1"/>
  <c r="S93" i="2"/>
  <c r="T93" i="2"/>
  <c r="U93" i="2"/>
  <c r="BO43" i="2" l="1"/>
  <c r="BN43" i="2"/>
  <c r="Z92" i="2"/>
  <c r="BC75" i="2"/>
  <c r="BL7" i="2"/>
  <c r="BK17" i="2"/>
  <c r="AD92" i="2"/>
  <c r="BD75" i="2"/>
  <c r="V93" i="2"/>
  <c r="W93" i="2"/>
  <c r="X93" i="2"/>
  <c r="BD92" i="2" l="1"/>
  <c r="AF93" i="2"/>
  <c r="AE93" i="2"/>
  <c r="AD93" i="2"/>
  <c r="BD93" i="2" s="1"/>
  <c r="BK34" i="2"/>
  <c r="BM7" i="2"/>
  <c r="BL17" i="2"/>
  <c r="BC92" i="2"/>
  <c r="AB93" i="2"/>
  <c r="AC93" i="2"/>
  <c r="AA93" i="2"/>
  <c r="Z93" i="2"/>
  <c r="BC93" i="2" s="1"/>
  <c r="E15" i="1"/>
  <c r="E14" i="1"/>
  <c r="E13" i="1"/>
  <c r="E12" i="1"/>
  <c r="E11" i="1"/>
  <c r="E10" i="1"/>
  <c r="E9" i="1"/>
  <c r="E8" i="1"/>
  <c r="E7" i="1"/>
  <c r="AX2" i="2"/>
  <c r="AH26" i="2"/>
  <c r="AG26" i="2"/>
  <c r="BL34" i="2" l="1"/>
  <c r="BN7" i="2"/>
  <c r="BM17" i="2"/>
  <c r="AG24" i="2"/>
  <c r="BM34" i="2" l="1"/>
  <c r="BO7" i="2"/>
  <c r="BO17" i="2" s="1"/>
  <c r="BN17" i="2"/>
  <c r="AG19" i="2"/>
  <c r="AG35" i="2" s="1"/>
  <c r="BN34" i="2" l="1"/>
  <c r="BO34" i="2"/>
  <c r="AG25" i="2"/>
  <c r="AG27" i="2" s="1"/>
  <c r="AG28" i="2" s="1"/>
  <c r="U26" i="2" l="1"/>
  <c r="AF26" i="2"/>
  <c r="BB26" i="2" l="1"/>
  <c r="Y28" i="2"/>
  <c r="Y26" i="2"/>
  <c r="W28" i="2"/>
  <c r="J23" i="2"/>
  <c r="AY23" i="2" s="1"/>
  <c r="J22" i="2"/>
  <c r="AY22" i="2" s="1"/>
  <c r="J21" i="2"/>
  <c r="AY21" i="2" s="1"/>
  <c r="J20" i="2"/>
  <c r="AY20" i="2" s="1"/>
  <c r="J18" i="2"/>
  <c r="AY18" i="2" s="1"/>
  <c r="J16" i="2"/>
  <c r="AY16" i="2" s="1"/>
  <c r="J15" i="2"/>
  <c r="F23" i="2"/>
  <c r="AX23" i="2" s="1"/>
  <c r="F22" i="2"/>
  <c r="AX22" i="2" s="1"/>
  <c r="F21" i="2"/>
  <c r="AX21" i="2" s="1"/>
  <c r="F20" i="2"/>
  <c r="AX20" i="2" s="1"/>
  <c r="F18" i="2"/>
  <c r="AX18" i="2" s="1"/>
  <c r="F16" i="2"/>
  <c r="AX16" i="2" s="1"/>
  <c r="F15" i="2"/>
  <c r="I28" i="2"/>
  <c r="I26" i="2"/>
  <c r="E28" i="2"/>
  <c r="E26" i="2"/>
  <c r="D28" i="2"/>
  <c r="D26" i="2"/>
  <c r="H28" i="2"/>
  <c r="H26" i="2"/>
  <c r="H24" i="2"/>
  <c r="H17" i="2"/>
  <c r="G28" i="2"/>
  <c r="G26" i="2"/>
  <c r="E24" i="2"/>
  <c r="D24" i="2"/>
  <c r="E17" i="2"/>
  <c r="D17" i="2"/>
  <c r="G24" i="2"/>
  <c r="G17" i="2"/>
  <c r="G34" i="2" s="1"/>
  <c r="I24" i="2"/>
  <c r="I17" i="2"/>
  <c r="N23" i="2"/>
  <c r="AZ23" i="2" s="1"/>
  <c r="N22" i="2"/>
  <c r="N21" i="2"/>
  <c r="AZ21" i="2" s="1"/>
  <c r="N20" i="2"/>
  <c r="AZ20" i="2" s="1"/>
  <c r="N18" i="2"/>
  <c r="AZ18" i="2" s="1"/>
  <c r="N16" i="2"/>
  <c r="AZ16" i="2" s="1"/>
  <c r="N15" i="2"/>
  <c r="R23" i="2"/>
  <c r="BA23" i="2" s="1"/>
  <c r="R22" i="2"/>
  <c r="BA22" i="2" s="1"/>
  <c r="R21" i="2"/>
  <c r="R20" i="2"/>
  <c r="BA20" i="2" s="1"/>
  <c r="R18" i="2"/>
  <c r="BA18" i="2" s="1"/>
  <c r="R16" i="2"/>
  <c r="BA16" i="2" s="1"/>
  <c r="R15" i="2"/>
  <c r="BA15" i="2" s="1"/>
  <c r="Q26" i="2"/>
  <c r="Q28" i="2"/>
  <c r="M28" i="2"/>
  <c r="M26" i="2"/>
  <c r="P28" i="2"/>
  <c r="P26" i="2"/>
  <c r="O28" i="2"/>
  <c r="O26" i="2"/>
  <c r="O24" i="2"/>
  <c r="O17" i="2"/>
  <c r="L28" i="2"/>
  <c r="L26" i="2"/>
  <c r="K26" i="2"/>
  <c r="K28" i="2"/>
  <c r="Q24" i="2"/>
  <c r="Q17" i="2"/>
  <c r="P24" i="2"/>
  <c r="P17" i="2"/>
  <c r="M24" i="2"/>
  <c r="M17" i="2"/>
  <c r="L24" i="2"/>
  <c r="L17" i="2"/>
  <c r="K24" i="2"/>
  <c r="K17" i="2"/>
  <c r="K34" i="2" s="1"/>
  <c r="W26" i="2"/>
  <c r="AY2" i="2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U28" i="2"/>
  <c r="U24" i="2"/>
  <c r="U17" i="2"/>
  <c r="Y24" i="2"/>
  <c r="Y17" i="2"/>
  <c r="T24" i="2"/>
  <c r="T17" i="2"/>
  <c r="X28" i="2"/>
  <c r="X26" i="2"/>
  <c r="S24" i="2"/>
  <c r="S17" i="2"/>
  <c r="X24" i="2"/>
  <c r="X17" i="2"/>
  <c r="W24" i="2"/>
  <c r="W17" i="2"/>
  <c r="V23" i="2"/>
  <c r="BB23" i="2" s="1"/>
  <c r="BB22" i="2"/>
  <c r="V21" i="2"/>
  <c r="BB21" i="2" s="1"/>
  <c r="V20" i="2"/>
  <c r="BB20" i="2" s="1"/>
  <c r="V18" i="2"/>
  <c r="BB18" i="2" s="1"/>
  <c r="V16" i="2"/>
  <c r="BB16" i="2" s="1"/>
  <c r="V15" i="2"/>
  <c r="BB15" i="2" s="1"/>
  <c r="Z15" i="2"/>
  <c r="BC15" i="2" s="1"/>
  <c r="Z21" i="2"/>
  <c r="BC21" i="2" s="1"/>
  <c r="Z20" i="2"/>
  <c r="BC20" i="2" s="1"/>
  <c r="Z18" i="2"/>
  <c r="BC18" i="2" s="1"/>
  <c r="Z16" i="2"/>
  <c r="BC16" i="2" s="1"/>
  <c r="Z23" i="2"/>
  <c r="BC23" i="2" s="1"/>
  <c r="Z22" i="2"/>
  <c r="BC22" i="2" s="1"/>
  <c r="AD23" i="2"/>
  <c r="AD22" i="2"/>
  <c r="AD21" i="2"/>
  <c r="AD20" i="2"/>
  <c r="AH20" i="2" s="1"/>
  <c r="BE20" i="2" s="1"/>
  <c r="BF20" i="2" s="1"/>
  <c r="AD18" i="2"/>
  <c r="AD16" i="2"/>
  <c r="AD15" i="2"/>
  <c r="AC28" i="2"/>
  <c r="AC26" i="2"/>
  <c r="AB26" i="2"/>
  <c r="AC24" i="2"/>
  <c r="AC17" i="2"/>
  <c r="AE17" i="2"/>
  <c r="AE24" i="2"/>
  <c r="AE26" i="2"/>
  <c r="AB24" i="2"/>
  <c r="AA28" i="2"/>
  <c r="AA26" i="2"/>
  <c r="AA24" i="2"/>
  <c r="AA17" i="2"/>
  <c r="AF28" i="2"/>
  <c r="BD21" i="2" l="1"/>
  <c r="AH21" i="2"/>
  <c r="BD18" i="2"/>
  <c r="AH18" i="2"/>
  <c r="BG20" i="2"/>
  <c r="BH20" i="2" s="1"/>
  <c r="BI20" i="2" s="1"/>
  <c r="BJ20" i="2" s="1"/>
  <c r="BK20" i="2" s="1"/>
  <c r="BL20" i="2" s="1"/>
  <c r="BM20" i="2" s="1"/>
  <c r="BN20" i="2" s="1"/>
  <c r="BO20" i="2" s="1"/>
  <c r="BD22" i="2"/>
  <c r="AH22" i="2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D23" i="2"/>
  <c r="AH23" i="2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U34" i="2"/>
  <c r="BD16" i="2"/>
  <c r="AH16" i="2"/>
  <c r="BD15" i="2"/>
  <c r="AH15" i="2"/>
  <c r="AX24" i="2"/>
  <c r="W34" i="2"/>
  <c r="AC34" i="2"/>
  <c r="AG34" i="2"/>
  <c r="AB34" i="2"/>
  <c r="R28" i="2"/>
  <c r="I34" i="2"/>
  <c r="S34" i="2"/>
  <c r="T34" i="2"/>
  <c r="M34" i="2"/>
  <c r="R26" i="2"/>
  <c r="BA26" i="2" s="1"/>
  <c r="H34" i="2"/>
  <c r="Z28" i="2"/>
  <c r="BC28" i="2" s="1"/>
  <c r="AA34" i="2"/>
  <c r="Q34" i="2"/>
  <c r="X34" i="2"/>
  <c r="Y34" i="2"/>
  <c r="L34" i="2"/>
  <c r="P34" i="2"/>
  <c r="N28" i="2"/>
  <c r="AZ28" i="2" s="1"/>
  <c r="O34" i="2"/>
  <c r="AE34" i="2"/>
  <c r="Z26" i="2"/>
  <c r="BC26" i="2" s="1"/>
  <c r="N26" i="2"/>
  <c r="AZ26" i="2" s="1"/>
  <c r="AD26" i="2"/>
  <c r="BD26" i="2" s="1"/>
  <c r="F26" i="2"/>
  <c r="AX26" i="2" s="1"/>
  <c r="J26" i="2"/>
  <c r="AY26" i="2" s="1"/>
  <c r="BC24" i="2"/>
  <c r="E19" i="2"/>
  <c r="E35" i="2" s="1"/>
  <c r="S19" i="2"/>
  <c r="S35" i="2" s="1"/>
  <c r="AC19" i="2"/>
  <c r="AC35" i="2" s="1"/>
  <c r="I19" i="2"/>
  <c r="I35" i="2" s="1"/>
  <c r="M19" i="2"/>
  <c r="M35" i="2" s="1"/>
  <c r="Y19" i="2"/>
  <c r="J28" i="2"/>
  <c r="AY28" i="2" s="1"/>
  <c r="W19" i="2"/>
  <c r="BD20" i="2"/>
  <c r="X19" i="2"/>
  <c r="H19" i="2"/>
  <c r="AB19" i="2"/>
  <c r="AB35" i="2" s="1"/>
  <c r="P19" i="2"/>
  <c r="P35" i="2" s="1"/>
  <c r="F28" i="2"/>
  <c r="AX28" i="2" s="1"/>
  <c r="U19" i="2"/>
  <c r="O19" i="2"/>
  <c r="G19" i="2"/>
  <c r="G35" i="2" s="1"/>
  <c r="Q19" i="2"/>
  <c r="Q35" i="2" s="1"/>
  <c r="AA19" i="2"/>
  <c r="T19" i="2"/>
  <c r="T35" i="2" s="1"/>
  <c r="AE19" i="2"/>
  <c r="AD28" i="2"/>
  <c r="BD28" i="2" s="1"/>
  <c r="L19" i="2"/>
  <c r="L35" i="2" s="1"/>
  <c r="K19" i="2"/>
  <c r="K35" i="2" s="1"/>
  <c r="D19" i="2"/>
  <c r="D35" i="2" s="1"/>
  <c r="F24" i="2"/>
  <c r="F17" i="2"/>
  <c r="AX17" i="2" s="1"/>
  <c r="AX19" i="2" s="1"/>
  <c r="J17" i="2"/>
  <c r="AX15" i="2"/>
  <c r="AY24" i="2"/>
  <c r="J24" i="2"/>
  <c r="AY15" i="2"/>
  <c r="R17" i="2"/>
  <c r="R24" i="2"/>
  <c r="BA21" i="2"/>
  <c r="BA24" i="2" s="1"/>
  <c r="N24" i="2"/>
  <c r="AZ22" i="2"/>
  <c r="AZ24" i="2" s="1"/>
  <c r="N17" i="2"/>
  <c r="AZ15" i="2"/>
  <c r="BB24" i="2"/>
  <c r="V24" i="2"/>
  <c r="V17" i="2"/>
  <c r="Z24" i="2"/>
  <c r="Z17" i="2"/>
  <c r="AD24" i="2"/>
  <c r="AD17" i="2"/>
  <c r="AF24" i="2"/>
  <c r="AF17" i="2"/>
  <c r="AF34" i="2" s="1"/>
  <c r="BD24" i="2" l="1"/>
  <c r="BE18" i="2"/>
  <c r="AH19" i="2"/>
  <c r="BD17" i="2"/>
  <c r="BD19" i="2" s="1"/>
  <c r="BD35" i="2" s="1"/>
  <c r="BE21" i="2"/>
  <c r="AH24" i="2"/>
  <c r="AX25" i="2"/>
  <c r="AX27" i="2" s="1"/>
  <c r="AX29" i="2" s="1"/>
  <c r="BG34" i="2"/>
  <c r="N34" i="2"/>
  <c r="Z34" i="2"/>
  <c r="R34" i="2"/>
  <c r="AD34" i="2"/>
  <c r="V34" i="2"/>
  <c r="J34" i="2"/>
  <c r="AZ17" i="2"/>
  <c r="AZ19" i="2" s="1"/>
  <c r="AZ35" i="2" s="1"/>
  <c r="BB17" i="2"/>
  <c r="BB19" i="2" s="1"/>
  <c r="AC25" i="2"/>
  <c r="AC27" i="2" s="1"/>
  <c r="AC29" i="2" s="1"/>
  <c r="S25" i="2"/>
  <c r="S27" i="2" s="1"/>
  <c r="M25" i="2"/>
  <c r="M27" i="2" s="1"/>
  <c r="AB25" i="2"/>
  <c r="AB27" i="2" s="1"/>
  <c r="AB29" i="2" s="1"/>
  <c r="T25" i="2"/>
  <c r="T27" i="2" s="1"/>
  <c r="D25" i="2"/>
  <c r="D27" i="2" s="1"/>
  <c r="D29" i="2" s="1"/>
  <c r="AG29" i="2"/>
  <c r="AF19" i="2"/>
  <c r="N19" i="2"/>
  <c r="N35" i="2" s="1"/>
  <c r="V19" i="2"/>
  <c r="H25" i="2"/>
  <c r="H27" i="2" s="1"/>
  <c r="H35" i="2"/>
  <c r="AA25" i="2"/>
  <c r="AA27" i="2" s="1"/>
  <c r="AA35" i="2"/>
  <c r="K25" i="2"/>
  <c r="K27" i="2" s="1"/>
  <c r="Z19" i="2"/>
  <c r="Z35" i="2" s="1"/>
  <c r="L25" i="2"/>
  <c r="L27" i="2" s="1"/>
  <c r="BA17" i="2"/>
  <c r="P25" i="2"/>
  <c r="P27" i="2" s="1"/>
  <c r="AE25" i="2"/>
  <c r="AE27" i="2" s="1"/>
  <c r="AE35" i="2"/>
  <c r="AY17" i="2"/>
  <c r="E25" i="2"/>
  <c r="E27" i="2" s="1"/>
  <c r="U25" i="2"/>
  <c r="U27" i="2" s="1"/>
  <c r="U35" i="2"/>
  <c r="BC17" i="2"/>
  <c r="F19" i="2"/>
  <c r="F35" i="2" s="1"/>
  <c r="BB28" i="2"/>
  <c r="BA28" i="2"/>
  <c r="Y25" i="2"/>
  <c r="Y27" i="2" s="1"/>
  <c r="Y35" i="2"/>
  <c r="O25" i="2"/>
  <c r="O27" i="2" s="1"/>
  <c r="O35" i="2"/>
  <c r="X35" i="2"/>
  <c r="X25" i="2"/>
  <c r="X27" i="2" s="1"/>
  <c r="Q25" i="2"/>
  <c r="Q27" i="2" s="1"/>
  <c r="G25" i="2"/>
  <c r="G27" i="2" s="1"/>
  <c r="I25" i="2"/>
  <c r="I27" i="2" s="1"/>
  <c r="W35" i="2"/>
  <c r="W25" i="2"/>
  <c r="W27" i="2" s="1"/>
  <c r="AD19" i="2"/>
  <c r="AD35" i="2" s="1"/>
  <c r="J19" i="2"/>
  <c r="R19" i="2"/>
  <c r="R35" i="2" s="1"/>
  <c r="BF21" i="2" l="1"/>
  <c r="BE24" i="2"/>
  <c r="BF18" i="2"/>
  <c r="BG18" i="2" s="1"/>
  <c r="BE19" i="2"/>
  <c r="AH34" i="2"/>
  <c r="BF34" i="2"/>
  <c r="AH35" i="2"/>
  <c r="AH25" i="2"/>
  <c r="AH27" i="2" s="1"/>
  <c r="AC68" i="2"/>
  <c r="AC30" i="2"/>
  <c r="V35" i="2"/>
  <c r="V25" i="2"/>
  <c r="V27" i="2" s="1"/>
  <c r="V29" i="2" s="1"/>
  <c r="D30" i="2"/>
  <c r="D68" i="2"/>
  <c r="AB68" i="2"/>
  <c r="AB30" i="2"/>
  <c r="BD25" i="2"/>
  <c r="BD27" i="2" s="1"/>
  <c r="BD29" i="2" s="1"/>
  <c r="Z25" i="2"/>
  <c r="Z27" i="2" s="1"/>
  <c r="Z29" i="2" s="1"/>
  <c r="W29" i="2"/>
  <c r="AY34" i="2"/>
  <c r="R25" i="2"/>
  <c r="R27" i="2" s="1"/>
  <c r="R29" i="2" s="1"/>
  <c r="T29" i="2"/>
  <c r="N25" i="2"/>
  <c r="N27" i="2" s="1"/>
  <c r="N29" i="2" s="1"/>
  <c r="AZ34" i="2"/>
  <c r="M29" i="2"/>
  <c r="AA29" i="2"/>
  <c r="I29" i="2"/>
  <c r="BA19" i="2"/>
  <c r="BA34" i="2"/>
  <c r="BB25" i="2"/>
  <c r="BB27" i="2" s="1"/>
  <c r="BB35" i="2"/>
  <c r="L29" i="2"/>
  <c r="AF35" i="2"/>
  <c r="AF25" i="2"/>
  <c r="AF27" i="2" s="1"/>
  <c r="S29" i="2"/>
  <c r="F25" i="2"/>
  <c r="F27" i="2" s="1"/>
  <c r="U29" i="2"/>
  <c r="X29" i="2"/>
  <c r="E29" i="2"/>
  <c r="BE34" i="2"/>
  <c r="G29" i="2"/>
  <c r="O29" i="2"/>
  <c r="BC34" i="2"/>
  <c r="BD34" i="2"/>
  <c r="BC19" i="2"/>
  <c r="H29" i="2"/>
  <c r="AY19" i="2"/>
  <c r="Q29" i="2"/>
  <c r="AE29" i="2"/>
  <c r="AD25" i="2"/>
  <c r="AD27" i="2" s="1"/>
  <c r="AZ25" i="2"/>
  <c r="AZ27" i="2" s="1"/>
  <c r="J25" i="2"/>
  <c r="J27" i="2" s="1"/>
  <c r="J35" i="2"/>
  <c r="BB34" i="2"/>
  <c r="Y29" i="2"/>
  <c r="P29" i="2"/>
  <c r="K29" i="2"/>
  <c r="L9" i="1"/>
  <c r="L8" i="1"/>
  <c r="L7" i="1"/>
  <c r="BF19" i="2" l="1"/>
  <c r="BF35" i="2" s="1"/>
  <c r="BH18" i="2"/>
  <c r="BG19" i="2"/>
  <c r="BG21" i="2"/>
  <c r="BF24" i="2"/>
  <c r="AH28" i="2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K30" i="2"/>
  <c r="K68" i="2"/>
  <c r="O30" i="2"/>
  <c r="O68" i="2"/>
  <c r="I30" i="2"/>
  <c r="I68" i="2"/>
  <c r="M30" i="2"/>
  <c r="M68" i="2"/>
  <c r="AA68" i="2"/>
  <c r="AA30" i="2"/>
  <c r="Y68" i="2"/>
  <c r="Y30" i="2"/>
  <c r="G30" i="2"/>
  <c r="G68" i="2"/>
  <c r="U68" i="2"/>
  <c r="U30" i="2"/>
  <c r="L30" i="2"/>
  <c r="L68" i="2"/>
  <c r="X68" i="2"/>
  <c r="X30" i="2"/>
  <c r="P30" i="2"/>
  <c r="P68" i="2"/>
  <c r="Q30" i="2"/>
  <c r="Q68" i="2"/>
  <c r="E30" i="2"/>
  <c r="E68" i="2"/>
  <c r="H30" i="2"/>
  <c r="H68" i="2"/>
  <c r="W68" i="2"/>
  <c r="W30" i="2"/>
  <c r="Z68" i="2"/>
  <c r="BC68" i="2" s="1"/>
  <c r="Z30" i="2"/>
  <c r="T68" i="2"/>
  <c r="T30" i="2"/>
  <c r="V68" i="2"/>
  <c r="V30" i="2"/>
  <c r="S68" i="2"/>
  <c r="S30" i="2"/>
  <c r="R68" i="2"/>
  <c r="R30" i="2"/>
  <c r="N68" i="2"/>
  <c r="N30" i="2"/>
  <c r="AE68" i="2"/>
  <c r="AE30" i="2"/>
  <c r="BB29" i="2"/>
  <c r="AY25" i="2"/>
  <c r="AY27" i="2" s="1"/>
  <c r="AY35" i="2"/>
  <c r="AF29" i="2"/>
  <c r="BA35" i="2"/>
  <c r="BA25" i="2"/>
  <c r="BA27" i="2" s="1"/>
  <c r="BE25" i="2"/>
  <c r="BE27" i="2" s="1"/>
  <c r="BE35" i="2"/>
  <c r="AZ29" i="2"/>
  <c r="AD29" i="2"/>
  <c r="BC35" i="2"/>
  <c r="BC25" i="2"/>
  <c r="BC27" i="2" s="1"/>
  <c r="F29" i="2"/>
  <c r="J29" i="2"/>
  <c r="AX35" i="2"/>
  <c r="L10" i="1"/>
  <c r="BF25" i="2" l="1"/>
  <c r="BH21" i="2"/>
  <c r="BG24" i="2"/>
  <c r="BG25" i="2" s="1"/>
  <c r="BG35" i="2"/>
  <c r="BI18" i="2"/>
  <c r="BH19" i="2"/>
  <c r="BE29" i="2"/>
  <c r="AH29" i="2"/>
  <c r="J68" i="2"/>
  <c r="J30" i="2"/>
  <c r="F68" i="2"/>
  <c r="F30" i="2"/>
  <c r="AD68" i="2"/>
  <c r="BD68" i="2" s="1"/>
  <c r="AD30" i="2"/>
  <c r="AF30" i="2"/>
  <c r="AF68" i="2"/>
  <c r="AY29" i="2"/>
  <c r="BC29" i="2"/>
  <c r="BA29" i="2"/>
  <c r="BH35" i="2" l="1"/>
  <c r="BJ18" i="2"/>
  <c r="BI19" i="2"/>
  <c r="BI21" i="2"/>
  <c r="BH24" i="2"/>
  <c r="BH25" i="2" s="1"/>
  <c r="BE47" i="2"/>
  <c r="BF26" i="2" s="1"/>
  <c r="BF27" i="2" s="1"/>
  <c r="BJ21" i="2" l="1"/>
  <c r="BI24" i="2"/>
  <c r="BI25" i="2" s="1"/>
  <c r="BI35" i="2"/>
  <c r="BK18" i="2"/>
  <c r="BJ19" i="2"/>
  <c r="BF29" i="2"/>
  <c r="BJ35" i="2" l="1"/>
  <c r="BL18" i="2"/>
  <c r="BK19" i="2"/>
  <c r="BK35" i="2" s="1"/>
  <c r="BK21" i="2"/>
  <c r="BJ24" i="2"/>
  <c r="BJ25" i="2" s="1"/>
  <c r="BF47" i="2"/>
  <c r="BG26" i="2" s="1"/>
  <c r="BG27" i="2" s="1"/>
  <c r="BL21" i="2" l="1"/>
  <c r="BK24" i="2"/>
  <c r="BK25" i="2" s="1"/>
  <c r="BM18" i="2"/>
  <c r="BL19" i="2"/>
  <c r="BL35" i="2" s="1"/>
  <c r="BG29" i="2"/>
  <c r="BN18" i="2" l="1"/>
  <c r="BM19" i="2"/>
  <c r="BM35" i="2" s="1"/>
  <c r="BM21" i="2"/>
  <c r="BL24" i="2"/>
  <c r="BL25" i="2" s="1"/>
  <c r="BG47" i="2"/>
  <c r="BN21" i="2" l="1"/>
  <c r="BM24" i="2"/>
  <c r="BM25" i="2" s="1"/>
  <c r="BO18" i="2"/>
  <c r="BO19" i="2" s="1"/>
  <c r="BO35" i="2" s="1"/>
  <c r="BN19" i="2"/>
  <c r="BN35" i="2" s="1"/>
  <c r="BH26" i="2"/>
  <c r="BH27" i="2" s="1"/>
  <c r="BH29" i="2" s="1"/>
  <c r="BH47" i="2" s="1"/>
  <c r="BO21" i="2" l="1"/>
  <c r="BO24" i="2" s="1"/>
  <c r="BO25" i="2" s="1"/>
  <c r="BN24" i="2"/>
  <c r="BN25" i="2" s="1"/>
  <c r="BI26" i="2"/>
  <c r="BI27" i="2" s="1"/>
  <c r="BI29" i="2" s="1"/>
  <c r="BI47" i="2" s="1"/>
  <c r="BJ26" i="2" l="1"/>
  <c r="BJ27" i="2" s="1"/>
  <c r="BJ29" i="2" s="1"/>
  <c r="BJ47" i="2" s="1"/>
  <c r="BK26" i="2" s="1"/>
  <c r="BK27" i="2" s="1"/>
  <c r="BK29" i="2" l="1"/>
  <c r="BK47" i="2" s="1"/>
  <c r="BL26" i="2" s="1"/>
  <c r="BL27" i="2" s="1"/>
  <c r="BL29" i="2" l="1"/>
  <c r="BL47" i="2" s="1"/>
  <c r="BM26" i="2" l="1"/>
  <c r="BM27" i="2" s="1"/>
  <c r="BM29" i="2" s="1"/>
  <c r="BM47" i="2" s="1"/>
  <c r="BN26" i="2" s="1"/>
  <c r="BN27" i="2" s="1"/>
  <c r="BN29" i="2" l="1"/>
  <c r="BN47" i="2" s="1"/>
  <c r="BO26" i="2" l="1"/>
  <c r="BO27" i="2" s="1"/>
  <c r="BO29" i="2" s="1"/>
  <c r="BO47" i="2" s="1"/>
  <c r="BP29" i="2" l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BI56" i="2" l="1"/>
  <c r="BI57" i="2" s="1"/>
  <c r="BI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tc={548BBDD2-8B05-4372-AE23-4A158527C9F2}</author>
  </authors>
  <commentList>
    <comment ref="AG17" authorId="0" shapeId="0" xr:uid="{548BBDD2-8B05-4372-AE23-4A158527C9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of 174-176 optimistic for 12% growth because of AWS demand
</t>
      </text>
    </comment>
  </commentList>
</comments>
</file>

<file path=xl/sharedStrings.xml><?xml version="1.0" encoding="utf-8"?>
<sst xmlns="http://schemas.openxmlformats.org/spreadsheetml/2006/main" count="139" uniqueCount="129">
  <si>
    <t>Price</t>
  </si>
  <si>
    <t>Shares</t>
  </si>
  <si>
    <t>MC</t>
  </si>
  <si>
    <t>Cash</t>
  </si>
  <si>
    <t>Debt</t>
  </si>
  <si>
    <t>EV</t>
  </si>
  <si>
    <t>Q225</t>
  </si>
  <si>
    <t xml:space="preserve"> </t>
  </si>
  <si>
    <t>Q118</t>
  </si>
  <si>
    <t>Q218</t>
  </si>
  <si>
    <t>Q318</t>
  </si>
  <si>
    <t>Q418</t>
  </si>
  <si>
    <t>Q119</t>
  </si>
  <si>
    <t>Q219</t>
  </si>
  <si>
    <t>Q319</t>
  </si>
  <si>
    <t>Q120</t>
  </si>
  <si>
    <t>Q419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</si>
  <si>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</si>
  <si>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</si>
  <si>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</si>
  <si>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</si>
  <si>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</si>
  <si>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</si>
  <si>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</si>
  <si>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</si>
  <si>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</si>
  <si>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</si>
  <si>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</si>
  <si>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</si>
  <si>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</si>
  <si>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</si>
  <si>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</si>
  <si>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</si>
  <si>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</si>
  <si>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</si>
  <si>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</si>
  <si>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</si>
  <si>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Q325</t>
  </si>
  <si>
    <t>Q425</t>
  </si>
  <si>
    <t>Revenue</t>
  </si>
  <si>
    <t>Fulfillment</t>
  </si>
  <si>
    <t>T&amp;I</t>
  </si>
  <si>
    <t>S&amp;M</t>
  </si>
  <si>
    <t>G&amp;A</t>
  </si>
  <si>
    <t>OpEx</t>
  </si>
  <si>
    <t>OpInc</t>
  </si>
  <si>
    <t>Interest Expense</t>
  </si>
  <si>
    <t>Pretax</t>
  </si>
  <si>
    <t>Tax</t>
  </si>
  <si>
    <t>Net Income</t>
  </si>
  <si>
    <t>EPS</t>
  </si>
  <si>
    <t>Cost Of Sales</t>
  </si>
  <si>
    <t>Gross Profit</t>
  </si>
  <si>
    <t>Gross Margin</t>
  </si>
  <si>
    <t>Revenue Growth y/y</t>
  </si>
  <si>
    <t>Net cash</t>
  </si>
  <si>
    <t>AR</t>
  </si>
  <si>
    <t>DT</t>
  </si>
  <si>
    <t>PP&amp;E</t>
  </si>
  <si>
    <t>Lease</t>
  </si>
  <si>
    <t>Goodwill</t>
  </si>
  <si>
    <t>Assets</t>
  </si>
  <si>
    <t>AP</t>
  </si>
  <si>
    <t>AE</t>
  </si>
  <si>
    <t>OLTL</t>
  </si>
  <si>
    <t>SE</t>
  </si>
  <si>
    <t>L+SE</t>
  </si>
  <si>
    <t>Model NI</t>
  </si>
  <si>
    <t>Reported NI</t>
  </si>
  <si>
    <t>SBC</t>
  </si>
  <si>
    <t>Other</t>
  </si>
  <si>
    <t>WC</t>
  </si>
  <si>
    <t>CFFO</t>
  </si>
  <si>
    <t>CapEx</t>
  </si>
  <si>
    <t>Acquisitions</t>
  </si>
  <si>
    <t>CFFI</t>
  </si>
  <si>
    <t>Buybacks</t>
  </si>
  <si>
    <t>CFFF</t>
  </si>
  <si>
    <t>FX</t>
  </si>
  <si>
    <t>CIC</t>
  </si>
  <si>
    <t>Terminal</t>
  </si>
  <si>
    <t>Discount</t>
  </si>
  <si>
    <t>ROIC</t>
  </si>
  <si>
    <t>Return</t>
  </si>
  <si>
    <t>Product Sales</t>
  </si>
  <si>
    <t>Service Sales</t>
  </si>
  <si>
    <t>Amazon</t>
  </si>
  <si>
    <t>USA E-commerce industry</t>
  </si>
  <si>
    <t>Market Share</t>
  </si>
  <si>
    <t>Alibaba</t>
  </si>
  <si>
    <t>JD.com</t>
  </si>
  <si>
    <t>Pinduoduo</t>
  </si>
  <si>
    <t>Sea Limited</t>
  </si>
  <si>
    <t>Ebay</t>
  </si>
  <si>
    <t>Walmart</t>
  </si>
  <si>
    <t>Shopify</t>
  </si>
  <si>
    <t>Rakuten</t>
  </si>
  <si>
    <t>Mercado Libre</t>
  </si>
  <si>
    <t>]p[</t>
  </si>
  <si>
    <t>Inventory</t>
  </si>
  <si>
    <t>Other Assets</t>
  </si>
  <si>
    <t>UR</t>
  </si>
  <si>
    <t>Long Term Lease Liabilities</t>
  </si>
  <si>
    <t>D&amp;A</t>
  </si>
  <si>
    <t>Proceeds from PP&amp;E</t>
  </si>
  <si>
    <t>North America OI</t>
  </si>
  <si>
    <t>International OI</t>
  </si>
  <si>
    <t>AWS OI</t>
  </si>
  <si>
    <t>FCF</t>
  </si>
  <si>
    <t>FCF TTM</t>
  </si>
  <si>
    <t>Online stores</t>
  </si>
  <si>
    <t>Physical stores</t>
  </si>
  <si>
    <t>Third-party seller services</t>
  </si>
  <si>
    <t>Subscription services</t>
  </si>
  <si>
    <t>AWS</t>
  </si>
  <si>
    <t>Main</t>
  </si>
  <si>
    <t>North America Sales</t>
  </si>
  <si>
    <t>International Sales</t>
  </si>
  <si>
    <t>AWS Sales</t>
  </si>
  <si>
    <t>Advertising services</t>
  </si>
  <si>
    <t>NPV</t>
  </si>
  <si>
    <t>Share</t>
  </si>
  <si>
    <t>Curent</t>
  </si>
  <si>
    <t>Onlinw store y/y</t>
  </si>
  <si>
    <t>Physical store y/y</t>
  </si>
  <si>
    <t>Third party seller service y/y</t>
  </si>
  <si>
    <t>Subscription services y/y</t>
  </si>
  <si>
    <t>Advertising services y/y</t>
  </si>
  <si>
    <t>AWS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</si>
</sst>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 applyAlignment="1">
      <alignment horizontal="right"/>
    </xf>
    <xf numFmtId="1" fontId="2" fillId="0" borderId="0" xfId="0" applyNumberFormat="1" applyFont="1"/>
    <xf numFmtId="9" fontId="2" fillId="0" borderId="0" xfId="1" applyFont="1"/>
    <xf numFmtId="3" fontId="0" fillId="0" borderId="0" xfId="0" applyNumberFormat="1"/>
    <xf numFmtId="3" fontId="0" fillId="0" borderId="1" xfId="0" applyNumberFormat="1" applyBorder="1"/>
    <xf numFmtId="9" fontId="0" fillId="0" borderId="0" xfId="1" applyFont="1" applyBorder="1"/>
    <xf numFmtId="10" fontId="0" fillId="0" borderId="1" xfId="1" applyNumberFormat="1" applyFont="1" applyBorder="1"/>
    <xf numFmtId="3" fontId="5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6" fillId="0" borderId="0" xfId="2" applyNumberFormat="1"/>
    <xf numFmtId="9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702527</xdr:colOff>
      <xdr:row>0</xdr:row>
      <xdr:rowOff>92927</xdr:rowOff>
    </xdr:from>
    <xdr:to>
      <xdr:col>32</xdr:col>
      <xdr:colOff>30975</xdr:colOff>
      <xdr:row>94</xdr:row>
      <xdr:rowOff>90526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30315C-C1F9-AEFD-4F9E-28D33F6510AF}"/>
            </a:ext>
          </a:extLst>
        </xdr:cNvPr>
        <xdr:cNvCxnSpPr/>
      </xdr:nvCxnSpPr>
      <xdr:spPr>
        <a:xfrm flipH="1">
          <a:off x="23670942" y="92927"/>
          <a:ext cx="40887" cy="1449418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0</xdr:row>
      <xdr:rowOff>0</xdr:rowOff>
    </xdr:from>
    <xdr:to>
      <xdr:col>56</xdr:col>
      <xdr:colOff>12700</xdr:colOff>
      <xdr:row>92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E9F549-4E21-E190-003F-A597815BD4AD}"/>
            </a:ext>
          </a:extLst>
        </xdr:cNvPr>
        <xdr:cNvCxnSpPr/>
      </xdr:nvCxnSpPr>
      <xdr:spPr>
        <a:xfrm>
          <a:off x="35433000" y="0"/>
          <a:ext cx="12700" cy="135064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CA V S SILVIU-MARIAN" id="{0B7FB5FE-CFA2-4471-9417-4B6BF80A0EEF}" userId="S::cocasilviu21@stud.ase.ro::36940ccb-e863-4053-91a9-565ac08004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7" dT="2025-10-26T17:07:35.17" personId="{0B7FB5FE-CFA2-4471-9417-4B6BF80A0EEF}" id="{548BBDD2-8B05-4372-AE23-4A158527C9F2}">
    <text xml:space="preserve">Guidance of 174-176 optimistic for 12% growth because of AWS demand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6D99-AC8D-43AC-AB4A-611536454FE0}">
  <sheetPr codeName="Sheet1"/>
  <dimension ref="C4:M16"/>
  <sheetViews>
    <sheetView workbookViewId="0">
      <selection activeCell="L8" sqref="L8"/>
    </sheetView>
  </sheetViews>
  <sheetFormatPr defaultColWidth="8.85546875" defaultRowHeight="15" x14ac:dyDescent="0.25"/>
  <cols>
    <col min="1" max="1" width="8.85546875" style="7"/>
    <col min="2" max="2" width="10.28515625" style="7" bestFit="1" customWidth="1"/>
    <col min="3" max="3" width="24.140625" style="7" bestFit="1" customWidth="1"/>
    <col min="4" max="4" width="9.140625" style="7" bestFit="1" customWidth="1"/>
    <col min="5" max="5" width="10.42578125" style="7" bestFit="1" customWidth="1"/>
    <col min="6" max="6" width="15.85546875" style="7" bestFit="1" customWidth="1"/>
    <col min="7" max="11" width="8.85546875" style="7"/>
    <col min="12" max="12" width="16.7109375" style="7" bestFit="1" customWidth="1"/>
    <col min="13" max="13" width="8.85546875" style="7"/>
    <col min="14" max="14" width="10.42578125" style="7" bestFit="1" customWidth="1"/>
    <col min="15" max="18" width="8.85546875" style="7"/>
    <col min="19" max="19" width="6.140625" style="7" customWidth="1"/>
    <col min="20" max="16384" width="8.85546875" style="7"/>
  </cols>
  <sheetData>
    <row r="4" spans="3:13" ht="15.75" x14ac:dyDescent="0.25">
      <c r="C4" s="2" t="s">
        <v>87</v>
      </c>
      <c r="D4" s="2">
        <v>6100000</v>
      </c>
      <c r="K4" s="1" t="s">
        <v>7</v>
      </c>
      <c r="L4" s="1">
        <v>45942</v>
      </c>
      <c r="M4" s="1"/>
    </row>
    <row r="5" spans="3:13" ht="15.75" x14ac:dyDescent="0.25">
      <c r="C5" s="2"/>
      <c r="D5" s="2"/>
      <c r="E5" s="11" t="s">
        <v>88</v>
      </c>
      <c r="K5" s="1" t="s">
        <v>0</v>
      </c>
      <c r="L5" s="1">
        <v>216</v>
      </c>
      <c r="M5" s="1"/>
    </row>
    <row r="6" spans="3:13" ht="15.75" x14ac:dyDescent="0.25">
      <c r="C6" s="8" t="s">
        <v>86</v>
      </c>
      <c r="D6" s="8">
        <v>710000</v>
      </c>
      <c r="E6" s="10" t="s">
        <v>98</v>
      </c>
      <c r="K6" s="1" t="s">
        <v>1</v>
      </c>
      <c r="L6" s="1">
        <v>10800</v>
      </c>
      <c r="M6" s="1" t="s">
        <v>6</v>
      </c>
    </row>
    <row r="7" spans="3:13" ht="15.75" x14ac:dyDescent="0.25">
      <c r="C7" s="8" t="s">
        <v>89</v>
      </c>
      <c r="D7" s="8">
        <v>680975</v>
      </c>
      <c r="E7" s="10">
        <f>D7/D$4</f>
        <v>0.11163524590163934</v>
      </c>
      <c r="K7" s="1" t="s">
        <v>2</v>
      </c>
      <c r="L7" s="1">
        <f>L5*L6</f>
        <v>2332800</v>
      </c>
      <c r="M7" s="1"/>
    </row>
    <row r="8" spans="3:13" ht="15.75" x14ac:dyDescent="0.25">
      <c r="C8" s="8" t="s">
        <v>90</v>
      </c>
      <c r="D8" s="8">
        <v>393836</v>
      </c>
      <c r="E8" s="10">
        <f t="shared" ref="E8:E15" si="0">D8/D$4</f>
        <v>6.4563278688524586E-2</v>
      </c>
      <c r="K8" s="1" t="s">
        <v>3</v>
      </c>
      <c r="L8" s="1">
        <f>57741+35439</f>
        <v>93180</v>
      </c>
      <c r="M8" s="1" t="s">
        <v>6</v>
      </c>
    </row>
    <row r="9" spans="3:13" ht="15.75" x14ac:dyDescent="0.25">
      <c r="C9" s="8" t="s">
        <v>91</v>
      </c>
      <c r="D9" s="7">
        <v>158000</v>
      </c>
      <c r="E9" s="10">
        <f t="shared" si="0"/>
        <v>2.5901639344262296E-2</v>
      </c>
      <c r="K9" s="1" t="s">
        <v>4</v>
      </c>
      <c r="L9" s="1">
        <f>50718</f>
        <v>50718</v>
      </c>
      <c r="M9" s="1" t="s">
        <v>6</v>
      </c>
    </row>
    <row r="10" spans="3:13" ht="15.75" x14ac:dyDescent="0.25">
      <c r="C10" s="8" t="s">
        <v>92</v>
      </c>
      <c r="D10" s="8">
        <v>140000</v>
      </c>
      <c r="E10" s="10">
        <f t="shared" si="0"/>
        <v>2.2950819672131147E-2</v>
      </c>
      <c r="K10" s="1" t="s">
        <v>5</v>
      </c>
      <c r="L10" s="1">
        <f>L7-L8+L9</f>
        <v>2290338</v>
      </c>
      <c r="M10" s="1"/>
    </row>
    <row r="11" spans="3:13" x14ac:dyDescent="0.25">
      <c r="C11" s="8" t="s">
        <v>93</v>
      </c>
      <c r="D11" s="8">
        <v>20777</v>
      </c>
      <c r="E11" s="10">
        <f t="shared" si="0"/>
        <v>3.4060655737704918E-3</v>
      </c>
    </row>
    <row r="12" spans="3:13" x14ac:dyDescent="0.25">
      <c r="C12" s="8" t="s">
        <v>94</v>
      </c>
      <c r="D12" s="8">
        <v>16000</v>
      </c>
      <c r="E12" s="10">
        <f t="shared" si="0"/>
        <v>2.6229508196721311E-3</v>
      </c>
    </row>
    <row r="13" spans="3:13" x14ac:dyDescent="0.25">
      <c r="C13" s="8" t="s">
        <v>95</v>
      </c>
      <c r="D13" s="8">
        <v>15200</v>
      </c>
      <c r="E13" s="10">
        <f t="shared" si="0"/>
        <v>2.4918032786885244E-3</v>
      </c>
    </row>
    <row r="14" spans="3:13" x14ac:dyDescent="0.25">
      <c r="C14" s="8" t="s">
        <v>96</v>
      </c>
      <c r="D14" s="8">
        <v>10300</v>
      </c>
      <c r="E14" s="10">
        <f t="shared" si="0"/>
        <v>1.6885245901639345E-3</v>
      </c>
    </row>
    <row r="15" spans="3:13" x14ac:dyDescent="0.25">
      <c r="C15" s="8" t="s">
        <v>97</v>
      </c>
      <c r="D15" s="8">
        <v>8800</v>
      </c>
      <c r="E15" s="10">
        <f t="shared" si="0"/>
        <v>1.4426229508196721E-3</v>
      </c>
    </row>
    <row r="16" spans="3:13" x14ac:dyDescent="0.25">
      <c r="E16" s="9"/>
    </row>
  </sheetData>
  <sortState xmlns:xlrd2="http://schemas.microsoft.com/office/spreadsheetml/2017/richdata2" ref="D6:D15">
    <sortCondition descending="1" ref="D6:D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BE8D-9DE0-440F-9EDA-7E93E78A2D78}">
  <sheetPr codeName="Sheet2"/>
  <dimension ref="A1:EA93"/>
  <sheetViews>
    <sheetView tabSelected="1" zoomScaleNormal="84" workbookViewId="0">
      <pane xSplit="2" ySplit="2" topLeftCell="N3" activePane="bottomRight" state="frozen"/>
      <selection pane="topRight" activeCell="B1" sqref="B1"/>
      <selection pane="bottomLeft" activeCell="A3" sqref="A3"/>
      <selection pane="bottomRight" activeCell="N1" sqref="N1"/>
    </sheetView>
  </sheetViews>
  <sheetFormatPr defaultColWidth="9.140625" defaultRowHeight="12.75" x14ac:dyDescent="0.2"/>
  <cols>
    <col min="1" max="1" width="5.42578125" style="2" bestFit="1" customWidth="1"/>
    <col min="2" max="2" width="24" style="2" bestFit="1" customWidth="1"/>
    <col min="3" max="3" width="10.140625" style="2" bestFit="1" customWidth="1"/>
    <col min="4" max="34" width="9.28515625" style="2" bestFit="1" customWidth="1"/>
    <col min="35" max="47" width="9.28515625" style="2" customWidth="1"/>
    <col min="48" max="49" width="9.140625" style="2"/>
    <col min="50" max="56" width="9.28515625" style="2" bestFit="1" customWidth="1"/>
    <col min="57" max="57" width="9.42578125" style="2" bestFit="1" customWidth="1"/>
    <col min="58" max="118" width="9.28515625" style="2" bestFit="1" customWidth="1"/>
    <col min="119" max="130" width="10.140625" style="2" bestFit="1" customWidth="1"/>
    <col min="131" max="16384" width="9.140625" style="2"/>
  </cols>
  <sheetData>
    <row r="1" spans="1:68" ht="15" x14ac:dyDescent="0.25">
      <c r="A1" s="14" t="s">
        <v>115</v>
      </c>
    </row>
    <row r="2" spans="1:68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16</v>
      </c>
      <c r="K2" s="2" t="s">
        <v>15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6</v>
      </c>
      <c r="AG2" s="2" t="s">
        <v>37</v>
      </c>
      <c r="AH2" s="2" t="s">
        <v>38</v>
      </c>
      <c r="AK2" s="5">
        <v>2005</v>
      </c>
      <c r="AL2" s="5">
        <v>2006</v>
      </c>
      <c r="AM2" s="5">
        <v>2007</v>
      </c>
      <c r="AN2" s="5">
        <f>AM2+1</f>
        <v>2008</v>
      </c>
      <c r="AO2" s="5">
        <f t="shared" ref="AO2:AW2" si="0">AN2+1</f>
        <v>2009</v>
      </c>
      <c r="AP2" s="5">
        <f t="shared" si="0"/>
        <v>2010</v>
      </c>
      <c r="AQ2" s="5">
        <f t="shared" si="0"/>
        <v>2011</v>
      </c>
      <c r="AR2" s="5">
        <f t="shared" si="0"/>
        <v>2012</v>
      </c>
      <c r="AS2" s="5">
        <f t="shared" si="0"/>
        <v>2013</v>
      </c>
      <c r="AT2" s="5">
        <f t="shared" si="0"/>
        <v>2014</v>
      </c>
      <c r="AU2" s="5">
        <f t="shared" si="0"/>
        <v>2015</v>
      </c>
      <c r="AV2" s="5">
        <f t="shared" si="0"/>
        <v>2016</v>
      </c>
      <c r="AW2" s="5">
        <f t="shared" si="0"/>
        <v>2017</v>
      </c>
      <c r="AX2" s="5">
        <f>2017+1</f>
        <v>2018</v>
      </c>
      <c r="AY2" s="5">
        <f t="shared" ref="AY2:BF2" si="1">AX2+1</f>
        <v>2019</v>
      </c>
      <c r="AZ2" s="5">
        <f t="shared" si="1"/>
        <v>2020</v>
      </c>
      <c r="BA2" s="5">
        <f t="shared" si="1"/>
        <v>2021</v>
      </c>
      <c r="BB2" s="5">
        <f t="shared" si="1"/>
        <v>2022</v>
      </c>
      <c r="BC2" s="5">
        <f t="shared" si="1"/>
        <v>2023</v>
      </c>
      <c r="BD2" s="5">
        <f t="shared" si="1"/>
        <v>2024</v>
      </c>
      <c r="BE2" s="5">
        <f t="shared" si="1"/>
        <v>2025</v>
      </c>
      <c r="BF2" s="5">
        <f t="shared" si="1"/>
        <v>2026</v>
      </c>
      <c r="BG2" s="5">
        <f t="shared" ref="BG2" si="2">BF2+1</f>
        <v>2027</v>
      </c>
      <c r="BH2" s="5">
        <f>BG2+1</f>
        <v>2028</v>
      </c>
      <c r="BI2" s="5">
        <f t="shared" ref="BI2" si="3">BH2+1</f>
        <v>2029</v>
      </c>
      <c r="BJ2" s="5">
        <f t="shared" ref="BJ2" si="4">BI2+1</f>
        <v>2030</v>
      </c>
      <c r="BK2" s="5">
        <f t="shared" ref="BK2" si="5">BJ2+1</f>
        <v>2031</v>
      </c>
      <c r="BL2" s="5">
        <f t="shared" ref="BL2" si="6">BK2+1</f>
        <v>2032</v>
      </c>
      <c r="BM2" s="5">
        <f t="shared" ref="BM2" si="7">BL2+1</f>
        <v>2033</v>
      </c>
      <c r="BN2" s="5">
        <f t="shared" ref="BN2" si="8">BM2+1</f>
        <v>2034</v>
      </c>
      <c r="BO2" s="5">
        <f t="shared" ref="BO2" si="9">BN2+1</f>
        <v>2035</v>
      </c>
    </row>
    <row r="3" spans="1:68" x14ac:dyDescent="0.2">
      <c r="B3" s="2" t="s">
        <v>116</v>
      </c>
      <c r="C3" s="2">
        <v>30725</v>
      </c>
      <c r="D3" s="2">
        <v>32169</v>
      </c>
      <c r="E3" s="2">
        <v>34348</v>
      </c>
      <c r="F3" s="2">
        <f>141366-SUM(C3:E3)</f>
        <v>44124</v>
      </c>
      <c r="G3" s="2">
        <v>35812</v>
      </c>
      <c r="H3" s="2">
        <v>38653</v>
      </c>
      <c r="I3" s="2">
        <v>42638</v>
      </c>
      <c r="J3" s="2">
        <f>170773-SUM(G3:I3)</f>
        <v>53670</v>
      </c>
      <c r="K3" s="2">
        <v>46127</v>
      </c>
      <c r="L3" s="2">
        <v>55436</v>
      </c>
      <c r="M3" s="2">
        <v>59373</v>
      </c>
      <c r="N3" s="2">
        <f>236282-SUM(K3:M3)</f>
        <v>75346</v>
      </c>
      <c r="O3" s="2">
        <v>64366</v>
      </c>
      <c r="P3" s="2">
        <v>67550</v>
      </c>
      <c r="Q3" s="2">
        <v>65557</v>
      </c>
      <c r="R3" s="2">
        <f>279833-SUM(O3:Q3)</f>
        <v>82360</v>
      </c>
      <c r="S3" s="2">
        <v>69244</v>
      </c>
      <c r="T3" s="2">
        <v>74430</v>
      </c>
      <c r="U3" s="2">
        <v>78843</v>
      </c>
      <c r="V3" s="2">
        <f>315880-SUM(S3:U3)</f>
        <v>93363</v>
      </c>
      <c r="W3" s="2">
        <v>76881</v>
      </c>
      <c r="X3" s="2">
        <v>82546</v>
      </c>
      <c r="Y3" s="2">
        <v>87887</v>
      </c>
      <c r="Z3" s="2">
        <f>352828-SUM(W3:Y3)</f>
        <v>105514</v>
      </c>
      <c r="AA3" s="2">
        <v>86341</v>
      </c>
      <c r="AB3" s="2">
        <v>90033</v>
      </c>
      <c r="AC3" s="2">
        <v>95537</v>
      </c>
      <c r="AD3" s="2">
        <f>387497-SUM(AA3:AC3)</f>
        <v>115586</v>
      </c>
      <c r="AE3" s="2">
        <v>92887</v>
      </c>
      <c r="AF3" s="2">
        <v>100068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spans="1:68" x14ac:dyDescent="0.2">
      <c r="B4" s="2" t="s">
        <v>117</v>
      </c>
      <c r="C4" s="2">
        <v>14875</v>
      </c>
      <c r="D4" s="2">
        <v>14612</v>
      </c>
      <c r="E4" s="2">
        <v>15549</v>
      </c>
      <c r="F4" s="2">
        <f>65866-SUM(C4:E4)</f>
        <v>20830</v>
      </c>
      <c r="G4" s="2">
        <v>16192</v>
      </c>
      <c r="H4" s="2">
        <v>16370</v>
      </c>
      <c r="I4" s="2">
        <v>18348</v>
      </c>
      <c r="J4" s="2">
        <f>74723-SUM(G4:I4)</f>
        <v>23813</v>
      </c>
      <c r="K4" s="2">
        <v>19106</v>
      </c>
      <c r="L4" s="2">
        <v>22668</v>
      </c>
      <c r="M4" s="2">
        <v>25171</v>
      </c>
      <c r="N4" s="2">
        <f>104412-SUM(K4:M4)</f>
        <v>37467</v>
      </c>
      <c r="O4" s="2">
        <v>30649</v>
      </c>
      <c r="P4" s="2">
        <v>30721</v>
      </c>
      <c r="Q4" s="2">
        <v>29145</v>
      </c>
      <c r="R4" s="2">
        <f>127787-SUM(O4:Q4)</f>
        <v>37272</v>
      </c>
      <c r="S4" s="2">
        <v>28759</v>
      </c>
      <c r="T4" s="2">
        <v>27065</v>
      </c>
      <c r="U4" s="2">
        <v>27720</v>
      </c>
      <c r="V4" s="2">
        <f>118007-SUM(S4:U4)</f>
        <v>34463</v>
      </c>
      <c r="W4" s="2">
        <v>29123</v>
      </c>
      <c r="X4" s="2">
        <v>29697</v>
      </c>
      <c r="Y4" s="2">
        <v>32137</v>
      </c>
      <c r="Z4" s="2">
        <f>131200-SUM(W4:Y4)</f>
        <v>40243</v>
      </c>
      <c r="AA4" s="2">
        <v>31935</v>
      </c>
      <c r="AB4" s="2">
        <v>31663</v>
      </c>
      <c r="AC4" s="2">
        <v>35888</v>
      </c>
      <c r="AD4" s="2">
        <f>142906-SUM(AA4:AC4)</f>
        <v>43420</v>
      </c>
      <c r="AE4" s="2">
        <v>33513</v>
      </c>
      <c r="AF4" s="2">
        <v>36761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8" x14ac:dyDescent="0.2">
      <c r="B5" s="2" t="s">
        <v>118</v>
      </c>
      <c r="C5" s="2">
        <v>5442</v>
      </c>
      <c r="D5" s="2">
        <v>6105</v>
      </c>
      <c r="E5" s="2">
        <v>6679</v>
      </c>
      <c r="F5" s="2">
        <f>25655-SUM(C5:E5)</f>
        <v>7429</v>
      </c>
      <c r="G5" s="2">
        <v>7696</v>
      </c>
      <c r="H5" s="2">
        <v>8381</v>
      </c>
      <c r="I5" s="2">
        <v>8995</v>
      </c>
      <c r="J5" s="2">
        <f>35026-SUM(G5:I5)</f>
        <v>9954</v>
      </c>
      <c r="K5" s="2">
        <v>10219</v>
      </c>
      <c r="L5" s="2">
        <v>10808</v>
      </c>
      <c r="M5" s="2">
        <v>11601</v>
      </c>
      <c r="N5" s="2">
        <f>45370-SUM(K5:M5)</f>
        <v>12742</v>
      </c>
      <c r="O5" s="2">
        <v>13503</v>
      </c>
      <c r="P5" s="2">
        <v>14809</v>
      </c>
      <c r="Q5" s="2">
        <v>16110</v>
      </c>
      <c r="R5" s="2">
        <f>62202-SUM(O5:Q5)</f>
        <v>17780</v>
      </c>
      <c r="S5" s="2">
        <v>18441</v>
      </c>
      <c r="T5" s="2">
        <v>19739</v>
      </c>
      <c r="U5" s="2">
        <v>20538</v>
      </c>
      <c r="V5" s="2">
        <f>80096-SUM(S5:U5)</f>
        <v>21378</v>
      </c>
      <c r="W5" s="2">
        <v>21354</v>
      </c>
      <c r="X5" s="2">
        <v>22140</v>
      </c>
      <c r="Y5" s="2">
        <v>23059</v>
      </c>
      <c r="Z5" s="2">
        <f>90757-SUM(W5:Y5)</f>
        <v>24204</v>
      </c>
      <c r="AA5" s="2">
        <v>25037</v>
      </c>
      <c r="AB5" s="2">
        <v>26281</v>
      </c>
      <c r="AC5" s="2">
        <v>27452</v>
      </c>
      <c r="AD5" s="2">
        <f>107556-SUM(AA5:AC5)</f>
        <v>28786</v>
      </c>
      <c r="AE5" s="2">
        <v>29267</v>
      </c>
      <c r="AF5" s="2">
        <v>30873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8" x14ac:dyDescent="0.2"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spans="1:68" x14ac:dyDescent="0.2">
      <c r="B7" s="2" t="s">
        <v>110</v>
      </c>
      <c r="C7" s="2">
        <v>26939</v>
      </c>
      <c r="D7" s="2">
        <v>27165</v>
      </c>
      <c r="E7" s="2">
        <v>29061</v>
      </c>
      <c r="F7" s="2">
        <f>122987-SUM(C7:E7)</f>
        <v>39822</v>
      </c>
      <c r="G7" s="2">
        <v>29498</v>
      </c>
      <c r="H7" s="2">
        <v>31053</v>
      </c>
      <c r="I7" s="2">
        <v>35039</v>
      </c>
      <c r="J7" s="2">
        <f>141247-SUM(G7:I7)</f>
        <v>45657</v>
      </c>
      <c r="K7" s="2">
        <v>36652</v>
      </c>
      <c r="L7" s="2">
        <v>45896</v>
      </c>
      <c r="M7" s="2">
        <v>48350</v>
      </c>
      <c r="N7" s="2">
        <f>197346-SUM(K7:M7)</f>
        <v>66448</v>
      </c>
      <c r="O7" s="2">
        <v>52901</v>
      </c>
      <c r="P7" s="2">
        <v>53157</v>
      </c>
      <c r="Q7" s="2">
        <v>49942</v>
      </c>
      <c r="R7" s="2">
        <f>222075-SUM(O7:Q7)</f>
        <v>66075</v>
      </c>
      <c r="S7" s="2">
        <v>51129</v>
      </c>
      <c r="T7" s="2">
        <v>50855</v>
      </c>
      <c r="U7" s="2">
        <v>53489</v>
      </c>
      <c r="V7" s="2">
        <f>220004-SUM(S7:U7)</f>
        <v>64531</v>
      </c>
      <c r="W7" s="2">
        <v>51096</v>
      </c>
      <c r="X7" s="2">
        <v>52966</v>
      </c>
      <c r="Y7" s="2">
        <v>57267</v>
      </c>
      <c r="Z7" s="2">
        <f>231872-SUM(W7:Y7)</f>
        <v>70543</v>
      </c>
      <c r="AA7" s="2">
        <v>54670</v>
      </c>
      <c r="AB7" s="2">
        <v>55392</v>
      </c>
      <c r="AC7" s="2">
        <v>61411</v>
      </c>
      <c r="AD7" s="2">
        <f>247029-SUM(AA7:AC7)</f>
        <v>75556</v>
      </c>
      <c r="AE7" s="2">
        <v>57407</v>
      </c>
      <c r="AF7" s="2">
        <v>61485</v>
      </c>
      <c r="AG7" s="2">
        <f>AC7*1.07</f>
        <v>65709.77</v>
      </c>
      <c r="AH7" s="2">
        <f t="shared" ref="AH7:AH8" si="10">AD7*1.08</f>
        <v>81600.48000000001</v>
      </c>
      <c r="AX7" s="2">
        <f>SUM(C7:F7)</f>
        <v>122987</v>
      </c>
      <c r="AY7" s="2">
        <f>SUM(G7:J7)</f>
        <v>141247</v>
      </c>
      <c r="AZ7" s="2">
        <f>SUM(K7:N7)</f>
        <v>197346</v>
      </c>
      <c r="BA7" s="2">
        <f>SUM(O7:R7)</f>
        <v>222075</v>
      </c>
      <c r="BB7" s="2">
        <f>SUM(S7:V7)</f>
        <v>220004</v>
      </c>
      <c r="BC7" s="2">
        <f>SUM(W7:Z7)</f>
        <v>231872</v>
      </c>
      <c r="BD7" s="2">
        <f>SUM(AA7:AD7)</f>
        <v>247029</v>
      </c>
      <c r="BE7" s="2">
        <f>SUM(AE7:AH7)</f>
        <v>266202.25</v>
      </c>
      <c r="BF7" s="2">
        <f>BE7*1.1</f>
        <v>292822.47500000003</v>
      </c>
      <c r="BG7" s="2">
        <f>BF7*1.08</f>
        <v>316248.27300000004</v>
      </c>
      <c r="BH7" s="2">
        <f t="shared" ref="BH7:BO7" si="11">BG7*1.08</f>
        <v>341548.13484000007</v>
      </c>
      <c r="BI7" s="2">
        <f t="shared" si="11"/>
        <v>368871.98562720011</v>
      </c>
      <c r="BJ7" s="2">
        <f t="shared" si="11"/>
        <v>398381.74447737617</v>
      </c>
      <c r="BK7" s="2">
        <f t="shared" si="11"/>
        <v>430252.28403556626</v>
      </c>
      <c r="BL7" s="2">
        <f t="shared" si="11"/>
        <v>464672.46675841161</v>
      </c>
      <c r="BM7" s="2">
        <f t="shared" si="11"/>
        <v>501846.2640990846</v>
      </c>
      <c r="BN7" s="2">
        <f t="shared" si="11"/>
        <v>541993.96522701136</v>
      </c>
      <c r="BO7" s="2">
        <f t="shared" si="11"/>
        <v>585353.48244517227</v>
      </c>
    </row>
    <row r="8" spans="1:68" x14ac:dyDescent="0.2">
      <c r="B8" s="2" t="s">
        <v>111</v>
      </c>
      <c r="C8" s="2">
        <v>4263</v>
      </c>
      <c r="D8" s="2">
        <v>4312</v>
      </c>
      <c r="E8" s="2">
        <v>4248</v>
      </c>
      <c r="F8" s="2">
        <f>17224-SUM(C8:E8)</f>
        <v>4401</v>
      </c>
      <c r="G8" s="2">
        <v>4307</v>
      </c>
      <c r="H8" s="2">
        <v>4330</v>
      </c>
      <c r="I8" s="2">
        <v>4192</v>
      </c>
      <c r="J8" s="2">
        <f>17192-SUM(G8:I8)</f>
        <v>4363</v>
      </c>
      <c r="K8" s="2">
        <v>4640</v>
      </c>
      <c r="L8" s="2">
        <v>3774</v>
      </c>
      <c r="M8" s="2">
        <v>3788</v>
      </c>
      <c r="N8" s="2">
        <f>16227-SUM(K8:M8)</f>
        <v>4025</v>
      </c>
      <c r="O8" s="2">
        <v>3920</v>
      </c>
      <c r="P8" s="2">
        <v>4198</v>
      </c>
      <c r="Q8" s="2">
        <v>4269</v>
      </c>
      <c r="R8" s="2">
        <f>17075-SUM(O8:Q8)</f>
        <v>4688</v>
      </c>
      <c r="S8" s="2">
        <v>4591</v>
      </c>
      <c r="T8" s="2">
        <v>4721</v>
      </c>
      <c r="U8" s="2">
        <v>4694</v>
      </c>
      <c r="V8" s="2">
        <f>18963-SUM(S8:U8)</f>
        <v>4957</v>
      </c>
      <c r="W8" s="2">
        <v>4895</v>
      </c>
      <c r="X8" s="2">
        <v>5024</v>
      </c>
      <c r="Y8" s="2">
        <v>4949</v>
      </c>
      <c r="Z8" s="2">
        <f>20030-SUM(W8:Y8)</f>
        <v>5162</v>
      </c>
      <c r="AA8" s="2">
        <v>5202</v>
      </c>
      <c r="AB8" s="2">
        <v>5206</v>
      </c>
      <c r="AC8" s="2">
        <v>5228</v>
      </c>
      <c r="AD8" s="2">
        <f>21215-SUM(AA8:AC8)</f>
        <v>5579</v>
      </c>
      <c r="AE8" s="2">
        <v>5533</v>
      </c>
      <c r="AF8" s="2">
        <v>5595</v>
      </c>
      <c r="AG8" s="2">
        <f t="shared" ref="AG8" si="12">AC8*1.08</f>
        <v>5646.2400000000007</v>
      </c>
      <c r="AH8" s="2">
        <f t="shared" si="10"/>
        <v>6025.3200000000006</v>
      </c>
      <c r="AX8" s="2">
        <f t="shared" ref="AX8:AX13" si="13">SUM(C8:F8)</f>
        <v>17224</v>
      </c>
      <c r="AY8" s="2">
        <f t="shared" ref="AY8:AY13" si="14">SUM(G8:J8)</f>
        <v>17192</v>
      </c>
      <c r="AZ8" s="2">
        <f t="shared" ref="AZ8:AZ13" si="15">SUM(K8:N8)</f>
        <v>16227</v>
      </c>
      <c r="BA8" s="2">
        <f t="shared" ref="BA8:BA13" si="16">SUM(O8:R8)</f>
        <v>17075</v>
      </c>
      <c r="BB8" s="2">
        <f t="shared" ref="BB8:BB13" si="17">SUM(S8:V8)</f>
        <v>18963</v>
      </c>
      <c r="BC8" s="2">
        <f t="shared" ref="BC8:BC13" si="18">SUM(W8:Z8)</f>
        <v>20030</v>
      </c>
      <c r="BD8" s="2">
        <f t="shared" ref="BD8:BD13" si="19">SUM(AA8:AD8)</f>
        <v>21215</v>
      </c>
      <c r="BE8" s="2">
        <f t="shared" ref="BE8:BE13" si="20">SUM(AE8:AH8)</f>
        <v>22799.56</v>
      </c>
      <c r="BF8" s="2">
        <f t="shared" ref="BF8:BF11" si="21">BE8*1.1</f>
        <v>25079.516000000003</v>
      </c>
      <c r="BG8" s="2">
        <f t="shared" ref="BG8:BO8" si="22">BF8*1.08</f>
        <v>27085.877280000004</v>
      </c>
      <c r="BH8" s="2">
        <f t="shared" si="22"/>
        <v>29252.747462400006</v>
      </c>
      <c r="BI8" s="2">
        <f t="shared" si="22"/>
        <v>31592.967259392008</v>
      </c>
      <c r="BJ8" s="2">
        <f t="shared" si="22"/>
        <v>34120.404640143373</v>
      </c>
      <c r="BK8" s="2">
        <f t="shared" si="22"/>
        <v>36850.037011354849</v>
      </c>
      <c r="BL8" s="2">
        <f t="shared" si="22"/>
        <v>39798.039972263243</v>
      </c>
      <c r="BM8" s="2">
        <f t="shared" si="22"/>
        <v>42981.883170044304</v>
      </c>
      <c r="BN8" s="2">
        <f t="shared" si="22"/>
        <v>46420.433823647851</v>
      </c>
      <c r="BO8" s="2">
        <f t="shared" si="22"/>
        <v>50134.068529539683</v>
      </c>
    </row>
    <row r="9" spans="1:68" x14ac:dyDescent="0.2">
      <c r="B9" s="2" t="s">
        <v>112</v>
      </c>
      <c r="C9" s="2">
        <v>9265</v>
      </c>
      <c r="D9" s="2">
        <v>9702</v>
      </c>
      <c r="E9" s="2">
        <v>10395</v>
      </c>
      <c r="F9" s="2">
        <f>42745-SUM(C9:E9)</f>
        <v>13383</v>
      </c>
      <c r="G9" s="2">
        <v>11141</v>
      </c>
      <c r="H9" s="2">
        <v>11962</v>
      </c>
      <c r="I9" s="2">
        <v>13212</v>
      </c>
      <c r="J9" s="2">
        <f>53762-SUM(G9:I9)</f>
        <v>17447</v>
      </c>
      <c r="K9" s="2">
        <v>14479</v>
      </c>
      <c r="L9" s="2">
        <v>18195</v>
      </c>
      <c r="M9" s="2">
        <v>20436</v>
      </c>
      <c r="N9" s="2">
        <f>80461-SUM(K9:M9)</f>
        <v>27351</v>
      </c>
      <c r="O9" s="2">
        <v>23709</v>
      </c>
      <c r="P9" s="2">
        <v>25085</v>
      </c>
      <c r="Q9" s="2">
        <v>24252</v>
      </c>
      <c r="R9" s="2">
        <f>103366-SUM(O9:Q9)</f>
        <v>30320</v>
      </c>
      <c r="S9" s="2">
        <v>25335</v>
      </c>
      <c r="T9" s="2">
        <v>27376</v>
      </c>
      <c r="U9" s="2">
        <v>28666</v>
      </c>
      <c r="V9" s="2">
        <f>117716-SUM(S9:U9)</f>
        <v>36339</v>
      </c>
      <c r="W9" s="2">
        <v>29820</v>
      </c>
      <c r="X9" s="2">
        <v>32332</v>
      </c>
      <c r="Y9" s="2">
        <v>34342</v>
      </c>
      <c r="Z9" s="2">
        <f>140053-SUM(W9:Y9)</f>
        <v>43559</v>
      </c>
      <c r="AA9" s="2">
        <v>34596</v>
      </c>
      <c r="AB9" s="2">
        <v>36201</v>
      </c>
      <c r="AC9" s="2">
        <v>37864</v>
      </c>
      <c r="AD9" s="2">
        <f>156146-SUM(AA9:AC9)</f>
        <v>47485</v>
      </c>
      <c r="AE9" s="2">
        <v>36512</v>
      </c>
      <c r="AF9" s="2">
        <v>40348</v>
      </c>
      <c r="AG9" s="2">
        <f>AC9*1.1</f>
        <v>41650.400000000001</v>
      </c>
      <c r="AH9" s="2">
        <f t="shared" ref="AH9:AH11" si="23">AD9*1.1</f>
        <v>52233.500000000007</v>
      </c>
      <c r="AX9" s="2">
        <f t="shared" si="13"/>
        <v>42745</v>
      </c>
      <c r="AY9" s="2">
        <f t="shared" si="14"/>
        <v>53762</v>
      </c>
      <c r="AZ9" s="2">
        <f t="shared" si="15"/>
        <v>80461</v>
      </c>
      <c r="BA9" s="2">
        <f t="shared" si="16"/>
        <v>103366</v>
      </c>
      <c r="BB9" s="2">
        <f t="shared" si="17"/>
        <v>117716</v>
      </c>
      <c r="BC9" s="2">
        <f t="shared" si="18"/>
        <v>140053</v>
      </c>
      <c r="BD9" s="2">
        <f t="shared" si="19"/>
        <v>156146</v>
      </c>
      <c r="BE9" s="2">
        <f t="shared" si="20"/>
        <v>170743.9</v>
      </c>
      <c r="BF9" s="2">
        <f t="shared" si="21"/>
        <v>187818.29</v>
      </c>
      <c r="BG9" s="2">
        <f t="shared" ref="BG9:BO9" si="24">BF9*1.08</f>
        <v>202843.75320000004</v>
      </c>
      <c r="BH9" s="2">
        <f t="shared" si="24"/>
        <v>219071.25345600006</v>
      </c>
      <c r="BI9" s="2">
        <f t="shared" si="24"/>
        <v>236596.95373248009</v>
      </c>
      <c r="BJ9" s="2">
        <f t="shared" si="24"/>
        <v>255524.71003107852</v>
      </c>
      <c r="BK9" s="2">
        <f t="shared" si="24"/>
        <v>275966.68683356483</v>
      </c>
      <c r="BL9" s="2">
        <f t="shared" si="24"/>
        <v>298044.02178025001</v>
      </c>
      <c r="BM9" s="2">
        <f t="shared" si="24"/>
        <v>321887.54352267005</v>
      </c>
      <c r="BN9" s="2">
        <f t="shared" si="24"/>
        <v>347638.5470044837</v>
      </c>
      <c r="BO9" s="2">
        <f t="shared" si="24"/>
        <v>375449.63076484244</v>
      </c>
    </row>
    <row r="10" spans="1:68" x14ac:dyDescent="0.2">
      <c r="B10" s="2" t="s">
        <v>113</v>
      </c>
      <c r="C10" s="2">
        <v>3102</v>
      </c>
      <c r="D10" s="2">
        <v>3408</v>
      </c>
      <c r="E10" s="2">
        <v>3698</v>
      </c>
      <c r="F10" s="2">
        <f>14168-SUM(C10:E10)</f>
        <v>3960</v>
      </c>
      <c r="G10" s="2">
        <v>4342</v>
      </c>
      <c r="H10" s="2">
        <v>4676</v>
      </c>
      <c r="I10" s="2">
        <v>4957</v>
      </c>
      <c r="J10" s="2">
        <f>19210-SUM(G10:I10)</f>
        <v>5235</v>
      </c>
      <c r="K10" s="2">
        <v>5556</v>
      </c>
      <c r="L10" s="2">
        <v>6018</v>
      </c>
      <c r="M10" s="2">
        <v>6572</v>
      </c>
      <c r="N10" s="2">
        <f>25207-SUM(K10:M10)</f>
        <v>7061</v>
      </c>
      <c r="O10" s="2">
        <v>7580</v>
      </c>
      <c r="P10" s="2">
        <v>7917</v>
      </c>
      <c r="Q10" s="2">
        <v>8148</v>
      </c>
      <c r="R10" s="2">
        <f>31768-SUM(O10:Q10)</f>
        <v>8123</v>
      </c>
      <c r="S10" s="2">
        <v>8410</v>
      </c>
      <c r="T10" s="2">
        <v>8716</v>
      </c>
      <c r="U10" s="2">
        <v>8903</v>
      </c>
      <c r="V10" s="2">
        <f>37739-SUM(S10:U10)</f>
        <v>11710</v>
      </c>
      <c r="W10" s="2">
        <v>9509</v>
      </c>
      <c r="X10" s="2">
        <v>10683</v>
      </c>
      <c r="Y10" s="2">
        <v>12060</v>
      </c>
      <c r="Z10" s="2">
        <f>46906-SUM(W10:Y10)</f>
        <v>14654</v>
      </c>
      <c r="AA10" s="2">
        <v>11824</v>
      </c>
      <c r="AB10" s="2">
        <v>12771</v>
      </c>
      <c r="AC10" s="2">
        <v>14331</v>
      </c>
      <c r="AD10" s="2">
        <f>56214-SUM(AA10:AC10)</f>
        <v>17288</v>
      </c>
      <c r="AE10" s="2">
        <v>11715</v>
      </c>
      <c r="AF10" s="2">
        <v>15694</v>
      </c>
      <c r="AG10" s="2">
        <f>AC10*1.1</f>
        <v>15764.1</v>
      </c>
      <c r="AH10" s="2">
        <f t="shared" si="23"/>
        <v>19016.800000000003</v>
      </c>
      <c r="AX10" s="2">
        <f t="shared" si="13"/>
        <v>14168</v>
      </c>
      <c r="AY10" s="2">
        <f t="shared" si="14"/>
        <v>19210</v>
      </c>
      <c r="AZ10" s="2">
        <f t="shared" si="15"/>
        <v>25207</v>
      </c>
      <c r="BA10" s="2">
        <f t="shared" si="16"/>
        <v>31768</v>
      </c>
      <c r="BB10" s="2">
        <f t="shared" si="17"/>
        <v>37739</v>
      </c>
      <c r="BC10" s="2">
        <f t="shared" si="18"/>
        <v>46906</v>
      </c>
      <c r="BD10" s="2">
        <f t="shared" si="19"/>
        <v>56214</v>
      </c>
      <c r="BE10" s="2">
        <f t="shared" si="20"/>
        <v>62189.9</v>
      </c>
      <c r="BF10" s="2">
        <f t="shared" si="21"/>
        <v>68408.890000000014</v>
      </c>
      <c r="BG10" s="2">
        <f t="shared" ref="BG10:BO10" si="25">BF10*1.08</f>
        <v>73881.601200000019</v>
      </c>
      <c r="BH10" s="2">
        <f t="shared" si="25"/>
        <v>79792.129296000028</v>
      </c>
      <c r="BI10" s="2">
        <f t="shared" si="25"/>
        <v>86175.499639680042</v>
      </c>
      <c r="BJ10" s="2">
        <f t="shared" si="25"/>
        <v>93069.539610854452</v>
      </c>
      <c r="BK10" s="2">
        <f t="shared" si="25"/>
        <v>100515.10277972282</v>
      </c>
      <c r="BL10" s="2">
        <f t="shared" si="25"/>
        <v>108556.31100210064</v>
      </c>
      <c r="BM10" s="2">
        <f t="shared" si="25"/>
        <v>117240.8158822687</v>
      </c>
      <c r="BN10" s="2">
        <f t="shared" si="25"/>
        <v>126620.08115285019</v>
      </c>
      <c r="BO10" s="2">
        <f t="shared" si="25"/>
        <v>136749.68764507823</v>
      </c>
    </row>
    <row r="11" spans="1:68" x14ac:dyDescent="0.2">
      <c r="B11" s="2" t="s">
        <v>119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f>62202-SUM(O11:Q11)</f>
        <v>62202</v>
      </c>
      <c r="S11" s="2">
        <v>7877</v>
      </c>
      <c r="T11" s="2">
        <v>8757</v>
      </c>
      <c r="U11" s="2">
        <v>9548</v>
      </c>
      <c r="V11" s="2">
        <f>35218-SUM(S11:U11)</f>
        <v>9036</v>
      </c>
      <c r="W11" s="2">
        <v>9657</v>
      </c>
      <c r="X11" s="2">
        <v>9894</v>
      </c>
      <c r="Y11" s="2">
        <v>10170</v>
      </c>
      <c r="Z11" s="2">
        <f>40209-SUM(W11:Y11)</f>
        <v>10488</v>
      </c>
      <c r="AA11" s="2">
        <v>10722</v>
      </c>
      <c r="AB11" s="2">
        <v>10866</v>
      </c>
      <c r="AC11" s="2">
        <v>11278</v>
      </c>
      <c r="AD11" s="2">
        <f>44374-SUM(AA11:AC11)</f>
        <v>11508</v>
      </c>
      <c r="AE11" s="2">
        <v>13921</v>
      </c>
      <c r="AF11" s="2">
        <v>12208</v>
      </c>
      <c r="AG11" s="2">
        <f>AC11*1.1</f>
        <v>12405.800000000001</v>
      </c>
      <c r="AH11" s="2">
        <f t="shared" si="23"/>
        <v>12658.800000000001</v>
      </c>
      <c r="AX11" s="2">
        <f t="shared" si="13"/>
        <v>0</v>
      </c>
      <c r="AY11" s="2">
        <f t="shared" si="14"/>
        <v>0</v>
      </c>
      <c r="AZ11" s="2">
        <f t="shared" si="15"/>
        <v>0</v>
      </c>
      <c r="BA11" s="2">
        <f t="shared" si="16"/>
        <v>62202</v>
      </c>
      <c r="BB11" s="2">
        <f t="shared" si="17"/>
        <v>35218</v>
      </c>
      <c r="BC11" s="2">
        <f t="shared" si="18"/>
        <v>40209</v>
      </c>
      <c r="BD11" s="2">
        <f t="shared" si="19"/>
        <v>44374</v>
      </c>
      <c r="BE11" s="2">
        <f t="shared" si="20"/>
        <v>51193.600000000006</v>
      </c>
      <c r="BF11" s="2">
        <f t="shared" si="21"/>
        <v>56312.960000000014</v>
      </c>
      <c r="BG11" s="2">
        <f t="shared" ref="BG11:BO11" si="26">BF11*1.08</f>
        <v>60817.996800000015</v>
      </c>
      <c r="BH11" s="2">
        <f t="shared" si="26"/>
        <v>65683.436544000026</v>
      </c>
      <c r="BI11" s="2">
        <f t="shared" si="26"/>
        <v>70938.111467520037</v>
      </c>
      <c r="BJ11" s="2">
        <f t="shared" si="26"/>
        <v>76613.160384921648</v>
      </c>
      <c r="BK11" s="2">
        <f t="shared" si="26"/>
        <v>82742.213215715383</v>
      </c>
      <c r="BL11" s="2">
        <f t="shared" si="26"/>
        <v>89361.590272972622</v>
      </c>
      <c r="BM11" s="2">
        <f t="shared" si="26"/>
        <v>96510.51749481044</v>
      </c>
      <c r="BN11" s="2">
        <f t="shared" si="26"/>
        <v>104231.35889439528</v>
      </c>
      <c r="BO11" s="2">
        <f t="shared" si="26"/>
        <v>112569.86760594691</v>
      </c>
    </row>
    <row r="12" spans="1:68" x14ac:dyDescent="0.2">
      <c r="B12" s="2" t="s">
        <v>114</v>
      </c>
      <c r="C12" s="2">
        <v>5442</v>
      </c>
      <c r="D12" s="2">
        <v>6105</v>
      </c>
      <c r="E12" s="2">
        <v>6679</v>
      </c>
      <c r="F12" s="2">
        <f>25655-SUM(C12:E12)</f>
        <v>7429</v>
      </c>
      <c r="G12" s="2">
        <v>7696</v>
      </c>
      <c r="H12" s="2">
        <v>8381</v>
      </c>
      <c r="I12" s="2">
        <v>8995</v>
      </c>
      <c r="J12" s="2">
        <f>35026-SUM(G12:I12)</f>
        <v>9954</v>
      </c>
      <c r="K12" s="2">
        <v>10219</v>
      </c>
      <c r="L12" s="2">
        <v>10808</v>
      </c>
      <c r="M12" s="2">
        <v>11601</v>
      </c>
      <c r="N12" s="2">
        <f>45370-SUM(K12:M12)</f>
        <v>12742</v>
      </c>
      <c r="O12" s="2">
        <v>13503</v>
      </c>
      <c r="P12" s="2">
        <v>14809</v>
      </c>
      <c r="Q12" s="2">
        <v>16110</v>
      </c>
      <c r="R12" s="2">
        <f>62202-SUM(O12:Q12)</f>
        <v>17780</v>
      </c>
      <c r="S12" s="2">
        <v>18441</v>
      </c>
      <c r="T12" s="2">
        <v>19739</v>
      </c>
      <c r="U12" s="2">
        <v>20538</v>
      </c>
      <c r="V12" s="2">
        <f>80096-SUM(S12:U12)</f>
        <v>21378</v>
      </c>
      <c r="W12" s="2">
        <v>21354</v>
      </c>
      <c r="X12" s="2">
        <v>22140</v>
      </c>
      <c r="Y12" s="2">
        <v>23059</v>
      </c>
      <c r="Z12" s="2">
        <f>90757-SUM(W12:Y12)</f>
        <v>24204</v>
      </c>
      <c r="AA12" s="2">
        <v>25037</v>
      </c>
      <c r="AB12" s="2">
        <v>26281</v>
      </c>
      <c r="AC12" s="2">
        <v>27452</v>
      </c>
      <c r="AD12" s="2">
        <f>107556-SUM(AA12:AC12)</f>
        <v>28786</v>
      </c>
      <c r="AE12" s="2">
        <v>29267</v>
      </c>
      <c r="AF12" s="2">
        <v>30873</v>
      </c>
      <c r="AG12" s="2">
        <f>AC12*1.16</f>
        <v>31844.319999999996</v>
      </c>
      <c r="AH12" s="2">
        <f t="shared" ref="AH12" si="27">AD12*1.16</f>
        <v>33391.759999999995</v>
      </c>
      <c r="AX12" s="2">
        <f t="shared" si="13"/>
        <v>25655</v>
      </c>
      <c r="AY12" s="2">
        <f t="shared" si="14"/>
        <v>35026</v>
      </c>
      <c r="AZ12" s="2">
        <f t="shared" si="15"/>
        <v>45370</v>
      </c>
      <c r="BA12" s="2">
        <f t="shared" si="16"/>
        <v>62202</v>
      </c>
      <c r="BB12" s="2">
        <f t="shared" si="17"/>
        <v>80096</v>
      </c>
      <c r="BC12" s="2">
        <f t="shared" si="18"/>
        <v>90757</v>
      </c>
      <c r="BD12" s="2">
        <f t="shared" si="19"/>
        <v>107556</v>
      </c>
      <c r="BE12" s="2">
        <f t="shared" si="20"/>
        <v>125376.07999999999</v>
      </c>
      <c r="BF12" s="2">
        <f>BE12*1.15</f>
        <v>144182.49199999997</v>
      </c>
      <c r="BG12" s="2">
        <f>BF12*1.1</f>
        <v>158600.74119999999</v>
      </c>
      <c r="BH12" s="2">
        <f t="shared" ref="BH12:BO12" si="28">BG12*1.1</f>
        <v>174460.81531999999</v>
      </c>
      <c r="BI12" s="2">
        <f t="shared" si="28"/>
        <v>191906.89685200001</v>
      </c>
      <c r="BJ12" s="2">
        <f t="shared" si="28"/>
        <v>211097.58653720003</v>
      </c>
      <c r="BK12" s="2">
        <f t="shared" si="28"/>
        <v>232207.34519092005</v>
      </c>
      <c r="BL12" s="2">
        <f t="shared" si="28"/>
        <v>255428.07971001207</v>
      </c>
      <c r="BM12" s="2">
        <f t="shared" si="28"/>
        <v>280970.88768101332</v>
      </c>
      <c r="BN12" s="2">
        <f t="shared" si="28"/>
        <v>309067.97644911468</v>
      </c>
      <c r="BO12" s="2">
        <f t="shared" si="28"/>
        <v>339974.77409402619</v>
      </c>
    </row>
    <row r="13" spans="1:68" x14ac:dyDescent="0.2">
      <c r="B13" s="2" t="s">
        <v>70</v>
      </c>
      <c r="C13" s="2">
        <v>2031</v>
      </c>
      <c r="D13" s="2">
        <v>2194</v>
      </c>
      <c r="E13" s="2">
        <v>2495</v>
      </c>
      <c r="F13" s="2">
        <f>10108-SUM(C13:E13)</f>
        <v>3388</v>
      </c>
      <c r="G13" s="2">
        <v>2716</v>
      </c>
      <c r="H13" s="2">
        <v>3002</v>
      </c>
      <c r="I13" s="2">
        <v>3586</v>
      </c>
      <c r="J13" s="2">
        <f>14085-SUM(G13:I13)</f>
        <v>4781</v>
      </c>
      <c r="K13" s="2">
        <v>3906</v>
      </c>
      <c r="L13" s="2">
        <v>4221</v>
      </c>
      <c r="M13" s="2">
        <v>5398</v>
      </c>
      <c r="N13" s="2">
        <f>21453-SUM(K13:M13)</f>
        <v>7928</v>
      </c>
      <c r="O13" s="2">
        <v>6905</v>
      </c>
      <c r="P13" s="2">
        <v>7914</v>
      </c>
      <c r="Q13" s="2">
        <v>8091</v>
      </c>
      <c r="R13" s="2">
        <f>2176-SUM(O13:Q13)</f>
        <v>-20734</v>
      </c>
      <c r="S13" s="2">
        <v>661</v>
      </c>
      <c r="T13" s="2">
        <v>1070</v>
      </c>
      <c r="U13" s="2">
        <v>1263</v>
      </c>
      <c r="V13" s="2">
        <f>4247-SUM(S13:U13)</f>
        <v>1253</v>
      </c>
      <c r="W13" s="2">
        <v>1027</v>
      </c>
      <c r="X13" s="2">
        <v>1344</v>
      </c>
      <c r="Y13" s="2">
        <v>1226</v>
      </c>
      <c r="Z13" s="2">
        <f>4958-SUM(W13:Y13)</f>
        <v>1361</v>
      </c>
      <c r="AA13" s="2">
        <v>1262</v>
      </c>
      <c r="AB13" s="2">
        <v>1260</v>
      </c>
      <c r="AC13" s="2">
        <v>1313</v>
      </c>
      <c r="AD13" s="2">
        <f>5425-SUM(AA13:AC13)</f>
        <v>1590</v>
      </c>
      <c r="AE13" s="2">
        <v>1312</v>
      </c>
      <c r="AF13" s="2">
        <v>1499</v>
      </c>
      <c r="AG13" s="2">
        <f>AC13*1.16</f>
        <v>1523.08</v>
      </c>
      <c r="AH13" s="2">
        <f>AD13*1.15</f>
        <v>1828.4999999999998</v>
      </c>
      <c r="AX13" s="2">
        <f t="shared" si="13"/>
        <v>10108</v>
      </c>
      <c r="AY13" s="2">
        <f t="shared" si="14"/>
        <v>14085</v>
      </c>
      <c r="AZ13" s="2">
        <f t="shared" si="15"/>
        <v>21453</v>
      </c>
      <c r="BA13" s="2">
        <f t="shared" si="16"/>
        <v>2176</v>
      </c>
      <c r="BB13" s="2">
        <f t="shared" si="17"/>
        <v>4247</v>
      </c>
      <c r="BC13" s="2">
        <f t="shared" si="18"/>
        <v>4958</v>
      </c>
      <c r="BD13" s="2">
        <f t="shared" si="19"/>
        <v>5425</v>
      </c>
      <c r="BE13" s="2">
        <f t="shared" si="20"/>
        <v>6162.58</v>
      </c>
      <c r="BF13" s="2">
        <f>BE13*1.15</f>
        <v>7086.9669999999996</v>
      </c>
      <c r="BG13" s="2">
        <f>BF13*1.1</f>
        <v>7795.6637000000001</v>
      </c>
      <c r="BH13" s="2">
        <f t="shared" ref="BH13:BO13" si="29">BG13*1.1</f>
        <v>8575.2300700000014</v>
      </c>
      <c r="BI13" s="2">
        <f t="shared" si="29"/>
        <v>9432.753077000003</v>
      </c>
      <c r="BJ13" s="2">
        <f t="shared" si="29"/>
        <v>10376.028384700005</v>
      </c>
      <c r="BK13" s="2">
        <f t="shared" si="29"/>
        <v>11413.631223170007</v>
      </c>
      <c r="BL13" s="2">
        <f t="shared" si="29"/>
        <v>12554.994345487008</v>
      </c>
      <c r="BM13" s="2">
        <f t="shared" si="29"/>
        <v>13810.493780035709</v>
      </c>
      <c r="BN13" s="2">
        <f t="shared" si="29"/>
        <v>15191.543158039281</v>
      </c>
      <c r="BO13" s="2">
        <f t="shared" si="29"/>
        <v>16710.697473843211</v>
      </c>
    </row>
    <row r="14" spans="1:68" x14ac:dyDescent="0.2"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x14ac:dyDescent="0.2">
      <c r="B15" s="2" t="s">
        <v>84</v>
      </c>
      <c r="C15" s="2">
        <v>31605</v>
      </c>
      <c r="D15" s="2">
        <v>31864</v>
      </c>
      <c r="E15" s="2">
        <v>33746</v>
      </c>
      <c r="F15" s="2">
        <f>141915-SUM(C15:E15)</f>
        <v>44700</v>
      </c>
      <c r="G15" s="2">
        <v>34283</v>
      </c>
      <c r="H15" s="2">
        <v>35856</v>
      </c>
      <c r="I15" s="2">
        <v>39726</v>
      </c>
      <c r="J15" s="2">
        <f>160408-SUM(G15:I15)</f>
        <v>50543</v>
      </c>
      <c r="K15" s="2">
        <v>41841</v>
      </c>
      <c r="L15" s="2">
        <v>50244</v>
      </c>
      <c r="M15" s="2">
        <v>52774</v>
      </c>
      <c r="N15" s="2">
        <f>215915-SUM(K15:M15)</f>
        <v>71056</v>
      </c>
      <c r="O15" s="2">
        <v>57491</v>
      </c>
      <c r="P15" s="2">
        <v>58004</v>
      </c>
      <c r="Q15" s="2">
        <v>54876</v>
      </c>
      <c r="R15" s="2">
        <f>241787-SUM(O15:Q15)</f>
        <v>71416</v>
      </c>
      <c r="S15" s="2">
        <v>56455</v>
      </c>
      <c r="T15" s="2">
        <v>56575</v>
      </c>
      <c r="U15" s="2">
        <v>59340</v>
      </c>
      <c r="V15" s="2">
        <f>242901-SUM(S15:U15)</f>
        <v>70531</v>
      </c>
      <c r="W15" s="2">
        <v>56981</v>
      </c>
      <c r="X15" s="2">
        <v>59032</v>
      </c>
      <c r="Y15" s="2">
        <v>63171</v>
      </c>
      <c r="Z15" s="2">
        <f>255887-SUM(W15:Y15)</f>
        <v>76703</v>
      </c>
      <c r="AA15" s="2">
        <v>60915</v>
      </c>
      <c r="AB15" s="2">
        <v>61569</v>
      </c>
      <c r="AC15" s="2">
        <v>67601</v>
      </c>
      <c r="AD15" s="2">
        <f>272311-SUM(AA15:AC15)</f>
        <v>82226</v>
      </c>
      <c r="AE15" s="2">
        <v>63970</v>
      </c>
      <c r="AF15" s="2">
        <v>68246</v>
      </c>
      <c r="AG15" s="2">
        <f>AC15*1.13</f>
        <v>76389.12999999999</v>
      </c>
      <c r="AH15" s="2">
        <f>AD15*1.13</f>
        <v>92915.37999999999</v>
      </c>
      <c r="AQ15" s="2">
        <v>42000</v>
      </c>
      <c r="AR15" s="2">
        <v>51733</v>
      </c>
      <c r="AS15" s="2">
        <v>60903</v>
      </c>
      <c r="AT15" s="2">
        <v>70080</v>
      </c>
      <c r="AU15" s="2">
        <v>79268</v>
      </c>
      <c r="AV15" s="2">
        <v>94665</v>
      </c>
      <c r="AW15" s="2">
        <v>118573</v>
      </c>
      <c r="AX15" s="2">
        <f>SUM(C15:F15)</f>
        <v>141915</v>
      </c>
      <c r="AY15" s="2">
        <f>SUM(G15:J15)</f>
        <v>160408</v>
      </c>
      <c r="AZ15" s="2">
        <f>SUM(K15:N15)</f>
        <v>215915</v>
      </c>
      <c r="BA15" s="2">
        <f>SUM(O15:R15)</f>
        <v>241787</v>
      </c>
      <c r="BB15" s="2">
        <f>SUM(S15:V15)</f>
        <v>242901</v>
      </c>
      <c r="BC15" s="2">
        <f>SUM(W15:Z15)</f>
        <v>255887</v>
      </c>
      <c r="BD15" s="2">
        <f>SUM(AA15:AD15)</f>
        <v>272311</v>
      </c>
    </row>
    <row r="16" spans="1:68" x14ac:dyDescent="0.2">
      <c r="B16" s="2" t="s">
        <v>85</v>
      </c>
      <c r="C16" s="2">
        <v>19437</v>
      </c>
      <c r="D16" s="2">
        <v>21022</v>
      </c>
      <c r="E16" s="2">
        <v>22830</v>
      </c>
      <c r="F16" s="2">
        <f>90972-SUM(C16:E16)</f>
        <v>27683</v>
      </c>
      <c r="G16" s="2">
        <v>25417</v>
      </c>
      <c r="H16" s="2">
        <v>27548</v>
      </c>
      <c r="I16" s="2">
        <v>30255</v>
      </c>
      <c r="J16" s="2">
        <f>120114-SUM(G16:I16)</f>
        <v>36894</v>
      </c>
      <c r="K16" s="2">
        <v>33611</v>
      </c>
      <c r="L16" s="2">
        <v>38668</v>
      </c>
      <c r="M16" s="2">
        <v>43371</v>
      </c>
      <c r="N16" s="2">
        <f>170149-SUM(K16:M16)</f>
        <v>54499</v>
      </c>
      <c r="O16" s="2">
        <v>51027</v>
      </c>
      <c r="P16" s="2">
        <v>55076</v>
      </c>
      <c r="Q16" s="2">
        <v>55936</v>
      </c>
      <c r="R16" s="2">
        <f>228035-SUM(O16:Q16)</f>
        <v>65996</v>
      </c>
      <c r="S16" s="2">
        <v>59989</v>
      </c>
      <c r="T16" s="2">
        <v>64659</v>
      </c>
      <c r="U16" s="2">
        <v>67761</v>
      </c>
      <c r="V16" s="2">
        <f>271082-SUM(S16:U16)</f>
        <v>78673</v>
      </c>
      <c r="W16" s="2">
        <v>70377</v>
      </c>
      <c r="X16" s="2">
        <v>75351</v>
      </c>
      <c r="Y16" s="2">
        <v>79912</v>
      </c>
      <c r="Z16" s="2">
        <f>318898-SUM(W16:Y16)</f>
        <v>93258</v>
      </c>
      <c r="AA16" s="2">
        <v>82398</v>
      </c>
      <c r="AB16" s="2">
        <v>86408</v>
      </c>
      <c r="AC16" s="2">
        <v>91276</v>
      </c>
      <c r="AD16" s="2">
        <f>365648-SUM(AA16:AC16)</f>
        <v>105566</v>
      </c>
      <c r="AE16" s="2">
        <v>91697</v>
      </c>
      <c r="AF16" s="2">
        <v>99456</v>
      </c>
      <c r="AG16" s="2">
        <f>AC16*1.13</f>
        <v>103141.87999999999</v>
      </c>
      <c r="AH16" s="2">
        <f>AD16*1.13</f>
        <v>119289.57999999999</v>
      </c>
      <c r="AQ16" s="2">
        <v>6077</v>
      </c>
      <c r="AR16" s="2">
        <v>9360</v>
      </c>
      <c r="AS16" s="2">
        <v>13549</v>
      </c>
      <c r="AT16" s="2">
        <v>18908</v>
      </c>
      <c r="AU16" s="2">
        <v>27738</v>
      </c>
      <c r="AV16" s="2">
        <v>41322</v>
      </c>
      <c r="AW16" s="2">
        <v>59293</v>
      </c>
      <c r="AX16" s="2">
        <f>SUM(C16:F16)</f>
        <v>90972</v>
      </c>
      <c r="AY16" s="2">
        <f>SUM(G16:J16)</f>
        <v>120114</v>
      </c>
      <c r="AZ16" s="2">
        <f>SUM(K16:N16)</f>
        <v>170149</v>
      </c>
      <c r="BA16" s="2">
        <f>SUM(O16:R16)</f>
        <v>228035</v>
      </c>
      <c r="BB16" s="2">
        <f>SUM(S16:V16)</f>
        <v>271082</v>
      </c>
      <c r="BC16" s="2">
        <f>SUM(W16:Z16)</f>
        <v>318898</v>
      </c>
      <c r="BD16" s="2">
        <f>SUM(AA16:AD16)</f>
        <v>365648</v>
      </c>
    </row>
    <row r="17" spans="2:131" x14ac:dyDescent="0.2">
      <c r="B17" s="3" t="s">
        <v>39</v>
      </c>
      <c r="C17" s="3">
        <f t="shared" ref="C17" si="30">SUM(C15:C16)</f>
        <v>51042</v>
      </c>
      <c r="D17" s="3">
        <f t="shared" ref="D17" si="31">SUM(D15:D16)</f>
        <v>52886</v>
      </c>
      <c r="E17" s="3">
        <f t="shared" ref="E17" si="32">SUM(E15:E16)</f>
        <v>56576</v>
      </c>
      <c r="F17" s="3">
        <f>SUM(F15:F16)</f>
        <v>72383</v>
      </c>
      <c r="G17" s="3">
        <f t="shared" ref="G17:M17" si="33">SUM(G15:G16)</f>
        <v>59700</v>
      </c>
      <c r="H17" s="3">
        <f t="shared" si="33"/>
        <v>63404</v>
      </c>
      <c r="I17" s="3">
        <f t="shared" si="33"/>
        <v>69981</v>
      </c>
      <c r="J17" s="3">
        <f>SUM(J15:J16)</f>
        <v>87437</v>
      </c>
      <c r="K17" s="3">
        <f t="shared" si="33"/>
        <v>75452</v>
      </c>
      <c r="L17" s="3">
        <f t="shared" si="33"/>
        <v>88912</v>
      </c>
      <c r="M17" s="3">
        <f t="shared" si="33"/>
        <v>96145</v>
      </c>
      <c r="N17" s="3">
        <f>SUM(N15:N16)</f>
        <v>125555</v>
      </c>
      <c r="O17" s="3">
        <f t="shared" ref="O17:AF17" si="34">SUM(O15:O16)</f>
        <v>108518</v>
      </c>
      <c r="P17" s="3">
        <f t="shared" si="34"/>
        <v>113080</v>
      </c>
      <c r="Q17" s="3">
        <f t="shared" si="34"/>
        <v>110812</v>
      </c>
      <c r="R17" s="3">
        <f t="shared" si="34"/>
        <v>137412</v>
      </c>
      <c r="S17" s="3">
        <f t="shared" si="34"/>
        <v>116444</v>
      </c>
      <c r="T17" s="3">
        <f t="shared" si="34"/>
        <v>121234</v>
      </c>
      <c r="U17" s="3">
        <f t="shared" si="34"/>
        <v>127101</v>
      </c>
      <c r="V17" s="3">
        <f t="shared" si="34"/>
        <v>149204</v>
      </c>
      <c r="W17" s="3">
        <f t="shared" si="34"/>
        <v>127358</v>
      </c>
      <c r="X17" s="3">
        <f t="shared" si="34"/>
        <v>134383</v>
      </c>
      <c r="Y17" s="3">
        <f t="shared" si="34"/>
        <v>143083</v>
      </c>
      <c r="Z17" s="3">
        <f t="shared" si="34"/>
        <v>169961</v>
      </c>
      <c r="AA17" s="3">
        <f t="shared" si="34"/>
        <v>143313</v>
      </c>
      <c r="AB17" s="3">
        <f>SUM(AB15:AB16)</f>
        <v>147977</v>
      </c>
      <c r="AC17" s="3">
        <f t="shared" si="34"/>
        <v>158877</v>
      </c>
      <c r="AD17" s="3">
        <f t="shared" si="34"/>
        <v>187792</v>
      </c>
      <c r="AE17" s="3">
        <f t="shared" si="34"/>
        <v>155667</v>
      </c>
      <c r="AF17" s="3">
        <f t="shared" si="34"/>
        <v>167702</v>
      </c>
      <c r="AG17" s="3">
        <f>SUM(AG7:AG13)</f>
        <v>174543.71</v>
      </c>
      <c r="AH17" s="3">
        <f>SUM(AH7:AH13)</f>
        <v>206755.16000000003</v>
      </c>
      <c r="AI17" s="3"/>
      <c r="AJ17" s="3"/>
      <c r="AK17" s="3">
        <v>8490</v>
      </c>
      <c r="AL17" s="3">
        <v>10711</v>
      </c>
      <c r="AM17" s="3">
        <v>14835</v>
      </c>
      <c r="AN17" s="3">
        <v>19166</v>
      </c>
      <c r="AO17" s="3">
        <v>24509</v>
      </c>
      <c r="AP17" s="3">
        <v>34204</v>
      </c>
      <c r="AQ17" s="3">
        <f>SUM(AQ15:AQ16)</f>
        <v>48077</v>
      </c>
      <c r="AR17" s="3">
        <f>SUM(AR15:AR16)</f>
        <v>61093</v>
      </c>
      <c r="AS17" s="3">
        <f t="shared" ref="AS17:AW17" si="35">SUM(AS15:AS16)</f>
        <v>74452</v>
      </c>
      <c r="AT17" s="3">
        <f t="shared" si="35"/>
        <v>88988</v>
      </c>
      <c r="AU17" s="3">
        <f t="shared" si="35"/>
        <v>107006</v>
      </c>
      <c r="AV17" s="3">
        <f t="shared" si="35"/>
        <v>135987</v>
      </c>
      <c r="AW17" s="3">
        <f t="shared" si="35"/>
        <v>177866</v>
      </c>
      <c r="AX17" s="3">
        <f>SUM(C17:F17)</f>
        <v>232887</v>
      </c>
      <c r="AY17" s="3">
        <f>SUM(G17:J17)</f>
        <v>280522</v>
      </c>
      <c r="AZ17" s="3">
        <f>SUM(K17:N17)</f>
        <v>386064</v>
      </c>
      <c r="BA17" s="3">
        <f>SUM(O17:R17)</f>
        <v>469822</v>
      </c>
      <c r="BB17" s="3">
        <f>SUM(S17:V17)</f>
        <v>513983</v>
      </c>
      <c r="BC17" s="3">
        <f>SUM(W17:Z17)</f>
        <v>574785</v>
      </c>
      <c r="BD17" s="3">
        <f>SUM(BD15:BD16)</f>
        <v>637959</v>
      </c>
      <c r="BE17" s="3">
        <f>SUM(BE7:BE13)</f>
        <v>704667.86999999988</v>
      </c>
      <c r="BF17" s="3">
        <f t="shared" ref="BF17:BJ17" si="36">SUM(BF7:BF13)</f>
        <v>781711.59</v>
      </c>
      <c r="BG17" s="3">
        <f t="shared" si="36"/>
        <v>847273.90638000017</v>
      </c>
      <c r="BH17" s="3">
        <f t="shared" si="36"/>
        <v>918383.74698840035</v>
      </c>
      <c r="BI17" s="3">
        <f t="shared" si="36"/>
        <v>995515.16765527229</v>
      </c>
      <c r="BJ17" s="3">
        <f t="shared" si="36"/>
        <v>1079183.1740662742</v>
      </c>
      <c r="BK17" s="3">
        <f t="shared" ref="BK17:BO17" si="37">SUM(BK7:BK13)</f>
        <v>1169947.3002900141</v>
      </c>
      <c r="BL17" s="3">
        <f t="shared" si="37"/>
        <v>1268415.5038414972</v>
      </c>
      <c r="BM17" s="3">
        <f t="shared" si="37"/>
        <v>1375248.4056299271</v>
      </c>
      <c r="BN17" s="3">
        <f t="shared" si="37"/>
        <v>1491163.9057095423</v>
      </c>
      <c r="BO17" s="3">
        <f t="shared" si="37"/>
        <v>1616942.2085584491</v>
      </c>
      <c r="BP17" s="3"/>
    </row>
    <row r="18" spans="2:131" x14ac:dyDescent="0.2">
      <c r="B18" s="2" t="s">
        <v>51</v>
      </c>
      <c r="C18" s="2">
        <v>30735</v>
      </c>
      <c r="D18" s="2">
        <v>30632</v>
      </c>
      <c r="E18" s="2">
        <v>33003</v>
      </c>
      <c r="F18" s="2">
        <f>139156-SUM(C18:E18)</f>
        <v>44786</v>
      </c>
      <c r="G18" s="2">
        <v>33920</v>
      </c>
      <c r="H18" s="2">
        <v>36337</v>
      </c>
      <c r="I18" s="2">
        <v>41302</v>
      </c>
      <c r="J18" s="2">
        <f>165536-SUM(G18:I18)</f>
        <v>53977</v>
      </c>
      <c r="K18" s="2">
        <v>44257</v>
      </c>
      <c r="L18" s="2">
        <v>52660</v>
      </c>
      <c r="M18" s="2">
        <v>57106</v>
      </c>
      <c r="N18" s="2">
        <f>233307-SUM(K18:M18)</f>
        <v>79284</v>
      </c>
      <c r="O18" s="2">
        <v>62403</v>
      </c>
      <c r="P18" s="2">
        <v>64176</v>
      </c>
      <c r="Q18" s="2">
        <v>62930</v>
      </c>
      <c r="R18" s="2">
        <f>272344-SUM(O18:Q18)</f>
        <v>82835</v>
      </c>
      <c r="S18" s="2">
        <v>66499</v>
      </c>
      <c r="T18" s="2">
        <v>66424</v>
      </c>
      <c r="U18" s="2">
        <v>70268</v>
      </c>
      <c r="V18" s="2">
        <f>288831-SUM(S18:U18)</f>
        <v>85640</v>
      </c>
      <c r="W18" s="2">
        <v>67791</v>
      </c>
      <c r="X18" s="2">
        <v>69373</v>
      </c>
      <c r="Y18" s="2">
        <v>75022</v>
      </c>
      <c r="Z18" s="2">
        <f>304739-SUM(W18:Y18)</f>
        <v>92553</v>
      </c>
      <c r="AA18" s="2">
        <v>72633</v>
      </c>
      <c r="AB18" s="2">
        <v>73785</v>
      </c>
      <c r="AC18" s="2">
        <v>80977</v>
      </c>
      <c r="AD18" s="2">
        <f>326288-SUM(AA18:AC18)</f>
        <v>98893</v>
      </c>
      <c r="AE18" s="2">
        <v>76976</v>
      </c>
      <c r="AF18" s="2">
        <v>80809</v>
      </c>
      <c r="AG18" s="2">
        <f>AE18*1.15</f>
        <v>88522.4</v>
      </c>
      <c r="AH18" s="2">
        <f>AD18*1.1</f>
        <v>108782.3</v>
      </c>
      <c r="AK18" s="2">
        <v>6451</v>
      </c>
      <c r="AL18" s="2">
        <v>8255</v>
      </c>
      <c r="AM18" s="2">
        <v>11482</v>
      </c>
      <c r="AN18" s="2">
        <v>14896</v>
      </c>
      <c r="AO18" s="2">
        <v>18978</v>
      </c>
      <c r="AP18" s="2">
        <v>26561</v>
      </c>
      <c r="AQ18" s="2">
        <v>37288</v>
      </c>
      <c r="AR18" s="2">
        <v>45971</v>
      </c>
      <c r="AS18" s="2">
        <v>54181</v>
      </c>
      <c r="AT18" s="2">
        <v>62752</v>
      </c>
      <c r="AU18" s="2">
        <v>71651</v>
      </c>
      <c r="AV18" s="2">
        <v>88265</v>
      </c>
      <c r="AW18" s="2">
        <v>111934</v>
      </c>
      <c r="AX18" s="2">
        <f>SUM(C18:F18)</f>
        <v>139156</v>
      </c>
      <c r="AY18" s="2">
        <f>SUM(G18:J18)</f>
        <v>165536</v>
      </c>
      <c r="AZ18" s="2">
        <f>SUM(K18:N18)</f>
        <v>233307</v>
      </c>
      <c r="BA18" s="2">
        <f>SUM(O18:R18)</f>
        <v>272344</v>
      </c>
      <c r="BB18" s="2">
        <f>SUM(S18:V18)</f>
        <v>288831</v>
      </c>
      <c r="BC18" s="2">
        <f>SUM(W18:Z18)</f>
        <v>304739</v>
      </c>
      <c r="BD18" s="2">
        <f>SUM(AA18:AD18)</f>
        <v>326288</v>
      </c>
      <c r="BE18" s="2">
        <f>SUM(AE18:AH18)</f>
        <v>355089.7</v>
      </c>
      <c r="BF18" s="2">
        <f>BE18*1.1</f>
        <v>390598.67000000004</v>
      </c>
      <c r="BG18" s="2">
        <f>BF18*1.1</f>
        <v>429658.53700000007</v>
      </c>
      <c r="BH18" s="2">
        <f>BG18*1.1</f>
        <v>472624.39070000011</v>
      </c>
      <c r="BI18" s="2">
        <f>BH18*1.1</f>
        <v>519886.82977000019</v>
      </c>
      <c r="BJ18" s="2">
        <f>BI18*1.09</f>
        <v>566676.64444930025</v>
      </c>
      <c r="BK18" s="2">
        <f t="shared" ref="BK18:BO18" si="38">BJ18*1.09</f>
        <v>617677.54244973732</v>
      </c>
      <c r="BL18" s="2">
        <f t="shared" si="38"/>
        <v>673268.52127021377</v>
      </c>
      <c r="BM18" s="2">
        <f t="shared" si="38"/>
        <v>733862.68818453304</v>
      </c>
      <c r="BN18" s="2">
        <f t="shared" si="38"/>
        <v>799910.33012114104</v>
      </c>
      <c r="BO18" s="2">
        <f t="shared" si="38"/>
        <v>871902.25983204378</v>
      </c>
    </row>
    <row r="19" spans="2:131" x14ac:dyDescent="0.2">
      <c r="B19" s="2" t="s">
        <v>52</v>
      </c>
      <c r="C19" s="2">
        <f t="shared" ref="C19" si="39">C17-C18-C20</f>
        <v>12515</v>
      </c>
      <c r="D19" s="2">
        <f t="shared" ref="D19" si="40">D17-D18-D20</f>
        <v>14322</v>
      </c>
      <c r="E19" s="2">
        <f t="shared" ref="E19" si="41">E17-E18-E20</f>
        <v>15298</v>
      </c>
      <c r="F19" s="2">
        <f>F17-F18-F20</f>
        <v>17569</v>
      </c>
      <c r="G19" s="2">
        <f t="shared" ref="G19:M19" si="42">G17-G18-G20</f>
        <v>17179</v>
      </c>
      <c r="H19" s="2">
        <f t="shared" si="42"/>
        <v>17796</v>
      </c>
      <c r="I19" s="2">
        <f t="shared" si="42"/>
        <v>18512</v>
      </c>
      <c r="J19" s="2">
        <f>J17-J18-J20</f>
        <v>21267</v>
      </c>
      <c r="K19" s="2">
        <f t="shared" si="42"/>
        <v>19664</v>
      </c>
      <c r="L19" s="2">
        <f t="shared" si="42"/>
        <v>22446</v>
      </c>
      <c r="M19" s="2">
        <f t="shared" si="42"/>
        <v>24334</v>
      </c>
      <c r="N19" s="2">
        <f>N17-N18-N20</f>
        <v>27796</v>
      </c>
      <c r="O19" s="2">
        <f t="shared" ref="O19:AG19" si="43">O17-O18-O20</f>
        <v>29585</v>
      </c>
      <c r="P19" s="2">
        <f t="shared" si="43"/>
        <v>31266</v>
      </c>
      <c r="Q19" s="2">
        <f t="shared" si="43"/>
        <v>29384</v>
      </c>
      <c r="R19" s="2">
        <f t="shared" si="43"/>
        <v>32132</v>
      </c>
      <c r="S19" s="2">
        <f t="shared" si="43"/>
        <v>29674</v>
      </c>
      <c r="T19" s="2">
        <f t="shared" si="43"/>
        <v>34468</v>
      </c>
      <c r="U19" s="2">
        <f t="shared" si="43"/>
        <v>36250</v>
      </c>
      <c r="V19" s="2">
        <f t="shared" si="43"/>
        <v>40461</v>
      </c>
      <c r="W19" s="2">
        <f t="shared" si="43"/>
        <v>38662</v>
      </c>
      <c r="X19" s="2">
        <f t="shared" si="43"/>
        <v>43705</v>
      </c>
      <c r="Y19" s="2">
        <f t="shared" si="43"/>
        <v>45747</v>
      </c>
      <c r="Z19" s="2">
        <f t="shared" si="43"/>
        <v>51313</v>
      </c>
      <c r="AA19" s="2">
        <f t="shared" si="43"/>
        <v>48363</v>
      </c>
      <c r="AB19" s="2">
        <f t="shared" si="43"/>
        <v>50636</v>
      </c>
      <c r="AC19" s="2">
        <f t="shared" si="43"/>
        <v>53240</v>
      </c>
      <c r="AD19" s="2">
        <f t="shared" si="43"/>
        <v>60927</v>
      </c>
      <c r="AE19" s="2">
        <f t="shared" si="43"/>
        <v>54098</v>
      </c>
      <c r="AF19" s="2">
        <f t="shared" si="43"/>
        <v>60917</v>
      </c>
      <c r="AG19" s="2">
        <f t="shared" si="43"/>
        <v>60128.31</v>
      </c>
      <c r="AH19" s="2">
        <f t="shared" ref="AH19" si="44">AH17-AH18-AH20</f>
        <v>68602.260000000024</v>
      </c>
      <c r="AK19" s="2">
        <f t="shared" ref="AK19:AL19" si="45">AK17-AK18-AK20</f>
        <v>1294</v>
      </c>
      <c r="AL19" s="2">
        <f t="shared" si="45"/>
        <v>1519</v>
      </c>
      <c r="AM19" s="2">
        <f t="shared" ref="AM19:AN19" si="46">AM17-AM18-AM20</f>
        <v>2061</v>
      </c>
      <c r="AN19" s="2">
        <f t="shared" si="46"/>
        <v>2612</v>
      </c>
      <c r="AO19" s="2">
        <f t="shared" ref="AO19:AW19" si="47">AO17-AO18-AO20</f>
        <v>3479</v>
      </c>
      <c r="AP19" s="2">
        <f t="shared" si="47"/>
        <v>4745</v>
      </c>
      <c r="AQ19" s="2">
        <f t="shared" si="47"/>
        <v>6213</v>
      </c>
      <c r="AR19" s="2">
        <f t="shared" si="47"/>
        <v>8703</v>
      </c>
      <c r="AS19" s="2">
        <f t="shared" si="47"/>
        <v>11686</v>
      </c>
      <c r="AT19" s="2">
        <f t="shared" si="47"/>
        <v>15470</v>
      </c>
      <c r="AU19" s="2">
        <f t="shared" si="47"/>
        <v>21945</v>
      </c>
      <c r="AV19" s="2">
        <f t="shared" si="47"/>
        <v>30103</v>
      </c>
      <c r="AW19" s="2">
        <f t="shared" si="47"/>
        <v>40683</v>
      </c>
      <c r="AX19" s="2">
        <f t="shared" ref="AX19" si="48">AX17-AX18-AX20</f>
        <v>59704</v>
      </c>
      <c r="AY19" s="2">
        <f t="shared" ref="AY19" si="49">AY17-AY18-AY20</f>
        <v>74754</v>
      </c>
      <c r="AZ19" s="2">
        <f t="shared" ref="AZ19:BJ19" si="50">AZ17-AZ18-AZ20</f>
        <v>94240</v>
      </c>
      <c r="BA19" s="2">
        <f t="shared" si="50"/>
        <v>122367</v>
      </c>
      <c r="BB19" s="2">
        <f t="shared" si="50"/>
        <v>140853</v>
      </c>
      <c r="BC19" s="2">
        <f t="shared" si="50"/>
        <v>179427</v>
      </c>
      <c r="BD19" s="2">
        <f t="shared" si="50"/>
        <v>213166</v>
      </c>
      <c r="BE19" s="2">
        <f>BE17-BE18-BE20</f>
        <v>243745.56999999986</v>
      </c>
      <c r="BF19" s="2">
        <f t="shared" si="50"/>
        <v>274697.05999999994</v>
      </c>
      <c r="BG19" s="2">
        <f t="shared" si="50"/>
        <v>289557.92338000005</v>
      </c>
      <c r="BH19" s="2">
        <f t="shared" si="50"/>
        <v>304896.16568840022</v>
      </c>
      <c r="BI19" s="2">
        <f t="shared" si="50"/>
        <v>320678.82822527207</v>
      </c>
      <c r="BJ19" s="2">
        <f t="shared" si="50"/>
        <v>342062.06899097387</v>
      </c>
      <c r="BK19" s="2">
        <f t="shared" ref="BK19:BO19" si="51">BK17-BK18-BK20</f>
        <v>364780.85115167673</v>
      </c>
      <c r="BL19" s="2">
        <f t="shared" si="51"/>
        <v>388909.1852138234</v>
      </c>
      <c r="BM19" s="2">
        <f t="shared" si="51"/>
        <v>414524.14035218791</v>
      </c>
      <c r="BN19" s="2">
        <f t="shared" si="51"/>
        <v>441705.84078587452</v>
      </c>
      <c r="BO19" s="2">
        <f t="shared" si="51"/>
        <v>470537.44044362585</v>
      </c>
    </row>
    <row r="20" spans="2:131" x14ac:dyDescent="0.2">
      <c r="B20" s="2" t="s">
        <v>40</v>
      </c>
      <c r="C20" s="2">
        <v>7792</v>
      </c>
      <c r="D20" s="2">
        <v>7932</v>
      </c>
      <c r="E20" s="2">
        <v>8275</v>
      </c>
      <c r="F20" s="2">
        <f>34027-SUM(C20:E20)</f>
        <v>10028</v>
      </c>
      <c r="G20" s="2">
        <v>8601</v>
      </c>
      <c r="H20" s="2">
        <v>9271</v>
      </c>
      <c r="I20" s="2">
        <v>10167</v>
      </c>
      <c r="J20" s="2">
        <f>40232-SUM(G20:I20)</f>
        <v>12193</v>
      </c>
      <c r="K20" s="2">
        <v>11531</v>
      </c>
      <c r="L20" s="2">
        <v>13806</v>
      </c>
      <c r="M20" s="2">
        <v>14705</v>
      </c>
      <c r="N20" s="2">
        <f>58517-SUM(K20:M20)</f>
        <v>18475</v>
      </c>
      <c r="O20" s="2">
        <v>16530</v>
      </c>
      <c r="P20" s="2">
        <v>17638</v>
      </c>
      <c r="Q20" s="2">
        <v>18498</v>
      </c>
      <c r="R20" s="2">
        <f>75111-SUM(O20:Q20)</f>
        <v>22445</v>
      </c>
      <c r="S20" s="2">
        <v>20271</v>
      </c>
      <c r="T20" s="2">
        <v>20342</v>
      </c>
      <c r="U20" s="2">
        <v>20583</v>
      </c>
      <c r="V20" s="2">
        <f>84299-SUM(S20:U20)</f>
        <v>23103</v>
      </c>
      <c r="W20" s="2">
        <v>20905</v>
      </c>
      <c r="X20" s="2">
        <v>21305</v>
      </c>
      <c r="Y20" s="2">
        <v>22314</v>
      </c>
      <c r="Z20" s="2">
        <f>90619-SUM(W20:Y20)</f>
        <v>26095</v>
      </c>
      <c r="AA20" s="2">
        <v>22317</v>
      </c>
      <c r="AB20" s="2">
        <v>23556</v>
      </c>
      <c r="AC20" s="2">
        <v>24660</v>
      </c>
      <c r="AD20" s="2">
        <f>98505-SUM(AA20:AC20)</f>
        <v>27972</v>
      </c>
      <c r="AE20" s="2">
        <v>24593</v>
      </c>
      <c r="AF20" s="2">
        <v>25976</v>
      </c>
      <c r="AG20" s="2">
        <f>AC20*1.05</f>
        <v>25893</v>
      </c>
      <c r="AH20" s="2">
        <f t="shared" ref="AH20:AH23" si="52">AD20*1.05</f>
        <v>29370.600000000002</v>
      </c>
      <c r="AK20" s="2">
        <v>745</v>
      </c>
      <c r="AL20" s="2">
        <v>937</v>
      </c>
      <c r="AM20" s="2">
        <v>1292</v>
      </c>
      <c r="AN20" s="2">
        <v>1658</v>
      </c>
      <c r="AO20" s="2">
        <v>2052</v>
      </c>
      <c r="AP20" s="2">
        <v>2898</v>
      </c>
      <c r="AQ20" s="2">
        <v>4576</v>
      </c>
      <c r="AR20" s="2">
        <v>6419</v>
      </c>
      <c r="AS20" s="2">
        <v>8585</v>
      </c>
      <c r="AT20" s="2">
        <v>10766</v>
      </c>
      <c r="AU20" s="2">
        <v>13410</v>
      </c>
      <c r="AV20" s="2">
        <v>17619</v>
      </c>
      <c r="AW20" s="2">
        <v>25249</v>
      </c>
      <c r="AX20" s="2">
        <f>SUM(C20:F20)</f>
        <v>34027</v>
      </c>
      <c r="AY20" s="2">
        <f>SUM(G20:J20)</f>
        <v>40232</v>
      </c>
      <c r="AZ20" s="2">
        <f>SUM(K20:N20)</f>
        <v>58517</v>
      </c>
      <c r="BA20" s="2">
        <f>SUM(O20:R20)</f>
        <v>75111</v>
      </c>
      <c r="BB20" s="2">
        <f>SUM(S20:V20)</f>
        <v>84299</v>
      </c>
      <c r="BC20" s="2">
        <f>SUM(W20:Z20)</f>
        <v>90619</v>
      </c>
      <c r="BD20" s="2">
        <f>SUM(AA20:AD20)</f>
        <v>98505</v>
      </c>
      <c r="BE20" s="2">
        <f t="shared" ref="BE20:BE23" si="53">SUM(AE20:AH20)</f>
        <v>105832.6</v>
      </c>
      <c r="BF20" s="2">
        <f>BE20*1.1</f>
        <v>116415.86000000002</v>
      </c>
      <c r="BG20" s="2">
        <f t="shared" ref="BG20:BO20" si="54">BF20*1.1</f>
        <v>128057.44600000003</v>
      </c>
      <c r="BH20" s="2">
        <f t="shared" si="54"/>
        <v>140863.19060000003</v>
      </c>
      <c r="BI20" s="2">
        <f t="shared" si="54"/>
        <v>154949.50966000004</v>
      </c>
      <c r="BJ20" s="2">
        <f t="shared" si="54"/>
        <v>170444.46062600004</v>
      </c>
      <c r="BK20" s="2">
        <f t="shared" si="54"/>
        <v>187488.90668860005</v>
      </c>
      <c r="BL20" s="2">
        <f t="shared" si="54"/>
        <v>206237.79735746008</v>
      </c>
      <c r="BM20" s="2">
        <f t="shared" si="54"/>
        <v>226861.57709320611</v>
      </c>
      <c r="BN20" s="2">
        <f t="shared" si="54"/>
        <v>249547.73480252674</v>
      </c>
      <c r="BO20" s="2">
        <f t="shared" si="54"/>
        <v>274502.50828277942</v>
      </c>
    </row>
    <row r="21" spans="2:131" x14ac:dyDescent="0.2">
      <c r="B21" s="2" t="s">
        <v>41</v>
      </c>
      <c r="C21" s="2">
        <v>6759</v>
      </c>
      <c r="D21" s="2">
        <v>7247</v>
      </c>
      <c r="E21" s="2">
        <v>7162</v>
      </c>
      <c r="F21" s="2">
        <f>28837-SUM(C21:E21)</f>
        <v>7669</v>
      </c>
      <c r="G21" s="2">
        <v>7927</v>
      </c>
      <c r="H21" s="2">
        <v>9065</v>
      </c>
      <c r="I21" s="2">
        <v>9200</v>
      </c>
      <c r="J21" s="2">
        <f>35931-SUM(G21:I21)</f>
        <v>9739</v>
      </c>
      <c r="K21" s="2">
        <v>9325</v>
      </c>
      <c r="L21" s="2">
        <v>10388</v>
      </c>
      <c r="M21" s="2">
        <v>10976</v>
      </c>
      <c r="N21" s="2">
        <f>42740-SUM(K21:M21)</f>
        <v>12051</v>
      </c>
      <c r="O21" s="2">
        <v>12488</v>
      </c>
      <c r="P21" s="2">
        <v>13871</v>
      </c>
      <c r="Q21" s="2">
        <v>14380</v>
      </c>
      <c r="R21" s="2">
        <f>56052-SUM(O21:Q21)</f>
        <v>15313</v>
      </c>
      <c r="S21" s="2">
        <v>14842</v>
      </c>
      <c r="T21" s="2">
        <v>18072</v>
      </c>
      <c r="U21" s="2">
        <v>19485</v>
      </c>
      <c r="V21" s="2">
        <f>73213-SUM(S21:U21)</f>
        <v>20814</v>
      </c>
      <c r="W21" s="2">
        <v>20450</v>
      </c>
      <c r="X21" s="2">
        <v>21931</v>
      </c>
      <c r="Y21" s="2">
        <v>21203</v>
      </c>
      <c r="Z21" s="2">
        <f>85622-SUM(W21:Y21)</f>
        <v>22038</v>
      </c>
      <c r="AA21" s="2">
        <v>20424</v>
      </c>
      <c r="AB21" s="2">
        <v>22304</v>
      </c>
      <c r="AC21" s="2">
        <v>22245</v>
      </c>
      <c r="AD21" s="2">
        <f>88544-SUM(AA21:AC21)</f>
        <v>23571</v>
      </c>
      <c r="AE21" s="2">
        <v>22994</v>
      </c>
      <c r="AF21" s="2">
        <v>27166</v>
      </c>
      <c r="AG21" s="2">
        <f t="shared" ref="AG21:AG23" si="55">AC21*1.05</f>
        <v>23357.25</v>
      </c>
      <c r="AH21" s="2">
        <f t="shared" si="52"/>
        <v>24749.55</v>
      </c>
      <c r="AK21" s="2">
        <v>451</v>
      </c>
      <c r="AL21" s="2">
        <v>662</v>
      </c>
      <c r="AM21" s="2">
        <v>818</v>
      </c>
      <c r="AN21" s="2">
        <v>1033</v>
      </c>
      <c r="AO21" s="2">
        <v>1240</v>
      </c>
      <c r="AP21" s="2">
        <v>1734</v>
      </c>
      <c r="AQ21" s="2">
        <v>2909</v>
      </c>
      <c r="AR21" s="2">
        <v>4564</v>
      </c>
      <c r="AS21" s="2">
        <v>6565</v>
      </c>
      <c r="AT21" s="2">
        <v>9275</v>
      </c>
      <c r="AU21" s="2">
        <v>12540</v>
      </c>
      <c r="AV21" s="2">
        <v>16085</v>
      </c>
      <c r="AW21" s="2">
        <v>22620</v>
      </c>
      <c r="AX21" s="2">
        <f>SUM(C21:F21)</f>
        <v>28837</v>
      </c>
      <c r="AY21" s="2">
        <f>SUM(G21:J21)</f>
        <v>35931</v>
      </c>
      <c r="AZ21" s="2">
        <f>SUM(K21:N21)</f>
        <v>42740</v>
      </c>
      <c r="BA21" s="2">
        <f>SUM(O21:R21)</f>
        <v>56052</v>
      </c>
      <c r="BB21" s="2">
        <f>SUM(S21:V21)</f>
        <v>73213</v>
      </c>
      <c r="BC21" s="2">
        <f>SUM(W21:Z21)</f>
        <v>85622</v>
      </c>
      <c r="BD21" s="2">
        <f>SUM(AA21:AD21)</f>
        <v>88544</v>
      </c>
      <c r="BE21" s="2">
        <f t="shared" si="53"/>
        <v>98266.8</v>
      </c>
      <c r="BF21" s="2">
        <f>BE21*1.05</f>
        <v>103180.14000000001</v>
      </c>
      <c r="BG21" s="2">
        <f>BF21*1.03</f>
        <v>106275.54420000002</v>
      </c>
      <c r="BH21" s="2">
        <f t="shared" ref="BH21:BO21" si="56">BG21*1.03</f>
        <v>109463.81052600002</v>
      </c>
      <c r="BI21" s="2">
        <f t="shared" si="56"/>
        <v>112747.72484178001</v>
      </c>
      <c r="BJ21" s="2">
        <f t="shared" si="56"/>
        <v>116130.15658703342</v>
      </c>
      <c r="BK21" s="2">
        <f t="shared" si="56"/>
        <v>119614.06128464443</v>
      </c>
      <c r="BL21" s="2">
        <f t="shared" si="56"/>
        <v>123202.48312318376</v>
      </c>
      <c r="BM21" s="2">
        <f t="shared" si="56"/>
        <v>126898.55761687928</v>
      </c>
      <c r="BN21" s="2">
        <f t="shared" si="56"/>
        <v>130705.51434538566</v>
      </c>
      <c r="BO21" s="2">
        <f t="shared" si="56"/>
        <v>134626.67977574724</v>
      </c>
    </row>
    <row r="22" spans="2:131" x14ac:dyDescent="0.2">
      <c r="B22" s="2" t="s">
        <v>42</v>
      </c>
      <c r="C22" s="2">
        <v>2699</v>
      </c>
      <c r="D22" s="2">
        <v>2901</v>
      </c>
      <c r="E22" s="2">
        <v>3303</v>
      </c>
      <c r="F22" s="2">
        <f>13814-SUM(C22:E22)</f>
        <v>4911</v>
      </c>
      <c r="G22" s="2">
        <v>3664</v>
      </c>
      <c r="H22" s="2">
        <v>4291</v>
      </c>
      <c r="I22" s="2">
        <v>4752</v>
      </c>
      <c r="J22" s="2">
        <f>18878-SUM(G22:I22)</f>
        <v>6171</v>
      </c>
      <c r="K22" s="2">
        <v>4828</v>
      </c>
      <c r="L22" s="2">
        <v>4345</v>
      </c>
      <c r="M22" s="2">
        <v>5434</v>
      </c>
      <c r="N22" s="2">
        <f>22008-SUM(K22:M22)</f>
        <v>7401</v>
      </c>
      <c r="O22" s="2">
        <v>6207</v>
      </c>
      <c r="P22" s="2">
        <v>7524</v>
      </c>
      <c r="Q22" s="2">
        <v>8010</v>
      </c>
      <c r="R22" s="2">
        <f>32551-SUM(O22:Q22)</f>
        <v>10810</v>
      </c>
      <c r="S22" s="2">
        <v>8320</v>
      </c>
      <c r="T22" s="2">
        <v>10086</v>
      </c>
      <c r="U22" s="2">
        <v>11014</v>
      </c>
      <c r="V22" s="2">
        <f>42238-SUM(S22:U22)</f>
        <v>12818</v>
      </c>
      <c r="W22" s="2">
        <v>10172</v>
      </c>
      <c r="X22" s="2">
        <v>10745</v>
      </c>
      <c r="Y22" s="2">
        <v>10551</v>
      </c>
      <c r="Z22" s="2">
        <f>43907-SUM(W22:Y22)</f>
        <v>12439</v>
      </c>
      <c r="AA22" s="2">
        <v>9662</v>
      </c>
      <c r="AB22" s="2">
        <v>10512</v>
      </c>
      <c r="AC22" s="2">
        <v>10609</v>
      </c>
      <c r="AD22" s="2">
        <f>43907-SUM(AA22:AC22)</f>
        <v>13124</v>
      </c>
      <c r="AE22" s="2">
        <v>9763</v>
      </c>
      <c r="AF22" s="2">
        <v>11416</v>
      </c>
      <c r="AG22" s="2">
        <f t="shared" si="55"/>
        <v>11139.45</v>
      </c>
      <c r="AH22" s="2">
        <f t="shared" si="52"/>
        <v>13780.2</v>
      </c>
      <c r="AK22" s="2">
        <v>198</v>
      </c>
      <c r="AL22" s="2">
        <v>263</v>
      </c>
      <c r="AM22" s="2">
        <v>344</v>
      </c>
      <c r="AN22" s="2">
        <v>482</v>
      </c>
      <c r="AO22" s="2">
        <v>680</v>
      </c>
      <c r="AP22" s="2">
        <v>1029</v>
      </c>
      <c r="AQ22" s="2">
        <v>1630</v>
      </c>
      <c r="AR22" s="2">
        <v>2408</v>
      </c>
      <c r="AS22" s="2">
        <v>3133</v>
      </c>
      <c r="AT22" s="2">
        <v>4332</v>
      </c>
      <c r="AU22" s="2">
        <v>5254</v>
      </c>
      <c r="AV22" s="2">
        <v>7233</v>
      </c>
      <c r="AW22" s="2">
        <v>10069</v>
      </c>
      <c r="AX22" s="2">
        <f>SUM(C22:F22)</f>
        <v>13814</v>
      </c>
      <c r="AY22" s="2">
        <f>SUM(G22:J22)</f>
        <v>18878</v>
      </c>
      <c r="AZ22" s="2">
        <f>SUM(K22:N22)</f>
        <v>22008</v>
      </c>
      <c r="BA22" s="2">
        <f>SUM(O22:R22)</f>
        <v>32551</v>
      </c>
      <c r="BB22" s="2">
        <f>SUM(S22:V22)</f>
        <v>42238</v>
      </c>
      <c r="BC22" s="2">
        <f>SUM(W22:Z22)</f>
        <v>43907</v>
      </c>
      <c r="BD22" s="2">
        <f>SUM(AA22:AD22)</f>
        <v>43907</v>
      </c>
      <c r="BE22" s="2">
        <f t="shared" si="53"/>
        <v>46098.65</v>
      </c>
      <c r="BF22" s="2">
        <f t="shared" ref="BF22:BF23" si="57">BE22*1.05</f>
        <v>48403.582500000004</v>
      </c>
      <c r="BG22" s="2">
        <f>BF22*1.03</f>
        <v>49855.689975000008</v>
      </c>
      <c r="BH22" s="2">
        <f t="shared" ref="BH22" si="58">BG22*1.03</f>
        <v>51351.360674250012</v>
      </c>
      <c r="BI22" s="2">
        <f t="shared" ref="BI22:BO22" si="59">BH22*1.03</f>
        <v>52891.901494477512</v>
      </c>
      <c r="BJ22" s="2">
        <f t="shared" si="59"/>
        <v>54478.658539311837</v>
      </c>
      <c r="BK22" s="2">
        <f t="shared" si="59"/>
        <v>56113.018295491194</v>
      </c>
      <c r="BL22" s="2">
        <f t="shared" si="59"/>
        <v>57796.40884435593</v>
      </c>
      <c r="BM22" s="2">
        <f t="shared" si="59"/>
        <v>59530.30110968661</v>
      </c>
      <c r="BN22" s="2">
        <f t="shared" si="59"/>
        <v>61316.210142977208</v>
      </c>
      <c r="BO22" s="2">
        <f t="shared" si="59"/>
        <v>63155.696447266528</v>
      </c>
    </row>
    <row r="23" spans="2:131" x14ac:dyDescent="0.2">
      <c r="B23" s="2" t="s">
        <v>43</v>
      </c>
      <c r="C23" s="2">
        <v>1067</v>
      </c>
      <c r="D23" s="2">
        <v>1111</v>
      </c>
      <c r="E23" s="2">
        <v>1041</v>
      </c>
      <c r="F23" s="2">
        <f>4336-SUM(C23:E23)</f>
        <v>1117</v>
      </c>
      <c r="G23" s="2">
        <v>1173</v>
      </c>
      <c r="H23" s="2">
        <v>1270</v>
      </c>
      <c r="I23" s="2">
        <v>1348</v>
      </c>
      <c r="J23" s="2">
        <f>5203-SUM(G23:I23)</f>
        <v>1412</v>
      </c>
      <c r="K23" s="2">
        <v>1452</v>
      </c>
      <c r="L23" s="2">
        <v>1580</v>
      </c>
      <c r="M23" s="2">
        <v>1668</v>
      </c>
      <c r="N23" s="2">
        <f>6668-SUM(K23:M23)</f>
        <v>1968</v>
      </c>
      <c r="O23" s="2">
        <v>1987</v>
      </c>
      <c r="P23" s="2">
        <v>2158</v>
      </c>
      <c r="Q23" s="2">
        <v>2153</v>
      </c>
      <c r="R23" s="2">
        <f>8823-SUM(O23:Q23)</f>
        <v>2525</v>
      </c>
      <c r="S23" s="2">
        <v>2594</v>
      </c>
      <c r="T23" s="2">
        <v>2903</v>
      </c>
      <c r="U23" s="2">
        <v>3061</v>
      </c>
      <c r="V23" s="2">
        <f>11891-SUM(S23:U23)</f>
        <v>3333</v>
      </c>
      <c r="W23" s="2">
        <v>3043</v>
      </c>
      <c r="X23" s="2">
        <v>3202</v>
      </c>
      <c r="Y23" s="2">
        <v>2561</v>
      </c>
      <c r="Z23" s="2">
        <f>11359-SUM(W23:Y23)</f>
        <v>2553</v>
      </c>
      <c r="AA23" s="2">
        <v>2742</v>
      </c>
      <c r="AB23" s="2">
        <v>3041</v>
      </c>
      <c r="AC23" s="2">
        <v>2713</v>
      </c>
      <c r="AD23" s="2">
        <f>11359-SUM(AA23:AC23)</f>
        <v>2863</v>
      </c>
      <c r="AE23" s="2">
        <v>2628</v>
      </c>
      <c r="AF23" s="2">
        <v>2965</v>
      </c>
      <c r="AG23" s="2">
        <f t="shared" si="55"/>
        <v>2848.65</v>
      </c>
      <c r="AH23" s="2">
        <f t="shared" si="52"/>
        <v>3006.15</v>
      </c>
      <c r="AK23" s="2">
        <v>166</v>
      </c>
      <c r="AL23" s="2">
        <v>195</v>
      </c>
      <c r="AM23" s="2">
        <v>235</v>
      </c>
      <c r="AN23" s="2">
        <v>279</v>
      </c>
      <c r="AO23" s="2">
        <v>328</v>
      </c>
      <c r="AP23" s="2">
        <v>470</v>
      </c>
      <c r="AQ23" s="2">
        <v>658</v>
      </c>
      <c r="AR23" s="2">
        <v>896</v>
      </c>
      <c r="AS23" s="2">
        <v>1129</v>
      </c>
      <c r="AT23" s="2">
        <v>1552</v>
      </c>
      <c r="AU23" s="2">
        <v>1747</v>
      </c>
      <c r="AV23" s="2">
        <v>2432</v>
      </c>
      <c r="AW23" s="2">
        <v>3674</v>
      </c>
      <c r="AX23" s="2">
        <f>SUM(C23:F23)</f>
        <v>4336</v>
      </c>
      <c r="AY23" s="2">
        <f>SUM(G23:J23)</f>
        <v>5203</v>
      </c>
      <c r="AZ23" s="2">
        <f>SUM(K23:N23)</f>
        <v>6668</v>
      </c>
      <c r="BA23" s="2">
        <f>SUM(O23:R23)</f>
        <v>8823</v>
      </c>
      <c r="BB23" s="2">
        <f>SUM(S23:V23)</f>
        <v>11891</v>
      </c>
      <c r="BC23" s="2">
        <f>SUM(W23:Z23)</f>
        <v>11359</v>
      </c>
      <c r="BD23" s="2">
        <f>SUM(AA23:AD23)</f>
        <v>11359</v>
      </c>
      <c r="BE23" s="2">
        <f t="shared" si="53"/>
        <v>11447.8</v>
      </c>
      <c r="BF23" s="2">
        <f t="shared" si="57"/>
        <v>12020.19</v>
      </c>
      <c r="BG23" s="2">
        <f>BF23*1.03</f>
        <v>12380.795700000001</v>
      </c>
      <c r="BH23" s="2">
        <f t="shared" ref="BH23" si="60">BG23*1.03</f>
        <v>12752.219571000001</v>
      </c>
      <c r="BI23" s="2">
        <f t="shared" ref="BI23:BO23" si="61">BH23*1.03</f>
        <v>13134.786158130002</v>
      </c>
      <c r="BJ23" s="2">
        <f t="shared" si="61"/>
        <v>13528.829742873902</v>
      </c>
      <c r="BK23" s="2">
        <f t="shared" si="61"/>
        <v>13934.69463516012</v>
      </c>
      <c r="BL23" s="2">
        <f t="shared" si="61"/>
        <v>14352.735474214924</v>
      </c>
      <c r="BM23" s="2">
        <f t="shared" si="61"/>
        <v>14783.317538441372</v>
      </c>
      <c r="BN23" s="2">
        <f t="shared" si="61"/>
        <v>15226.817064594614</v>
      </c>
      <c r="BO23" s="2">
        <f t="shared" si="61"/>
        <v>15683.621576532452</v>
      </c>
    </row>
    <row r="24" spans="2:131" x14ac:dyDescent="0.2">
      <c r="B24" s="2" t="s">
        <v>44</v>
      </c>
      <c r="C24" s="2">
        <f t="shared" ref="C24" si="62">SUM(C21:C23)</f>
        <v>10525</v>
      </c>
      <c r="D24" s="2">
        <f t="shared" ref="D24" si="63">SUM(D21:D23)</f>
        <v>11259</v>
      </c>
      <c r="E24" s="2">
        <f t="shared" ref="E24" si="64">SUM(E21:E23)</f>
        <v>11506</v>
      </c>
      <c r="F24" s="2">
        <f>SUM(F21:F23)</f>
        <v>13697</v>
      </c>
      <c r="G24" s="2">
        <f t="shared" ref="G24:M24" si="65">SUM(G21:G23)</f>
        <v>12764</v>
      </c>
      <c r="H24" s="2">
        <f t="shared" si="65"/>
        <v>14626</v>
      </c>
      <c r="I24" s="2">
        <f t="shared" si="65"/>
        <v>15300</v>
      </c>
      <c r="J24" s="2">
        <f>SUM(J21:J23)</f>
        <v>17322</v>
      </c>
      <c r="K24" s="2">
        <f t="shared" si="65"/>
        <v>15605</v>
      </c>
      <c r="L24" s="2">
        <f t="shared" si="65"/>
        <v>16313</v>
      </c>
      <c r="M24" s="2">
        <f t="shared" si="65"/>
        <v>18078</v>
      </c>
      <c r="N24" s="2">
        <f>SUM(N21:N23)</f>
        <v>21420</v>
      </c>
      <c r="O24" s="2">
        <f t="shared" ref="O24:AF24" si="66">SUM(O21:O23)</f>
        <v>20682</v>
      </c>
      <c r="P24" s="2">
        <f t="shared" si="66"/>
        <v>23553</v>
      </c>
      <c r="Q24" s="2">
        <f t="shared" si="66"/>
        <v>24543</v>
      </c>
      <c r="R24" s="2">
        <f t="shared" si="66"/>
        <v>28648</v>
      </c>
      <c r="S24" s="2">
        <f t="shared" si="66"/>
        <v>25756</v>
      </c>
      <c r="T24" s="2">
        <f t="shared" si="66"/>
        <v>31061</v>
      </c>
      <c r="U24" s="2">
        <f t="shared" si="66"/>
        <v>33560</v>
      </c>
      <c r="V24" s="2">
        <f t="shared" si="66"/>
        <v>36965</v>
      </c>
      <c r="W24" s="2">
        <f t="shared" si="66"/>
        <v>33665</v>
      </c>
      <c r="X24" s="2">
        <f t="shared" si="66"/>
        <v>35878</v>
      </c>
      <c r="Y24" s="2">
        <f t="shared" si="66"/>
        <v>34315</v>
      </c>
      <c r="Z24" s="2">
        <f t="shared" si="66"/>
        <v>37030</v>
      </c>
      <c r="AA24" s="2">
        <f t="shared" si="66"/>
        <v>32828</v>
      </c>
      <c r="AB24" s="2">
        <f t="shared" si="66"/>
        <v>35857</v>
      </c>
      <c r="AC24" s="2">
        <f t="shared" si="66"/>
        <v>35567</v>
      </c>
      <c r="AD24" s="2">
        <f t="shared" si="66"/>
        <v>39558</v>
      </c>
      <c r="AE24" s="2">
        <f t="shared" si="66"/>
        <v>35385</v>
      </c>
      <c r="AF24" s="2">
        <f t="shared" si="66"/>
        <v>41547</v>
      </c>
      <c r="AG24" s="2">
        <f t="shared" ref="AG24" si="67">SUM(AG21:AG23)</f>
        <v>37345.35</v>
      </c>
      <c r="AH24" s="2">
        <f t="shared" ref="AH24" si="68">SUM(AH21:AH23)</f>
        <v>41535.9</v>
      </c>
      <c r="AK24" s="2">
        <f>47+SUM(AK21:AK23)</f>
        <v>862</v>
      </c>
      <c r="AL24" s="2">
        <f>10+SUM(AL21:AL23)</f>
        <v>1130</v>
      </c>
      <c r="AM24" s="2">
        <f>9+SUM(AM21:AM23)</f>
        <v>1406</v>
      </c>
      <c r="AN24" s="2">
        <f>-24+SUM(AN21:AN23)</f>
        <v>1770</v>
      </c>
      <c r="AO24" s="2">
        <f>102+SUM(AO21:AO23)</f>
        <v>2350</v>
      </c>
      <c r="AP24" s="2">
        <f>106+SUM(AP21:AP23)</f>
        <v>3339</v>
      </c>
      <c r="AQ24" s="2">
        <f>154+SUM(AQ21:AQ23)</f>
        <v>5351</v>
      </c>
      <c r="AR24" s="2">
        <f>159+SUM(AR21:AR23)</f>
        <v>8027</v>
      </c>
      <c r="AS24" s="2">
        <f>114+SUM(AS21:AS23)</f>
        <v>10941</v>
      </c>
      <c r="AT24" s="2">
        <f>133+SUM(AT21:AT23)</f>
        <v>15292</v>
      </c>
      <c r="AU24" s="2">
        <f>171+SUM(AU21:AU23)</f>
        <v>19712</v>
      </c>
      <c r="AV24" s="2">
        <f>167+SUM(AV21:AV23)</f>
        <v>25917</v>
      </c>
      <c r="AW24" s="2">
        <f>214+SUM(AW21:AW23)</f>
        <v>36577</v>
      </c>
      <c r="AX24" s="2">
        <f t="shared" ref="AX24" si="69">SUM(AX21:AX23)</f>
        <v>46987</v>
      </c>
      <c r="AY24" s="2">
        <f t="shared" ref="AY24" si="70">SUM(AY21:AY23)</f>
        <v>60012</v>
      </c>
      <c r="AZ24" s="2">
        <f t="shared" ref="AZ24" si="71">SUM(AZ21:AZ23)</f>
        <v>71416</v>
      </c>
      <c r="BA24" s="2">
        <f t="shared" ref="BA24" si="72">SUM(BA21:BA23)</f>
        <v>97426</v>
      </c>
      <c r="BB24" s="2">
        <f t="shared" ref="BB24" si="73">SUM(BB21:BB23)</f>
        <v>127342</v>
      </c>
      <c r="BC24" s="2">
        <f t="shared" ref="BC24" si="74">SUM(BC21:BC23)</f>
        <v>140888</v>
      </c>
      <c r="BD24" s="2">
        <f t="shared" ref="BD24" si="75">SUM(BD21:BD23)</f>
        <v>143810</v>
      </c>
      <c r="BE24" s="2">
        <f t="shared" ref="BE24:BF24" si="76">SUM(BE21:BE23)</f>
        <v>155813.25</v>
      </c>
      <c r="BF24" s="2">
        <f t="shared" si="76"/>
        <v>163603.91250000003</v>
      </c>
      <c r="BG24" s="2">
        <f t="shared" ref="BG24:BJ24" si="77">SUM(BG21:BG23)</f>
        <v>168512.02987500001</v>
      </c>
      <c r="BH24" s="2">
        <f t="shared" si="77"/>
        <v>173567.39077125004</v>
      </c>
      <c r="BI24" s="2">
        <f t="shared" si="77"/>
        <v>178774.41249438754</v>
      </c>
      <c r="BJ24" s="2">
        <f t="shared" si="77"/>
        <v>184137.64486921916</v>
      </c>
      <c r="BK24" s="2">
        <f t="shared" ref="BK24:BO24" si="78">SUM(BK21:BK23)</f>
        <v>189661.77421529574</v>
      </c>
      <c r="BL24" s="2">
        <f t="shared" si="78"/>
        <v>195351.62744175459</v>
      </c>
      <c r="BM24" s="2">
        <f t="shared" si="78"/>
        <v>201212.17626500726</v>
      </c>
      <c r="BN24" s="2">
        <f t="shared" si="78"/>
        <v>207248.5415529575</v>
      </c>
      <c r="BO24" s="2">
        <f t="shared" si="78"/>
        <v>213465.99779954622</v>
      </c>
    </row>
    <row r="25" spans="2:131" x14ac:dyDescent="0.2">
      <c r="B25" s="2" t="s">
        <v>45</v>
      </c>
      <c r="C25" s="2">
        <f t="shared" ref="C25" si="79">C19-C24</f>
        <v>1990</v>
      </c>
      <c r="D25" s="2">
        <f t="shared" ref="D25" si="80">D19-D24</f>
        <v>3063</v>
      </c>
      <c r="E25" s="2">
        <f t="shared" ref="E25" si="81">E19-E24</f>
        <v>3792</v>
      </c>
      <c r="F25" s="2">
        <f>F19-F24</f>
        <v>3872</v>
      </c>
      <c r="G25" s="2">
        <f t="shared" ref="G25:M25" si="82">G19-G24</f>
        <v>4415</v>
      </c>
      <c r="H25" s="2">
        <f t="shared" si="82"/>
        <v>3170</v>
      </c>
      <c r="I25" s="2">
        <f t="shared" si="82"/>
        <v>3212</v>
      </c>
      <c r="J25" s="2">
        <f>J19-J24</f>
        <v>3945</v>
      </c>
      <c r="K25" s="2">
        <f t="shared" si="82"/>
        <v>4059</v>
      </c>
      <c r="L25" s="2">
        <f t="shared" si="82"/>
        <v>6133</v>
      </c>
      <c r="M25" s="2">
        <f t="shared" si="82"/>
        <v>6256</v>
      </c>
      <c r="N25" s="2">
        <f>N19-N24</f>
        <v>6376</v>
      </c>
      <c r="O25" s="2">
        <f t="shared" ref="O25:AF25" si="83">O19-O24</f>
        <v>8903</v>
      </c>
      <c r="P25" s="2">
        <f t="shared" si="83"/>
        <v>7713</v>
      </c>
      <c r="Q25" s="2">
        <f t="shared" si="83"/>
        <v>4841</v>
      </c>
      <c r="R25" s="2">
        <f t="shared" si="83"/>
        <v>3484</v>
      </c>
      <c r="S25" s="2">
        <f t="shared" si="83"/>
        <v>3918</v>
      </c>
      <c r="T25" s="2">
        <f t="shared" si="83"/>
        <v>3407</v>
      </c>
      <c r="U25" s="2">
        <f t="shared" si="83"/>
        <v>2690</v>
      </c>
      <c r="V25" s="2">
        <f>V19-V24-759</f>
        <v>2737</v>
      </c>
      <c r="W25" s="2">
        <f t="shared" si="83"/>
        <v>4997</v>
      </c>
      <c r="X25" s="2">
        <f t="shared" si="83"/>
        <v>7827</v>
      </c>
      <c r="Y25" s="2">
        <f t="shared" si="83"/>
        <v>11432</v>
      </c>
      <c r="Z25" s="2">
        <f t="shared" si="83"/>
        <v>14283</v>
      </c>
      <c r="AA25" s="2">
        <f t="shared" si="83"/>
        <v>15535</v>
      </c>
      <c r="AB25" s="2">
        <f t="shared" si="83"/>
        <v>14779</v>
      </c>
      <c r="AC25" s="2">
        <f t="shared" si="83"/>
        <v>17673</v>
      </c>
      <c r="AD25" s="2">
        <f t="shared" si="83"/>
        <v>21369</v>
      </c>
      <c r="AE25" s="2">
        <f t="shared" si="83"/>
        <v>18713</v>
      </c>
      <c r="AF25" s="2">
        <f t="shared" si="83"/>
        <v>19370</v>
      </c>
      <c r="AG25" s="2">
        <f t="shared" ref="AG25" si="84">AG19-AG24</f>
        <v>22782.959999999999</v>
      </c>
      <c r="AH25" s="2">
        <f t="shared" ref="AH25" si="85">AH19-AH24</f>
        <v>27066.360000000022</v>
      </c>
      <c r="AK25" s="2">
        <f>AK19-AK24+26</f>
        <v>458</v>
      </c>
      <c r="AL25" s="2">
        <f t="shared" ref="AL25" si="86">AL19-AL24</f>
        <v>389</v>
      </c>
      <c r="AM25" s="2">
        <f t="shared" ref="AM25:AN25" si="87">AM19-AM24</f>
        <v>655</v>
      </c>
      <c r="AN25" s="2">
        <f t="shared" si="87"/>
        <v>842</v>
      </c>
      <c r="AO25" s="2">
        <f t="shared" ref="AO25:AW25" si="88">AO19-AO24</f>
        <v>1129</v>
      </c>
      <c r="AP25" s="2">
        <f t="shared" si="88"/>
        <v>1406</v>
      </c>
      <c r="AQ25" s="2">
        <f t="shared" si="88"/>
        <v>862</v>
      </c>
      <c r="AR25" s="2">
        <f t="shared" si="88"/>
        <v>676</v>
      </c>
      <c r="AS25" s="2">
        <f t="shared" si="88"/>
        <v>745</v>
      </c>
      <c r="AT25" s="2">
        <f t="shared" si="88"/>
        <v>178</v>
      </c>
      <c r="AU25" s="2">
        <f t="shared" si="88"/>
        <v>2233</v>
      </c>
      <c r="AV25" s="2">
        <f t="shared" si="88"/>
        <v>4186</v>
      </c>
      <c r="AW25" s="2">
        <f t="shared" si="88"/>
        <v>4106</v>
      </c>
      <c r="AX25" s="2">
        <f t="shared" ref="AX25" si="89">AX19-AX24</f>
        <v>12717</v>
      </c>
      <c r="AY25" s="2">
        <f t="shared" ref="AY25" si="90">AY19-AY24</f>
        <v>14742</v>
      </c>
      <c r="AZ25" s="2">
        <f t="shared" ref="AZ25" si="91">AZ19-AZ24</f>
        <v>22824</v>
      </c>
      <c r="BA25" s="2">
        <f t="shared" ref="BA25" si="92">BA19-BA24</f>
        <v>24941</v>
      </c>
      <c r="BB25" s="2">
        <f t="shared" ref="BB25" si="93">BB19-BB24</f>
        <v>13511</v>
      </c>
      <c r="BC25" s="2">
        <f t="shared" ref="BC25" si="94">BC19-BC24</f>
        <v>38539</v>
      </c>
      <c r="BD25" s="2">
        <f t="shared" ref="BD25" si="95">BD19-BD24</f>
        <v>69356</v>
      </c>
      <c r="BE25" s="2">
        <f t="shared" ref="BE25:BF25" si="96">BE19-BE24</f>
        <v>87932.319999999861</v>
      </c>
      <c r="BF25" s="2">
        <f t="shared" si="96"/>
        <v>111093.1474999999</v>
      </c>
      <c r="BG25" s="2">
        <f t="shared" ref="BG25:BJ25" si="97">BG19-BG24</f>
        <v>121045.89350500004</v>
      </c>
      <c r="BH25" s="2">
        <f t="shared" si="97"/>
        <v>131328.77491715018</v>
      </c>
      <c r="BI25" s="2">
        <f t="shared" si="97"/>
        <v>141904.41573088453</v>
      </c>
      <c r="BJ25" s="2">
        <f t="shared" si="97"/>
        <v>157924.42412175471</v>
      </c>
      <c r="BK25" s="2">
        <f t="shared" ref="BK25:BO25" si="98">BK19-BK24</f>
        <v>175119.076936381</v>
      </c>
      <c r="BL25" s="2">
        <f t="shared" si="98"/>
        <v>193557.5577720688</v>
      </c>
      <c r="BM25" s="2">
        <f t="shared" si="98"/>
        <v>213311.96408718065</v>
      </c>
      <c r="BN25" s="2">
        <f t="shared" si="98"/>
        <v>234457.29923291702</v>
      </c>
      <c r="BO25" s="2">
        <f t="shared" si="98"/>
        <v>257071.44264407962</v>
      </c>
    </row>
    <row r="26" spans="2:131" x14ac:dyDescent="0.2">
      <c r="B26" s="2" t="s">
        <v>46</v>
      </c>
      <c r="C26" s="2">
        <f>-63+80-330+239</f>
        <v>-74</v>
      </c>
      <c r="D26" s="2">
        <f>-80+94-343-129</f>
        <v>-458</v>
      </c>
      <c r="E26" s="2">
        <f>-68+117-358-93</f>
        <v>-402</v>
      </c>
      <c r="F26" s="2">
        <f>-296+440-1417-183-SUM(C26:E26)</f>
        <v>-522</v>
      </c>
      <c r="G26" s="2">
        <f>5+183-366+164</f>
        <v>-14</v>
      </c>
      <c r="H26" s="2">
        <f>-86+215-383-27</f>
        <v>-281</v>
      </c>
      <c r="I26" s="2">
        <f>-55+224-396-353</f>
        <v>-580</v>
      </c>
      <c r="J26" s="2">
        <f>-201+832-1600+203-SUM(G26:I26)</f>
        <v>109</v>
      </c>
      <c r="K26" s="2">
        <f>-70+202-402-406</f>
        <v>-676</v>
      </c>
      <c r="L26" s="2">
        <f>-290+135-403+646</f>
        <v>88</v>
      </c>
      <c r="M26" s="2">
        <f>-62+118-428+925</f>
        <v>553</v>
      </c>
      <c r="N26" s="2">
        <f>75+555-1647+2371-SUM(K26:M26)</f>
        <v>1389</v>
      </c>
      <c r="O26" s="2">
        <f>-38+105-399+1697</f>
        <v>1365</v>
      </c>
      <c r="P26" s="2">
        <f>-11+106-435+1261</f>
        <v>921</v>
      </c>
      <c r="Q26" s="2">
        <f>11+119-493-163</f>
        <v>-526</v>
      </c>
      <c r="R26" s="2">
        <f>-62+448-1809+14633-SUM(O26:Q26)</f>
        <v>11450</v>
      </c>
      <c r="S26" s="2">
        <f>108-249-8934</f>
        <v>-9075</v>
      </c>
      <c r="T26" s="2">
        <f>159-584</f>
        <v>-425</v>
      </c>
      <c r="U26" s="2">
        <f>-165+277-617+759</f>
        <v>254</v>
      </c>
      <c r="V26" s="2">
        <f>-694+445-3450</f>
        <v>-3699</v>
      </c>
      <c r="W26" s="2">
        <f>-223+611-823-443</f>
        <v>-878</v>
      </c>
      <c r="X26" s="2">
        <f>-146+661-840+61</f>
        <v>-264</v>
      </c>
      <c r="Y26" s="2">
        <f>-244+776-806+1031</f>
        <v>757</v>
      </c>
      <c r="Z26" s="2">
        <f>763+4677-2406-2250-SUM(W26:Y26)</f>
        <v>1169</v>
      </c>
      <c r="AA26" s="2">
        <f>-228+993-644-2673</f>
        <v>-2552</v>
      </c>
      <c r="AB26" s="2">
        <f>-97+1180-589-18</f>
        <v>476</v>
      </c>
      <c r="AC26" s="2">
        <f>-262+1256-603-27</f>
        <v>364</v>
      </c>
      <c r="AD26" s="2">
        <f>-763+4677-2406-2250-SUM(AA26:AC26)</f>
        <v>970</v>
      </c>
      <c r="AE26" s="2">
        <f>-308+1066-541+2749</f>
        <v>2966</v>
      </c>
      <c r="AF26" s="2">
        <f>-516-199+1117+1085</f>
        <v>1487</v>
      </c>
      <c r="AG26" s="2">
        <f>-516-199+1117+1085</f>
        <v>1487</v>
      </c>
      <c r="AH26" s="2">
        <f>-516-199+1117+1085</f>
        <v>1487</v>
      </c>
      <c r="AK26" s="2">
        <f>44-92+2+42</f>
        <v>-4</v>
      </c>
      <c r="AL26" s="2">
        <f>59-78-4+11</f>
        <v>-12</v>
      </c>
      <c r="AM26" s="2">
        <f>90-77-1-7</f>
        <v>5</v>
      </c>
      <c r="AN26" s="2">
        <f>83-71+47</f>
        <v>59</v>
      </c>
      <c r="AO26" s="2">
        <f>37-34+29</f>
        <v>32</v>
      </c>
      <c r="AP26" s="2">
        <f>51-39+79</f>
        <v>91</v>
      </c>
      <c r="AQ26" s="2">
        <f>61-65+76</f>
        <v>72</v>
      </c>
      <c r="AR26" s="2">
        <f>40-92-80</f>
        <v>-132</v>
      </c>
      <c r="AS26" s="2">
        <f>38-141-136</f>
        <v>-239</v>
      </c>
      <c r="AT26" s="2">
        <f>39-210-118</f>
        <v>-289</v>
      </c>
      <c r="AU26" s="2">
        <f>50-459-256</f>
        <v>-665</v>
      </c>
      <c r="AV26" s="2">
        <f>100-484+90</f>
        <v>-294</v>
      </c>
      <c r="AW26" s="2">
        <f>202-848+346</f>
        <v>-300</v>
      </c>
      <c r="AX26" s="2">
        <f>SUM(C26:F26)</f>
        <v>-1456</v>
      </c>
      <c r="AY26" s="2">
        <f>SUM(G26:J26)</f>
        <v>-766</v>
      </c>
      <c r="AZ26" s="2">
        <f>SUM(K26:N26)</f>
        <v>1354</v>
      </c>
      <c r="BA26" s="2">
        <f>SUM(O26:R26)</f>
        <v>13210</v>
      </c>
      <c r="BB26" s="2">
        <f>SUM(S26:V26)</f>
        <v>-12945</v>
      </c>
      <c r="BC26" s="2">
        <f>SUM(W26:Z26)</f>
        <v>784</v>
      </c>
      <c r="BD26" s="2">
        <f>SUM(AA26:AD26)</f>
        <v>-742</v>
      </c>
      <c r="BE26" s="2">
        <f>BD47*$BI$52</f>
        <v>485.79</v>
      </c>
      <c r="BF26" s="2">
        <f>BE47*$BI$52</f>
        <v>1218.2861199999986</v>
      </c>
      <c r="BG26" s="2">
        <f t="shared" ref="BG26:BJ26" si="99">BF47*$BI$52</f>
        <v>2182.1312271999977</v>
      </c>
      <c r="BH26" s="2">
        <f t="shared" si="99"/>
        <v>3247.1787840719976</v>
      </c>
      <c r="BI26" s="2">
        <f t="shared" si="99"/>
        <v>4417.3439961117192</v>
      </c>
      <c r="BJ26" s="2">
        <f t="shared" si="99"/>
        <v>5696.1875521605571</v>
      </c>
      <c r="BK26" s="2">
        <f t="shared" ref="BK26:BO26" si="100">BJ47*$BI$52</f>
        <v>7138.8009256175283</v>
      </c>
      <c r="BL26" s="2">
        <f t="shared" si="100"/>
        <v>8758.1073237912224</v>
      </c>
      <c r="BM26" s="2">
        <f t="shared" si="100"/>
        <v>10567.827975281216</v>
      </c>
      <c r="BN26" s="2">
        <f t="shared" si="100"/>
        <v>12582.518096463798</v>
      </c>
      <c r="BO26" s="2">
        <f t="shared" si="100"/>
        <v>14817.603080343471</v>
      </c>
    </row>
    <row r="27" spans="2:131" x14ac:dyDescent="0.2">
      <c r="B27" s="2" t="s">
        <v>47</v>
      </c>
      <c r="C27" s="2">
        <f t="shared" ref="C27" si="101">SUM(C25:C26)</f>
        <v>1916</v>
      </c>
      <c r="D27" s="2">
        <f t="shared" ref="D27" si="102">SUM(D25:D26)</f>
        <v>2605</v>
      </c>
      <c r="E27" s="2">
        <f t="shared" ref="E27" si="103">SUM(E25:E26)</f>
        <v>3390</v>
      </c>
      <c r="F27" s="2">
        <f>SUM(F25:F26)</f>
        <v>3350</v>
      </c>
      <c r="G27" s="2">
        <f t="shared" ref="G27:M27" si="104">SUM(G25:G26)</f>
        <v>4401</v>
      </c>
      <c r="H27" s="2">
        <f t="shared" si="104"/>
        <v>2889</v>
      </c>
      <c r="I27" s="2">
        <f t="shared" si="104"/>
        <v>2632</v>
      </c>
      <c r="J27" s="2">
        <f>SUM(J25:J26)</f>
        <v>4054</v>
      </c>
      <c r="K27" s="2">
        <f t="shared" si="104"/>
        <v>3383</v>
      </c>
      <c r="L27" s="2">
        <f t="shared" si="104"/>
        <v>6221</v>
      </c>
      <c r="M27" s="2">
        <f t="shared" si="104"/>
        <v>6809</v>
      </c>
      <c r="N27" s="2">
        <f>SUM(N25:N26)</f>
        <v>7765</v>
      </c>
      <c r="O27" s="2">
        <f t="shared" ref="O27:AG27" si="105">SUM(O25:O26)</f>
        <v>10268</v>
      </c>
      <c r="P27" s="2">
        <f t="shared" si="105"/>
        <v>8634</v>
      </c>
      <c r="Q27" s="2">
        <f t="shared" si="105"/>
        <v>4315</v>
      </c>
      <c r="R27" s="2">
        <f t="shared" si="105"/>
        <v>14934</v>
      </c>
      <c r="S27" s="2">
        <f t="shared" si="105"/>
        <v>-5157</v>
      </c>
      <c r="T27" s="2">
        <f t="shared" si="105"/>
        <v>2982</v>
      </c>
      <c r="U27" s="2">
        <f t="shared" si="105"/>
        <v>2944</v>
      </c>
      <c r="V27" s="2">
        <f t="shared" si="105"/>
        <v>-962</v>
      </c>
      <c r="W27" s="2">
        <f t="shared" si="105"/>
        <v>4119</v>
      </c>
      <c r="X27" s="2">
        <f t="shared" si="105"/>
        <v>7563</v>
      </c>
      <c r="Y27" s="2">
        <f t="shared" si="105"/>
        <v>12189</v>
      </c>
      <c r="Z27" s="2">
        <f t="shared" si="105"/>
        <v>15452</v>
      </c>
      <c r="AA27" s="2">
        <f t="shared" si="105"/>
        <v>12983</v>
      </c>
      <c r="AB27" s="2">
        <f t="shared" si="105"/>
        <v>15255</v>
      </c>
      <c r="AC27" s="2">
        <f t="shared" si="105"/>
        <v>18037</v>
      </c>
      <c r="AD27" s="2">
        <f t="shared" si="105"/>
        <v>22339</v>
      </c>
      <c r="AE27" s="2">
        <f t="shared" si="105"/>
        <v>21679</v>
      </c>
      <c r="AF27" s="2">
        <f t="shared" si="105"/>
        <v>20857</v>
      </c>
      <c r="AG27" s="2">
        <f t="shared" si="105"/>
        <v>24269.96</v>
      </c>
      <c r="AH27" s="2">
        <f t="shared" ref="AH27" si="106">SUM(AH25:AH26)</f>
        <v>28553.360000000022</v>
      </c>
      <c r="AK27" s="2">
        <f t="shared" ref="AK27:AL27" si="107">SUM(AK25:AK26)</f>
        <v>454</v>
      </c>
      <c r="AL27" s="2">
        <f t="shared" si="107"/>
        <v>377</v>
      </c>
      <c r="AM27" s="2">
        <f t="shared" ref="AM27:AN27" si="108">SUM(AM25:AM26)</f>
        <v>660</v>
      </c>
      <c r="AN27" s="2">
        <f t="shared" si="108"/>
        <v>901</v>
      </c>
      <c r="AO27" s="2">
        <f t="shared" ref="AO27:AW27" si="109">SUM(AO25:AO26)</f>
        <v>1161</v>
      </c>
      <c r="AP27" s="2">
        <f t="shared" si="109"/>
        <v>1497</v>
      </c>
      <c r="AQ27" s="2">
        <f t="shared" si="109"/>
        <v>934</v>
      </c>
      <c r="AR27" s="2">
        <f t="shared" si="109"/>
        <v>544</v>
      </c>
      <c r="AS27" s="2">
        <f t="shared" si="109"/>
        <v>506</v>
      </c>
      <c r="AT27" s="2">
        <f t="shared" si="109"/>
        <v>-111</v>
      </c>
      <c r="AU27" s="2">
        <f t="shared" si="109"/>
        <v>1568</v>
      </c>
      <c r="AV27" s="2">
        <f t="shared" si="109"/>
        <v>3892</v>
      </c>
      <c r="AW27" s="2">
        <f t="shared" si="109"/>
        <v>3806</v>
      </c>
      <c r="AX27" s="2">
        <f t="shared" ref="AX27" si="110">SUM(AX25:AX26)</f>
        <v>11261</v>
      </c>
      <c r="AY27" s="2">
        <f t="shared" ref="AY27" si="111">SUM(AY25:AY26)</f>
        <v>13976</v>
      </c>
      <c r="AZ27" s="2">
        <f t="shared" ref="AZ27" si="112">SUM(AZ25:AZ26)</f>
        <v>24178</v>
      </c>
      <c r="BA27" s="2">
        <f t="shared" ref="BA27" si="113">SUM(BA25:BA26)</f>
        <v>38151</v>
      </c>
      <c r="BB27" s="2">
        <f>SUM(BB25:BB26)</f>
        <v>566</v>
      </c>
      <c r="BC27" s="2">
        <f t="shared" ref="BC27" si="114">SUM(BC25:BC26)</f>
        <v>39323</v>
      </c>
      <c r="BD27" s="2">
        <f t="shared" ref="BD27" si="115">SUM(BD25:BD26)</f>
        <v>68614</v>
      </c>
      <c r="BE27" s="2">
        <f t="shared" ref="BE27:BF27" si="116">SUM(BE25:BE26)</f>
        <v>88418.109999999855</v>
      </c>
      <c r="BF27" s="2">
        <f t="shared" si="116"/>
        <v>112311.43361999991</v>
      </c>
      <c r="BG27" s="2">
        <f t="shared" ref="BG27:BJ27" si="117">SUM(BG25:BG26)</f>
        <v>123228.02473220004</v>
      </c>
      <c r="BH27" s="2">
        <f t="shared" si="117"/>
        <v>134575.95370122217</v>
      </c>
      <c r="BI27" s="2">
        <f t="shared" si="117"/>
        <v>146321.75972699624</v>
      </c>
      <c r="BJ27" s="2">
        <f t="shared" si="117"/>
        <v>163620.61167391526</v>
      </c>
      <c r="BK27" s="2">
        <f t="shared" ref="BK27:BO27" si="118">SUM(BK25:BK26)</f>
        <v>182257.87786199851</v>
      </c>
      <c r="BL27" s="2">
        <f t="shared" si="118"/>
        <v>202315.66509586002</v>
      </c>
      <c r="BM27" s="2">
        <f t="shared" si="118"/>
        <v>223879.79206246187</v>
      </c>
      <c r="BN27" s="2">
        <f t="shared" si="118"/>
        <v>247039.81732938084</v>
      </c>
      <c r="BO27" s="2">
        <f t="shared" si="118"/>
        <v>271889.04572442308</v>
      </c>
    </row>
    <row r="28" spans="2:131" x14ac:dyDescent="0.2">
      <c r="B28" s="2" t="s">
        <v>48</v>
      </c>
      <c r="C28" s="2">
        <f>(287)</f>
        <v>287</v>
      </c>
      <c r="D28" s="2">
        <f>(74)-3</f>
        <v>71</v>
      </c>
      <c r="E28" s="2">
        <f>(508)-1</f>
        <v>507</v>
      </c>
      <c r="F28" s="2">
        <f>(1197)-9-SUM(C28:E28)</f>
        <v>323</v>
      </c>
      <c r="G28" s="2">
        <f>(836)+(4)</f>
        <v>840</v>
      </c>
      <c r="H28" s="2">
        <f>(257)+7</f>
        <v>264</v>
      </c>
      <c r="I28" s="2">
        <f>(494)+4</f>
        <v>498</v>
      </c>
      <c r="J28" s="2">
        <f>(2374)+(14)-SUM(G28:I28)</f>
        <v>786</v>
      </c>
      <c r="K28" s="2">
        <f>(744)+(104)</f>
        <v>848</v>
      </c>
      <c r="L28" s="2">
        <f>(984)-6</f>
        <v>978</v>
      </c>
      <c r="M28" s="2">
        <f>(569)-91</f>
        <v>478</v>
      </c>
      <c r="N28" s="2">
        <f>(2863)-16-SUM(K28:M28)</f>
        <v>543</v>
      </c>
      <c r="O28" s="2">
        <f>(2156)+(5)</f>
        <v>2161</v>
      </c>
      <c r="P28" s="2">
        <f>(868)-12</f>
        <v>856</v>
      </c>
      <c r="Q28" s="2">
        <f>(1155)+(4)</f>
        <v>1159</v>
      </c>
      <c r="R28" s="2">
        <f>(4791)-4-SUM(O28:Q28)</f>
        <v>611</v>
      </c>
      <c r="S28" s="2">
        <f>-1422-1</f>
        <v>-1423</v>
      </c>
      <c r="T28" s="2">
        <f>637-12</f>
        <v>625</v>
      </c>
      <c r="U28" s="2">
        <f>(69)+(3)</f>
        <v>72</v>
      </c>
      <c r="V28" s="2">
        <f>-1227-13</f>
        <v>-1240</v>
      </c>
      <c r="W28" s="2">
        <f>(948)-1</f>
        <v>947</v>
      </c>
      <c r="X28" s="2">
        <f>(804)+(9)</f>
        <v>813</v>
      </c>
      <c r="Y28" s="2">
        <f>(2306)+(4)</f>
        <v>2310</v>
      </c>
      <c r="Z28" s="2">
        <f>(9265)-(101)-SUM(W28:Y28)</f>
        <v>5094</v>
      </c>
      <c r="AA28" s="2">
        <f>(2467)+(85)</f>
        <v>2552</v>
      </c>
      <c r="AB28" s="2">
        <f>(1767)+7</f>
        <v>1774</v>
      </c>
      <c r="AC28" s="2">
        <f>(2706)+(3)</f>
        <v>2709</v>
      </c>
      <c r="AD28" s="2">
        <f>(9265)+(101)-SUM(AA28:AC28)</f>
        <v>2331</v>
      </c>
      <c r="AE28" s="2">
        <f>(4553)-1</f>
        <v>4552</v>
      </c>
      <c r="AF28" s="2">
        <f>(2678)+(15)</f>
        <v>2693</v>
      </c>
      <c r="AG28" s="2">
        <f>AG27*0.15</f>
        <v>3640.4939999999997</v>
      </c>
      <c r="AH28" s="2">
        <f t="shared" ref="AH28" si="119">AH27*0.15</f>
        <v>4283.0040000000035</v>
      </c>
      <c r="AK28" s="2">
        <f>95</f>
        <v>95</v>
      </c>
      <c r="AL28" s="2">
        <v>187</v>
      </c>
      <c r="AM28" s="2">
        <v>184</v>
      </c>
      <c r="AN28" s="2">
        <f>247+9</f>
        <v>256</v>
      </c>
      <c r="AO28" s="2">
        <f>253+6</f>
        <v>259</v>
      </c>
      <c r="AP28" s="2">
        <f>352-7</f>
        <v>345</v>
      </c>
      <c r="AQ28" s="2">
        <f>291+12</f>
        <v>303</v>
      </c>
      <c r="AR28" s="2">
        <f>428+155</f>
        <v>583</v>
      </c>
      <c r="AS28" s="2">
        <f>161+71</f>
        <v>232</v>
      </c>
      <c r="AT28" s="2">
        <f>167-37</f>
        <v>130</v>
      </c>
      <c r="AU28" s="2">
        <f>950+22</f>
        <v>972</v>
      </c>
      <c r="AV28" s="2">
        <f>1425+96</f>
        <v>1521</v>
      </c>
      <c r="AW28" s="2">
        <f>769+4</f>
        <v>773</v>
      </c>
      <c r="AX28" s="2">
        <f>SUM(C28:F28)</f>
        <v>1188</v>
      </c>
      <c r="AY28" s="2">
        <f>SUM(G28:J28)</f>
        <v>2388</v>
      </c>
      <c r="AZ28" s="2">
        <f>SUM(K28:N28)</f>
        <v>2847</v>
      </c>
      <c r="BA28" s="2">
        <f>SUM(O28:R28)</f>
        <v>4787</v>
      </c>
      <c r="BB28" s="2">
        <f>SUM(S28:V28)</f>
        <v>-1966</v>
      </c>
      <c r="BC28" s="2">
        <f>SUM(W28:Z28)</f>
        <v>9164</v>
      </c>
      <c r="BD28" s="2">
        <f>SUM(AA28:AD28)</f>
        <v>9366</v>
      </c>
      <c r="BE28" s="2">
        <f>SUM(AE28:AH28)</f>
        <v>15168.498000000003</v>
      </c>
      <c r="BF28" s="2">
        <f>BE28*1.05</f>
        <v>15926.922900000003</v>
      </c>
      <c r="BG28" s="2">
        <f t="shared" ref="BG28:BJ28" si="120">BF28*1.05</f>
        <v>16723.269045000005</v>
      </c>
      <c r="BH28" s="2">
        <f t="shared" si="120"/>
        <v>17559.432497250007</v>
      </c>
      <c r="BI28" s="2">
        <f t="shared" si="120"/>
        <v>18437.404122112508</v>
      </c>
      <c r="BJ28" s="2">
        <f t="shared" si="120"/>
        <v>19359.274328218133</v>
      </c>
      <c r="BK28" s="2">
        <f t="shared" ref="BK28:BO28" si="121">BJ28*1.05</f>
        <v>20327.238044629041</v>
      </c>
      <c r="BL28" s="2">
        <f t="shared" si="121"/>
        <v>21343.599946860493</v>
      </c>
      <c r="BM28" s="2">
        <f t="shared" si="121"/>
        <v>22410.779944203518</v>
      </c>
      <c r="BN28" s="2">
        <f t="shared" si="121"/>
        <v>23531.318941413694</v>
      </c>
      <c r="BO28" s="2">
        <f t="shared" si="121"/>
        <v>24707.884888484379</v>
      </c>
    </row>
    <row r="29" spans="2:131" x14ac:dyDescent="0.2">
      <c r="B29" s="2" t="s">
        <v>49</v>
      </c>
      <c r="C29" s="2">
        <f>C27-C28</f>
        <v>1629</v>
      </c>
      <c r="D29" s="2">
        <f t="shared" ref="D29" si="122">D27-D28</f>
        <v>2534</v>
      </c>
      <c r="E29" s="2">
        <f t="shared" ref="E29" si="123">E27-E28</f>
        <v>2883</v>
      </c>
      <c r="F29" s="2">
        <f>F27-F28</f>
        <v>3027</v>
      </c>
      <c r="G29" s="2">
        <f t="shared" ref="G29:M29" si="124">G27-G28</f>
        <v>3561</v>
      </c>
      <c r="H29" s="2">
        <f t="shared" si="124"/>
        <v>2625</v>
      </c>
      <c r="I29" s="2">
        <f t="shared" si="124"/>
        <v>2134</v>
      </c>
      <c r="J29" s="2">
        <f>J27-J28</f>
        <v>3268</v>
      </c>
      <c r="K29" s="2">
        <f t="shared" si="124"/>
        <v>2535</v>
      </c>
      <c r="L29" s="2">
        <f t="shared" si="124"/>
        <v>5243</v>
      </c>
      <c r="M29" s="2">
        <f t="shared" si="124"/>
        <v>6331</v>
      </c>
      <c r="N29" s="2">
        <f>N27-N28</f>
        <v>7222</v>
      </c>
      <c r="O29" s="2">
        <f t="shared" ref="O29:AG29" si="125">O27-O28</f>
        <v>8107</v>
      </c>
      <c r="P29" s="2">
        <f t="shared" si="125"/>
        <v>7778</v>
      </c>
      <c r="Q29" s="2">
        <f t="shared" si="125"/>
        <v>3156</v>
      </c>
      <c r="R29" s="2">
        <f t="shared" si="125"/>
        <v>14323</v>
      </c>
      <c r="S29" s="2">
        <f t="shared" si="125"/>
        <v>-3734</v>
      </c>
      <c r="T29" s="2">
        <f t="shared" si="125"/>
        <v>2357</v>
      </c>
      <c r="U29" s="2">
        <f t="shared" si="125"/>
        <v>2872</v>
      </c>
      <c r="V29" s="2">
        <f t="shared" si="125"/>
        <v>278</v>
      </c>
      <c r="W29" s="2">
        <f t="shared" si="125"/>
        <v>3172</v>
      </c>
      <c r="X29" s="2">
        <f t="shared" si="125"/>
        <v>6750</v>
      </c>
      <c r="Y29" s="2">
        <f>Y27-Y28</f>
        <v>9879</v>
      </c>
      <c r="Z29" s="2">
        <f t="shared" si="125"/>
        <v>10358</v>
      </c>
      <c r="AA29" s="2">
        <f t="shared" si="125"/>
        <v>10431</v>
      </c>
      <c r="AB29" s="2">
        <f t="shared" si="125"/>
        <v>13481</v>
      </c>
      <c r="AC29" s="2">
        <f t="shared" si="125"/>
        <v>15328</v>
      </c>
      <c r="AD29" s="2">
        <f t="shared" si="125"/>
        <v>20008</v>
      </c>
      <c r="AE29" s="2">
        <f t="shared" si="125"/>
        <v>17127</v>
      </c>
      <c r="AF29" s="2">
        <f t="shared" si="125"/>
        <v>18164</v>
      </c>
      <c r="AG29" s="2">
        <f t="shared" si="125"/>
        <v>20629.466</v>
      </c>
      <c r="AH29" s="2">
        <f t="shared" ref="AH29" si="126">AH27-AH28</f>
        <v>24270.356000000018</v>
      </c>
      <c r="AK29" s="2">
        <f t="shared" ref="AK29:AL29" si="127">AK27-AK28</f>
        <v>359</v>
      </c>
      <c r="AL29" s="2">
        <f t="shared" si="127"/>
        <v>190</v>
      </c>
      <c r="AM29" s="2">
        <f t="shared" ref="AM29:AN29" si="128">AM27-AM28</f>
        <v>476</v>
      </c>
      <c r="AN29" s="2">
        <f t="shared" si="128"/>
        <v>645</v>
      </c>
      <c r="AO29" s="2">
        <f t="shared" ref="AO29:AW29" si="129">AO27-AO28</f>
        <v>902</v>
      </c>
      <c r="AP29" s="2">
        <f t="shared" si="129"/>
        <v>1152</v>
      </c>
      <c r="AQ29" s="2">
        <f t="shared" si="129"/>
        <v>631</v>
      </c>
      <c r="AR29" s="2">
        <f t="shared" si="129"/>
        <v>-39</v>
      </c>
      <c r="AS29" s="2">
        <f t="shared" si="129"/>
        <v>274</v>
      </c>
      <c r="AT29" s="2">
        <f t="shared" si="129"/>
        <v>-241</v>
      </c>
      <c r="AU29" s="2">
        <f t="shared" si="129"/>
        <v>596</v>
      </c>
      <c r="AV29" s="2">
        <f t="shared" si="129"/>
        <v>2371</v>
      </c>
      <c r="AW29" s="2">
        <f t="shared" si="129"/>
        <v>3033</v>
      </c>
      <c r="AX29" s="2">
        <f>AX27-AX28</f>
        <v>10073</v>
      </c>
      <c r="AY29" s="2">
        <f t="shared" ref="AY29" si="130">AY27-AY28</f>
        <v>11588</v>
      </c>
      <c r="AZ29" s="2">
        <f t="shared" ref="AZ29" si="131">AZ27-AZ28</f>
        <v>21331</v>
      </c>
      <c r="BA29" s="2">
        <f t="shared" ref="BA29" si="132">BA27-BA28</f>
        <v>33364</v>
      </c>
      <c r="BB29" s="2">
        <f>BB27-BB28</f>
        <v>2532</v>
      </c>
      <c r="BC29" s="2">
        <f t="shared" ref="BC29" si="133">BC27-BC28</f>
        <v>30159</v>
      </c>
      <c r="BD29" s="2">
        <f t="shared" ref="BD29" si="134">BD27-BD28</f>
        <v>59248</v>
      </c>
      <c r="BE29" s="2">
        <f t="shared" ref="BE29:BO29" si="135">BE27-BE28</f>
        <v>73249.611999999848</v>
      </c>
      <c r="BF29" s="2">
        <f t="shared" si="135"/>
        <v>96384.510719999904</v>
      </c>
      <c r="BG29" s="2">
        <f t="shared" si="135"/>
        <v>106504.75568720003</v>
      </c>
      <c r="BH29" s="2">
        <f t="shared" si="135"/>
        <v>117016.52120397217</v>
      </c>
      <c r="BI29" s="2">
        <f t="shared" si="135"/>
        <v>127884.35560488373</v>
      </c>
      <c r="BJ29" s="2">
        <f t="shared" si="135"/>
        <v>144261.33734569713</v>
      </c>
      <c r="BK29" s="2">
        <f t="shared" si="135"/>
        <v>161930.63981736946</v>
      </c>
      <c r="BL29" s="2">
        <f t="shared" si="135"/>
        <v>180972.06514899954</v>
      </c>
      <c r="BM29" s="2">
        <f t="shared" si="135"/>
        <v>201469.01211825834</v>
      </c>
      <c r="BN29" s="2">
        <f t="shared" si="135"/>
        <v>223508.49838796715</v>
      </c>
      <c r="BO29" s="2">
        <f t="shared" si="135"/>
        <v>247181.1608359387</v>
      </c>
      <c r="BP29" s="2">
        <f>+BO29*(1+$BI$53)</f>
        <v>247181.1608359387</v>
      </c>
      <c r="BQ29" s="2">
        <f t="shared" ref="BQ29:EA29" si="136">+BP29*(1+$BI$53)</f>
        <v>247181.1608359387</v>
      </c>
      <c r="BR29" s="2">
        <f t="shared" si="136"/>
        <v>247181.1608359387</v>
      </c>
      <c r="BS29" s="2">
        <f t="shared" si="136"/>
        <v>247181.1608359387</v>
      </c>
      <c r="BT29" s="2">
        <f t="shared" si="136"/>
        <v>247181.1608359387</v>
      </c>
      <c r="BU29" s="2">
        <f t="shared" si="136"/>
        <v>247181.1608359387</v>
      </c>
      <c r="BV29" s="2">
        <f t="shared" si="136"/>
        <v>247181.1608359387</v>
      </c>
      <c r="BW29" s="2">
        <f t="shared" si="136"/>
        <v>247181.1608359387</v>
      </c>
      <c r="BX29" s="2">
        <f t="shared" si="136"/>
        <v>247181.1608359387</v>
      </c>
      <c r="BY29" s="2">
        <f t="shared" si="136"/>
        <v>247181.1608359387</v>
      </c>
      <c r="BZ29" s="2">
        <f t="shared" si="136"/>
        <v>247181.1608359387</v>
      </c>
      <c r="CA29" s="2">
        <f t="shared" si="136"/>
        <v>247181.1608359387</v>
      </c>
      <c r="CB29" s="2">
        <f t="shared" si="136"/>
        <v>247181.1608359387</v>
      </c>
      <c r="CC29" s="2">
        <f t="shared" si="136"/>
        <v>247181.1608359387</v>
      </c>
      <c r="CD29" s="2">
        <f t="shared" si="136"/>
        <v>247181.1608359387</v>
      </c>
      <c r="CE29" s="2">
        <f t="shared" si="136"/>
        <v>247181.1608359387</v>
      </c>
      <c r="CF29" s="2">
        <f t="shared" si="136"/>
        <v>247181.1608359387</v>
      </c>
      <c r="CG29" s="2">
        <f t="shared" si="136"/>
        <v>247181.1608359387</v>
      </c>
      <c r="CH29" s="2">
        <f t="shared" si="136"/>
        <v>247181.1608359387</v>
      </c>
      <c r="CI29" s="2">
        <f t="shared" si="136"/>
        <v>247181.1608359387</v>
      </c>
      <c r="CJ29" s="2">
        <f t="shared" si="136"/>
        <v>247181.1608359387</v>
      </c>
      <c r="CK29" s="2">
        <f t="shared" si="136"/>
        <v>247181.1608359387</v>
      </c>
      <c r="CL29" s="2">
        <f t="shared" si="136"/>
        <v>247181.1608359387</v>
      </c>
      <c r="CM29" s="2">
        <f t="shared" si="136"/>
        <v>247181.1608359387</v>
      </c>
      <c r="CN29" s="2">
        <f t="shared" si="136"/>
        <v>247181.1608359387</v>
      </c>
      <c r="CO29" s="2">
        <f t="shared" si="136"/>
        <v>247181.1608359387</v>
      </c>
      <c r="CP29" s="2">
        <f t="shared" si="136"/>
        <v>247181.1608359387</v>
      </c>
      <c r="CQ29" s="2">
        <f t="shared" si="136"/>
        <v>247181.1608359387</v>
      </c>
      <c r="CR29" s="2">
        <f t="shared" si="136"/>
        <v>247181.1608359387</v>
      </c>
      <c r="CS29" s="2">
        <f t="shared" si="136"/>
        <v>247181.1608359387</v>
      </c>
      <c r="CT29" s="2">
        <f t="shared" si="136"/>
        <v>247181.1608359387</v>
      </c>
      <c r="CU29" s="2">
        <f t="shared" si="136"/>
        <v>247181.1608359387</v>
      </c>
      <c r="CV29" s="2">
        <f t="shared" si="136"/>
        <v>247181.1608359387</v>
      </c>
      <c r="CW29" s="2">
        <f t="shared" si="136"/>
        <v>247181.1608359387</v>
      </c>
      <c r="CX29" s="2">
        <f t="shared" si="136"/>
        <v>247181.1608359387</v>
      </c>
      <c r="CY29" s="2">
        <f t="shared" si="136"/>
        <v>247181.1608359387</v>
      </c>
      <c r="CZ29" s="2">
        <f t="shared" si="136"/>
        <v>247181.1608359387</v>
      </c>
      <c r="DA29" s="2">
        <f t="shared" si="136"/>
        <v>247181.1608359387</v>
      </c>
      <c r="DB29" s="2">
        <f t="shared" si="136"/>
        <v>247181.1608359387</v>
      </c>
      <c r="DC29" s="2">
        <f t="shared" si="136"/>
        <v>247181.1608359387</v>
      </c>
      <c r="DD29" s="2">
        <f t="shared" si="136"/>
        <v>247181.1608359387</v>
      </c>
      <c r="DE29" s="2">
        <f t="shared" si="136"/>
        <v>247181.1608359387</v>
      </c>
      <c r="DF29" s="2">
        <f t="shared" si="136"/>
        <v>247181.1608359387</v>
      </c>
      <c r="DG29" s="2">
        <f t="shared" si="136"/>
        <v>247181.1608359387</v>
      </c>
      <c r="DH29" s="2">
        <f t="shared" si="136"/>
        <v>247181.1608359387</v>
      </c>
      <c r="DI29" s="2">
        <f t="shared" si="136"/>
        <v>247181.1608359387</v>
      </c>
      <c r="DJ29" s="2">
        <f t="shared" si="136"/>
        <v>247181.1608359387</v>
      </c>
      <c r="DK29" s="2">
        <f t="shared" si="136"/>
        <v>247181.1608359387</v>
      </c>
      <c r="DL29" s="2">
        <f t="shared" si="136"/>
        <v>247181.1608359387</v>
      </c>
      <c r="DM29" s="2">
        <f t="shared" si="136"/>
        <v>247181.1608359387</v>
      </c>
      <c r="DN29" s="2">
        <f t="shared" si="136"/>
        <v>247181.1608359387</v>
      </c>
      <c r="DO29" s="2">
        <f t="shared" si="136"/>
        <v>247181.1608359387</v>
      </c>
      <c r="DP29" s="2">
        <f t="shared" si="136"/>
        <v>247181.1608359387</v>
      </c>
      <c r="DQ29" s="2">
        <f t="shared" si="136"/>
        <v>247181.1608359387</v>
      </c>
      <c r="DR29" s="2">
        <f t="shared" si="136"/>
        <v>247181.1608359387</v>
      </c>
      <c r="DS29" s="2">
        <f t="shared" si="136"/>
        <v>247181.1608359387</v>
      </c>
      <c r="DT29" s="2">
        <f t="shared" si="136"/>
        <v>247181.1608359387</v>
      </c>
      <c r="DU29" s="2">
        <f t="shared" si="136"/>
        <v>247181.1608359387</v>
      </c>
      <c r="DV29" s="2">
        <f t="shared" si="136"/>
        <v>247181.1608359387</v>
      </c>
      <c r="DW29" s="2">
        <f t="shared" si="136"/>
        <v>247181.1608359387</v>
      </c>
      <c r="DX29" s="2">
        <f t="shared" si="136"/>
        <v>247181.1608359387</v>
      </c>
      <c r="DY29" s="2">
        <f t="shared" si="136"/>
        <v>247181.1608359387</v>
      </c>
      <c r="DZ29" s="2">
        <f t="shared" si="136"/>
        <v>247181.1608359387</v>
      </c>
      <c r="EA29" s="2">
        <f t="shared" si="136"/>
        <v>247181.1608359387</v>
      </c>
    </row>
    <row r="30" spans="2:131" x14ac:dyDescent="0.2">
      <c r="B30" s="2" t="s">
        <v>50</v>
      </c>
      <c r="C30" s="4" t="e">
        <f t="shared" ref="C30:AE30" si="137">C29/C31</f>
        <v>#DIV/0!</v>
      </c>
      <c r="D30" s="4" t="e">
        <f t="shared" si="137"/>
        <v>#DIV/0!</v>
      </c>
      <c r="E30" s="4" t="e">
        <f t="shared" si="137"/>
        <v>#DIV/0!</v>
      </c>
      <c r="F30" s="4">
        <f t="shared" si="137"/>
        <v>6.0419161676646711</v>
      </c>
      <c r="G30" s="4">
        <f t="shared" si="137"/>
        <v>7.0936254980079685</v>
      </c>
      <c r="H30" s="4">
        <f t="shared" si="137"/>
        <v>5.2186878727634198</v>
      </c>
      <c r="I30" s="4">
        <f t="shared" si="137"/>
        <v>4.2341269841269842</v>
      </c>
      <c r="J30" s="4">
        <f t="shared" si="137"/>
        <v>6.4712871287128717</v>
      </c>
      <c r="K30" s="4">
        <f t="shared" si="137"/>
        <v>5.0098814229249014</v>
      </c>
      <c r="L30" s="4">
        <f t="shared" si="137"/>
        <v>10.300589390962672</v>
      </c>
      <c r="M30" s="4">
        <f t="shared" si="137"/>
        <v>12.365234375</v>
      </c>
      <c r="N30" s="4">
        <f t="shared" si="137"/>
        <v>14.077972709551657</v>
      </c>
      <c r="O30" s="4">
        <f t="shared" si="137"/>
        <v>15.803118908382066</v>
      </c>
      <c r="P30" s="4">
        <f t="shared" si="137"/>
        <v>0.75617343962667705</v>
      </c>
      <c r="Q30" s="4">
        <f t="shared" si="137"/>
        <v>6.1281553398058248</v>
      </c>
      <c r="R30" s="4">
        <f t="shared" si="137"/>
        <v>1.3873498643936459</v>
      </c>
      <c r="S30" s="4">
        <f t="shared" si="137"/>
        <v>-7.3359528487229859</v>
      </c>
      <c r="T30" s="4">
        <f t="shared" si="137"/>
        <v>0.23164619164619166</v>
      </c>
      <c r="U30" s="4">
        <f t="shared" si="137"/>
        <v>0.27799825767108705</v>
      </c>
      <c r="V30" s="4">
        <f t="shared" si="137"/>
        <v>2.6969344198680637E-2</v>
      </c>
      <c r="W30" s="4">
        <f t="shared" si="137"/>
        <v>0.3065622885860636</v>
      </c>
      <c r="X30" s="4">
        <f t="shared" si="137"/>
        <v>0.64599483204134367</v>
      </c>
      <c r="Y30" s="4">
        <f t="shared" si="137"/>
        <v>0.93568857738207989</v>
      </c>
      <c r="Z30" s="4">
        <f t="shared" si="137"/>
        <v>0.97624882186616402</v>
      </c>
      <c r="AA30" s="4">
        <f t="shared" si="137"/>
        <v>0.97760074976569822</v>
      </c>
      <c r="AB30" s="4">
        <f t="shared" si="137"/>
        <v>1.2589652596189764</v>
      </c>
      <c r="AC30" s="4">
        <f t="shared" si="137"/>
        <v>1.4278528178854215</v>
      </c>
      <c r="AD30" s="4">
        <f t="shared" si="137"/>
        <v>1.8575805403398014</v>
      </c>
      <c r="AE30" s="4">
        <f t="shared" si="137"/>
        <v>1.5868618549059577</v>
      </c>
      <c r="AF30" s="4">
        <f>AF29/AF31</f>
        <v>1.6809180085137887</v>
      </c>
    </row>
    <row r="31" spans="2:131" x14ac:dyDescent="0.2">
      <c r="B31" s="2" t="s">
        <v>1</v>
      </c>
      <c r="F31" s="13">
        <v>501</v>
      </c>
      <c r="G31" s="13">
        <v>502</v>
      </c>
      <c r="H31" s="13">
        <v>503</v>
      </c>
      <c r="I31" s="13">
        <v>504</v>
      </c>
      <c r="J31" s="13">
        <v>505</v>
      </c>
      <c r="K31" s="13">
        <v>506</v>
      </c>
      <c r="L31" s="13">
        <v>509</v>
      </c>
      <c r="M31" s="13">
        <v>512</v>
      </c>
      <c r="N31" s="13">
        <v>513</v>
      </c>
      <c r="O31" s="13">
        <v>513</v>
      </c>
      <c r="P31" s="13">
        <v>10286</v>
      </c>
      <c r="Q31" s="13">
        <v>515</v>
      </c>
      <c r="R31" s="13">
        <v>10324</v>
      </c>
      <c r="S31" s="13">
        <v>509</v>
      </c>
      <c r="T31" s="13">
        <v>10175</v>
      </c>
      <c r="U31" s="13">
        <v>10331</v>
      </c>
      <c r="V31" s="13">
        <v>10308</v>
      </c>
      <c r="W31" s="13">
        <v>10347</v>
      </c>
      <c r="X31" s="13">
        <v>10449</v>
      </c>
      <c r="Y31" s="13">
        <v>10558</v>
      </c>
      <c r="Z31" s="13">
        <v>10610</v>
      </c>
      <c r="AA31" s="13">
        <v>10670</v>
      </c>
      <c r="AB31" s="13">
        <v>10708</v>
      </c>
      <c r="AC31" s="13">
        <v>10735</v>
      </c>
      <c r="AD31" s="13">
        <v>10771</v>
      </c>
      <c r="AE31" s="2">
        <v>10793</v>
      </c>
      <c r="AF31" s="2">
        <v>10806</v>
      </c>
    </row>
    <row r="33" spans="2:67" x14ac:dyDescent="0.2">
      <c r="BD33" s="12"/>
    </row>
    <row r="34" spans="2:67" x14ac:dyDescent="0.2">
      <c r="B34" s="2" t="s">
        <v>54</v>
      </c>
      <c r="C34" s="12"/>
      <c r="D34" s="12"/>
      <c r="E34" s="12"/>
      <c r="F34" s="12"/>
      <c r="G34" s="12">
        <f>G17/C17-1</f>
        <v>0.16962501469378166</v>
      </c>
      <c r="H34" s="12">
        <f t="shared" ref="H34:AF34" si="138">H17/D17-1</f>
        <v>0.1988806111258179</v>
      </c>
      <c r="I34" s="12">
        <f t="shared" si="138"/>
        <v>0.23693792420814486</v>
      </c>
      <c r="J34" s="12">
        <f t="shared" si="138"/>
        <v>0.20797701117665746</v>
      </c>
      <c r="K34" s="12">
        <f t="shared" si="138"/>
        <v>0.26385259631490787</v>
      </c>
      <c r="L34" s="12">
        <f t="shared" si="138"/>
        <v>0.40230900258658764</v>
      </c>
      <c r="M34" s="12">
        <f t="shared" si="138"/>
        <v>0.37387290836084075</v>
      </c>
      <c r="N34" s="12">
        <f t="shared" si="138"/>
        <v>0.43594816839553041</v>
      </c>
      <c r="O34" s="12">
        <f t="shared" si="138"/>
        <v>0.43823888034777081</v>
      </c>
      <c r="P34" s="12">
        <f t="shared" si="138"/>
        <v>0.27181932697498645</v>
      </c>
      <c r="Q34" s="12">
        <f t="shared" si="138"/>
        <v>0.15255083467679031</v>
      </c>
      <c r="R34" s="12">
        <f t="shared" si="138"/>
        <v>9.4436701047349692E-2</v>
      </c>
      <c r="S34" s="12">
        <f t="shared" si="138"/>
        <v>7.3038574245747334E-2</v>
      </c>
      <c r="T34" s="12">
        <f t="shared" si="138"/>
        <v>7.2108241952600016E-2</v>
      </c>
      <c r="U34" s="12">
        <f t="shared" si="138"/>
        <v>0.14699671515720314</v>
      </c>
      <c r="V34" s="12">
        <f t="shared" si="138"/>
        <v>8.5814921549791867E-2</v>
      </c>
      <c r="W34" s="12">
        <f t="shared" si="138"/>
        <v>9.3727456975026602E-2</v>
      </c>
      <c r="X34" s="12">
        <f t="shared" si="138"/>
        <v>0.10845967302901816</v>
      </c>
      <c r="Y34" s="12">
        <f t="shared" si="138"/>
        <v>0.125742519728405</v>
      </c>
      <c r="Z34" s="12">
        <f t="shared" si="138"/>
        <v>0.13911825420230017</v>
      </c>
      <c r="AA34" s="12">
        <f t="shared" si="138"/>
        <v>0.12527677884388888</v>
      </c>
      <c r="AB34" s="12">
        <f t="shared" si="138"/>
        <v>0.10115862869559389</v>
      </c>
      <c r="AC34" s="12">
        <f t="shared" si="138"/>
        <v>0.11038348371225104</v>
      </c>
      <c r="AD34" s="12">
        <f t="shared" si="138"/>
        <v>0.10491230341078239</v>
      </c>
      <c r="AE34" s="12">
        <f t="shared" si="138"/>
        <v>8.6202926461660834E-2</v>
      </c>
      <c r="AF34" s="12">
        <f t="shared" si="138"/>
        <v>0.13329774221669588</v>
      </c>
      <c r="AG34" s="12">
        <f t="shared" ref="AG34" si="139">AG17/AC17-1</f>
        <v>9.860904976805962E-2</v>
      </c>
      <c r="AH34" s="12">
        <f t="shared" ref="AH34" si="140">AH17/AD17-1</f>
        <v>0.10097959444491789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W34" s="6"/>
      <c r="AX34" s="6"/>
      <c r="AY34" s="6">
        <f>AY17/AX17-1</f>
        <v>0.20454125820676983</v>
      </c>
      <c r="AZ34" s="6">
        <f t="shared" ref="AZ34:BF34" si="141">AZ17/AY17-1</f>
        <v>0.37623430604373276</v>
      </c>
      <c r="BA34" s="6">
        <f t="shared" si="141"/>
        <v>0.21695366571345676</v>
      </c>
      <c r="BB34" s="6">
        <f t="shared" si="141"/>
        <v>9.399517263985091E-2</v>
      </c>
      <c r="BC34" s="6">
        <f t="shared" si="141"/>
        <v>0.1182957412988368</v>
      </c>
      <c r="BD34" s="6">
        <f t="shared" si="141"/>
        <v>0.1099089224666614</v>
      </c>
      <c r="BE34" s="6">
        <f t="shared" si="141"/>
        <v>0.10456607713034827</v>
      </c>
      <c r="BF34" s="6">
        <f t="shared" si="141"/>
        <v>0.10933337999361337</v>
      </c>
      <c r="BG34" s="6">
        <f t="shared" ref="BG34" si="142">BG17/BF17-1</f>
        <v>8.3870211493218605E-2</v>
      </c>
      <c r="BH34" s="6">
        <f t="shared" ref="BH34" si="143">BH17/BG17-1</f>
        <v>8.3927806666699745E-2</v>
      </c>
      <c r="BI34" s="6">
        <f t="shared" ref="BI34" si="144">BI17/BH17-1</f>
        <v>8.3986047139667175E-2</v>
      </c>
      <c r="BJ34" s="6">
        <f t="shared" ref="BJ34:BK34" si="145">BJ17/BI17-1</f>
        <v>8.4044933848737235E-2</v>
      </c>
      <c r="BK34" s="6">
        <f t="shared" si="145"/>
        <v>8.4104467531446181E-2</v>
      </c>
      <c r="BL34" s="6">
        <f t="shared" ref="BL34" si="146">BL17/BK17-1</f>
        <v>8.4164648721420265E-2</v>
      </c>
      <c r="BM34" s="6">
        <f t="shared" ref="BM34" si="147">BM17/BL17-1</f>
        <v>8.422547774359268E-2</v>
      </c>
      <c r="BN34" s="6">
        <f t="shared" ref="BN34" si="148">BN17/BM17-1</f>
        <v>8.4286954709480666E-2</v>
      </c>
      <c r="BO34" s="6">
        <f t="shared" ref="BO34" si="149">BO17/BN17-1</f>
        <v>8.4349079512528569E-2</v>
      </c>
    </row>
    <row r="35" spans="2:67" x14ac:dyDescent="0.2">
      <c r="B35" s="2" t="s">
        <v>53</v>
      </c>
      <c r="C35" s="6">
        <f t="shared" ref="C35:AE35" si="150">C19/C17</f>
        <v>0.24519023549233965</v>
      </c>
      <c r="D35" s="6">
        <f t="shared" si="150"/>
        <v>0.27080890973036342</v>
      </c>
      <c r="E35" s="6">
        <f t="shared" si="150"/>
        <v>0.27039734162895929</v>
      </c>
      <c r="F35" s="6">
        <f t="shared" si="150"/>
        <v>0.24272273876462705</v>
      </c>
      <c r="G35" s="6">
        <f t="shared" si="150"/>
        <v>0.28775544388609714</v>
      </c>
      <c r="H35" s="6">
        <f t="shared" si="150"/>
        <v>0.28067629802536115</v>
      </c>
      <c r="I35" s="6">
        <f t="shared" si="150"/>
        <v>0.26452894357039769</v>
      </c>
      <c r="J35" s="6">
        <f t="shared" si="150"/>
        <v>0.2432265516886444</v>
      </c>
      <c r="K35" s="6">
        <f t="shared" si="150"/>
        <v>0.26061602078142393</v>
      </c>
      <c r="L35" s="6">
        <f t="shared" si="150"/>
        <v>0.25245186251574592</v>
      </c>
      <c r="M35" s="6">
        <f t="shared" si="150"/>
        <v>0.25309688491341203</v>
      </c>
      <c r="N35" s="6">
        <f t="shared" si="150"/>
        <v>0.22138505037632911</v>
      </c>
      <c r="O35" s="6">
        <f t="shared" si="150"/>
        <v>0.2726275825208721</v>
      </c>
      <c r="P35" s="6">
        <f t="shared" si="150"/>
        <v>0.27649451715599577</v>
      </c>
      <c r="Q35" s="6">
        <f t="shared" si="150"/>
        <v>0.26516983720174708</v>
      </c>
      <c r="R35" s="6">
        <f t="shared" si="150"/>
        <v>0.23383692836142403</v>
      </c>
      <c r="S35" s="6">
        <f t="shared" si="150"/>
        <v>0.25483494211809971</v>
      </c>
      <c r="T35" s="6">
        <f t="shared" si="150"/>
        <v>0.2843096821023805</v>
      </c>
      <c r="U35" s="6">
        <f t="shared" si="150"/>
        <v>0.28520625329462396</v>
      </c>
      <c r="V35" s="6">
        <f t="shared" si="150"/>
        <v>0.27117905686174631</v>
      </c>
      <c r="W35" s="6">
        <f t="shared" si="150"/>
        <v>0.30356946560090453</v>
      </c>
      <c r="X35" s="6">
        <f t="shared" si="150"/>
        <v>0.32522714926739243</v>
      </c>
      <c r="Y35" s="6">
        <f t="shared" si="150"/>
        <v>0.3197235171194342</v>
      </c>
      <c r="Z35" s="6">
        <f t="shared" si="150"/>
        <v>0.30191043827701647</v>
      </c>
      <c r="AA35" s="6">
        <f t="shared" si="150"/>
        <v>0.33746415189131479</v>
      </c>
      <c r="AB35" s="6">
        <f t="shared" si="150"/>
        <v>0.34218831304864944</v>
      </c>
      <c r="AC35" s="6">
        <f t="shared" si="150"/>
        <v>0.33510199714244354</v>
      </c>
      <c r="AD35" s="6">
        <f t="shared" si="150"/>
        <v>0.32443874073442958</v>
      </c>
      <c r="AE35" s="6">
        <f t="shared" si="150"/>
        <v>0.34752388110517962</v>
      </c>
      <c r="AF35" s="6">
        <f>AF19/AF17</f>
        <v>0.36324551883698464</v>
      </c>
      <c r="AG35" s="6">
        <f t="shared" ref="AG35:BE35" si="151">AG19/AG17</f>
        <v>0.34448855246631344</v>
      </c>
      <c r="AH35" s="6">
        <f t="shared" si="151"/>
        <v>0.3318043428758925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W35" s="6"/>
      <c r="AX35" s="6">
        <f t="shared" si="151"/>
        <v>0.25636467471348767</v>
      </c>
      <c r="AY35" s="6">
        <f t="shared" si="151"/>
        <v>0.26648177326555494</v>
      </c>
      <c r="AZ35" s="6">
        <f t="shared" si="151"/>
        <v>0.24410460441792034</v>
      </c>
      <c r="BA35" s="6">
        <f t="shared" si="151"/>
        <v>0.26045395915900066</v>
      </c>
      <c r="BB35" s="6">
        <f t="shared" si="151"/>
        <v>0.27404213758042584</v>
      </c>
      <c r="BC35" s="6">
        <f t="shared" si="151"/>
        <v>0.31216367859286515</v>
      </c>
      <c r="BD35" s="6">
        <f t="shared" si="151"/>
        <v>0.33413746024431035</v>
      </c>
      <c r="BE35" s="6">
        <f t="shared" si="151"/>
        <v>0.3459013534986346</v>
      </c>
      <c r="BF35" s="6">
        <f t="shared" ref="BF35:BJ35" si="152">BF19/BF17</f>
        <v>0.35140461458426114</v>
      </c>
      <c r="BG35" s="6">
        <f t="shared" si="152"/>
        <v>0.34175243826066098</v>
      </c>
      <c r="BH35" s="6">
        <f t="shared" si="152"/>
        <v>0.3319921184235104</v>
      </c>
      <c r="BI35" s="6">
        <f t="shared" si="152"/>
        <v>0.32212349810858631</v>
      </c>
      <c r="BJ35" s="6">
        <f t="shared" si="152"/>
        <v>0.31696386416229222</v>
      </c>
      <c r="BK35" s="6">
        <f t="shared" ref="BK35:BO35" si="153">BK19/BK17</f>
        <v>0.31179254916973825</v>
      </c>
      <c r="BL35" s="6">
        <f t="shared" si="153"/>
        <v>0.30661024249229135</v>
      </c>
      <c r="BM35" s="6">
        <f t="shared" si="153"/>
        <v>0.3014176483719076</v>
      </c>
      <c r="BN35" s="6">
        <f t="shared" si="153"/>
        <v>0.29621548583265706</v>
      </c>
      <c r="BO35" s="6">
        <f t="shared" si="153"/>
        <v>0.29100448856680144</v>
      </c>
    </row>
    <row r="36" spans="2:67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2:67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2:67" x14ac:dyDescent="0.2">
      <c r="B38" s="2" t="s">
        <v>123</v>
      </c>
      <c r="C38" s="6"/>
      <c r="D38" s="6"/>
      <c r="E38" s="6"/>
      <c r="F38" s="6"/>
      <c r="G38" s="6">
        <f>+G7/C7-1</f>
        <v>9.4992390214930111E-2</v>
      </c>
      <c r="H38" s="6">
        <f t="shared" ref="H38:AF43" si="154">+H7/D7-1</f>
        <v>0.14312534511319708</v>
      </c>
      <c r="I38" s="6">
        <f t="shared" si="154"/>
        <v>0.20570524070059526</v>
      </c>
      <c r="J38" s="6">
        <f t="shared" si="154"/>
        <v>0.14652704535181549</v>
      </c>
      <c r="K38" s="6">
        <f t="shared" si="154"/>
        <v>0.24252491694352152</v>
      </c>
      <c r="L38" s="6">
        <f t="shared" si="154"/>
        <v>0.47798924419540789</v>
      </c>
      <c r="M38" s="6">
        <f t="shared" si="154"/>
        <v>0.37989097862381915</v>
      </c>
      <c r="N38" s="6">
        <f t="shared" si="154"/>
        <v>0.4553737652495784</v>
      </c>
      <c r="O38" s="6">
        <f t="shared" si="154"/>
        <v>0.44333187820582776</v>
      </c>
      <c r="P38" s="6">
        <f t="shared" si="154"/>
        <v>0.15820550810528156</v>
      </c>
      <c r="Q38" s="6">
        <f t="shared" si="154"/>
        <v>3.2926577042399208E-2</v>
      </c>
      <c r="R38" s="6">
        <f t="shared" si="154"/>
        <v>-5.613411991331585E-3</v>
      </c>
      <c r="S38" s="6">
        <f t="shared" si="154"/>
        <v>-3.3496531256497986E-2</v>
      </c>
      <c r="T38" s="6">
        <f t="shared" si="154"/>
        <v>-4.3305679402524611E-2</v>
      </c>
      <c r="U38" s="6">
        <f t="shared" si="154"/>
        <v>7.102238596772259E-2</v>
      </c>
      <c r="V38" s="6">
        <f t="shared" si="154"/>
        <v>-2.3367385546727237E-2</v>
      </c>
      <c r="W38" s="6">
        <f t="shared" si="154"/>
        <v>-6.4542627471686487E-4</v>
      </c>
      <c r="X38" s="6">
        <f t="shared" si="154"/>
        <v>4.1510175990561393E-2</v>
      </c>
      <c r="Y38" s="6">
        <f t="shared" si="154"/>
        <v>7.0631344762474457E-2</v>
      </c>
      <c r="Z38" s="6">
        <f t="shared" si="154"/>
        <v>9.3164525576854507E-2</v>
      </c>
      <c r="AA38" s="6">
        <f t="shared" si="154"/>
        <v>6.9946766870205179E-2</v>
      </c>
      <c r="AB38" s="6">
        <f t="shared" si="154"/>
        <v>4.5802967941698469E-2</v>
      </c>
      <c r="AC38" s="6">
        <f t="shared" si="154"/>
        <v>7.2362791834738927E-2</v>
      </c>
      <c r="AD38" s="6">
        <f t="shared" si="154"/>
        <v>7.1063039564520869E-2</v>
      </c>
      <c r="AE38" s="6">
        <f t="shared" si="154"/>
        <v>5.0064020486555671E-2</v>
      </c>
      <c r="AF38" s="6">
        <f t="shared" si="154"/>
        <v>0.10999783362218363</v>
      </c>
      <c r="AG38" s="6">
        <f t="shared" ref="AG38:AG43" si="155">+AG7/AC7-1</f>
        <v>7.0000000000000062E-2</v>
      </c>
      <c r="AH38" s="6">
        <f t="shared" ref="AH38:AH43" si="156">+AH7/AD7-1</f>
        <v>8.0000000000000071E-2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>
        <f t="shared" ref="AY38:BN38" si="157">+AY7/AX7-1</f>
        <v>0.14847097660728359</v>
      </c>
      <c r="AZ38" s="6">
        <f t="shared" si="157"/>
        <v>0.39716949740525465</v>
      </c>
      <c r="BA38" s="6">
        <f t="shared" si="157"/>
        <v>0.12530783497005249</v>
      </c>
      <c r="BB38" s="6">
        <f t="shared" si="157"/>
        <v>-9.3256782618484912E-3</v>
      </c>
      <c r="BC38" s="6">
        <f t="shared" si="157"/>
        <v>5.3944473736841081E-2</v>
      </c>
      <c r="BD38" s="6">
        <f t="shared" si="157"/>
        <v>6.5367961634005045E-2</v>
      </c>
      <c r="BE38" s="6">
        <f t="shared" si="157"/>
        <v>7.7615381190062616E-2</v>
      </c>
      <c r="BF38" s="6">
        <f t="shared" si="157"/>
        <v>0.10000000000000009</v>
      </c>
      <c r="BG38" s="6">
        <f t="shared" si="157"/>
        <v>8.0000000000000071E-2</v>
      </c>
      <c r="BH38" s="6">
        <f t="shared" si="157"/>
        <v>8.0000000000000071E-2</v>
      </c>
      <c r="BI38" s="6">
        <f t="shared" si="157"/>
        <v>8.0000000000000071E-2</v>
      </c>
      <c r="BJ38" s="6">
        <f t="shared" si="157"/>
        <v>8.0000000000000071E-2</v>
      </c>
      <c r="BK38" s="6">
        <f t="shared" si="157"/>
        <v>8.0000000000000071E-2</v>
      </c>
      <c r="BL38" s="6">
        <f t="shared" si="157"/>
        <v>8.0000000000000071E-2</v>
      </c>
      <c r="BM38" s="6">
        <f t="shared" si="157"/>
        <v>8.0000000000000071E-2</v>
      </c>
      <c r="BN38" s="6">
        <f t="shared" si="157"/>
        <v>8.0000000000000071E-2</v>
      </c>
      <c r="BO38" s="6">
        <f>+BO7/BN7-1</f>
        <v>8.0000000000000071E-2</v>
      </c>
    </row>
    <row r="39" spans="2:67" x14ac:dyDescent="0.2">
      <c r="B39" s="2" t="s">
        <v>124</v>
      </c>
      <c r="C39" s="6"/>
      <c r="D39" s="6"/>
      <c r="E39" s="6"/>
      <c r="F39" s="6"/>
      <c r="G39" s="6">
        <f t="shared" ref="G39:G43" si="158">+G8/C8-1</f>
        <v>1.0321369927281276E-2</v>
      </c>
      <c r="H39" s="6">
        <f t="shared" si="154"/>
        <v>4.1743970315399892E-3</v>
      </c>
      <c r="I39" s="6">
        <f t="shared" si="154"/>
        <v>-1.3182674199623379E-2</v>
      </c>
      <c r="J39" s="6">
        <f t="shared" si="154"/>
        <v>-8.6344012724380859E-3</v>
      </c>
      <c r="K39" s="6">
        <f t="shared" si="154"/>
        <v>7.7315997213837973E-2</v>
      </c>
      <c r="L39" s="6">
        <f t="shared" si="154"/>
        <v>-0.12840646651270204</v>
      </c>
      <c r="M39" s="6">
        <f t="shared" si="154"/>
        <v>-9.6374045801526753E-2</v>
      </c>
      <c r="N39" s="6">
        <f t="shared" si="154"/>
        <v>-7.7469630987852423E-2</v>
      </c>
      <c r="O39" s="6">
        <f t="shared" si="154"/>
        <v>-0.15517241379310343</v>
      </c>
      <c r="P39" s="6">
        <f t="shared" si="154"/>
        <v>0.11234764175940648</v>
      </c>
      <c r="Q39" s="6">
        <f t="shared" si="154"/>
        <v>0.12697993664202745</v>
      </c>
      <c r="R39" s="6">
        <f t="shared" si="154"/>
        <v>0.16472049689441004</v>
      </c>
      <c r="S39" s="6">
        <f t="shared" si="154"/>
        <v>0.17117346938775513</v>
      </c>
      <c r="T39" s="6">
        <f t="shared" si="154"/>
        <v>0.12458313482610772</v>
      </c>
      <c r="U39" s="6">
        <f t="shared" si="154"/>
        <v>9.9554930897165717E-2</v>
      </c>
      <c r="V39" s="6">
        <f t="shared" si="154"/>
        <v>5.7380546075085359E-2</v>
      </c>
      <c r="W39" s="6">
        <f t="shared" si="154"/>
        <v>6.6216510564147235E-2</v>
      </c>
      <c r="X39" s="6">
        <f t="shared" si="154"/>
        <v>6.4181317517475023E-2</v>
      </c>
      <c r="Y39" s="6">
        <f t="shared" si="154"/>
        <v>5.4324669791222746E-2</v>
      </c>
      <c r="Z39" s="6">
        <f t="shared" si="154"/>
        <v>4.1355658664514738E-2</v>
      </c>
      <c r="AA39" s="6">
        <f t="shared" si="154"/>
        <v>6.2717058222676147E-2</v>
      </c>
      <c r="AB39" s="6">
        <f t="shared" si="154"/>
        <v>3.6226114649681618E-2</v>
      </c>
      <c r="AC39" s="6">
        <f t="shared" si="154"/>
        <v>5.6375025257627831E-2</v>
      </c>
      <c r="AD39" s="6">
        <f t="shared" si="154"/>
        <v>8.0782642386671766E-2</v>
      </c>
      <c r="AE39" s="6">
        <f t="shared" si="154"/>
        <v>6.3629373317954707E-2</v>
      </c>
      <c r="AF39" s="6">
        <f t="shared" si="154"/>
        <v>7.4721475220898892E-2</v>
      </c>
      <c r="AG39" s="6">
        <f t="shared" si="155"/>
        <v>8.0000000000000071E-2</v>
      </c>
      <c r="AH39" s="6">
        <f t="shared" si="156"/>
        <v>8.0000000000000071E-2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>
        <f t="shared" ref="AY39:BO39" si="159">+AY8/AX8-1</f>
        <v>-1.8578727357175806E-3</v>
      </c>
      <c r="AZ39" s="6">
        <f t="shared" si="159"/>
        <v>-5.6130758492321964E-2</v>
      </c>
      <c r="BA39" s="6">
        <f t="shared" si="159"/>
        <v>5.2258581376717794E-2</v>
      </c>
      <c r="BB39" s="6">
        <f t="shared" si="159"/>
        <v>0.11057101024890192</v>
      </c>
      <c r="BC39" s="6">
        <f t="shared" si="159"/>
        <v>5.6267468227601203E-2</v>
      </c>
      <c r="BD39" s="6">
        <f t="shared" si="159"/>
        <v>5.9161258112830684E-2</v>
      </c>
      <c r="BE39" s="6">
        <f t="shared" si="159"/>
        <v>7.4690549139759588E-2</v>
      </c>
      <c r="BF39" s="6">
        <f t="shared" si="159"/>
        <v>0.10000000000000009</v>
      </c>
      <c r="BG39" s="6">
        <f t="shared" si="159"/>
        <v>8.0000000000000071E-2</v>
      </c>
      <c r="BH39" s="6">
        <f t="shared" si="159"/>
        <v>8.0000000000000071E-2</v>
      </c>
      <c r="BI39" s="6">
        <f t="shared" si="159"/>
        <v>8.0000000000000071E-2</v>
      </c>
      <c r="BJ39" s="6">
        <f t="shared" si="159"/>
        <v>8.0000000000000071E-2</v>
      </c>
      <c r="BK39" s="6">
        <f t="shared" si="159"/>
        <v>8.0000000000000071E-2</v>
      </c>
      <c r="BL39" s="6">
        <f t="shared" si="159"/>
        <v>8.0000000000000071E-2</v>
      </c>
      <c r="BM39" s="6">
        <f t="shared" si="159"/>
        <v>8.0000000000000071E-2</v>
      </c>
      <c r="BN39" s="6">
        <f t="shared" si="159"/>
        <v>8.0000000000000071E-2</v>
      </c>
      <c r="BO39" s="6">
        <f t="shared" si="159"/>
        <v>8.0000000000000071E-2</v>
      </c>
    </row>
    <row r="40" spans="2:67" x14ac:dyDescent="0.2">
      <c r="B40" s="2" t="s">
        <v>125</v>
      </c>
      <c r="C40" s="6"/>
      <c r="D40" s="6"/>
      <c r="E40" s="6"/>
      <c r="F40" s="6"/>
      <c r="G40" s="6">
        <f t="shared" si="158"/>
        <v>0.20248246087425792</v>
      </c>
      <c r="H40" s="6">
        <f t="shared" si="154"/>
        <v>0.23294166151309015</v>
      </c>
      <c r="I40" s="6">
        <f t="shared" si="154"/>
        <v>0.2709956709956709</v>
      </c>
      <c r="J40" s="6">
        <f t="shared" si="154"/>
        <v>0.30366883359485919</v>
      </c>
      <c r="K40" s="6">
        <f t="shared" si="154"/>
        <v>0.29961403823714217</v>
      </c>
      <c r="L40" s="6">
        <f t="shared" si="154"/>
        <v>0.52106671125229886</v>
      </c>
      <c r="M40" s="6">
        <f t="shared" si="154"/>
        <v>0.54677565849227983</v>
      </c>
      <c r="N40" s="6">
        <f t="shared" si="154"/>
        <v>0.56766206224565829</v>
      </c>
      <c r="O40" s="6">
        <f t="shared" si="154"/>
        <v>0.63747496374058987</v>
      </c>
      <c r="P40" s="6">
        <f t="shared" si="154"/>
        <v>0.37867546029128873</v>
      </c>
      <c r="Q40" s="6">
        <f t="shared" si="154"/>
        <v>0.18672930123311793</v>
      </c>
      <c r="R40" s="6">
        <f t="shared" si="154"/>
        <v>0.10855178969690327</v>
      </c>
      <c r="S40" s="6">
        <f t="shared" si="154"/>
        <v>6.8581551309629285E-2</v>
      </c>
      <c r="T40" s="6">
        <f t="shared" si="154"/>
        <v>9.1329479768786026E-2</v>
      </c>
      <c r="U40" s="6">
        <f t="shared" si="154"/>
        <v>0.18200560778492503</v>
      </c>
      <c r="V40" s="6">
        <f t="shared" si="154"/>
        <v>0.19851583113456472</v>
      </c>
      <c r="W40" s="6">
        <f t="shared" si="154"/>
        <v>0.177027827116637</v>
      </c>
      <c r="X40" s="6">
        <f t="shared" si="154"/>
        <v>0.18103448275862077</v>
      </c>
      <c r="Y40" s="6">
        <f t="shared" si="154"/>
        <v>0.19800460475825021</v>
      </c>
      <c r="Z40" s="6">
        <f t="shared" si="154"/>
        <v>0.19868460882247718</v>
      </c>
      <c r="AA40" s="6">
        <f t="shared" si="154"/>
        <v>0.16016096579476868</v>
      </c>
      <c r="AB40" s="6">
        <f t="shared" si="154"/>
        <v>0.11966472844240994</v>
      </c>
      <c r="AC40" s="6">
        <f t="shared" si="154"/>
        <v>0.10255663618892319</v>
      </c>
      <c r="AD40" s="6">
        <f t="shared" si="154"/>
        <v>9.0130627424872101E-2</v>
      </c>
      <c r="AE40" s="6">
        <f t="shared" si="154"/>
        <v>5.538212510116769E-2</v>
      </c>
      <c r="AF40" s="6">
        <f t="shared" si="154"/>
        <v>0.1145548465512003</v>
      </c>
      <c r="AG40" s="6">
        <f t="shared" si="155"/>
        <v>0.10000000000000009</v>
      </c>
      <c r="AH40" s="6">
        <f>+AH9/AD9-1</f>
        <v>0.10000000000000009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>
        <f t="shared" ref="AY40:BO40" si="160">+AY9/AX9-1</f>
        <v>0.25773774710492448</v>
      </c>
      <c r="AZ40" s="6">
        <f t="shared" si="160"/>
        <v>0.49661470927420859</v>
      </c>
      <c r="BA40" s="6">
        <f t="shared" si="160"/>
        <v>0.28467207715539211</v>
      </c>
      <c r="BB40" s="6">
        <f t="shared" si="160"/>
        <v>0.13882708047133496</v>
      </c>
      <c r="BC40" s="6">
        <f t="shared" si="160"/>
        <v>0.18975330456352579</v>
      </c>
      <c r="BD40" s="6">
        <f t="shared" si="160"/>
        <v>0.11490649968226307</v>
      </c>
      <c r="BE40" s="6">
        <f t="shared" si="160"/>
        <v>9.3488786136052049E-2</v>
      </c>
      <c r="BF40" s="6">
        <f t="shared" si="160"/>
        <v>0.10000000000000009</v>
      </c>
      <c r="BG40" s="6">
        <f t="shared" si="160"/>
        <v>8.0000000000000071E-2</v>
      </c>
      <c r="BH40" s="6">
        <f t="shared" si="160"/>
        <v>8.0000000000000071E-2</v>
      </c>
      <c r="BI40" s="6">
        <f t="shared" si="160"/>
        <v>8.0000000000000071E-2</v>
      </c>
      <c r="BJ40" s="6">
        <f t="shared" si="160"/>
        <v>8.0000000000000071E-2</v>
      </c>
      <c r="BK40" s="6">
        <f t="shared" si="160"/>
        <v>8.0000000000000071E-2</v>
      </c>
      <c r="BL40" s="6">
        <f t="shared" si="160"/>
        <v>8.0000000000000071E-2</v>
      </c>
      <c r="BM40" s="6">
        <f t="shared" si="160"/>
        <v>8.0000000000000071E-2</v>
      </c>
      <c r="BN40" s="6">
        <f t="shared" si="160"/>
        <v>8.0000000000000071E-2</v>
      </c>
      <c r="BO40" s="6">
        <f t="shared" si="160"/>
        <v>8.0000000000000071E-2</v>
      </c>
    </row>
    <row r="41" spans="2:67" x14ac:dyDescent="0.2">
      <c r="B41" s="2" t="s">
        <v>126</v>
      </c>
      <c r="C41" s="6"/>
      <c r="D41" s="6"/>
      <c r="E41" s="6"/>
      <c r="F41" s="6"/>
      <c r="G41" s="6">
        <f t="shared" si="158"/>
        <v>0.39974210186976133</v>
      </c>
      <c r="H41" s="6">
        <f t="shared" si="154"/>
        <v>0.3720657276995305</v>
      </c>
      <c r="I41" s="6">
        <f t="shared" si="154"/>
        <v>0.34045429962141704</v>
      </c>
      <c r="J41" s="6">
        <f t="shared" si="154"/>
        <v>0.32196969696969702</v>
      </c>
      <c r="K41" s="6">
        <f t="shared" si="154"/>
        <v>0.27959465684016571</v>
      </c>
      <c r="L41" s="6">
        <f t="shared" si="154"/>
        <v>0.28699743370402042</v>
      </c>
      <c r="M41" s="6">
        <f t="shared" si="154"/>
        <v>0.32580189630825096</v>
      </c>
      <c r="N41" s="6">
        <f t="shared" si="154"/>
        <v>0.34880611270296091</v>
      </c>
      <c r="O41" s="6">
        <f t="shared" si="154"/>
        <v>0.36429085673146155</v>
      </c>
      <c r="P41" s="6">
        <f t="shared" si="154"/>
        <v>0.31555333998005985</v>
      </c>
      <c r="Q41" s="6">
        <f t="shared" si="154"/>
        <v>0.23980523432744971</v>
      </c>
      <c r="R41" s="6">
        <f t="shared" si="154"/>
        <v>0.15040362554878905</v>
      </c>
      <c r="S41" s="6">
        <f t="shared" si="154"/>
        <v>0.10949868073878632</v>
      </c>
      <c r="T41" s="6">
        <f t="shared" si="154"/>
        <v>0.10092206643930779</v>
      </c>
      <c r="U41" s="6">
        <f t="shared" si="154"/>
        <v>9.2660775650466265E-2</v>
      </c>
      <c r="V41" s="6">
        <f t="shared" si="154"/>
        <v>0.44158562107595722</v>
      </c>
      <c r="W41" s="6">
        <f t="shared" si="154"/>
        <v>0.13067776456599289</v>
      </c>
      <c r="X41" s="6">
        <f t="shared" si="154"/>
        <v>0.22567691601652129</v>
      </c>
      <c r="Y41" s="6">
        <f t="shared" si="154"/>
        <v>0.35459957317758062</v>
      </c>
      <c r="Z41" s="6">
        <f t="shared" si="154"/>
        <v>0.25140905209222897</v>
      </c>
      <c r="AA41" s="6">
        <f t="shared" si="154"/>
        <v>0.24345357030181924</v>
      </c>
      <c r="AB41" s="6">
        <f t="shared" si="154"/>
        <v>0.19545071609098574</v>
      </c>
      <c r="AC41" s="6">
        <f t="shared" si="154"/>
        <v>0.18830845771144289</v>
      </c>
      <c r="AD41" s="6">
        <f t="shared" si="154"/>
        <v>0.17974614439743419</v>
      </c>
      <c r="AE41" s="6">
        <f t="shared" si="154"/>
        <v>-9.218538565629264E-3</v>
      </c>
      <c r="AF41" s="6">
        <f t="shared" si="154"/>
        <v>0.22887792655234507</v>
      </c>
      <c r="AG41" s="6">
        <f t="shared" si="155"/>
        <v>0.10000000000000009</v>
      </c>
      <c r="AH41" s="6">
        <f t="shared" si="156"/>
        <v>0.10000000000000009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>
        <f t="shared" ref="AY41:BO41" si="161">+AY10/AX10-1</f>
        <v>0.35587238848108416</v>
      </c>
      <c r="AZ41" s="6">
        <f t="shared" si="161"/>
        <v>0.31218115564810001</v>
      </c>
      <c r="BA41" s="6">
        <f t="shared" si="161"/>
        <v>0.26028484151227826</v>
      </c>
      <c r="BB41" s="6">
        <f t="shared" si="161"/>
        <v>0.18795643414756991</v>
      </c>
      <c r="BC41" s="6">
        <f t="shared" si="161"/>
        <v>0.24290521741434601</v>
      </c>
      <c r="BD41" s="6">
        <f t="shared" si="161"/>
        <v>0.19843943205560066</v>
      </c>
      <c r="BE41" s="6">
        <f t="shared" si="161"/>
        <v>0.10630625822748785</v>
      </c>
      <c r="BF41" s="6">
        <f t="shared" si="161"/>
        <v>0.10000000000000009</v>
      </c>
      <c r="BG41" s="6">
        <f t="shared" si="161"/>
        <v>8.0000000000000071E-2</v>
      </c>
      <c r="BH41" s="6">
        <f t="shared" si="161"/>
        <v>8.0000000000000071E-2</v>
      </c>
      <c r="BI41" s="6">
        <f t="shared" si="161"/>
        <v>8.0000000000000071E-2</v>
      </c>
      <c r="BJ41" s="6">
        <f t="shared" si="161"/>
        <v>8.0000000000000071E-2</v>
      </c>
      <c r="BK41" s="6">
        <f t="shared" si="161"/>
        <v>8.0000000000000071E-2</v>
      </c>
      <c r="BL41" s="6">
        <f t="shared" si="161"/>
        <v>8.0000000000000071E-2</v>
      </c>
      <c r="BM41" s="6">
        <f t="shared" si="161"/>
        <v>8.0000000000000071E-2</v>
      </c>
      <c r="BN41" s="6">
        <f t="shared" si="161"/>
        <v>8.0000000000000071E-2</v>
      </c>
      <c r="BO41" s="6">
        <f t="shared" si="161"/>
        <v>8.0000000000000071E-2</v>
      </c>
    </row>
    <row r="42" spans="2:67" x14ac:dyDescent="0.2">
      <c r="B42" s="2" t="s">
        <v>127</v>
      </c>
      <c r="C42" s="6"/>
      <c r="D42" s="6"/>
      <c r="E42" s="6"/>
      <c r="F42" s="6"/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f t="shared" si="154"/>
        <v>-0.85473135912028553</v>
      </c>
      <c r="W42" s="6">
        <f t="shared" si="154"/>
        <v>0.22597435571918245</v>
      </c>
      <c r="X42" s="6">
        <f t="shared" si="154"/>
        <v>0.12983898595409382</v>
      </c>
      <c r="Y42" s="6">
        <f t="shared" si="154"/>
        <v>6.5144532886468376E-2</v>
      </c>
      <c r="Z42" s="6">
        <f t="shared" si="154"/>
        <v>0.16069057104913687</v>
      </c>
      <c r="AA42" s="6">
        <f t="shared" si="154"/>
        <v>0.1102826964895931</v>
      </c>
      <c r="AB42" s="6">
        <f t="shared" si="154"/>
        <v>9.824135839902981E-2</v>
      </c>
      <c r="AC42" s="6">
        <f t="shared" si="154"/>
        <v>0.10894788593903648</v>
      </c>
      <c r="AD42" s="6">
        <f t="shared" si="154"/>
        <v>9.7254004576659003E-2</v>
      </c>
      <c r="AE42" s="6">
        <f t="shared" si="154"/>
        <v>0.29835851520238754</v>
      </c>
      <c r="AF42" s="6">
        <f t="shared" si="154"/>
        <v>0.12350450947910918</v>
      </c>
      <c r="AG42" s="6">
        <f t="shared" si="155"/>
        <v>0.10000000000000009</v>
      </c>
      <c r="AH42" s="6">
        <f t="shared" si="156"/>
        <v>0.10000000000000009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>
        <v>0</v>
      </c>
      <c r="AZ42" s="6">
        <v>0</v>
      </c>
      <c r="BA42" s="6">
        <v>0</v>
      </c>
      <c r="BB42" s="6">
        <f t="shared" ref="BB42:BO42" si="162">+BB11/BA11-1</f>
        <v>-0.43381241760715095</v>
      </c>
      <c r="BC42" s="6">
        <f t="shared" si="162"/>
        <v>0.14171730365154178</v>
      </c>
      <c r="BD42" s="6">
        <f t="shared" si="162"/>
        <v>0.10358377477679137</v>
      </c>
      <c r="BE42" s="6">
        <f t="shared" si="162"/>
        <v>0.15368459007526947</v>
      </c>
      <c r="BF42" s="6">
        <f t="shared" si="162"/>
        <v>0.10000000000000009</v>
      </c>
      <c r="BG42" s="6">
        <f t="shared" si="162"/>
        <v>8.0000000000000071E-2</v>
      </c>
      <c r="BH42" s="6">
        <f t="shared" si="162"/>
        <v>8.0000000000000071E-2</v>
      </c>
      <c r="BI42" s="6">
        <f t="shared" si="162"/>
        <v>8.0000000000000071E-2</v>
      </c>
      <c r="BJ42" s="6">
        <f t="shared" si="162"/>
        <v>8.0000000000000071E-2</v>
      </c>
      <c r="BK42" s="6">
        <f t="shared" si="162"/>
        <v>8.0000000000000071E-2</v>
      </c>
      <c r="BL42" s="6">
        <f t="shared" si="162"/>
        <v>8.0000000000000071E-2</v>
      </c>
      <c r="BM42" s="6">
        <f t="shared" si="162"/>
        <v>8.0000000000000071E-2</v>
      </c>
      <c r="BN42" s="6">
        <f t="shared" si="162"/>
        <v>8.0000000000000071E-2</v>
      </c>
      <c r="BO42" s="6">
        <f t="shared" si="162"/>
        <v>8.0000000000000071E-2</v>
      </c>
    </row>
    <row r="43" spans="2:67" x14ac:dyDescent="0.2">
      <c r="B43" s="2" t="s">
        <v>128</v>
      </c>
      <c r="C43" s="6"/>
      <c r="D43" s="6"/>
      <c r="E43" s="6"/>
      <c r="F43" s="6"/>
      <c r="G43" s="6">
        <f t="shared" si="158"/>
        <v>0.41418596104373395</v>
      </c>
      <c r="H43" s="6">
        <f t="shared" si="154"/>
        <v>0.37280917280917292</v>
      </c>
      <c r="I43" s="6">
        <f t="shared" si="154"/>
        <v>0.34675849678095516</v>
      </c>
      <c r="J43" s="6">
        <f t="shared" si="154"/>
        <v>0.33988423744783947</v>
      </c>
      <c r="K43" s="6">
        <f t="shared" si="154"/>
        <v>0.32783264033264037</v>
      </c>
      <c r="L43" s="6">
        <f t="shared" si="154"/>
        <v>0.28958358191146649</v>
      </c>
      <c r="M43" s="6">
        <f t="shared" si="154"/>
        <v>0.28971650917176217</v>
      </c>
      <c r="N43" s="6">
        <f t="shared" si="154"/>
        <v>0.28008840667068524</v>
      </c>
      <c r="O43" s="6">
        <f t="shared" si="154"/>
        <v>0.32136216850963883</v>
      </c>
      <c r="P43" s="6">
        <f t="shared" si="154"/>
        <v>0.37018874907475952</v>
      </c>
      <c r="Q43" s="6">
        <f t="shared" si="154"/>
        <v>0.3886733902249806</v>
      </c>
      <c r="R43" s="6">
        <f t="shared" si="154"/>
        <v>0.39538533982106427</v>
      </c>
      <c r="S43" s="6">
        <f t="shared" si="154"/>
        <v>0.36569651188624741</v>
      </c>
      <c r="T43" s="6">
        <f t="shared" si="154"/>
        <v>0.33290566547369838</v>
      </c>
      <c r="U43" s="6">
        <f t="shared" si="154"/>
        <v>0.27486033519553077</v>
      </c>
      <c r="V43" s="6">
        <f t="shared" si="154"/>
        <v>0.20236220472440936</v>
      </c>
      <c r="W43" s="6">
        <f t="shared" si="154"/>
        <v>0.157963234097934</v>
      </c>
      <c r="X43" s="6">
        <f t="shared" si="154"/>
        <v>0.12163736764780375</v>
      </c>
      <c r="Y43" s="6">
        <f t="shared" si="154"/>
        <v>0.1227480767358069</v>
      </c>
      <c r="Z43" s="6">
        <f t="shared" si="154"/>
        <v>0.13219197305641317</v>
      </c>
      <c r="AA43" s="6">
        <f t="shared" si="154"/>
        <v>0.17247354125690739</v>
      </c>
      <c r="AB43" s="6">
        <f t="shared" si="154"/>
        <v>0.18703703703703711</v>
      </c>
      <c r="AC43" s="6">
        <f t="shared" si="154"/>
        <v>0.1905112971074201</v>
      </c>
      <c r="AD43" s="6">
        <f t="shared" si="154"/>
        <v>0.189307552470666</v>
      </c>
      <c r="AE43" s="6">
        <f t="shared" si="154"/>
        <v>0.1689499540679793</v>
      </c>
      <c r="AF43" s="6">
        <f t="shared" si="154"/>
        <v>0.17472698907956308</v>
      </c>
      <c r="AG43" s="6">
        <f t="shared" si="155"/>
        <v>0.15999999999999992</v>
      </c>
      <c r="AH43" s="6">
        <f t="shared" si="156"/>
        <v>0.15999999999999992</v>
      </c>
      <c r="AI43" s="6"/>
      <c r="AJ43" s="6"/>
      <c r="AY43" s="6">
        <f t="shared" ref="AY43:BO43" si="163">+AY12/AX12-1</f>
        <v>0.36526992788930035</v>
      </c>
      <c r="AZ43" s="6">
        <f t="shared" si="163"/>
        <v>0.29532347399074976</v>
      </c>
      <c r="BA43" s="6">
        <f t="shared" si="163"/>
        <v>0.37099404893101173</v>
      </c>
      <c r="BB43" s="6">
        <f t="shared" si="163"/>
        <v>0.28767563743931057</v>
      </c>
      <c r="BC43" s="6">
        <f t="shared" si="163"/>
        <v>0.13310277666799841</v>
      </c>
      <c r="BD43" s="6">
        <f t="shared" si="163"/>
        <v>0.18509867007503544</v>
      </c>
      <c r="BE43" s="6">
        <f t="shared" si="163"/>
        <v>0.16568187734761408</v>
      </c>
      <c r="BF43" s="6">
        <f t="shared" si="163"/>
        <v>0.14999999999999991</v>
      </c>
      <c r="BG43" s="6">
        <f t="shared" si="163"/>
        <v>0.10000000000000009</v>
      </c>
      <c r="BH43" s="6">
        <f t="shared" si="163"/>
        <v>0.10000000000000009</v>
      </c>
      <c r="BI43" s="6">
        <f t="shared" si="163"/>
        <v>0.10000000000000009</v>
      </c>
      <c r="BJ43" s="6">
        <f t="shared" si="163"/>
        <v>0.10000000000000009</v>
      </c>
      <c r="BK43" s="6">
        <f t="shared" si="163"/>
        <v>0.10000000000000009</v>
      </c>
      <c r="BL43" s="6">
        <f t="shared" si="163"/>
        <v>0.10000000000000009</v>
      </c>
      <c r="BM43" s="6">
        <f t="shared" si="163"/>
        <v>0.10000000000000009</v>
      </c>
      <c r="BN43" s="6">
        <f t="shared" si="163"/>
        <v>0.10000000000000009</v>
      </c>
      <c r="BO43" s="6">
        <f t="shared" si="163"/>
        <v>0.10000000000000009</v>
      </c>
    </row>
    <row r="44" spans="2:67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2:67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7" spans="2:67" x14ac:dyDescent="0.2">
      <c r="B47" s="2" t="s">
        <v>55</v>
      </c>
      <c r="C47" s="2">
        <f t="shared" ref="C47:AF47" si="164">C48-C63</f>
        <v>323</v>
      </c>
      <c r="D47" s="2">
        <f t="shared" si="164"/>
        <v>2412</v>
      </c>
      <c r="E47" s="2">
        <f t="shared" si="164"/>
        <v>5081</v>
      </c>
      <c r="F47" s="2">
        <f t="shared" si="164"/>
        <v>17755</v>
      </c>
      <c r="G47" s="2">
        <f t="shared" si="164"/>
        <v>13698</v>
      </c>
      <c r="H47" s="2">
        <f t="shared" si="164"/>
        <v>18134</v>
      </c>
      <c r="I47" s="2">
        <f t="shared" si="164"/>
        <v>20929</v>
      </c>
      <c r="J47" s="2">
        <f t="shared" si="164"/>
        <v>31607</v>
      </c>
      <c r="K47" s="2">
        <f t="shared" si="164"/>
        <v>25855</v>
      </c>
      <c r="L47" s="2">
        <f t="shared" si="164"/>
        <v>38263</v>
      </c>
      <c r="M47" s="2">
        <f t="shared" si="164"/>
        <v>35473</v>
      </c>
      <c r="N47" s="2">
        <f t="shared" si="164"/>
        <v>52580</v>
      </c>
      <c r="O47" s="2">
        <f t="shared" si="164"/>
        <v>41402</v>
      </c>
      <c r="P47" s="2">
        <f t="shared" si="164"/>
        <v>39615</v>
      </c>
      <c r="Q47" s="2">
        <f t="shared" si="164"/>
        <v>28933</v>
      </c>
      <c r="R47" s="2">
        <f t="shared" si="164"/>
        <v>47305</v>
      </c>
      <c r="S47" s="2">
        <f t="shared" si="164"/>
        <v>18829</v>
      </c>
      <c r="T47" s="2">
        <f t="shared" si="164"/>
        <v>2657</v>
      </c>
      <c r="U47" s="2">
        <f t="shared" si="164"/>
        <v>-257</v>
      </c>
      <c r="V47" s="2">
        <f t="shared" si="164"/>
        <v>2876</v>
      </c>
      <c r="W47" s="2">
        <f t="shared" si="164"/>
        <v>-2679</v>
      </c>
      <c r="X47" s="2">
        <f t="shared" si="164"/>
        <v>878</v>
      </c>
      <c r="Y47" s="2">
        <f t="shared" si="164"/>
        <v>3071</v>
      </c>
      <c r="Z47" s="2">
        <f t="shared" si="164"/>
        <v>28466</v>
      </c>
      <c r="AA47" s="2">
        <f t="shared" si="164"/>
        <v>27440</v>
      </c>
      <c r="AB47" s="2">
        <f t="shared" si="164"/>
        <v>34203</v>
      </c>
      <c r="AC47" s="2">
        <f t="shared" si="164"/>
        <v>33161</v>
      </c>
      <c r="AD47" s="2">
        <f t="shared" si="164"/>
        <v>48579</v>
      </c>
      <c r="AE47" s="2">
        <f t="shared" si="164"/>
        <v>41191</v>
      </c>
      <c r="AF47" s="2">
        <f t="shared" si="164"/>
        <v>42462</v>
      </c>
      <c r="AG47" s="6"/>
      <c r="AH47" s="6"/>
      <c r="BC47" s="2">
        <f>Z47</f>
        <v>28466</v>
      </c>
      <c r="BD47" s="2">
        <f>AD47</f>
        <v>48579</v>
      </c>
      <c r="BE47" s="2">
        <f>BD47+BE29</f>
        <v>121828.61199999985</v>
      </c>
      <c r="BF47" s="2">
        <f t="shared" ref="BF47:BO47" si="165">BE47+BF29</f>
        <v>218213.12271999975</v>
      </c>
      <c r="BG47" s="2">
        <f t="shared" si="165"/>
        <v>324717.87840719975</v>
      </c>
      <c r="BH47" s="2">
        <f t="shared" si="165"/>
        <v>441734.39961117192</v>
      </c>
      <c r="BI47" s="2">
        <f t="shared" si="165"/>
        <v>569618.75521605567</v>
      </c>
      <c r="BJ47" s="2">
        <f t="shared" si="165"/>
        <v>713880.09256175277</v>
      </c>
      <c r="BK47" s="2">
        <f t="shared" si="165"/>
        <v>875810.73237912217</v>
      </c>
      <c r="BL47" s="2">
        <f t="shared" si="165"/>
        <v>1056782.7975281216</v>
      </c>
      <c r="BM47" s="2">
        <f t="shared" si="165"/>
        <v>1258251.8096463799</v>
      </c>
      <c r="BN47" s="2">
        <f t="shared" si="165"/>
        <v>1481760.3080343471</v>
      </c>
      <c r="BO47" s="2">
        <f t="shared" si="165"/>
        <v>1728941.4688702859</v>
      </c>
    </row>
    <row r="48" spans="2:67" x14ac:dyDescent="0.2">
      <c r="B48" s="2" t="s">
        <v>3</v>
      </c>
      <c r="C48" s="2">
        <f>16676+8287</f>
        <v>24963</v>
      </c>
      <c r="D48" s="2">
        <f>19823+7227</f>
        <v>27050</v>
      </c>
      <c r="E48" s="2">
        <f>20425+9340</f>
        <v>29765</v>
      </c>
      <c r="F48" s="2">
        <f>31750+9500</f>
        <v>41250</v>
      </c>
      <c r="G48" s="2">
        <f>23115+13905</f>
        <v>37020</v>
      </c>
      <c r="H48" s="2">
        <f>22616+18847</f>
        <v>41463</v>
      </c>
      <c r="I48" s="2">
        <f>23255+20146</f>
        <v>43401</v>
      </c>
      <c r="J48" s="2">
        <f>36092+18929</f>
        <v>55021</v>
      </c>
      <c r="K48" s="2">
        <f>27201+22091</f>
        <v>49292</v>
      </c>
      <c r="L48" s="2">
        <f>37466+33925</f>
        <v>71391</v>
      </c>
      <c r="M48" s="2">
        <f>29930+38472</f>
        <v>68402</v>
      </c>
      <c r="N48" s="2">
        <f>42122+42274</f>
        <v>84396</v>
      </c>
      <c r="O48" s="2">
        <f>33834+39436</f>
        <v>73270</v>
      </c>
      <c r="P48" s="2">
        <f>40380+49514</f>
        <v>89894</v>
      </c>
      <c r="Q48" s="2">
        <f>29944+49044</f>
        <v>78988</v>
      </c>
      <c r="R48" s="2">
        <f>36220+59829</f>
        <v>96049</v>
      </c>
      <c r="S48" s="2">
        <f>36393+29992</f>
        <v>66385</v>
      </c>
      <c r="T48" s="2">
        <f>37478+23232</f>
        <v>60710</v>
      </c>
      <c r="U48" s="2">
        <f>34947+23715</f>
        <v>58662</v>
      </c>
      <c r="V48" s="2">
        <f>53888+16138</f>
        <v>70026</v>
      </c>
      <c r="W48" s="2">
        <f>49343+15062</f>
        <v>64405</v>
      </c>
      <c r="X48" s="2">
        <f>49529+14441</f>
        <v>63970</v>
      </c>
      <c r="Y48" s="2">
        <f>49605+14564</f>
        <v>64169</v>
      </c>
      <c r="Z48" s="2">
        <f>73387+13393</f>
        <v>86780</v>
      </c>
      <c r="AA48" s="2">
        <f>72852+12222</f>
        <v>85074</v>
      </c>
      <c r="AB48" s="2">
        <f>71178+17914</f>
        <v>89092</v>
      </c>
      <c r="AC48" s="2">
        <f>75091+12960</f>
        <v>88051</v>
      </c>
      <c r="AD48" s="2">
        <f>78779+22423</f>
        <v>101202</v>
      </c>
      <c r="AE48" s="2">
        <f>66207+28358</f>
        <v>94565</v>
      </c>
      <c r="AF48" s="2">
        <f>57741+35439</f>
        <v>93180</v>
      </c>
      <c r="AG48" s="6"/>
      <c r="AH48" s="6"/>
      <c r="BC48" s="2">
        <f>Z48</f>
        <v>86780</v>
      </c>
      <c r="BD48" s="2">
        <f>AD48</f>
        <v>101202</v>
      </c>
    </row>
    <row r="49" spans="2:61" x14ac:dyDescent="0.2">
      <c r="B49" s="2" t="s">
        <v>56</v>
      </c>
      <c r="C49" s="2">
        <v>12026</v>
      </c>
      <c r="D49" s="2">
        <v>12607</v>
      </c>
      <c r="E49" s="2">
        <v>14258</v>
      </c>
      <c r="F49" s="2">
        <v>16677</v>
      </c>
      <c r="G49" s="2">
        <v>15979</v>
      </c>
      <c r="H49" s="2">
        <v>16747</v>
      </c>
      <c r="I49" s="2">
        <v>16887</v>
      </c>
      <c r="J49" s="2">
        <v>20816</v>
      </c>
      <c r="K49" s="2">
        <v>17836</v>
      </c>
      <c r="L49" s="2">
        <v>19918</v>
      </c>
      <c r="M49" s="2">
        <v>20832</v>
      </c>
      <c r="N49" s="2">
        <v>24542</v>
      </c>
      <c r="O49" s="2">
        <v>24289</v>
      </c>
      <c r="P49" s="2">
        <v>26835</v>
      </c>
      <c r="Q49" s="2">
        <v>28610</v>
      </c>
      <c r="R49" s="2">
        <v>32891</v>
      </c>
      <c r="S49" s="2">
        <v>32504</v>
      </c>
      <c r="T49" s="2">
        <v>34804</v>
      </c>
      <c r="U49" s="2">
        <v>36154</v>
      </c>
      <c r="V49" s="2">
        <v>42360</v>
      </c>
      <c r="W49" s="2">
        <v>37649</v>
      </c>
      <c r="X49" s="2">
        <v>39925</v>
      </c>
      <c r="Y49" s="2">
        <v>43420</v>
      </c>
      <c r="Z49" s="2">
        <v>52253</v>
      </c>
      <c r="AA49" s="2">
        <v>31347</v>
      </c>
      <c r="AB49" s="2">
        <v>50106</v>
      </c>
      <c r="AC49" s="2">
        <v>51638</v>
      </c>
      <c r="AD49" s="2">
        <v>55451</v>
      </c>
      <c r="AE49" s="2">
        <v>54216</v>
      </c>
      <c r="AF49" s="2">
        <v>57415</v>
      </c>
      <c r="AG49" s="6"/>
      <c r="AH49" s="6"/>
      <c r="AK49" s="6"/>
      <c r="BC49" s="2">
        <f t="shared" ref="BC49:BC93" si="166">Z49</f>
        <v>52253</v>
      </c>
      <c r="BD49" s="2">
        <f t="shared" ref="BD49:BD93" si="167">AD49</f>
        <v>55451</v>
      </c>
    </row>
    <row r="50" spans="2:61" x14ac:dyDescent="0.2">
      <c r="B50" s="2" t="s">
        <v>99</v>
      </c>
      <c r="C50" s="2">
        <v>13840</v>
      </c>
      <c r="D50" s="2">
        <v>14824</v>
      </c>
      <c r="E50" s="2">
        <v>15862</v>
      </c>
      <c r="F50" s="2">
        <v>17174</v>
      </c>
      <c r="G50" s="2">
        <v>16423</v>
      </c>
      <c r="H50" s="2">
        <v>18580</v>
      </c>
      <c r="I50" s="2">
        <v>18766</v>
      </c>
      <c r="J50" s="2">
        <v>20497</v>
      </c>
      <c r="K50" s="2">
        <v>18857</v>
      </c>
      <c r="L50" s="2">
        <v>19599</v>
      </c>
      <c r="M50" s="2">
        <v>23725</v>
      </c>
      <c r="N50" s="2">
        <v>23795</v>
      </c>
      <c r="O50" s="2">
        <v>23849</v>
      </c>
      <c r="P50" s="2">
        <v>24119</v>
      </c>
      <c r="Q50" s="2">
        <v>30933</v>
      </c>
      <c r="R50" s="2">
        <v>32640</v>
      </c>
      <c r="S50" s="2">
        <v>34987</v>
      </c>
      <c r="T50" s="2">
        <v>38153</v>
      </c>
      <c r="U50" s="2">
        <v>36647</v>
      </c>
      <c r="V50" s="2">
        <v>34405</v>
      </c>
      <c r="W50" s="2">
        <v>34170</v>
      </c>
      <c r="X50" s="2">
        <v>36587</v>
      </c>
      <c r="Y50" s="2">
        <v>35406</v>
      </c>
      <c r="Z50" s="2">
        <v>33318</v>
      </c>
      <c r="AA50" s="2">
        <v>47768</v>
      </c>
      <c r="AB50" s="2">
        <v>34109</v>
      </c>
      <c r="AC50" s="2">
        <v>36103</v>
      </c>
      <c r="AD50" s="2">
        <v>34214</v>
      </c>
      <c r="AE50" s="2">
        <v>35864</v>
      </c>
      <c r="AF50" s="2">
        <v>40825</v>
      </c>
      <c r="AG50" s="6"/>
      <c r="AH50" s="6"/>
      <c r="AI50" s="3"/>
      <c r="AJ50" s="6"/>
      <c r="BC50" s="2">
        <f t="shared" si="166"/>
        <v>33318</v>
      </c>
      <c r="BD50" s="2">
        <f t="shared" si="167"/>
        <v>34214</v>
      </c>
    </row>
    <row r="51" spans="2:61" x14ac:dyDescent="0.2">
      <c r="B51" s="2" t="s">
        <v>58</v>
      </c>
      <c r="C51" s="2">
        <v>52331</v>
      </c>
      <c r="D51" s="2">
        <v>54768</v>
      </c>
      <c r="E51" s="2">
        <v>58019</v>
      </c>
      <c r="F51" s="2">
        <v>61797</v>
      </c>
      <c r="G51" s="2">
        <v>61048</v>
      </c>
      <c r="H51" s="2">
        <v>64723</v>
      </c>
      <c r="I51" s="2">
        <v>67662</v>
      </c>
      <c r="J51" s="2">
        <v>72705</v>
      </c>
      <c r="K51" s="2">
        <v>77779</v>
      </c>
      <c r="L51" s="2">
        <v>86517</v>
      </c>
      <c r="M51" s="2">
        <v>99981</v>
      </c>
      <c r="N51" s="2">
        <v>113114</v>
      </c>
      <c r="O51" s="2">
        <v>121461</v>
      </c>
      <c r="P51" s="2">
        <v>133502</v>
      </c>
      <c r="Q51" s="2">
        <v>147152</v>
      </c>
      <c r="R51" s="2">
        <v>160281</v>
      </c>
      <c r="S51" s="2">
        <v>168468</v>
      </c>
      <c r="T51" s="2">
        <v>173706</v>
      </c>
      <c r="U51" s="2">
        <v>177195</v>
      </c>
      <c r="V51" s="2">
        <v>186715</v>
      </c>
      <c r="W51" s="2">
        <v>190754</v>
      </c>
      <c r="X51" s="2">
        <v>193784</v>
      </c>
      <c r="Y51" s="2">
        <v>196468</v>
      </c>
      <c r="Z51" s="2">
        <v>204177</v>
      </c>
      <c r="AA51" s="2">
        <v>209950</v>
      </c>
      <c r="AB51" s="2">
        <v>220717</v>
      </c>
      <c r="AC51" s="2">
        <v>237917</v>
      </c>
      <c r="AD51" s="2">
        <v>252665</v>
      </c>
      <c r="AE51" s="2">
        <v>272781</v>
      </c>
      <c r="AF51" s="2">
        <v>297616</v>
      </c>
      <c r="AG51" s="6"/>
      <c r="AH51" s="6"/>
      <c r="AI51" s="3"/>
      <c r="AJ51" s="6"/>
      <c r="BC51" s="2">
        <f t="shared" si="166"/>
        <v>204177</v>
      </c>
      <c r="BD51" s="2">
        <f t="shared" si="167"/>
        <v>252665</v>
      </c>
      <c r="BH51" s="3" t="s">
        <v>81</v>
      </c>
      <c r="BI51" s="6">
        <v>0.08</v>
      </c>
    </row>
    <row r="52" spans="2:61" x14ac:dyDescent="0.2">
      <c r="B52" s="2" t="s">
        <v>59</v>
      </c>
      <c r="C52" s="2">
        <v>0</v>
      </c>
      <c r="D52" s="2">
        <v>0</v>
      </c>
      <c r="E52" s="2">
        <v>0</v>
      </c>
      <c r="F52" s="2">
        <v>0</v>
      </c>
      <c r="G52" s="2">
        <v>20132</v>
      </c>
      <c r="H52" s="2">
        <v>21649</v>
      </c>
      <c r="I52" s="2">
        <v>23114</v>
      </c>
      <c r="J52" s="2">
        <v>25141</v>
      </c>
      <c r="K52" s="2">
        <v>26279</v>
      </c>
      <c r="L52" s="2">
        <v>28537</v>
      </c>
      <c r="M52" s="2">
        <v>34119</v>
      </c>
      <c r="N52" s="2">
        <v>37553</v>
      </c>
      <c r="O52" s="2">
        <v>39328</v>
      </c>
      <c r="P52" s="2">
        <v>43346</v>
      </c>
      <c r="Q52" s="2">
        <v>52151</v>
      </c>
      <c r="R52" s="2">
        <v>56082</v>
      </c>
      <c r="S52" s="2">
        <v>56161</v>
      </c>
      <c r="T52" s="2">
        <v>58430</v>
      </c>
      <c r="U52" s="2">
        <v>62033</v>
      </c>
      <c r="V52" s="2">
        <v>66123</v>
      </c>
      <c r="W52" s="2">
        <v>68262</v>
      </c>
      <c r="X52" s="2">
        <v>70332</v>
      </c>
      <c r="Y52" s="2">
        <v>70758</v>
      </c>
      <c r="Z52" s="2">
        <v>72513</v>
      </c>
      <c r="AA52" s="2">
        <v>73313</v>
      </c>
      <c r="AB52" s="2">
        <v>74575</v>
      </c>
      <c r="AC52" s="2">
        <v>76527</v>
      </c>
      <c r="AD52" s="2">
        <v>76141</v>
      </c>
      <c r="AE52" s="2">
        <v>78495</v>
      </c>
      <c r="AF52" s="2">
        <v>82125</v>
      </c>
      <c r="AG52" s="6"/>
      <c r="AH52" s="6"/>
      <c r="AJ52" s="6"/>
      <c r="BC52" s="2">
        <f t="shared" si="166"/>
        <v>72513</v>
      </c>
      <c r="BD52" s="2">
        <f t="shared" si="167"/>
        <v>76141</v>
      </c>
      <c r="BH52" s="3" t="s">
        <v>82</v>
      </c>
      <c r="BI52" s="6">
        <v>0.01</v>
      </c>
    </row>
    <row r="53" spans="2:61" x14ac:dyDescent="0.2">
      <c r="B53" s="2" t="s">
        <v>60</v>
      </c>
      <c r="C53" s="2">
        <v>13388</v>
      </c>
      <c r="D53" s="2">
        <v>13944</v>
      </c>
      <c r="E53" s="2">
        <v>14553</v>
      </c>
      <c r="F53" s="2">
        <v>14548</v>
      </c>
      <c r="G53" s="2">
        <v>14708</v>
      </c>
      <c r="H53" s="2">
        <v>14727</v>
      </c>
      <c r="I53" s="2">
        <v>14734</v>
      </c>
      <c r="J53" s="2">
        <v>14754</v>
      </c>
      <c r="K53" s="2">
        <v>14739</v>
      </c>
      <c r="L53" s="2">
        <v>14751</v>
      </c>
      <c r="M53" s="2">
        <v>14960</v>
      </c>
      <c r="N53" s="2">
        <v>15017</v>
      </c>
      <c r="O53" s="2">
        <v>15220</v>
      </c>
      <c r="P53" s="2">
        <v>15350</v>
      </c>
      <c r="Q53" s="2">
        <v>15345</v>
      </c>
      <c r="R53" s="2">
        <v>15371</v>
      </c>
      <c r="S53" s="2">
        <v>20229</v>
      </c>
      <c r="T53" s="2">
        <v>20195</v>
      </c>
      <c r="U53" s="2">
        <v>20168</v>
      </c>
      <c r="V53" s="2">
        <v>20288</v>
      </c>
      <c r="W53" s="2">
        <v>22749</v>
      </c>
      <c r="X53" s="2">
        <v>22785</v>
      </c>
      <c r="Y53" s="2">
        <v>22749</v>
      </c>
      <c r="Z53" s="2">
        <v>22789</v>
      </c>
      <c r="AA53" s="2">
        <v>22770</v>
      </c>
      <c r="AB53" s="2">
        <v>22879</v>
      </c>
      <c r="AC53" s="2">
        <v>23081</v>
      </c>
      <c r="AD53" s="2">
        <v>23074</v>
      </c>
      <c r="AE53" s="2">
        <v>23089</v>
      </c>
      <c r="AF53" s="2">
        <v>23155</v>
      </c>
      <c r="AG53" s="6"/>
      <c r="AH53" s="6"/>
      <c r="BC53" s="2">
        <f t="shared" si="166"/>
        <v>22789</v>
      </c>
      <c r="BD53" s="2">
        <f t="shared" si="167"/>
        <v>23074</v>
      </c>
      <c r="BH53" s="3" t="s">
        <v>80</v>
      </c>
      <c r="BI53" s="6">
        <v>0</v>
      </c>
    </row>
    <row r="54" spans="2:61" x14ac:dyDescent="0.2">
      <c r="AG54" s="6"/>
      <c r="AH54" s="6"/>
      <c r="BH54" s="3"/>
      <c r="BI54" s="6"/>
    </row>
    <row r="55" spans="2:61" x14ac:dyDescent="0.2">
      <c r="AW55" s="6"/>
      <c r="BH55" s="3"/>
      <c r="BI55" s="6"/>
    </row>
    <row r="56" spans="2:61" x14ac:dyDescent="0.2">
      <c r="B56" s="2" t="s">
        <v>100</v>
      </c>
      <c r="C56" s="2">
        <v>9814</v>
      </c>
      <c r="D56" s="2">
        <v>10907</v>
      </c>
      <c r="E56" s="2">
        <v>11238</v>
      </c>
      <c r="F56" s="2">
        <v>11202</v>
      </c>
      <c r="G56" s="2">
        <v>12783</v>
      </c>
      <c r="H56" s="2">
        <v>13462</v>
      </c>
      <c r="I56" s="2">
        <v>14535</v>
      </c>
      <c r="J56" s="2">
        <v>16314</v>
      </c>
      <c r="K56" s="2">
        <v>16456</v>
      </c>
      <c r="L56" s="2">
        <v>17601</v>
      </c>
      <c r="M56" s="2">
        <v>20150</v>
      </c>
      <c r="N56" s="2">
        <v>22778</v>
      </c>
      <c r="O56" s="2">
        <v>25660</v>
      </c>
      <c r="P56" s="2">
        <v>27273</v>
      </c>
      <c r="Q56" s="2">
        <v>29227</v>
      </c>
      <c r="R56" s="2">
        <v>27235</v>
      </c>
      <c r="S56" s="2">
        <v>32033</v>
      </c>
      <c r="T56" s="2">
        <v>33730</v>
      </c>
      <c r="U56" s="2">
        <v>37503</v>
      </c>
      <c r="V56" s="2">
        <v>42758</v>
      </c>
      <c r="W56" s="2">
        <v>46392</v>
      </c>
      <c r="X56" s="2">
        <v>50224</v>
      </c>
      <c r="Y56" s="2">
        <v>53913</v>
      </c>
      <c r="Z56" s="2">
        <v>56024</v>
      </c>
      <c r="AA56" s="2">
        <v>60947</v>
      </c>
      <c r="AB56" s="2">
        <v>63340</v>
      </c>
      <c r="AC56" s="2">
        <v>71309</v>
      </c>
      <c r="AD56" s="2">
        <v>82147</v>
      </c>
      <c r="AE56" s="2">
        <v>84246</v>
      </c>
      <c r="AF56" s="2">
        <v>87854</v>
      </c>
      <c r="BC56" s="2">
        <f t="shared" si="166"/>
        <v>56024</v>
      </c>
      <c r="BD56" s="2">
        <f t="shared" si="167"/>
        <v>82147</v>
      </c>
      <c r="BH56" s="2" t="s">
        <v>120</v>
      </c>
      <c r="BI56" s="2">
        <f>NPV(BI51,BE29:DY29)+Main!L8-Main!L9</f>
        <v>2357932.2374799671</v>
      </c>
    </row>
    <row r="57" spans="2:61" x14ac:dyDescent="0.2">
      <c r="B57" s="2" t="s">
        <v>61</v>
      </c>
      <c r="C57" s="2">
        <f>SUM(C48:C56)</f>
        <v>126362</v>
      </c>
      <c r="D57" s="2">
        <f t="shared" ref="D57:AF57" si="168">SUM(D48:D56)</f>
        <v>134100</v>
      </c>
      <c r="E57" s="2">
        <f t="shared" si="168"/>
        <v>143695</v>
      </c>
      <c r="F57" s="2">
        <f t="shared" si="168"/>
        <v>162648</v>
      </c>
      <c r="G57" s="2">
        <f t="shared" si="168"/>
        <v>178093</v>
      </c>
      <c r="H57" s="2">
        <f t="shared" si="168"/>
        <v>191351</v>
      </c>
      <c r="I57" s="2">
        <f t="shared" si="168"/>
        <v>199099</v>
      </c>
      <c r="J57" s="2">
        <f t="shared" si="168"/>
        <v>225248</v>
      </c>
      <c r="K57" s="2">
        <f t="shared" si="168"/>
        <v>221238</v>
      </c>
      <c r="L57" s="2">
        <f t="shared" si="168"/>
        <v>258314</v>
      </c>
      <c r="M57" s="2">
        <f t="shared" si="168"/>
        <v>282169</v>
      </c>
      <c r="N57" s="2">
        <f t="shared" si="168"/>
        <v>321195</v>
      </c>
      <c r="O57" s="2">
        <f t="shared" si="168"/>
        <v>323077</v>
      </c>
      <c r="P57" s="2">
        <f t="shared" si="168"/>
        <v>360319</v>
      </c>
      <c r="Q57" s="2">
        <f t="shared" si="168"/>
        <v>382406</v>
      </c>
      <c r="R57" s="2">
        <f t="shared" si="168"/>
        <v>420549</v>
      </c>
      <c r="S57" s="2">
        <f t="shared" si="168"/>
        <v>410767</v>
      </c>
      <c r="T57" s="2">
        <f t="shared" si="168"/>
        <v>419728</v>
      </c>
      <c r="U57" s="2">
        <f t="shared" si="168"/>
        <v>428362</v>
      </c>
      <c r="V57" s="2">
        <f t="shared" si="168"/>
        <v>462675</v>
      </c>
      <c r="W57" s="2">
        <f t="shared" si="168"/>
        <v>464381</v>
      </c>
      <c r="X57" s="2">
        <f t="shared" si="168"/>
        <v>477607</v>
      </c>
      <c r="Y57" s="2">
        <f t="shared" si="168"/>
        <v>486883</v>
      </c>
      <c r="Z57" s="2">
        <f t="shared" si="168"/>
        <v>527854</v>
      </c>
      <c r="AA57" s="2">
        <f t="shared" si="168"/>
        <v>531169</v>
      </c>
      <c r="AB57" s="2">
        <f t="shared" si="168"/>
        <v>554818</v>
      </c>
      <c r="AC57" s="2">
        <f t="shared" si="168"/>
        <v>584626</v>
      </c>
      <c r="AD57" s="2">
        <f t="shared" si="168"/>
        <v>624894</v>
      </c>
      <c r="AE57" s="2">
        <f t="shared" si="168"/>
        <v>643256</v>
      </c>
      <c r="AF57" s="2">
        <f t="shared" si="168"/>
        <v>682170</v>
      </c>
      <c r="AI57" s="3"/>
      <c r="BC57" s="2">
        <f t="shared" si="166"/>
        <v>527854</v>
      </c>
      <c r="BD57" s="2">
        <f t="shared" si="167"/>
        <v>624894</v>
      </c>
      <c r="BH57" s="2" t="s">
        <v>121</v>
      </c>
      <c r="BI57" s="2">
        <f>BI56/Main!L6</f>
        <v>218.32705902592286</v>
      </c>
    </row>
    <row r="58" spans="2:61" x14ac:dyDescent="0.2">
      <c r="BH58" s="2" t="s">
        <v>122</v>
      </c>
      <c r="BI58" s="2">
        <v>196</v>
      </c>
    </row>
    <row r="59" spans="2:61" x14ac:dyDescent="0.2">
      <c r="B59" s="2" t="s">
        <v>62</v>
      </c>
      <c r="C59" s="2">
        <v>25172</v>
      </c>
      <c r="D59" s="2">
        <v>27657</v>
      </c>
      <c r="E59" s="2">
        <v>30904</v>
      </c>
      <c r="F59" s="2">
        <v>38192</v>
      </c>
      <c r="G59" s="2">
        <v>31809</v>
      </c>
      <c r="H59" s="2">
        <v>36063</v>
      </c>
      <c r="I59" s="2">
        <v>35794</v>
      </c>
      <c r="J59" s="2">
        <v>47183</v>
      </c>
      <c r="K59" s="2">
        <v>40056</v>
      </c>
      <c r="L59" s="2">
        <v>51036</v>
      </c>
      <c r="M59" s="2">
        <v>58334</v>
      </c>
      <c r="N59" s="2">
        <v>72539</v>
      </c>
      <c r="O59" s="2">
        <v>63926</v>
      </c>
      <c r="P59" s="2">
        <v>66090</v>
      </c>
      <c r="Q59" s="2">
        <v>71474</v>
      </c>
      <c r="R59" s="2">
        <v>78664</v>
      </c>
      <c r="S59" s="2">
        <v>68547</v>
      </c>
      <c r="T59" s="2">
        <v>71219</v>
      </c>
      <c r="U59" s="2">
        <v>67760</v>
      </c>
      <c r="V59" s="2">
        <v>79600</v>
      </c>
      <c r="W59" s="2">
        <v>66907</v>
      </c>
      <c r="X59" s="2">
        <v>69481</v>
      </c>
      <c r="Y59" s="2">
        <v>72004</v>
      </c>
      <c r="Z59" s="2">
        <v>84981</v>
      </c>
      <c r="AA59" s="2">
        <v>73068</v>
      </c>
      <c r="AB59" s="2">
        <v>81817</v>
      </c>
      <c r="AC59" s="2">
        <v>84570</v>
      </c>
      <c r="AD59" s="2">
        <v>94363</v>
      </c>
      <c r="AE59" s="2">
        <v>89241</v>
      </c>
      <c r="AF59" s="2">
        <v>98285</v>
      </c>
      <c r="BC59" s="2">
        <f t="shared" si="166"/>
        <v>84981</v>
      </c>
      <c r="BD59" s="2">
        <f t="shared" si="167"/>
        <v>94363</v>
      </c>
      <c r="BH59" s="3" t="s">
        <v>83</v>
      </c>
      <c r="BI59" s="15">
        <f>BI57/BI58-1</f>
        <v>0.11391356645879003</v>
      </c>
    </row>
    <row r="60" spans="2:61" x14ac:dyDescent="0.2">
      <c r="B60" s="2" t="s">
        <v>63</v>
      </c>
      <c r="C60" s="2">
        <v>16691</v>
      </c>
      <c r="D60" s="2">
        <v>17140</v>
      </c>
      <c r="E60" s="2">
        <v>18420</v>
      </c>
      <c r="F60" s="2">
        <v>23663</v>
      </c>
      <c r="G60" s="2">
        <v>24588</v>
      </c>
      <c r="H60" s="2">
        <v>26140</v>
      </c>
      <c r="I60" s="2">
        <v>28961</v>
      </c>
      <c r="J60" s="2">
        <v>32439</v>
      </c>
      <c r="K60" s="2">
        <v>30791</v>
      </c>
      <c r="L60" s="2">
        <v>33863</v>
      </c>
      <c r="M60" s="2">
        <v>34327</v>
      </c>
      <c r="N60" s="2">
        <v>44138</v>
      </c>
      <c r="O60" s="2">
        <v>40939</v>
      </c>
      <c r="P60" s="2">
        <v>41007</v>
      </c>
      <c r="Q60" s="2">
        <v>41546</v>
      </c>
      <c r="R60" s="2">
        <v>51775</v>
      </c>
      <c r="S60" s="2">
        <v>58141</v>
      </c>
      <c r="T60" s="2">
        <v>56254</v>
      </c>
      <c r="U60" s="2">
        <v>59974</v>
      </c>
      <c r="V60" s="2">
        <v>62566</v>
      </c>
      <c r="W60" s="2">
        <v>66382</v>
      </c>
      <c r="X60" s="2">
        <v>64235</v>
      </c>
      <c r="Y60" s="2">
        <v>58812</v>
      </c>
      <c r="Z60" s="2">
        <v>64709</v>
      </c>
      <c r="AA60" s="2">
        <v>63970</v>
      </c>
      <c r="AB60" s="2">
        <v>60351</v>
      </c>
      <c r="AC60" s="2">
        <v>60602</v>
      </c>
      <c r="AD60" s="2">
        <v>66965</v>
      </c>
      <c r="AE60" s="2">
        <v>66331</v>
      </c>
      <c r="AF60" s="2">
        <v>66974</v>
      </c>
      <c r="BC60" s="2">
        <f t="shared" si="166"/>
        <v>64709</v>
      </c>
      <c r="BD60" s="2">
        <f t="shared" si="167"/>
        <v>66965</v>
      </c>
    </row>
    <row r="61" spans="2:61" x14ac:dyDescent="0.2">
      <c r="B61" s="2" t="s">
        <v>101</v>
      </c>
      <c r="C61" s="2">
        <v>6182</v>
      </c>
      <c r="D61" s="2">
        <v>6004</v>
      </c>
      <c r="E61" s="2">
        <v>6000</v>
      </c>
      <c r="F61" s="2">
        <v>6536</v>
      </c>
      <c r="G61" s="2">
        <v>7298</v>
      </c>
      <c r="H61" s="2">
        <v>7475</v>
      </c>
      <c r="I61" s="2">
        <v>7381</v>
      </c>
      <c r="J61" s="2">
        <v>8190</v>
      </c>
      <c r="K61" s="2">
        <v>8864</v>
      </c>
      <c r="L61" s="2">
        <v>8997</v>
      </c>
      <c r="M61" s="2">
        <v>9251</v>
      </c>
      <c r="N61" s="2">
        <v>9708</v>
      </c>
      <c r="O61" s="2">
        <v>10539</v>
      </c>
      <c r="P61" s="2">
        <v>10695</v>
      </c>
      <c r="Q61" s="2">
        <v>10974</v>
      </c>
      <c r="R61" s="2">
        <v>11827</v>
      </c>
      <c r="S61" s="2">
        <v>12820</v>
      </c>
      <c r="T61" s="2">
        <v>12818</v>
      </c>
      <c r="U61" s="2">
        <v>12629</v>
      </c>
      <c r="V61" s="2">
        <v>13227</v>
      </c>
      <c r="W61" s="2">
        <v>14281</v>
      </c>
      <c r="X61" s="2">
        <v>14522</v>
      </c>
      <c r="Y61" s="2">
        <v>14398</v>
      </c>
      <c r="Z61" s="2">
        <v>15227</v>
      </c>
      <c r="AA61" s="2">
        <v>15927</v>
      </c>
      <c r="AB61" s="2">
        <v>16004</v>
      </c>
      <c r="AC61" s="2">
        <v>16305</v>
      </c>
      <c r="AD61" s="2">
        <v>18103</v>
      </c>
      <c r="AE61" s="2">
        <v>20599</v>
      </c>
      <c r="AF61" s="2">
        <v>21662</v>
      </c>
      <c r="BC61" s="2">
        <f t="shared" si="166"/>
        <v>15227</v>
      </c>
      <c r="BD61" s="2">
        <f t="shared" si="167"/>
        <v>18103</v>
      </c>
    </row>
    <row r="62" spans="2:61" x14ac:dyDescent="0.2">
      <c r="B62" s="2" t="s">
        <v>102</v>
      </c>
      <c r="C62" s="2">
        <v>0</v>
      </c>
      <c r="D62" s="2">
        <v>0</v>
      </c>
      <c r="E62" s="2">
        <v>0</v>
      </c>
      <c r="F62" s="2">
        <v>0</v>
      </c>
      <c r="G62" s="2">
        <v>33275</v>
      </c>
      <c r="H62" s="2">
        <v>35134</v>
      </c>
      <c r="I62" s="2">
        <v>37058</v>
      </c>
      <c r="J62" s="2">
        <v>39791</v>
      </c>
      <c r="K62" s="2">
        <v>40300</v>
      </c>
      <c r="L62" s="2">
        <v>42798</v>
      </c>
      <c r="M62" s="2">
        <v>48589</v>
      </c>
      <c r="N62" s="2">
        <v>52573</v>
      </c>
      <c r="O62" s="2">
        <v>53067</v>
      </c>
      <c r="P62" s="2">
        <v>56297</v>
      </c>
      <c r="Q62" s="2">
        <v>63848</v>
      </c>
      <c r="R62" s="2">
        <v>67651</v>
      </c>
      <c r="S62" s="2">
        <v>65731</v>
      </c>
      <c r="T62" s="2">
        <v>66524</v>
      </c>
      <c r="U62" s="2">
        <v>69332</v>
      </c>
      <c r="V62" s="2">
        <v>72968</v>
      </c>
      <c r="W62" s="2">
        <v>74267</v>
      </c>
      <c r="X62" s="2">
        <v>75822</v>
      </c>
      <c r="Y62" s="2">
        <v>75891</v>
      </c>
      <c r="Z62" s="2">
        <v>77297</v>
      </c>
      <c r="AA62" s="2">
        <v>77052</v>
      </c>
      <c r="AB62" s="2">
        <v>78084</v>
      </c>
      <c r="AC62" s="2">
        <v>79802</v>
      </c>
      <c r="AD62" s="2">
        <v>78277</v>
      </c>
      <c r="AE62" s="2">
        <v>79871</v>
      </c>
      <c r="AF62" s="2">
        <v>83221</v>
      </c>
      <c r="BC62" s="2">
        <f t="shared" si="166"/>
        <v>77297</v>
      </c>
      <c r="BD62" s="2">
        <f t="shared" si="167"/>
        <v>78277</v>
      </c>
    </row>
    <row r="63" spans="2:61" x14ac:dyDescent="0.2">
      <c r="B63" s="2" t="s">
        <v>4</v>
      </c>
      <c r="C63" s="2">
        <v>24640</v>
      </c>
      <c r="D63" s="2">
        <v>24638</v>
      </c>
      <c r="E63" s="2">
        <v>24684</v>
      </c>
      <c r="F63" s="2">
        <v>23495</v>
      </c>
      <c r="G63" s="2">
        <v>23322</v>
      </c>
      <c r="H63" s="2">
        <v>23329</v>
      </c>
      <c r="I63" s="2">
        <v>22472</v>
      </c>
      <c r="J63" s="2">
        <v>23414</v>
      </c>
      <c r="K63" s="2">
        <v>23437</v>
      </c>
      <c r="L63" s="2">
        <v>33128</v>
      </c>
      <c r="M63" s="2">
        <v>32929</v>
      </c>
      <c r="N63" s="2">
        <v>31816</v>
      </c>
      <c r="O63" s="2">
        <v>31868</v>
      </c>
      <c r="P63" s="2">
        <v>50279</v>
      </c>
      <c r="Q63" s="2">
        <v>50055</v>
      </c>
      <c r="R63" s="2">
        <v>48744</v>
      </c>
      <c r="S63" s="2">
        <v>47556</v>
      </c>
      <c r="T63" s="2">
        <v>58053</v>
      </c>
      <c r="U63" s="2">
        <v>58919</v>
      </c>
      <c r="V63" s="2">
        <v>67150</v>
      </c>
      <c r="W63" s="2">
        <v>67084</v>
      </c>
      <c r="X63" s="2">
        <v>63092</v>
      </c>
      <c r="Y63" s="2">
        <v>61098</v>
      </c>
      <c r="Z63" s="2">
        <v>58314</v>
      </c>
      <c r="AA63" s="2">
        <v>57634</v>
      </c>
      <c r="AB63" s="2">
        <v>54889</v>
      </c>
      <c r="AC63" s="2">
        <v>54890</v>
      </c>
      <c r="AD63" s="2">
        <v>52623</v>
      </c>
      <c r="AE63" s="2">
        <v>53374</v>
      </c>
      <c r="AF63" s="2">
        <v>50718</v>
      </c>
      <c r="BC63" s="2">
        <f t="shared" si="166"/>
        <v>58314</v>
      </c>
      <c r="BD63" s="2">
        <f t="shared" si="167"/>
        <v>52623</v>
      </c>
    </row>
    <row r="64" spans="2:61" x14ac:dyDescent="0.2">
      <c r="B64" s="2" t="s">
        <v>64</v>
      </c>
      <c r="C64" s="2">
        <v>22214</v>
      </c>
      <c r="D64" s="2">
        <v>23666</v>
      </c>
      <c r="E64" s="2">
        <v>24562</v>
      </c>
      <c r="F64" s="2">
        <v>27213</v>
      </c>
      <c r="G64" s="2">
        <v>9400</v>
      </c>
      <c r="H64" s="2">
        <v>10149</v>
      </c>
      <c r="I64" s="2">
        <v>10925</v>
      </c>
      <c r="J64" s="2">
        <v>12171</v>
      </c>
      <c r="K64" s="2">
        <v>12518</v>
      </c>
      <c r="L64" s="2">
        <v>14764</v>
      </c>
      <c r="M64" s="2">
        <v>15974</v>
      </c>
      <c r="N64" s="2">
        <v>17017</v>
      </c>
      <c r="O64" s="2">
        <v>19418</v>
      </c>
      <c r="P64" s="2">
        <v>21148</v>
      </c>
      <c r="Q64" s="2">
        <v>23945</v>
      </c>
      <c r="R64" s="2">
        <v>23643</v>
      </c>
      <c r="S64" s="2">
        <v>23971</v>
      </c>
      <c r="T64" s="2">
        <v>23458</v>
      </c>
      <c r="U64" s="2">
        <v>22259</v>
      </c>
      <c r="V64" s="2">
        <v>21121</v>
      </c>
      <c r="W64" s="2">
        <v>20931</v>
      </c>
      <c r="X64" s="2">
        <v>21853</v>
      </c>
      <c r="Y64" s="2">
        <v>21707</v>
      </c>
      <c r="Z64" s="2">
        <v>25451</v>
      </c>
      <c r="AA64" s="2">
        <v>26657</v>
      </c>
      <c r="AB64" s="2">
        <v>27226</v>
      </c>
      <c r="AC64" s="2">
        <v>29306</v>
      </c>
      <c r="AD64" s="2">
        <v>28593</v>
      </c>
      <c r="AE64" s="2">
        <v>27973</v>
      </c>
      <c r="AF64" s="2">
        <v>27535</v>
      </c>
      <c r="BC64" s="2">
        <f t="shared" si="166"/>
        <v>25451</v>
      </c>
      <c r="BD64" s="2">
        <f t="shared" si="167"/>
        <v>28593</v>
      </c>
    </row>
    <row r="65" spans="2:56" x14ac:dyDescent="0.2">
      <c r="B65" s="2" t="s">
        <v>65</v>
      </c>
      <c r="C65" s="2">
        <v>31463</v>
      </c>
      <c r="D65" s="2">
        <v>34995</v>
      </c>
      <c r="E65" s="2">
        <v>39125</v>
      </c>
      <c r="F65" s="2">
        <v>43549</v>
      </c>
      <c r="G65" s="2">
        <v>48410</v>
      </c>
      <c r="H65" s="2">
        <v>53061</v>
      </c>
      <c r="I65" s="2">
        <v>56508</v>
      </c>
      <c r="J65" s="2">
        <v>62060</v>
      </c>
      <c r="K65" s="2">
        <v>65272</v>
      </c>
      <c r="L65" s="2">
        <v>73728</v>
      </c>
      <c r="M65" s="2">
        <v>82775</v>
      </c>
      <c r="N65" s="2">
        <v>93404</v>
      </c>
      <c r="O65" s="2">
        <v>103320</v>
      </c>
      <c r="P65" s="2">
        <v>114803</v>
      </c>
      <c r="Q65" s="2">
        <v>120564</v>
      </c>
      <c r="R65" s="2">
        <v>138245</v>
      </c>
      <c r="S65" s="2">
        <v>134001</v>
      </c>
      <c r="T65" s="2">
        <v>131402</v>
      </c>
      <c r="U65" s="2">
        <v>137489</v>
      </c>
      <c r="V65" s="2">
        <v>146043</v>
      </c>
      <c r="W65" s="2">
        <v>154526</v>
      </c>
      <c r="X65" s="2">
        <v>182973</v>
      </c>
      <c r="Y65" s="2">
        <v>182973</v>
      </c>
      <c r="Z65" s="2">
        <v>201875</v>
      </c>
      <c r="AA65" s="2">
        <v>216661</v>
      </c>
      <c r="AB65" s="2">
        <v>236447</v>
      </c>
      <c r="AC65" s="2">
        <v>259151</v>
      </c>
      <c r="AD65" s="2">
        <v>285970</v>
      </c>
      <c r="AE65" s="2">
        <v>305867</v>
      </c>
      <c r="AF65" s="2">
        <v>333775</v>
      </c>
      <c r="BC65" s="2">
        <f t="shared" si="166"/>
        <v>201875</v>
      </c>
      <c r="BD65" s="2">
        <f t="shared" si="167"/>
        <v>285970</v>
      </c>
    </row>
    <row r="66" spans="2:56" x14ac:dyDescent="0.2">
      <c r="B66" s="2" t="s">
        <v>66</v>
      </c>
      <c r="C66" s="2">
        <f t="shared" ref="C66:AF66" si="169">SUM(C59:C65)</f>
        <v>126362</v>
      </c>
      <c r="D66" s="2">
        <f t="shared" si="169"/>
        <v>134100</v>
      </c>
      <c r="E66" s="2">
        <f t="shared" si="169"/>
        <v>143695</v>
      </c>
      <c r="F66" s="2">
        <f t="shared" si="169"/>
        <v>162648</v>
      </c>
      <c r="G66" s="2">
        <f t="shared" si="169"/>
        <v>178102</v>
      </c>
      <c r="H66" s="2">
        <f t="shared" si="169"/>
        <v>191351</v>
      </c>
      <c r="I66" s="2">
        <f t="shared" si="169"/>
        <v>199099</v>
      </c>
      <c r="J66" s="2">
        <f t="shared" si="169"/>
        <v>225248</v>
      </c>
      <c r="K66" s="2">
        <f t="shared" si="169"/>
        <v>221238</v>
      </c>
      <c r="L66" s="2">
        <f t="shared" si="169"/>
        <v>258314</v>
      </c>
      <c r="M66" s="2">
        <f t="shared" si="169"/>
        <v>282179</v>
      </c>
      <c r="N66" s="2">
        <f t="shared" si="169"/>
        <v>321195</v>
      </c>
      <c r="O66" s="2">
        <f t="shared" si="169"/>
        <v>323077</v>
      </c>
      <c r="P66" s="2">
        <f t="shared" si="169"/>
        <v>360319</v>
      </c>
      <c r="Q66" s="2">
        <f t="shared" si="169"/>
        <v>382406</v>
      </c>
      <c r="R66" s="2">
        <f t="shared" si="169"/>
        <v>420549</v>
      </c>
      <c r="S66" s="2">
        <f t="shared" si="169"/>
        <v>410767</v>
      </c>
      <c r="T66" s="2">
        <f t="shared" si="169"/>
        <v>419728</v>
      </c>
      <c r="U66" s="2">
        <f t="shared" si="169"/>
        <v>428362</v>
      </c>
      <c r="V66" s="2">
        <f t="shared" si="169"/>
        <v>462675</v>
      </c>
      <c r="W66" s="2">
        <f t="shared" si="169"/>
        <v>464378</v>
      </c>
      <c r="X66" s="2">
        <f t="shared" si="169"/>
        <v>491978</v>
      </c>
      <c r="Y66" s="2">
        <f t="shared" si="169"/>
        <v>486883</v>
      </c>
      <c r="Z66" s="2">
        <f t="shared" si="169"/>
        <v>527854</v>
      </c>
      <c r="AA66" s="2">
        <f t="shared" si="169"/>
        <v>530969</v>
      </c>
      <c r="AB66" s="2">
        <f t="shared" si="169"/>
        <v>554818</v>
      </c>
      <c r="AC66" s="2">
        <f t="shared" si="169"/>
        <v>584626</v>
      </c>
      <c r="AD66" s="2">
        <f t="shared" si="169"/>
        <v>624894</v>
      </c>
      <c r="AE66" s="2">
        <f t="shared" si="169"/>
        <v>643256</v>
      </c>
      <c r="AF66" s="2">
        <f t="shared" si="169"/>
        <v>682170</v>
      </c>
      <c r="BC66" s="2">
        <f t="shared" si="166"/>
        <v>527854</v>
      </c>
      <c r="BD66" s="2">
        <f t="shared" si="167"/>
        <v>624894</v>
      </c>
    </row>
    <row r="68" spans="2:56" x14ac:dyDescent="0.2">
      <c r="B68" s="2" t="s">
        <v>67</v>
      </c>
      <c r="C68" s="2">
        <f t="shared" ref="C68:AF68" si="170">C29</f>
        <v>1629</v>
      </c>
      <c r="D68" s="2">
        <f t="shared" si="170"/>
        <v>2534</v>
      </c>
      <c r="E68" s="2">
        <f t="shared" si="170"/>
        <v>2883</v>
      </c>
      <c r="F68" s="2">
        <f t="shared" si="170"/>
        <v>3027</v>
      </c>
      <c r="G68" s="2">
        <f t="shared" si="170"/>
        <v>3561</v>
      </c>
      <c r="H68" s="2">
        <f t="shared" si="170"/>
        <v>2625</v>
      </c>
      <c r="I68" s="2">
        <f t="shared" si="170"/>
        <v>2134</v>
      </c>
      <c r="J68" s="2">
        <f t="shared" si="170"/>
        <v>3268</v>
      </c>
      <c r="K68" s="2">
        <f t="shared" si="170"/>
        <v>2535</v>
      </c>
      <c r="L68" s="2">
        <f t="shared" si="170"/>
        <v>5243</v>
      </c>
      <c r="M68" s="2">
        <f t="shared" si="170"/>
        <v>6331</v>
      </c>
      <c r="N68" s="2">
        <f t="shared" si="170"/>
        <v>7222</v>
      </c>
      <c r="O68" s="2">
        <f t="shared" si="170"/>
        <v>8107</v>
      </c>
      <c r="P68" s="2">
        <f t="shared" si="170"/>
        <v>7778</v>
      </c>
      <c r="Q68" s="2">
        <f t="shared" si="170"/>
        <v>3156</v>
      </c>
      <c r="R68" s="2">
        <f t="shared" si="170"/>
        <v>14323</v>
      </c>
      <c r="S68" s="2">
        <f t="shared" si="170"/>
        <v>-3734</v>
      </c>
      <c r="T68" s="2">
        <f t="shared" si="170"/>
        <v>2357</v>
      </c>
      <c r="U68" s="2">
        <f t="shared" si="170"/>
        <v>2872</v>
      </c>
      <c r="V68" s="2">
        <f t="shared" si="170"/>
        <v>278</v>
      </c>
      <c r="W68" s="2">
        <f t="shared" si="170"/>
        <v>3172</v>
      </c>
      <c r="X68" s="2">
        <f t="shared" si="170"/>
        <v>6750</v>
      </c>
      <c r="Y68" s="2">
        <f t="shared" si="170"/>
        <v>9879</v>
      </c>
      <c r="Z68" s="2">
        <f t="shared" si="170"/>
        <v>10358</v>
      </c>
      <c r="AA68" s="2">
        <f t="shared" si="170"/>
        <v>10431</v>
      </c>
      <c r="AB68" s="2">
        <f t="shared" si="170"/>
        <v>13481</v>
      </c>
      <c r="AC68" s="2">
        <f t="shared" si="170"/>
        <v>15328</v>
      </c>
      <c r="AD68" s="2">
        <f t="shared" si="170"/>
        <v>20008</v>
      </c>
      <c r="AE68" s="2">
        <f t="shared" si="170"/>
        <v>17127</v>
      </c>
      <c r="AF68" s="2">
        <f t="shared" si="170"/>
        <v>18164</v>
      </c>
      <c r="BC68" s="2">
        <f t="shared" si="166"/>
        <v>10358</v>
      </c>
      <c r="BD68" s="2">
        <f t="shared" si="167"/>
        <v>20008</v>
      </c>
    </row>
    <row r="69" spans="2:56" x14ac:dyDescent="0.2">
      <c r="B69" s="2" t="s">
        <v>68</v>
      </c>
      <c r="C69" s="2">
        <v>1629</v>
      </c>
      <c r="D69" s="2">
        <v>2534</v>
      </c>
      <c r="E69" s="2">
        <v>2883</v>
      </c>
      <c r="F69" s="2">
        <f>10073-SUM(C69:E69)</f>
        <v>3027</v>
      </c>
      <c r="G69" s="2">
        <v>3561</v>
      </c>
      <c r="H69" s="2">
        <v>2625</v>
      </c>
      <c r="I69" s="2">
        <v>2134</v>
      </c>
      <c r="J69" s="2">
        <f>11588-SUM(G69:I69)</f>
        <v>3268</v>
      </c>
      <c r="K69" s="2">
        <v>2535</v>
      </c>
      <c r="L69" s="2">
        <v>5243</v>
      </c>
      <c r="M69" s="2">
        <v>6331</v>
      </c>
      <c r="N69" s="2">
        <f>21331-SUM(K69:M69)</f>
        <v>7222</v>
      </c>
      <c r="O69" s="2">
        <v>8107</v>
      </c>
      <c r="P69" s="2">
        <v>7778</v>
      </c>
      <c r="Q69" s="2">
        <v>3156</v>
      </c>
      <c r="R69" s="2">
        <f>33364-SUM(O69:Q69)</f>
        <v>14323</v>
      </c>
      <c r="S69" s="2">
        <v>-3844</v>
      </c>
      <c r="T69" s="2">
        <v>-2028</v>
      </c>
      <c r="U69" s="2">
        <v>2872</v>
      </c>
      <c r="V69" s="2">
        <f>-2722-SUM(S69:U69)</f>
        <v>278</v>
      </c>
      <c r="W69" s="2">
        <v>3172</v>
      </c>
      <c r="X69" s="2">
        <v>6750</v>
      </c>
      <c r="Y69" s="2">
        <v>9879</v>
      </c>
      <c r="Z69" s="2">
        <f>30425-SUM(W69:Y69)</f>
        <v>10624</v>
      </c>
      <c r="AA69" s="2">
        <v>10431</v>
      </c>
      <c r="AB69" s="2">
        <v>13485</v>
      </c>
      <c r="AC69" s="2">
        <v>15328</v>
      </c>
      <c r="AD69" s="2">
        <f>59248-SUM(AA69:AC69)</f>
        <v>20004</v>
      </c>
      <c r="AE69" s="2">
        <v>17127</v>
      </c>
      <c r="AF69" s="2">
        <v>18164</v>
      </c>
      <c r="BC69" s="2">
        <f t="shared" si="166"/>
        <v>10624</v>
      </c>
      <c r="BD69" s="2">
        <f t="shared" si="167"/>
        <v>20004</v>
      </c>
    </row>
    <row r="70" spans="2:56" x14ac:dyDescent="0.2">
      <c r="B70" s="2" t="s">
        <v>103</v>
      </c>
      <c r="C70" s="2">
        <v>3671</v>
      </c>
      <c r="D70" s="2">
        <v>13711</v>
      </c>
      <c r="E70" s="2">
        <v>3778</v>
      </c>
      <c r="F70" s="2">
        <f>15351-SUM(C70:E70)</f>
        <v>-5809</v>
      </c>
      <c r="G70" s="2">
        <v>4854</v>
      </c>
      <c r="H70" s="2">
        <v>5202</v>
      </c>
      <c r="I70" s="2">
        <v>5563</v>
      </c>
      <c r="J70" s="2">
        <f>21789-SUM(G70:I70)</f>
        <v>6170</v>
      </c>
      <c r="K70" s="2">
        <v>5362</v>
      </c>
      <c r="L70" s="2">
        <v>5748</v>
      </c>
      <c r="M70" s="2">
        <v>6523</v>
      </c>
      <c r="N70" s="2">
        <f>25251-SUM(K70:M70)</f>
        <v>7618</v>
      </c>
      <c r="O70" s="2">
        <v>7508</v>
      </c>
      <c r="P70" s="2">
        <v>8038</v>
      </c>
      <c r="Q70" s="2">
        <v>8948</v>
      </c>
      <c r="R70" s="2">
        <f>34296-SUM(O70:Q70)</f>
        <v>9802</v>
      </c>
      <c r="S70" s="2">
        <v>8978</v>
      </c>
      <c r="T70" s="2">
        <v>9594</v>
      </c>
      <c r="U70" s="2">
        <v>10204</v>
      </c>
      <c r="V70" s="2">
        <f>41921-SUM(S70:U70)</f>
        <v>13145</v>
      </c>
      <c r="W70" s="2">
        <v>11123</v>
      </c>
      <c r="X70" s="2">
        <v>11589</v>
      </c>
      <c r="Y70" s="2">
        <v>12131</v>
      </c>
      <c r="Z70" s="2">
        <f>48663-SUM(W70:Y70)</f>
        <v>13820</v>
      </c>
      <c r="AA70" s="2">
        <v>11684</v>
      </c>
      <c r="AB70" s="2">
        <v>12038</v>
      </c>
      <c r="AC70" s="2">
        <v>13442</v>
      </c>
      <c r="AD70" s="2">
        <f>52795-SUM(AA70:AC70)</f>
        <v>15631</v>
      </c>
      <c r="AE70" s="2">
        <v>14262</v>
      </c>
      <c r="AF70" s="2">
        <v>15227</v>
      </c>
      <c r="BC70" s="2">
        <f t="shared" si="166"/>
        <v>13820</v>
      </c>
      <c r="BD70" s="2">
        <f t="shared" si="167"/>
        <v>15631</v>
      </c>
    </row>
    <row r="71" spans="2:56" x14ac:dyDescent="0.2">
      <c r="B71" s="2" t="s">
        <v>69</v>
      </c>
      <c r="C71" s="2">
        <v>1182</v>
      </c>
      <c r="D71" s="2">
        <v>4914</v>
      </c>
      <c r="E71" s="2">
        <v>1350</v>
      </c>
      <c r="F71" s="2">
        <f>5418-SUM(C71:E71)</f>
        <v>-2028</v>
      </c>
      <c r="G71" s="2">
        <v>1274</v>
      </c>
      <c r="H71" s="2">
        <v>1971</v>
      </c>
      <c r="I71" s="2">
        <v>1779</v>
      </c>
      <c r="J71" s="2">
        <f>6864-SUM(G71:I71)</f>
        <v>1840</v>
      </c>
      <c r="K71" s="2">
        <v>1757</v>
      </c>
      <c r="L71" s="2">
        <v>2601</v>
      </c>
      <c r="M71" s="2">
        <v>2288</v>
      </c>
      <c r="N71" s="2">
        <f>9208-SUM(K71:M71)</f>
        <v>2562</v>
      </c>
      <c r="O71" s="2">
        <v>2306</v>
      </c>
      <c r="P71" s="2">
        <v>3591</v>
      </c>
      <c r="Q71" s="2">
        <v>3180</v>
      </c>
      <c r="R71" s="2">
        <f>12757-SUM(O71:Q71)</f>
        <v>3680</v>
      </c>
      <c r="S71" s="2">
        <v>3250</v>
      </c>
      <c r="T71" s="2">
        <v>5209</v>
      </c>
      <c r="U71" s="2">
        <v>5556</v>
      </c>
      <c r="V71" s="2">
        <f>19621-SUM(S71:U71)</f>
        <v>5606</v>
      </c>
      <c r="W71" s="2">
        <v>4748</v>
      </c>
      <c r="X71" s="2">
        <v>7127</v>
      </c>
      <c r="Y71" s="2">
        <v>5829</v>
      </c>
      <c r="Z71" s="2">
        <f>24023-SUM(W71:Y71)</f>
        <v>6319</v>
      </c>
      <c r="AA71" s="2">
        <v>4961</v>
      </c>
      <c r="AB71" s="2">
        <v>6722</v>
      </c>
      <c r="AC71" s="2">
        <v>5333</v>
      </c>
      <c r="AD71" s="2">
        <f>22011-SUM(AA71:AC71)</f>
        <v>4995</v>
      </c>
      <c r="AE71" s="2">
        <v>3689</v>
      </c>
      <c r="AF71" s="2">
        <v>6534</v>
      </c>
      <c r="BC71" s="2">
        <f t="shared" si="166"/>
        <v>6319</v>
      </c>
      <c r="BD71" s="2">
        <f t="shared" si="167"/>
        <v>4995</v>
      </c>
    </row>
    <row r="72" spans="2:56" x14ac:dyDescent="0.2">
      <c r="B72" s="2" t="s">
        <v>57</v>
      </c>
      <c r="C72" s="2">
        <v>141</v>
      </c>
      <c r="D72" s="2">
        <v>-380</v>
      </c>
      <c r="E72" s="2">
        <v>266</v>
      </c>
      <c r="F72" s="2">
        <f>441-SUM(C72:E72)</f>
        <v>414</v>
      </c>
      <c r="G72" s="2">
        <v>415</v>
      </c>
      <c r="H72" s="2">
        <v>105</v>
      </c>
      <c r="I72" s="2">
        <v>92</v>
      </c>
      <c r="J72" s="2">
        <f>796-SUM(G72:I72)</f>
        <v>184</v>
      </c>
      <c r="K72" s="2">
        <v>322</v>
      </c>
      <c r="L72" s="2">
        <v>465</v>
      </c>
      <c r="M72" s="2">
        <v>295</v>
      </c>
      <c r="N72" s="2">
        <f>-554-SUM(K72:M72)</f>
        <v>-1636</v>
      </c>
      <c r="O72" s="2">
        <v>1703</v>
      </c>
      <c r="P72" s="2">
        <v>701</v>
      </c>
      <c r="Q72" s="2">
        <v>909</v>
      </c>
      <c r="R72" s="2">
        <f>-310-SUM(O72:Q72)</f>
        <v>-3623</v>
      </c>
      <c r="S72" s="2">
        <v>-2001</v>
      </c>
      <c r="T72" s="2">
        <v>-1955</v>
      </c>
      <c r="U72" s="2">
        <v>-825</v>
      </c>
      <c r="V72" s="2">
        <f>-8148-SUM(S72:U72)</f>
        <v>-3367</v>
      </c>
      <c r="W72" s="2">
        <v>-472</v>
      </c>
      <c r="X72" s="2">
        <v>-2744</v>
      </c>
      <c r="Y72" s="2">
        <v>-1196</v>
      </c>
      <c r="Z72" s="2">
        <f>-5876-SUM(W72:Y72)</f>
        <v>-1464</v>
      </c>
      <c r="AA72" s="2">
        <v>-938</v>
      </c>
      <c r="AB72" s="2">
        <v>-785</v>
      </c>
      <c r="AC72" s="2">
        <v>-1317</v>
      </c>
      <c r="AD72" s="2">
        <f>-4648-SUM(AA72:AC72)</f>
        <v>-1608</v>
      </c>
      <c r="AE72" s="2">
        <v>507</v>
      </c>
      <c r="AF72" s="2">
        <v>11</v>
      </c>
      <c r="BC72" s="2">
        <f t="shared" si="166"/>
        <v>-1464</v>
      </c>
      <c r="BD72" s="2">
        <f t="shared" si="167"/>
        <v>-1608</v>
      </c>
    </row>
    <row r="73" spans="2:56" x14ac:dyDescent="0.2">
      <c r="B73" s="2" t="s">
        <v>70</v>
      </c>
      <c r="C73" s="2">
        <f>56-184</f>
        <v>-128</v>
      </c>
      <c r="D73" s="2">
        <f>240-207</f>
        <v>33</v>
      </c>
      <c r="E73" s="2">
        <f>62+96</f>
        <v>158</v>
      </c>
      <c r="F73" s="2">
        <f>274+219-SUM(C73:E73)</f>
        <v>430</v>
      </c>
      <c r="G73" s="2">
        <f>-13-135</f>
        <v>-148</v>
      </c>
      <c r="H73" s="2">
        <f>80-7</f>
        <v>73</v>
      </c>
      <c r="I73" s="2">
        <f>47+388</f>
        <v>435</v>
      </c>
      <c r="J73" s="2">
        <f>164-249-SUM(G73:I73)</f>
        <v>-445</v>
      </c>
      <c r="K73" s="2">
        <f>67+565</f>
        <v>632</v>
      </c>
      <c r="L73" s="2">
        <f>282-769</f>
        <v>-487</v>
      </c>
      <c r="M73" s="2">
        <f>67-1051</f>
        <v>-984</v>
      </c>
      <c r="N73" s="2">
        <f>-71-2582-SUM(K73:M73)</f>
        <v>-1814</v>
      </c>
      <c r="O73" s="2">
        <f>30-1456</f>
        <v>-1426</v>
      </c>
      <c r="P73" s="2">
        <f>18-1258</f>
        <v>-1240</v>
      </c>
      <c r="Q73" s="2">
        <f>24+340</f>
        <v>364</v>
      </c>
      <c r="R73" s="2">
        <f>137-14306-SUM(O73:Q73)</f>
        <v>-11867</v>
      </c>
      <c r="S73" s="2">
        <f>8689+215</f>
        <v>8904</v>
      </c>
      <c r="T73" s="2">
        <f>122+6104</f>
        <v>6226</v>
      </c>
      <c r="U73" s="2">
        <f>123-1272</f>
        <v>-1149</v>
      </c>
      <c r="V73" s="2">
        <f>16966-SUM(S73:U73)</f>
        <v>2985</v>
      </c>
      <c r="W73" s="2">
        <v>534</v>
      </c>
      <c r="X73" s="2">
        <v>47</v>
      </c>
      <c r="Y73" s="2">
        <v>-990</v>
      </c>
      <c r="Z73" s="2">
        <f>-748-SUM(W73:Y73)</f>
        <v>-339</v>
      </c>
      <c r="AA73" s="2">
        <v>2734</v>
      </c>
      <c r="AB73" s="2">
        <v>-95</v>
      </c>
      <c r="AC73" s="2">
        <v>-141</v>
      </c>
      <c r="AD73" s="2">
        <f>2012-SUM(AA73:AC73)</f>
        <v>-486</v>
      </c>
      <c r="AE73" s="2">
        <v>-2817</v>
      </c>
      <c r="AF73" s="2">
        <v>-1258</v>
      </c>
      <c r="BC73" s="2">
        <f t="shared" si="166"/>
        <v>-339</v>
      </c>
      <c r="BD73" s="2">
        <f t="shared" si="167"/>
        <v>-486</v>
      </c>
    </row>
    <row r="74" spans="2:56" x14ac:dyDescent="0.2">
      <c r="B74" s="2" t="s">
        <v>71</v>
      </c>
      <c r="C74" s="2">
        <f>2220+1029-10216-2225+906</f>
        <v>-8286</v>
      </c>
      <c r="D74" s="2">
        <f>-2717-4859+4364-491+943</f>
        <v>-2760</v>
      </c>
      <c r="E74" s="2">
        <f>-1094-2884+3894+237</f>
        <v>153</v>
      </c>
      <c r="F74" s="2">
        <f>-1314-4615+3263+472+1151-SUM(C74:E74)</f>
        <v>9850</v>
      </c>
      <c r="G74" s="2">
        <f>719-401-6384-2932+888</f>
        <v>-8110</v>
      </c>
      <c r="H74" s="2">
        <f>-2100-2193+3668-623+390</f>
        <v>-858</v>
      </c>
      <c r="I74" s="2">
        <f>-381-1181+226-722-53</f>
        <v>-2111</v>
      </c>
      <c r="J74" s="2">
        <f>-3278-7681+8193-1383+1711-SUM(G74:I74)</f>
        <v>8641</v>
      </c>
      <c r="K74" s="2">
        <f>1392+1262-8044-2761+607</f>
        <v>-7544</v>
      </c>
      <c r="L74" s="2">
        <f>-672-2854+8616+1699+247</f>
        <v>7036</v>
      </c>
      <c r="M74" s="2">
        <f>-3899-2016+3658-310+78</f>
        <v>-2489</v>
      </c>
      <c r="N74" s="2">
        <f>-2849-8169+17480+5754+1265-SUM(K74:M74)</f>
        <v>16478</v>
      </c>
      <c r="O74" s="2">
        <f>-304-2255-8266-4060+900</f>
        <v>-13985</v>
      </c>
      <c r="P74" s="2">
        <f>-209-4462+47-1685+156</f>
        <v>-6153</v>
      </c>
      <c r="Q74" s="2">
        <f>-7059-4890+3832-1465+338</f>
        <v>-9244</v>
      </c>
      <c r="R74" s="2">
        <f>-9487-18163+3602+2123+2314-SUM(O74:Q74)</f>
        <v>9771</v>
      </c>
      <c r="S74" s="2">
        <f>-2614-1516-9380-5903+1336</f>
        <v>-18077</v>
      </c>
      <c r="T74" s="2">
        <f>-3890-6799+3699-1412+321</f>
        <v>-8081</v>
      </c>
      <c r="U74" s="2">
        <f>732-4794-1226-20+54</f>
        <v>-5254</v>
      </c>
      <c r="V74" s="2">
        <f>-2592-21897+2945-1558+2216-SUM(S74:U74)</f>
        <v>10526</v>
      </c>
      <c r="W74" s="2">
        <f>371+1521-11264-5763+818</f>
        <v>-14317</v>
      </c>
      <c r="X74" s="2">
        <f>-2373-5167+3029-1938+156</f>
        <v>-6293</v>
      </c>
      <c r="Y74" s="2">
        <f>808-6718+2820-1321-25</f>
        <v>-4436</v>
      </c>
      <c r="Z74" s="2">
        <f>1449-8348-12265+5473-2428+4578-SUM(W74:Y74)</f>
        <v>13505</v>
      </c>
      <c r="AA74" s="2">
        <f>1776+3684-2701-11282-2928+1568</f>
        <v>-9883</v>
      </c>
      <c r="AB74" s="2">
        <f>-3085-2209-3055+6005-4147+407</f>
        <v>-6084</v>
      </c>
      <c r="AC74" s="2">
        <f>-1509-701-4537-477+129+421</f>
        <v>-6674</v>
      </c>
      <c r="AD74" s="2">
        <f>-1884-3249-14483+2972-2904+4007-SUM(AA74:AC74)</f>
        <v>7100</v>
      </c>
      <c r="AE74" s="2">
        <f>-1222+1247-3402-9043-4061+728</f>
        <v>-15753</v>
      </c>
      <c r="AF74" s="2">
        <f>-4054-1125-2971+7058-4952-119</f>
        <v>-6163</v>
      </c>
      <c r="BC74" s="2">
        <f t="shared" si="166"/>
        <v>13505</v>
      </c>
      <c r="BD74" s="2">
        <f t="shared" si="167"/>
        <v>7100</v>
      </c>
    </row>
    <row r="75" spans="2:56" x14ac:dyDescent="0.2">
      <c r="B75" s="2" t="s">
        <v>72</v>
      </c>
      <c r="C75" s="2">
        <f t="shared" ref="C75:AF75" si="171">SUM(C69:C74)</f>
        <v>-1791</v>
      </c>
      <c r="D75" s="2">
        <f t="shared" si="171"/>
        <v>18052</v>
      </c>
      <c r="E75" s="2">
        <f t="shared" si="171"/>
        <v>8588</v>
      </c>
      <c r="F75" s="2">
        <f t="shared" si="171"/>
        <v>5884</v>
      </c>
      <c r="G75" s="2">
        <f t="shared" si="171"/>
        <v>1846</v>
      </c>
      <c r="H75" s="2">
        <f t="shared" si="171"/>
        <v>9118</v>
      </c>
      <c r="I75" s="2">
        <f t="shared" si="171"/>
        <v>7892</v>
      </c>
      <c r="J75" s="2">
        <f t="shared" si="171"/>
        <v>19658</v>
      </c>
      <c r="K75" s="2">
        <f t="shared" si="171"/>
        <v>3064</v>
      </c>
      <c r="L75" s="2">
        <f t="shared" si="171"/>
        <v>20606</v>
      </c>
      <c r="M75" s="2">
        <f t="shared" si="171"/>
        <v>11964</v>
      </c>
      <c r="N75" s="2">
        <f t="shared" si="171"/>
        <v>30430</v>
      </c>
      <c r="O75" s="2">
        <f t="shared" si="171"/>
        <v>4213</v>
      </c>
      <c r="P75" s="2">
        <f t="shared" si="171"/>
        <v>12715</v>
      </c>
      <c r="Q75" s="2">
        <f t="shared" si="171"/>
        <v>7313</v>
      </c>
      <c r="R75" s="2">
        <f t="shared" si="171"/>
        <v>22086</v>
      </c>
      <c r="S75" s="2">
        <f t="shared" si="171"/>
        <v>-2790</v>
      </c>
      <c r="T75" s="2">
        <f t="shared" si="171"/>
        <v>8965</v>
      </c>
      <c r="U75" s="2">
        <f t="shared" si="171"/>
        <v>11404</v>
      </c>
      <c r="V75" s="2">
        <f t="shared" si="171"/>
        <v>29173</v>
      </c>
      <c r="W75" s="2">
        <f t="shared" si="171"/>
        <v>4788</v>
      </c>
      <c r="X75" s="2">
        <f t="shared" si="171"/>
        <v>16476</v>
      </c>
      <c r="Y75" s="2">
        <f t="shared" si="171"/>
        <v>21217</v>
      </c>
      <c r="Z75" s="2">
        <f t="shared" si="171"/>
        <v>42465</v>
      </c>
      <c r="AA75" s="2">
        <f t="shared" si="171"/>
        <v>18989</v>
      </c>
      <c r="AB75" s="2">
        <f t="shared" si="171"/>
        <v>25281</v>
      </c>
      <c r="AC75" s="2">
        <f t="shared" si="171"/>
        <v>25971</v>
      </c>
      <c r="AD75" s="2">
        <f t="shared" si="171"/>
        <v>45636</v>
      </c>
      <c r="AE75" s="2">
        <f t="shared" si="171"/>
        <v>17015</v>
      </c>
      <c r="AF75" s="2">
        <f t="shared" si="171"/>
        <v>32515</v>
      </c>
      <c r="BC75" s="2">
        <f t="shared" si="166"/>
        <v>42465</v>
      </c>
      <c r="BD75" s="2">
        <f t="shared" si="167"/>
        <v>45636</v>
      </c>
    </row>
    <row r="77" spans="2:56" x14ac:dyDescent="0.2">
      <c r="B77" s="2" t="s">
        <v>73</v>
      </c>
      <c r="C77" s="2">
        <v>-3098</v>
      </c>
      <c r="D77" s="2">
        <v>-13035</v>
      </c>
      <c r="E77" s="2">
        <v>-3352</v>
      </c>
      <c r="F77" s="2">
        <f>-13427-SUM(C77:E77)</f>
        <v>6058</v>
      </c>
      <c r="G77" s="2">
        <v>-3290</v>
      </c>
      <c r="H77" s="2">
        <v>-3562</v>
      </c>
      <c r="I77" s="2">
        <f>-4697</f>
        <v>-4697</v>
      </c>
      <c r="J77" s="2">
        <f>-16861-SUM(G77:I77)</f>
        <v>-5312</v>
      </c>
      <c r="K77" s="2">
        <f>-6795</f>
        <v>-6795</v>
      </c>
      <c r="L77" s="2">
        <v>-7459</v>
      </c>
      <c r="M77" s="2">
        <v>-11063</v>
      </c>
      <c r="N77" s="2">
        <f>-40140-SUM(K77:M77)</f>
        <v>-14823</v>
      </c>
      <c r="O77" s="2">
        <v>-12082</v>
      </c>
      <c r="P77" s="2">
        <v>-14288</v>
      </c>
      <c r="Q77" s="2">
        <v>-15748</v>
      </c>
      <c r="R77" s="2">
        <f>-61053-SUM(O77:Q77)</f>
        <v>-18935</v>
      </c>
      <c r="S77" s="2">
        <v>-14951</v>
      </c>
      <c r="T77" s="2">
        <v>-15724</v>
      </c>
      <c r="U77" s="2">
        <v>-16378</v>
      </c>
      <c r="V77" s="2">
        <f>-63645-SUM(S77:U77)</f>
        <v>-16592</v>
      </c>
      <c r="W77" s="2">
        <v>-14207</v>
      </c>
      <c r="X77" s="2">
        <v>-11455</v>
      </c>
      <c r="Y77" s="2">
        <v>-12479</v>
      </c>
      <c r="Z77" s="2">
        <f>-52729-SUM(W77:Y77)</f>
        <v>-14588</v>
      </c>
      <c r="AA77" s="2">
        <v>-14925</v>
      </c>
      <c r="AB77" s="2">
        <v>-17620</v>
      </c>
      <c r="AC77" s="2">
        <v>-22620</v>
      </c>
      <c r="AD77" s="2">
        <f>-82999-SUM(AA77:AC77)</f>
        <v>-27834</v>
      </c>
      <c r="AE77" s="2">
        <v>-25019</v>
      </c>
      <c r="AF77" s="2">
        <v>-32183</v>
      </c>
      <c r="BC77" s="2">
        <f t="shared" si="166"/>
        <v>-14588</v>
      </c>
      <c r="BD77" s="2">
        <f t="shared" si="167"/>
        <v>-27834</v>
      </c>
    </row>
    <row r="78" spans="2:56" x14ac:dyDescent="0.2">
      <c r="B78" s="2" t="s">
        <v>104</v>
      </c>
      <c r="C78" s="2">
        <v>371</v>
      </c>
      <c r="D78" s="2">
        <v>1663</v>
      </c>
      <c r="E78" s="2">
        <v>825</v>
      </c>
      <c r="F78" s="2">
        <f>2104-SUM(C78:E78)</f>
        <v>-755</v>
      </c>
      <c r="G78" s="2">
        <v>569</v>
      </c>
      <c r="H78" s="2">
        <v>919</v>
      </c>
      <c r="I78" s="2">
        <v>1312</v>
      </c>
      <c r="J78" s="2">
        <f>4172-SUM(G78:I78)</f>
        <v>1372</v>
      </c>
      <c r="K78" s="2">
        <v>1367</v>
      </c>
      <c r="L78" s="2">
        <v>844</v>
      </c>
      <c r="M78" s="2">
        <v>1255</v>
      </c>
      <c r="N78" s="2">
        <f>5096-SUM(K78:M78)</f>
        <v>1630</v>
      </c>
      <c r="O78" s="2">
        <v>895</v>
      </c>
      <c r="P78" s="2">
        <v>1300</v>
      </c>
      <c r="Q78" s="2">
        <v>997</v>
      </c>
      <c r="R78" s="2">
        <f>5657-SUM(O78:Q78)</f>
        <v>2465</v>
      </c>
      <c r="S78" s="2">
        <v>1209</v>
      </c>
      <c r="T78" s="2">
        <v>1626</v>
      </c>
      <c r="U78" s="2">
        <v>1337</v>
      </c>
      <c r="V78" s="2">
        <f>5324-SUM(S78:U78)</f>
        <v>1152</v>
      </c>
      <c r="W78" s="2">
        <v>1137</v>
      </c>
      <c r="X78" s="2">
        <v>1043</v>
      </c>
      <c r="Y78" s="2">
        <v>1181</v>
      </c>
      <c r="Z78" s="2">
        <f>4596-SUM(W78:Y78)</f>
        <v>1235</v>
      </c>
      <c r="AA78" s="2">
        <v>990</v>
      </c>
      <c r="AB78" s="2">
        <v>1227</v>
      </c>
      <c r="AC78" s="2">
        <v>1342</v>
      </c>
      <c r="AD78" s="2">
        <f>5341-SUM(AA78:AC78)</f>
        <v>1782</v>
      </c>
      <c r="AE78" s="2">
        <v>764</v>
      </c>
      <c r="AF78" s="2">
        <v>815</v>
      </c>
      <c r="BC78" s="2">
        <f t="shared" si="166"/>
        <v>1235</v>
      </c>
      <c r="BD78" s="2">
        <f t="shared" si="167"/>
        <v>1782</v>
      </c>
    </row>
    <row r="79" spans="2:56" x14ac:dyDescent="0.2">
      <c r="B79" s="2" t="s">
        <v>74</v>
      </c>
      <c r="C79" s="2">
        <v>-13</v>
      </c>
      <c r="D79" s="2">
        <v>-14173</v>
      </c>
      <c r="E79" s="2">
        <v>-976</v>
      </c>
      <c r="F79" s="2">
        <f>-2186-SUM(C79:E79)</f>
        <v>12976</v>
      </c>
      <c r="G79" s="2">
        <v>-1169</v>
      </c>
      <c r="H79" s="2">
        <v>-117</v>
      </c>
      <c r="I79" s="2">
        <v>-398</v>
      </c>
      <c r="J79" s="2">
        <f>-2461-SUM(G79:I79)</f>
        <v>-777</v>
      </c>
      <c r="K79" s="2">
        <v>-91</v>
      </c>
      <c r="L79" s="2">
        <v>-118</v>
      </c>
      <c r="M79" s="2">
        <v>-1735</v>
      </c>
      <c r="N79" s="2">
        <f>-2325-SUM(K79:M79)</f>
        <v>-381</v>
      </c>
      <c r="O79" s="2">
        <v>-630</v>
      </c>
      <c r="P79" s="2">
        <v>-320</v>
      </c>
      <c r="Q79" s="2">
        <v>-654</v>
      </c>
      <c r="R79" s="2">
        <f>-1985-SUM(O79:Q79)</f>
        <v>-381</v>
      </c>
      <c r="S79" s="2">
        <v>-6341</v>
      </c>
      <c r="T79" s="2">
        <v>-259</v>
      </c>
      <c r="U79" s="2">
        <v>-885</v>
      </c>
      <c r="V79" s="2">
        <f>-8316-SUM(S79:U79)</f>
        <v>-831</v>
      </c>
      <c r="W79" s="2">
        <v>-3513</v>
      </c>
      <c r="X79" s="2">
        <v>-316</v>
      </c>
      <c r="Y79" s="2">
        <v>-1629</v>
      </c>
      <c r="Z79" s="2">
        <f>-5839-SUM(W79:Y79)</f>
        <v>-381</v>
      </c>
      <c r="AA79" s="2">
        <v>-3354</v>
      </c>
      <c r="AB79" s="2">
        <v>-571</v>
      </c>
      <c r="AC79" s="2">
        <v>-622</v>
      </c>
      <c r="AD79" s="2">
        <f>-7082-SUM(AA79:AC79)</f>
        <v>-2535</v>
      </c>
      <c r="AE79" s="2">
        <v>48</v>
      </c>
      <c r="AF79" s="2">
        <v>-1700</v>
      </c>
      <c r="BC79" s="2">
        <f t="shared" si="166"/>
        <v>-381</v>
      </c>
      <c r="BD79" s="2">
        <f t="shared" si="167"/>
        <v>-2535</v>
      </c>
    </row>
    <row r="80" spans="2:56" x14ac:dyDescent="0.2">
      <c r="B80" s="2" t="s">
        <v>70</v>
      </c>
      <c r="C80" s="2">
        <f>2677-470</f>
        <v>2207</v>
      </c>
      <c r="D80" s="2">
        <f>10034-8173</f>
        <v>1861</v>
      </c>
      <c r="E80" s="2">
        <f>1964-4033</f>
        <v>-2069</v>
      </c>
      <c r="F80" s="2">
        <f>8240-7100-SUM(C80:E80)</f>
        <v>-859</v>
      </c>
      <c r="G80" s="2">
        <f>2643-6876</f>
        <v>-4233</v>
      </c>
      <c r="H80" s="2">
        <f>5161-9950</f>
        <v>-4789</v>
      </c>
      <c r="I80" s="2">
        <f>7251-8542</f>
        <v>-1291</v>
      </c>
      <c r="J80" s="2">
        <f>22681-31812-SUM(G80:I80)</f>
        <v>1182</v>
      </c>
      <c r="K80" s="2">
        <f>11626-15001</f>
        <v>-3375</v>
      </c>
      <c r="L80" s="2">
        <v>8138</v>
      </c>
      <c r="M80" s="2">
        <v>13135</v>
      </c>
      <c r="N80" s="2">
        <f>50237-72479-SUM(K80:M80)</f>
        <v>-40140</v>
      </c>
      <c r="O80" s="2">
        <f>17826-14675</f>
        <v>3151</v>
      </c>
      <c r="P80" s="2">
        <f>13213-21985</f>
        <v>-8772</v>
      </c>
      <c r="Q80" s="2">
        <f>15808-15231</f>
        <v>577</v>
      </c>
      <c r="R80" s="2">
        <f>59384-60157-SUM(O80:Q80)</f>
        <v>4271</v>
      </c>
      <c r="S80" s="2">
        <f>22753-1764</f>
        <v>20989</v>
      </c>
      <c r="T80" s="2">
        <f>2608-329</f>
        <v>2279</v>
      </c>
      <c r="U80" s="2">
        <f>557-329</f>
        <v>228</v>
      </c>
      <c r="V80" s="2">
        <f>31601-2565-SUM(S80:U80)</f>
        <v>5540</v>
      </c>
      <c r="W80" s="2">
        <f>1115-338</f>
        <v>777</v>
      </c>
      <c r="X80" s="2">
        <v>1551</v>
      </c>
      <c r="Y80" s="2">
        <f>1393-219</f>
        <v>1174</v>
      </c>
      <c r="Z80" s="2">
        <f>5627-1488-SUM(W80:Y80)</f>
        <v>637</v>
      </c>
      <c r="AA80" s="2">
        <f>1392-1965</f>
        <v>-573</v>
      </c>
      <c r="AB80" s="2">
        <f>3265-8439</f>
        <v>-5174</v>
      </c>
      <c r="AC80" s="2">
        <f>8069-3068</f>
        <v>5001</v>
      </c>
      <c r="AD80" s="2">
        <f>16403-26005-SUM(AA80:AC80)</f>
        <v>-8856</v>
      </c>
      <c r="AE80" s="2">
        <f>7737-13333</f>
        <v>-5596</v>
      </c>
      <c r="AF80" s="2">
        <f>11441-17797</f>
        <v>-6356</v>
      </c>
      <c r="BC80" s="2">
        <f t="shared" si="166"/>
        <v>637</v>
      </c>
      <c r="BD80" s="2">
        <f t="shared" si="167"/>
        <v>-8856</v>
      </c>
    </row>
    <row r="81" spans="2:56" x14ac:dyDescent="0.2">
      <c r="B81" s="2" t="s">
        <v>75</v>
      </c>
      <c r="C81" s="2">
        <f t="shared" ref="C81" si="172">SUM(C77:C80)</f>
        <v>-533</v>
      </c>
      <c r="D81" s="2">
        <f t="shared" ref="D81" si="173">SUM(D77:D80)</f>
        <v>-23684</v>
      </c>
      <c r="E81" s="2">
        <f t="shared" ref="E81" si="174">SUM(E77:E80)</f>
        <v>-5572</v>
      </c>
      <c r="F81" s="2">
        <f t="shared" ref="F81" si="175">SUM(F77:F80)</f>
        <v>17420</v>
      </c>
      <c r="G81" s="2">
        <f t="shared" ref="G81" si="176">SUM(G77:G80)</f>
        <v>-8123</v>
      </c>
      <c r="H81" s="2">
        <f t="shared" ref="H81" si="177">SUM(H77:H80)</f>
        <v>-7549</v>
      </c>
      <c r="I81" s="2">
        <f t="shared" ref="I81" si="178">SUM(I77:I80)</f>
        <v>-5074</v>
      </c>
      <c r="J81" s="2">
        <f t="shared" ref="J81" si="179">SUM(J77:J80)</f>
        <v>-3535</v>
      </c>
      <c r="K81" s="2">
        <f t="shared" ref="K81" si="180">SUM(K77:K80)</f>
        <v>-8894</v>
      </c>
      <c r="L81" s="2">
        <f t="shared" ref="L81" si="181">SUM(L77:L80)</f>
        <v>1405</v>
      </c>
      <c r="M81" s="2">
        <f t="shared" ref="M81" si="182">SUM(M77:M80)</f>
        <v>1592</v>
      </c>
      <c r="N81" s="2">
        <f t="shared" ref="N81" si="183">SUM(N77:N80)</f>
        <v>-53714</v>
      </c>
      <c r="O81" s="2">
        <f t="shared" ref="O81" si="184">SUM(O77:O80)</f>
        <v>-8666</v>
      </c>
      <c r="P81" s="2">
        <f t="shared" ref="P81" si="185">SUM(P77:P80)</f>
        <v>-22080</v>
      </c>
      <c r="Q81" s="2">
        <f t="shared" ref="Q81" si="186">SUM(Q77:Q80)</f>
        <v>-14828</v>
      </c>
      <c r="R81" s="2">
        <f t="shared" ref="R81" si="187">SUM(R77:R80)</f>
        <v>-12580</v>
      </c>
      <c r="S81" s="2">
        <f t="shared" ref="S81" si="188">SUM(S77:S80)</f>
        <v>906</v>
      </c>
      <c r="T81" s="2">
        <f t="shared" ref="T81" si="189">SUM(T77:T80)</f>
        <v>-12078</v>
      </c>
      <c r="U81" s="2">
        <f t="shared" ref="U81" si="190">SUM(U77:U80)</f>
        <v>-15698</v>
      </c>
      <c r="V81" s="2">
        <f t="shared" ref="V81" si="191">SUM(V77:V80)</f>
        <v>-10731</v>
      </c>
      <c r="W81" s="2">
        <f t="shared" ref="W81" si="192">SUM(W77:W80)</f>
        <v>-15806</v>
      </c>
      <c r="X81" s="2">
        <f t="shared" ref="X81" si="193">SUM(X77:X80)</f>
        <v>-9177</v>
      </c>
      <c r="Y81" s="2">
        <f t="shared" ref="Y81" si="194">SUM(Y77:Y80)</f>
        <v>-11753</v>
      </c>
      <c r="Z81" s="2">
        <f t="shared" ref="Z81" si="195">SUM(Z77:Z80)</f>
        <v>-13097</v>
      </c>
      <c r="AA81" s="2">
        <f t="shared" ref="AA81" si="196">SUM(AA77:AA80)</f>
        <v>-17862</v>
      </c>
      <c r="AB81" s="2">
        <f t="shared" ref="AB81" si="197">SUM(AB77:AB80)</f>
        <v>-22138</v>
      </c>
      <c r="AC81" s="2">
        <f t="shared" ref="AC81" si="198">SUM(AC77:AC80)</f>
        <v>-16899</v>
      </c>
      <c r="AD81" s="2">
        <f t="shared" ref="AD81" si="199">SUM(AD77:AD80)</f>
        <v>-37443</v>
      </c>
      <c r="AE81" s="2">
        <f t="shared" ref="AE81" si="200">SUM(AE77:AE80)</f>
        <v>-29803</v>
      </c>
      <c r="AF81" s="2">
        <f t="shared" ref="AF81" si="201">SUM(AF77:AF80)</f>
        <v>-39424</v>
      </c>
      <c r="BC81" s="2">
        <f t="shared" si="166"/>
        <v>-13097</v>
      </c>
      <c r="BD81" s="2">
        <f t="shared" si="167"/>
        <v>-37443</v>
      </c>
    </row>
    <row r="82" spans="2:56" x14ac:dyDescent="0.2">
      <c r="B82" s="2" t="s">
        <v>7</v>
      </c>
    </row>
    <row r="83" spans="2:56" x14ac:dyDescent="0.2">
      <c r="B83" s="2" t="s">
        <v>76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-2666</v>
      </c>
      <c r="T83" s="2">
        <v>-3334</v>
      </c>
      <c r="U83" s="2">
        <v>0</v>
      </c>
      <c r="V83" s="2">
        <v>-6000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BC83" s="2">
        <f t="shared" si="166"/>
        <v>0</v>
      </c>
      <c r="BD83" s="2">
        <f t="shared" si="167"/>
        <v>0</v>
      </c>
    </row>
    <row r="84" spans="2:56" x14ac:dyDescent="0.2">
      <c r="B84" s="2" t="s">
        <v>4</v>
      </c>
      <c r="C84" s="2">
        <f>125-202-2015-72</f>
        <v>-2164</v>
      </c>
      <c r="D84" s="2">
        <f>16380-1564-6037-244</f>
        <v>8535</v>
      </c>
      <c r="E84" s="2">
        <f>143-183-2247-82</f>
        <v>-2369</v>
      </c>
      <c r="F84" s="2">
        <f>768-668-7449-337-SUM(C84:E84)</f>
        <v>-11688</v>
      </c>
      <c r="G84" s="2">
        <f>190-351-2214-2</f>
        <v>-2377</v>
      </c>
      <c r="H84" s="2">
        <f>283-112-2327-2</f>
        <v>-2158</v>
      </c>
      <c r="I84" s="2">
        <f>702-355-2307</f>
        <v>-1960</v>
      </c>
      <c r="J84" s="2">
        <f>2273-2684-9628-27-SUM(G84:I84)</f>
        <v>-3571</v>
      </c>
      <c r="K84" s="2">
        <f>693-667-2600-17</f>
        <v>-2591</v>
      </c>
      <c r="L84" s="2">
        <f>2433-1906+9918-205-2817-15</f>
        <v>7408</v>
      </c>
      <c r="M84" s="2">
        <f>1311-1349-1198-2857-12</f>
        <v>-4105</v>
      </c>
      <c r="N84" s="2">
        <f>6796-6177+10525-1535-10642-53-SUM(K84:M84)</f>
        <v>-1798</v>
      </c>
      <c r="O84" s="2">
        <f>1926-2001+111-39</f>
        <v>-3</v>
      </c>
      <c r="P84" s="2">
        <f>1176-1176+18516-41-2804-28</f>
        <v>15643</v>
      </c>
      <c r="Q84" s="2">
        <f>2187-1917+176-509-2693-20</f>
        <v>-2776</v>
      </c>
      <c r="R84" s="2">
        <f>7956-7753+19003-1590-11163-162-SUM(O84:Q84)</f>
        <v>-6573</v>
      </c>
      <c r="S84" s="2">
        <f>13743-6231-2777-79</f>
        <v>4656</v>
      </c>
      <c r="T84" s="2">
        <f>4865-7610+12824-1-2059-59</f>
        <v>7960</v>
      </c>
      <c r="U84" s="2">
        <f>12338-7916+1077-1465-48</f>
        <v>3986</v>
      </c>
      <c r="V84" s="2">
        <f>41553-37554+21166-1258-7941-SUM(S84:U84)</f>
        <v>-636</v>
      </c>
      <c r="W84" s="2">
        <f>12780-3603-1386-1380-57</f>
        <v>6354</v>
      </c>
      <c r="X84" s="2">
        <f>4399-7641-2000-1220-77</f>
        <v>-6539</v>
      </c>
      <c r="Y84" s="2">
        <f>216-8095-1005-64</f>
        <v>-8948</v>
      </c>
      <c r="Z84" s="2">
        <f>18129-25677-3676-4384-271-SUM(W84:Y84)</f>
        <v>-6746</v>
      </c>
      <c r="AA84" s="2">
        <f>338-404-330-770-90</f>
        <v>-1256</v>
      </c>
      <c r="AB84" s="2">
        <f>525-229-4169-538-79</f>
        <v>-4490</v>
      </c>
      <c r="AC84" s="2">
        <f>1725-1820-2183-402-78</f>
        <v>-2758</v>
      </c>
      <c r="AD84" s="2">
        <f>5142-5060-9182-2043-669-SUM(AA84:AC84)</f>
        <v>-3308</v>
      </c>
      <c r="AE84" s="2">
        <f>1815-2082+746-410-116</f>
        <v>-47</v>
      </c>
      <c r="AF84" s="2">
        <f>2093-1392-2751-411-78</f>
        <v>-2539</v>
      </c>
      <c r="BC84" s="2">
        <f t="shared" si="166"/>
        <v>-6746</v>
      </c>
      <c r="BD84" s="2">
        <f t="shared" si="167"/>
        <v>-3308</v>
      </c>
    </row>
    <row r="85" spans="2:56" x14ac:dyDescent="0.2">
      <c r="B85" s="2" t="s">
        <v>77</v>
      </c>
      <c r="C85" s="2">
        <f t="shared" ref="C85:AF85" si="202">SUM(C83:C84)</f>
        <v>-2164</v>
      </c>
      <c r="D85" s="2">
        <f t="shared" si="202"/>
        <v>8535</v>
      </c>
      <c r="E85" s="2">
        <f t="shared" si="202"/>
        <v>-2369</v>
      </c>
      <c r="F85" s="2">
        <f t="shared" si="202"/>
        <v>-11688</v>
      </c>
      <c r="G85" s="2">
        <f t="shared" si="202"/>
        <v>-2377</v>
      </c>
      <c r="H85" s="2">
        <f t="shared" si="202"/>
        <v>-2158</v>
      </c>
      <c r="I85" s="2">
        <f t="shared" si="202"/>
        <v>-1960</v>
      </c>
      <c r="J85" s="2">
        <f t="shared" si="202"/>
        <v>-3571</v>
      </c>
      <c r="K85" s="2">
        <f t="shared" si="202"/>
        <v>-2591</v>
      </c>
      <c r="L85" s="2">
        <f t="shared" si="202"/>
        <v>7408</v>
      </c>
      <c r="M85" s="2">
        <f t="shared" si="202"/>
        <v>-4105</v>
      </c>
      <c r="N85" s="2">
        <f t="shared" si="202"/>
        <v>-1798</v>
      </c>
      <c r="O85" s="2">
        <f t="shared" si="202"/>
        <v>-3</v>
      </c>
      <c r="P85" s="2">
        <f t="shared" si="202"/>
        <v>15643</v>
      </c>
      <c r="Q85" s="2">
        <f t="shared" si="202"/>
        <v>-2776</v>
      </c>
      <c r="R85" s="2">
        <f t="shared" si="202"/>
        <v>-6573</v>
      </c>
      <c r="S85" s="2">
        <f t="shared" si="202"/>
        <v>1990</v>
      </c>
      <c r="T85" s="2">
        <f t="shared" si="202"/>
        <v>4626</v>
      </c>
      <c r="U85" s="2">
        <f t="shared" si="202"/>
        <v>3986</v>
      </c>
      <c r="V85" s="2">
        <f t="shared" si="202"/>
        <v>-6636</v>
      </c>
      <c r="W85" s="2">
        <f t="shared" si="202"/>
        <v>6354</v>
      </c>
      <c r="X85" s="2">
        <f t="shared" si="202"/>
        <v>-6539</v>
      </c>
      <c r="Y85" s="2">
        <f t="shared" si="202"/>
        <v>-8948</v>
      </c>
      <c r="Z85" s="2">
        <f t="shared" si="202"/>
        <v>-6746</v>
      </c>
      <c r="AA85" s="2">
        <f t="shared" si="202"/>
        <v>-1256</v>
      </c>
      <c r="AB85" s="2">
        <f t="shared" si="202"/>
        <v>-4490</v>
      </c>
      <c r="AC85" s="2">
        <f t="shared" si="202"/>
        <v>-2758</v>
      </c>
      <c r="AD85" s="2">
        <f t="shared" si="202"/>
        <v>-3308</v>
      </c>
      <c r="AE85" s="2">
        <f t="shared" si="202"/>
        <v>-47</v>
      </c>
      <c r="AF85" s="2">
        <f t="shared" si="202"/>
        <v>-2539</v>
      </c>
      <c r="BC85" s="2">
        <f t="shared" si="166"/>
        <v>-6746</v>
      </c>
      <c r="BD85" s="2">
        <f t="shared" si="167"/>
        <v>-3308</v>
      </c>
    </row>
    <row r="86" spans="2:56" x14ac:dyDescent="0.2">
      <c r="B86" s="2" t="s">
        <v>78</v>
      </c>
      <c r="C86" s="2">
        <v>248</v>
      </c>
      <c r="D86" s="2">
        <v>41</v>
      </c>
      <c r="E86" s="2">
        <v>-151</v>
      </c>
      <c r="F86" s="2">
        <f>-351-SUM(C86:E86)</f>
        <v>-489</v>
      </c>
      <c r="G86" s="2">
        <v>-12</v>
      </c>
      <c r="H86" s="2">
        <v>47</v>
      </c>
      <c r="I86" s="2">
        <v>-269</v>
      </c>
      <c r="J86" s="2">
        <f>70-SUM(G86:I86)</f>
        <v>304</v>
      </c>
      <c r="K86" s="2">
        <v>-484</v>
      </c>
      <c r="L86" s="2">
        <v>127</v>
      </c>
      <c r="M86" s="2">
        <v>377</v>
      </c>
      <c r="N86" s="2">
        <f>618-SUM(K86:M86)</f>
        <v>598</v>
      </c>
      <c r="O86" s="2">
        <v>-293</v>
      </c>
      <c r="P86" s="2">
        <v>234</v>
      </c>
      <c r="Q86" s="2">
        <v>-199</v>
      </c>
      <c r="R86" s="2">
        <f>-364-SUM(O86:Q86)</f>
        <v>-106</v>
      </c>
      <c r="S86" s="2">
        <v>16</v>
      </c>
      <c r="T86" s="2">
        <v>-412</v>
      </c>
      <c r="U86" s="2">
        <v>-1334</v>
      </c>
      <c r="V86" s="2">
        <f>-1093-SUM(S86:U86)</f>
        <v>637</v>
      </c>
      <c r="W86" s="2">
        <v>145</v>
      </c>
      <c r="X86" s="2">
        <v>69</v>
      </c>
      <c r="Y86" s="2">
        <v>-502</v>
      </c>
      <c r="Z86" s="2">
        <f>403-SUM(W86:Y86)</f>
        <v>691</v>
      </c>
      <c r="AA86" s="2">
        <v>-429</v>
      </c>
      <c r="AB86" s="2">
        <v>-312</v>
      </c>
      <c r="AC86" s="2">
        <v>690</v>
      </c>
      <c r="AD86" s="2">
        <f>-1301-SUM(AA86:AC86)</f>
        <v>-1250</v>
      </c>
      <c r="AE86" s="2">
        <v>416</v>
      </c>
      <c r="AF86" s="2">
        <v>1008</v>
      </c>
      <c r="BC86" s="2">
        <f t="shared" si="166"/>
        <v>691</v>
      </c>
      <c r="BD86" s="2">
        <f t="shared" si="167"/>
        <v>-1250</v>
      </c>
    </row>
    <row r="87" spans="2:56" x14ac:dyDescent="0.2">
      <c r="B87" s="2" t="s">
        <v>79</v>
      </c>
      <c r="C87" s="2">
        <v>-4240</v>
      </c>
      <c r="D87" s="2">
        <v>6685</v>
      </c>
      <c r="E87" s="2">
        <v>496</v>
      </c>
      <c r="F87" s="2">
        <f>10317-SUM(C87:E87)</f>
        <v>7376</v>
      </c>
      <c r="G87" s="2">
        <v>-8666</v>
      </c>
      <c r="H87" s="2">
        <v>-542</v>
      </c>
      <c r="I87" s="2">
        <v>589</v>
      </c>
      <c r="J87" s="2">
        <f>4237-SUM(G87:I87)</f>
        <v>12856</v>
      </c>
      <c r="K87" s="2">
        <v>-8905</v>
      </c>
      <c r="L87" s="2">
        <v>10337</v>
      </c>
      <c r="M87" s="2">
        <v>-7640</v>
      </c>
      <c r="N87" s="2">
        <f>5967-SUM(K87:M87)</f>
        <v>12175</v>
      </c>
      <c r="O87" s="2">
        <v>-8222</v>
      </c>
      <c r="P87" s="2">
        <v>6512</v>
      </c>
      <c r="Q87" s="2">
        <v>-10490</v>
      </c>
      <c r="R87" s="2">
        <f>-5900-SUM(O87:Q87)</f>
        <v>6300</v>
      </c>
      <c r="S87" s="2">
        <v>122</v>
      </c>
      <c r="T87" s="2">
        <v>1101</v>
      </c>
      <c r="U87" s="2">
        <v>-2522</v>
      </c>
      <c r="V87" s="2">
        <f>17776-SUM(S87:U87)</f>
        <v>19075</v>
      </c>
      <c r="W87" s="2">
        <v>-4519</v>
      </c>
      <c r="X87" s="2">
        <v>333</v>
      </c>
      <c r="Y87" s="2">
        <v>14</v>
      </c>
      <c r="Z87" s="2">
        <f>19637-SUM(W87:Y87)</f>
        <v>23809</v>
      </c>
      <c r="AA87" s="2">
        <v>-558</v>
      </c>
      <c r="AB87" s="2">
        <v>-1659</v>
      </c>
      <c r="AC87" s="2">
        <v>7004</v>
      </c>
      <c r="AD87" s="2">
        <f>8422-SUM(AA87:AC87)</f>
        <v>3635</v>
      </c>
      <c r="AE87" s="2">
        <v>-12419</v>
      </c>
      <c r="AF87" s="2">
        <v>-8440</v>
      </c>
      <c r="BC87" s="2">
        <f t="shared" si="166"/>
        <v>23809</v>
      </c>
      <c r="BD87" s="2">
        <f t="shared" si="167"/>
        <v>3635</v>
      </c>
    </row>
    <row r="89" spans="2:56" x14ac:dyDescent="0.2">
      <c r="B89" s="2" t="s">
        <v>105</v>
      </c>
      <c r="C89" s="2">
        <v>1149</v>
      </c>
      <c r="D89" s="2">
        <v>2984</v>
      </c>
      <c r="E89" s="2">
        <v>2032</v>
      </c>
      <c r="F89" s="2">
        <f>7267-SUM(C89:E89)</f>
        <v>1102</v>
      </c>
      <c r="G89" s="2">
        <v>2287</v>
      </c>
      <c r="H89" s="2">
        <v>1564</v>
      </c>
      <c r="I89" s="2">
        <v>1282</v>
      </c>
      <c r="J89" s="2">
        <f>7033-SUM(G89:I89)</f>
        <v>1900</v>
      </c>
      <c r="K89" s="2">
        <v>1312</v>
      </c>
      <c r="L89" s="2">
        <v>2141</v>
      </c>
      <c r="M89" s="2">
        <v>2252</v>
      </c>
      <c r="N89" s="2">
        <f>8651-SUM(K89:M89)</f>
        <v>2946</v>
      </c>
      <c r="O89" s="2">
        <v>3450</v>
      </c>
      <c r="P89" s="2">
        <v>3147</v>
      </c>
      <c r="Q89" s="2">
        <v>880</v>
      </c>
      <c r="R89" s="2">
        <f>7271-SUM(O89:Q89)</f>
        <v>-206</v>
      </c>
      <c r="S89" s="2">
        <v>-1568</v>
      </c>
      <c r="T89" s="2">
        <v>-627</v>
      </c>
      <c r="U89" s="2">
        <v>-412</v>
      </c>
      <c r="V89" s="2">
        <f>-2847-SUM(S89:U89)</f>
        <v>-240</v>
      </c>
      <c r="W89" s="2">
        <v>898</v>
      </c>
      <c r="X89" s="2">
        <v>3211</v>
      </c>
      <c r="Y89" s="2">
        <v>4307</v>
      </c>
      <c r="Z89" s="2">
        <f>14877-SUM(W89:Y89)</f>
        <v>6461</v>
      </c>
      <c r="AA89" s="2">
        <v>4983</v>
      </c>
      <c r="AB89" s="2">
        <v>5065</v>
      </c>
      <c r="AC89" s="2">
        <v>5663</v>
      </c>
      <c r="AD89" s="2">
        <f>24967-SUM(AA89:AC89)</f>
        <v>9256</v>
      </c>
      <c r="AE89" s="2">
        <v>5841</v>
      </c>
      <c r="AF89" s="2">
        <v>7517</v>
      </c>
      <c r="AG89" s="6"/>
      <c r="BC89" s="2">
        <f t="shared" si="166"/>
        <v>6461</v>
      </c>
      <c r="BD89" s="2">
        <f t="shared" si="167"/>
        <v>9256</v>
      </c>
    </row>
    <row r="90" spans="2:56" x14ac:dyDescent="0.2">
      <c r="B90" s="2" t="s">
        <v>106</v>
      </c>
      <c r="C90" s="2">
        <v>-622</v>
      </c>
      <c r="D90" s="2">
        <v>-1116</v>
      </c>
      <c r="E90" s="2">
        <v>-385</v>
      </c>
      <c r="F90" s="2">
        <f>-2142-SUM(C90:E90)</f>
        <v>-19</v>
      </c>
      <c r="G90" s="2">
        <v>-90</v>
      </c>
      <c r="H90" s="2">
        <v>-601</v>
      </c>
      <c r="I90" s="2">
        <v>-386</v>
      </c>
      <c r="J90" s="2">
        <f>-1693-SUM(G90:I90)</f>
        <v>-616</v>
      </c>
      <c r="K90" s="2">
        <v>-398</v>
      </c>
      <c r="L90" s="2">
        <v>345</v>
      </c>
      <c r="M90" s="2">
        <v>407</v>
      </c>
      <c r="N90" s="2">
        <f>717-SUM(K90:M90)</f>
        <v>363</v>
      </c>
      <c r="O90" s="2">
        <v>1252</v>
      </c>
      <c r="P90" s="2">
        <v>362</v>
      </c>
      <c r="Q90" s="2">
        <v>-911</v>
      </c>
      <c r="R90" s="2">
        <f>-924-SUM(O90:Q90)</f>
        <v>-1627</v>
      </c>
      <c r="S90" s="2">
        <v>-1281</v>
      </c>
      <c r="T90" s="2">
        <v>-1771</v>
      </c>
      <c r="U90" s="2">
        <v>-2466</v>
      </c>
      <c r="V90" s="2">
        <f>-7746-SUM(S90:U90)</f>
        <v>-2228</v>
      </c>
      <c r="W90" s="2">
        <v>-1247</v>
      </c>
      <c r="X90" s="2">
        <v>-895</v>
      </c>
      <c r="Y90" s="2">
        <v>-95</v>
      </c>
      <c r="Z90" s="2">
        <f>-2656-SUM(W90:Y90)</f>
        <v>-419</v>
      </c>
      <c r="AA90" s="2">
        <v>903</v>
      </c>
      <c r="AB90" s="2">
        <v>273</v>
      </c>
      <c r="AC90" s="2">
        <v>1301</v>
      </c>
      <c r="AD90" s="2">
        <f>3792-SUM(AA90:AC90)</f>
        <v>1315</v>
      </c>
      <c r="AE90" s="2">
        <v>1017</v>
      </c>
      <c r="AF90" s="2">
        <v>1494</v>
      </c>
      <c r="AG90" s="6"/>
      <c r="BC90" s="2">
        <f t="shared" si="166"/>
        <v>-419</v>
      </c>
      <c r="BD90" s="2">
        <f t="shared" si="167"/>
        <v>1315</v>
      </c>
    </row>
    <row r="91" spans="2:56" x14ac:dyDescent="0.2">
      <c r="B91" s="2" t="s">
        <v>107</v>
      </c>
      <c r="C91" s="2">
        <v>1400</v>
      </c>
      <c r="D91" s="2">
        <v>3043</v>
      </c>
      <c r="E91" s="2">
        <v>2077</v>
      </c>
      <c r="F91" s="2">
        <f>7296-SUM(C91:E91)</f>
        <v>776</v>
      </c>
      <c r="G91" s="2">
        <v>2223</v>
      </c>
      <c r="H91" s="2">
        <v>2121</v>
      </c>
      <c r="I91" s="2">
        <v>2261</v>
      </c>
      <c r="J91" s="2">
        <f>9201-SUM(G91:I91)</f>
        <v>2596</v>
      </c>
      <c r="K91" s="2">
        <v>3075</v>
      </c>
      <c r="L91" s="2">
        <v>3357</v>
      </c>
      <c r="M91" s="2">
        <v>3535</v>
      </c>
      <c r="N91" s="2">
        <f>13531-SUM(K91:M91)</f>
        <v>3564</v>
      </c>
      <c r="O91" s="2">
        <v>4163</v>
      </c>
      <c r="P91" s="2">
        <v>4193</v>
      </c>
      <c r="Q91" s="2">
        <v>4883</v>
      </c>
      <c r="R91" s="2">
        <f>18532-SUM(O91:Q91)</f>
        <v>5293</v>
      </c>
      <c r="S91" s="2">
        <v>6518</v>
      </c>
      <c r="T91" s="2">
        <v>5715</v>
      </c>
      <c r="U91" s="2">
        <v>5403</v>
      </c>
      <c r="V91" s="2">
        <f>22841-SUM(S91:U91)</f>
        <v>5205</v>
      </c>
      <c r="W91" s="2">
        <v>5123</v>
      </c>
      <c r="X91" s="2">
        <v>5365</v>
      </c>
      <c r="Y91" s="2">
        <v>6976</v>
      </c>
      <c r="Z91" s="2">
        <f>24631-SUM(W91:Y91)</f>
        <v>7167</v>
      </c>
      <c r="AA91" s="2">
        <v>10160</v>
      </c>
      <c r="AB91" s="2">
        <v>9334</v>
      </c>
      <c r="AC91" s="2">
        <v>10447</v>
      </c>
      <c r="AD91" s="2">
        <f>39834-SUM(AA91:AC91)</f>
        <v>9893</v>
      </c>
      <c r="AE91" s="2">
        <v>11547</v>
      </c>
      <c r="AF91" s="2">
        <v>10160</v>
      </c>
      <c r="AG91" s="6"/>
      <c r="BC91" s="2">
        <f t="shared" si="166"/>
        <v>7167</v>
      </c>
      <c r="BD91" s="2">
        <f t="shared" si="167"/>
        <v>9893</v>
      </c>
    </row>
    <row r="92" spans="2:56" x14ac:dyDescent="0.2">
      <c r="B92" s="2" t="s">
        <v>108</v>
      </c>
      <c r="K92" s="2">
        <f>K75+K77+K78</f>
        <v>-2364</v>
      </c>
      <c r="L92" s="2">
        <f t="shared" ref="L92:AF92" si="203">L75+L77+L78</f>
        <v>13991</v>
      </c>
      <c r="M92" s="2">
        <f t="shared" si="203"/>
        <v>2156</v>
      </c>
      <c r="N92" s="2">
        <f t="shared" si="203"/>
        <v>17237</v>
      </c>
      <c r="O92" s="2">
        <f t="shared" si="203"/>
        <v>-6974</v>
      </c>
      <c r="P92" s="2">
        <f t="shared" si="203"/>
        <v>-273</v>
      </c>
      <c r="Q92" s="2">
        <f t="shared" si="203"/>
        <v>-7438</v>
      </c>
      <c r="R92" s="2">
        <f t="shared" si="203"/>
        <v>5616</v>
      </c>
      <c r="S92" s="2">
        <f t="shared" si="203"/>
        <v>-16532</v>
      </c>
      <c r="T92" s="2">
        <f t="shared" si="203"/>
        <v>-5133</v>
      </c>
      <c r="U92" s="2">
        <f t="shared" si="203"/>
        <v>-3637</v>
      </c>
      <c r="V92" s="2">
        <f t="shared" si="203"/>
        <v>13733</v>
      </c>
      <c r="W92" s="2">
        <f t="shared" si="203"/>
        <v>-8282</v>
      </c>
      <c r="X92" s="2">
        <f t="shared" si="203"/>
        <v>6064</v>
      </c>
      <c r="Y92" s="2">
        <f t="shared" si="203"/>
        <v>9919</v>
      </c>
      <c r="Z92" s="2">
        <f t="shared" si="203"/>
        <v>29112</v>
      </c>
      <c r="AA92" s="2">
        <f t="shared" si="203"/>
        <v>5054</v>
      </c>
      <c r="AB92" s="2">
        <f t="shared" si="203"/>
        <v>8888</v>
      </c>
      <c r="AC92" s="2">
        <f t="shared" si="203"/>
        <v>4693</v>
      </c>
      <c r="AD92" s="2">
        <f t="shared" si="203"/>
        <v>19584</v>
      </c>
      <c r="AE92" s="2">
        <f t="shared" si="203"/>
        <v>-7240</v>
      </c>
      <c r="AF92" s="2">
        <f t="shared" si="203"/>
        <v>1147</v>
      </c>
      <c r="AG92" s="6"/>
      <c r="BC92" s="2">
        <f t="shared" si="166"/>
        <v>29112</v>
      </c>
      <c r="BD92" s="2">
        <f t="shared" si="167"/>
        <v>19584</v>
      </c>
    </row>
    <row r="93" spans="2:56" x14ac:dyDescent="0.2">
      <c r="B93" s="2" t="s">
        <v>109</v>
      </c>
      <c r="N93" s="2">
        <f>SUM(K92:N92)</f>
        <v>31020</v>
      </c>
      <c r="O93" s="2">
        <f t="shared" ref="O93:AF93" si="204">SUM(L92:O92)</f>
        <v>26410</v>
      </c>
      <c r="P93" s="2">
        <f t="shared" si="204"/>
        <v>12146</v>
      </c>
      <c r="Q93" s="2">
        <f t="shared" si="204"/>
        <v>2552</v>
      </c>
      <c r="R93" s="2">
        <f t="shared" si="204"/>
        <v>-9069</v>
      </c>
      <c r="S93" s="2">
        <f t="shared" si="204"/>
        <v>-18627</v>
      </c>
      <c r="T93" s="2">
        <f t="shared" si="204"/>
        <v>-23487</v>
      </c>
      <c r="U93" s="2">
        <f t="shared" si="204"/>
        <v>-19686</v>
      </c>
      <c r="V93" s="2">
        <f t="shared" si="204"/>
        <v>-11569</v>
      </c>
      <c r="W93" s="2">
        <f t="shared" si="204"/>
        <v>-3319</v>
      </c>
      <c r="X93" s="2">
        <f t="shared" si="204"/>
        <v>7878</v>
      </c>
      <c r="Y93" s="2">
        <f t="shared" si="204"/>
        <v>21434</v>
      </c>
      <c r="Z93" s="2">
        <f t="shared" si="204"/>
        <v>36813</v>
      </c>
      <c r="AA93" s="2">
        <f t="shared" si="204"/>
        <v>50149</v>
      </c>
      <c r="AB93" s="2">
        <f t="shared" si="204"/>
        <v>52973</v>
      </c>
      <c r="AC93" s="2">
        <f t="shared" si="204"/>
        <v>47747</v>
      </c>
      <c r="AD93" s="2">
        <f t="shared" si="204"/>
        <v>38219</v>
      </c>
      <c r="AE93" s="2">
        <f t="shared" si="204"/>
        <v>25925</v>
      </c>
      <c r="AF93" s="2">
        <f t="shared" si="204"/>
        <v>18184</v>
      </c>
      <c r="BC93" s="2">
        <f t="shared" si="166"/>
        <v>36813</v>
      </c>
      <c r="BD93" s="2">
        <f t="shared" si="167"/>
        <v>38219</v>
      </c>
    </row>
  </sheetData>
  <hyperlinks>
    <hyperlink ref="A1" location="Main!A1" display="Main" xr:uid="{E65AB951-4073-4834-8558-F477194E9BA9}"/>
  </hyperlink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4247C3281044188E2D24CD66DF4E7" ma:contentTypeVersion="5" ma:contentTypeDescription="Create a new document." ma:contentTypeScope="" ma:versionID="d9b65b8bb09d5ca9c0814c3e31991ccc">
  <xsd:schema xmlns:xsd="http://www.w3.org/2001/XMLSchema" xmlns:xs="http://www.w3.org/2001/XMLSchema" xmlns:p="http://schemas.microsoft.com/office/2006/metadata/properties" xmlns:ns3="8959c540-4f49-4a8f-b11a-5d7e47b7d969" targetNamespace="http://schemas.microsoft.com/office/2006/metadata/properties" ma:root="true" ma:fieldsID="6466a7ce642d086938f39a7b7d3632ca" ns3:_="">
    <xsd:import namespace="8959c540-4f49-4a8f-b11a-5d7e47b7d9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9c540-4f49-4a8f-b11a-5d7e47b7d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9970A2-D90E-4DC3-A0F3-C7D8737BD963}">
  <ds:schemaRefs>
    <ds:schemaRef ds:uri="http://purl.org/dc/elements/1.1/"/>
    <ds:schemaRef ds:uri="http://www.w3.org/XML/1998/namespace"/>
    <ds:schemaRef ds:uri="8959c540-4f49-4a8f-b11a-5d7e47b7d969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16A44A-5A7B-4A45-9E63-764371DDE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9c540-4f49-4a8f-b11a-5d7e47b7d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8ABA0F-4BE9-41FF-9D01-EBCD7151BF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COCA V S SILVIU-MARIAN</dc:creator>
  <cp:lastModifiedBy>Coca Silviu</cp:lastModifiedBy>
  <dcterms:created xsi:type="dcterms:W3CDTF">2025-10-12T12:27:06Z</dcterms:created>
  <dcterms:modified xsi:type="dcterms:W3CDTF">2025-10-28T09:55:50Z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0x0101003424247C3281044188E2D24CD66DF4E7</vt:lpwstr>
  </property>
</Properties>
</file>