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41C3B80E9AE39F/Documente/"/>
    </mc:Choice>
  </mc:AlternateContent>
  <xr:revisionPtr revIDLastSave="568" documentId="13_ncr:1_{43E2E6E2-0A96-E643-93F5-81197758B6DF}" xr6:coauthVersionLast="47" xr6:coauthVersionMax="47" xr10:uidLastSave="{317C073A-D8F4-42DC-B369-CC4798E6A80F}"/>
  <bookViews>
    <workbookView xWindow="-120" yWindow="-120" windowWidth="29040" windowHeight="15840" activeTab="1" xr2:uid="{5058A7AF-034E-DB46-ADA0-A99DA965B0A7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S10" i="2" l="1"/>
  <c r="AT10" i="2" s="1"/>
  <c r="AS8" i="2"/>
  <c r="AT8" i="2" s="1"/>
  <c r="AR8" i="2"/>
  <c r="AS7" i="2"/>
  <c r="AT7" i="2" s="1"/>
  <c r="AR7" i="2"/>
  <c r="AC7" i="2"/>
  <c r="AD7" i="2" s="1"/>
  <c r="AB7" i="2"/>
  <c r="AA7" i="2"/>
  <c r="AC8" i="2"/>
  <c r="AD8" i="2" s="1"/>
  <c r="AB8" i="2"/>
  <c r="AA8" i="2"/>
  <c r="AC14" i="2"/>
  <c r="AD14" i="2" s="1"/>
  <c r="AB14" i="2"/>
  <c r="AB13" i="2"/>
  <c r="AC13" i="2" s="1"/>
  <c r="AD13" i="2" s="1"/>
  <c r="AC12" i="2"/>
  <c r="AD12" i="2" s="1"/>
  <c r="AB12" i="2"/>
  <c r="AR10" i="2"/>
  <c r="AC10" i="2"/>
  <c r="AD10" i="2" s="1"/>
  <c r="AB10" i="2"/>
  <c r="AA10" i="2"/>
  <c r="AA14" i="2"/>
  <c r="AA13" i="2"/>
  <c r="AB19" i="2"/>
  <c r="AC19" i="2" s="1"/>
  <c r="AD19" i="2" s="1"/>
  <c r="AP9" i="2"/>
  <c r="AL9" i="2"/>
  <c r="AQ7" i="2" l="1"/>
  <c r="AQ8" i="2"/>
  <c r="AQ9" i="2" l="1"/>
  <c r="AT9" i="2"/>
  <c r="AS9" i="2"/>
  <c r="AT31" i="2" l="1"/>
  <c r="AV34" i="2" l="1"/>
  <c r="AW34" i="2" s="1"/>
  <c r="AX34" i="2" s="1"/>
  <c r="AY34" i="2" s="1"/>
  <c r="AZ34" i="2" s="1"/>
  <c r="BA34" i="2" s="1"/>
  <c r="BB34" i="2" s="1"/>
  <c r="BC34" i="2" s="1"/>
  <c r="BD34" i="2" s="1"/>
  <c r="BE34" i="2" s="1"/>
  <c r="BF34" i="2" s="1"/>
  <c r="BG34" i="2" s="1"/>
  <c r="BH34" i="2" s="1"/>
  <c r="BI34" i="2" s="1"/>
  <c r="BJ34" i="2" s="1"/>
  <c r="BK34" i="2" s="1"/>
  <c r="BL34" i="2" s="1"/>
  <c r="BM34" i="2" s="1"/>
  <c r="BN34" i="2" s="1"/>
  <c r="BO34" i="2" s="1"/>
  <c r="BP34" i="2" s="1"/>
  <c r="BQ34" i="2" s="1"/>
  <c r="BR34" i="2" s="1"/>
  <c r="BS34" i="2" s="1"/>
  <c r="BT34" i="2" s="1"/>
  <c r="BU34" i="2" s="1"/>
  <c r="BV34" i="2" s="1"/>
  <c r="BW34" i="2" s="1"/>
  <c r="BX34" i="2" s="1"/>
  <c r="BY34" i="2" s="1"/>
  <c r="BZ34" i="2" s="1"/>
  <c r="CA34" i="2" s="1"/>
  <c r="CB34" i="2" s="1"/>
  <c r="CC34" i="2" s="1"/>
  <c r="CD34" i="2" s="1"/>
  <c r="CE34" i="2" s="1"/>
  <c r="CF34" i="2" s="1"/>
  <c r="CG34" i="2" s="1"/>
  <c r="CH34" i="2" s="1"/>
  <c r="CI34" i="2" s="1"/>
  <c r="CJ34" i="2" s="1"/>
  <c r="CK34" i="2" s="1"/>
  <c r="CL34" i="2" s="1"/>
  <c r="CM34" i="2" s="1"/>
  <c r="CN34" i="2" s="1"/>
  <c r="CO34" i="2" s="1"/>
  <c r="CP34" i="2" s="1"/>
  <c r="CQ34" i="2" s="1"/>
  <c r="CR34" i="2" s="1"/>
  <c r="CS34" i="2" s="1"/>
  <c r="CT34" i="2" s="1"/>
  <c r="CU34" i="2" s="1"/>
  <c r="CV34" i="2" s="1"/>
  <c r="CW34" i="2" s="1"/>
  <c r="CX34" i="2" s="1"/>
  <c r="CY34" i="2" s="1"/>
  <c r="CZ34" i="2" s="1"/>
  <c r="DA34" i="2" s="1"/>
  <c r="DB34" i="2" s="1"/>
  <c r="DC34" i="2" s="1"/>
  <c r="DD34" i="2" s="1"/>
  <c r="DE34" i="2" s="1"/>
  <c r="DF34" i="2" s="1"/>
  <c r="DG34" i="2" s="1"/>
  <c r="DH34" i="2" s="1"/>
  <c r="DI34" i="2" s="1"/>
  <c r="DJ34" i="2" s="1"/>
  <c r="DK34" i="2" s="1"/>
  <c r="DL34" i="2" s="1"/>
  <c r="DM34" i="2" s="1"/>
  <c r="DN34" i="2" s="1"/>
  <c r="DO34" i="2" s="1"/>
  <c r="DP34" i="2" s="1"/>
  <c r="DQ34" i="2" s="1"/>
  <c r="DR34" i="2" s="1"/>
  <c r="DS34" i="2" s="1"/>
  <c r="DT34" i="2" s="1"/>
  <c r="DU34" i="2" s="1"/>
  <c r="DV34" i="2" s="1"/>
  <c r="DW34" i="2" s="1"/>
  <c r="DX34" i="2" s="1"/>
  <c r="DY34" i="2" s="1"/>
  <c r="DZ34" i="2" s="1"/>
  <c r="EA34" i="2" s="1"/>
  <c r="EB34" i="2" s="1"/>
  <c r="EC34" i="2" s="1"/>
  <c r="ED34" i="2" s="1"/>
  <c r="EE34" i="2" s="1"/>
  <c r="EF34" i="2" s="1"/>
  <c r="EG34" i="2" s="1"/>
  <c r="EH34" i="2" s="1"/>
  <c r="EI34" i="2" s="1"/>
  <c r="EJ34" i="2" s="1"/>
  <c r="EK34" i="2" s="1"/>
  <c r="EL34" i="2" s="1"/>
  <c r="EM34" i="2" s="1"/>
  <c r="EN34" i="2" s="1"/>
  <c r="EO34" i="2" s="1"/>
  <c r="AS34" i="2"/>
  <c r="AT34" i="2" s="1"/>
  <c r="AU34" i="2" s="1"/>
  <c r="AR34" i="2"/>
  <c r="AQ34" i="2"/>
  <c r="AA34" i="2"/>
  <c r="AB34" i="2" s="1"/>
  <c r="AC34" i="2" s="1"/>
  <c r="AD34" i="2" s="1"/>
  <c r="Z34" i="2"/>
  <c r="AT17" i="2"/>
  <c r="AS17" i="2"/>
  <c r="AR17" i="2"/>
  <c r="AQ31" i="2" l="1"/>
  <c r="AQ26" i="2"/>
  <c r="AQ25" i="2"/>
  <c r="AQ24" i="2"/>
  <c r="AQ17" i="2"/>
  <c r="AC17" i="2"/>
  <c r="AD17" i="2" s="1"/>
  <c r="AB17" i="2"/>
  <c r="AA15" i="2"/>
  <c r="D14" i="1"/>
  <c r="D10" i="1"/>
  <c r="D5" i="1"/>
  <c r="AP26" i="2"/>
  <c r="AO26" i="2"/>
  <c r="AN26" i="2"/>
  <c r="AO25" i="2"/>
  <c r="AN25" i="2"/>
  <c r="AP25" i="2"/>
  <c r="AN24" i="2"/>
  <c r="AO24" i="2"/>
  <c r="AP24" i="2"/>
  <c r="AP31" i="2"/>
  <c r="AN31" i="2"/>
  <c r="AL31" i="2"/>
  <c r="AM31" i="2"/>
  <c r="AO31" i="2"/>
  <c r="AK30" i="2"/>
  <c r="AK29" i="2"/>
  <c r="AK28" i="2"/>
  <c r="AM30" i="2"/>
  <c r="AM29" i="2"/>
  <c r="AM28" i="2"/>
  <c r="AN30" i="2"/>
  <c r="AN29" i="2"/>
  <c r="AN28" i="2"/>
  <c r="AO30" i="2"/>
  <c r="AO29" i="2"/>
  <c r="AO28" i="2"/>
  <c r="AL3" i="2"/>
  <c r="AM3" i="2" s="1"/>
  <c r="AN3" i="2" s="1"/>
  <c r="AO3" i="2" s="1"/>
  <c r="AP3" i="2" s="1"/>
  <c r="AQ3" i="2" s="1"/>
  <c r="AR3" i="2" s="1"/>
  <c r="AS3" i="2" s="1"/>
  <c r="AT3" i="2" s="1"/>
  <c r="AU3" i="2" s="1"/>
  <c r="AV3" i="2" s="1"/>
  <c r="AW3" i="2" s="1"/>
  <c r="AX3" i="2" s="1"/>
  <c r="AY3" i="2" s="1"/>
  <c r="AZ3" i="2" s="1"/>
  <c r="BA3" i="2" s="1"/>
  <c r="Y55" i="2"/>
  <c r="Y51" i="2"/>
  <c r="Y48" i="2"/>
  <c r="Y52" i="2"/>
  <c r="Y42" i="2"/>
  <c r="Y43" i="2"/>
  <c r="Y35" i="2"/>
  <c r="AQ14" i="2" l="1"/>
  <c r="AR14" i="2" s="1"/>
  <c r="AS14" i="2" s="1"/>
  <c r="AT14" i="2" s="1"/>
  <c r="AQ12" i="2"/>
  <c r="AR12" i="2" s="1"/>
  <c r="AQ10" i="2"/>
  <c r="AD15" i="2"/>
  <c r="AC15" i="2"/>
  <c r="AB15" i="2"/>
  <c r="AA9" i="2"/>
  <c r="AB9" i="2"/>
  <c r="AB11" i="2" s="1"/>
  <c r="Y44" i="2"/>
  <c r="Y56" i="2"/>
  <c r="Y34" i="2"/>
  <c r="AS12" i="2" l="1"/>
  <c r="AT11" i="2"/>
  <c r="AS11" i="2"/>
  <c r="AB16" i="2"/>
  <c r="AB18" i="2" s="1"/>
  <c r="AB20" i="2" s="1"/>
  <c r="AQ13" i="2"/>
  <c r="AR13" i="2" s="1"/>
  <c r="AS13" i="2" s="1"/>
  <c r="AT13" i="2" s="1"/>
  <c r="AQ15" i="2"/>
  <c r="AA11" i="2"/>
  <c r="AA16" i="2" s="1"/>
  <c r="AA18" i="2" s="1"/>
  <c r="AA20" i="2" s="1"/>
  <c r="AQ19" i="2"/>
  <c r="AR19" i="2" s="1"/>
  <c r="AS19" i="2" s="1"/>
  <c r="AT19" i="2" s="1"/>
  <c r="AC9" i="2"/>
  <c r="AC11" i="2" s="1"/>
  <c r="AC16" i="2" s="1"/>
  <c r="AC18" i="2" s="1"/>
  <c r="AC20" i="2" s="1"/>
  <c r="AD9" i="2"/>
  <c r="AD11" i="2" s="1"/>
  <c r="AD16" i="2" s="1"/>
  <c r="AD18" i="2" s="1"/>
  <c r="N19" i="2"/>
  <c r="N14" i="2"/>
  <c r="AM14" i="2" s="1"/>
  <c r="N13" i="2"/>
  <c r="AM13" i="2" s="1"/>
  <c r="N12" i="2"/>
  <c r="AM12" i="2" s="1"/>
  <c r="N10" i="2"/>
  <c r="N8" i="2"/>
  <c r="N7" i="2"/>
  <c r="AM7" i="2" s="1"/>
  <c r="F19" i="2"/>
  <c r="F14" i="2"/>
  <c r="AK14" i="2" s="1"/>
  <c r="F13" i="2"/>
  <c r="AK13" i="2" s="1"/>
  <c r="F12" i="2"/>
  <c r="AK12" i="2" s="1"/>
  <c r="F10" i="2"/>
  <c r="AK10" i="2" s="1"/>
  <c r="F8" i="2"/>
  <c r="F7" i="2"/>
  <c r="J19" i="2"/>
  <c r="AL19" i="2" s="1"/>
  <c r="J14" i="2"/>
  <c r="AL14" i="2" s="1"/>
  <c r="J13" i="2"/>
  <c r="AL13" i="2" s="1"/>
  <c r="J12" i="2"/>
  <c r="AL12" i="2" s="1"/>
  <c r="J10" i="2"/>
  <c r="AL10" i="2" s="1"/>
  <c r="J8" i="2"/>
  <c r="AL8" i="2" s="1"/>
  <c r="J7" i="2"/>
  <c r="AK7" i="2"/>
  <c r="AK8" i="2"/>
  <c r="AL7" i="2"/>
  <c r="E17" i="2"/>
  <c r="I17" i="2"/>
  <c r="D17" i="2"/>
  <c r="H17" i="2"/>
  <c r="I15" i="2"/>
  <c r="I9" i="2"/>
  <c r="I11" i="2" s="1"/>
  <c r="I16" i="2" s="1"/>
  <c r="I28" i="2" s="1"/>
  <c r="H15" i="2"/>
  <c r="H9" i="2"/>
  <c r="H11" i="2" s="1"/>
  <c r="E15" i="2"/>
  <c r="E9" i="2"/>
  <c r="E11" i="2" s="1"/>
  <c r="D15" i="2"/>
  <c r="D9" i="2"/>
  <c r="D11" i="2" s="1"/>
  <c r="D29" i="2" s="1"/>
  <c r="C15" i="2"/>
  <c r="C9" i="2"/>
  <c r="C11" i="2" s="1"/>
  <c r="C29" i="2" s="1"/>
  <c r="G17" i="2"/>
  <c r="G15" i="2"/>
  <c r="G9" i="2"/>
  <c r="G11" i="2" s="1"/>
  <c r="AM10" i="2"/>
  <c r="AM8" i="2"/>
  <c r="R19" i="2"/>
  <c r="AN19" i="2" s="1"/>
  <c r="R14" i="2"/>
  <c r="AN14" i="2" s="1"/>
  <c r="R13" i="2"/>
  <c r="AN13" i="2" s="1"/>
  <c r="R12" i="2"/>
  <c r="AN12" i="2" s="1"/>
  <c r="R10" i="2"/>
  <c r="AN10" i="2" s="1"/>
  <c r="R8" i="2"/>
  <c r="AN8" i="2" s="1"/>
  <c r="R7" i="2"/>
  <c r="AN7" i="2" s="1"/>
  <c r="M17" i="2"/>
  <c r="M9" i="2"/>
  <c r="M11" i="2" s="1"/>
  <c r="M29" i="2" s="1"/>
  <c r="Q17" i="2"/>
  <c r="L17" i="2"/>
  <c r="P17" i="2"/>
  <c r="O17" i="2"/>
  <c r="K17" i="2"/>
  <c r="Q15" i="2"/>
  <c r="Q9" i="2"/>
  <c r="Q11" i="2" s="1"/>
  <c r="Q29" i="2" s="1"/>
  <c r="P15" i="2"/>
  <c r="P9" i="2"/>
  <c r="P11" i="2" s="1"/>
  <c r="M15" i="2"/>
  <c r="L15" i="2"/>
  <c r="L9" i="2"/>
  <c r="L11" i="2" s="1"/>
  <c r="K15" i="2"/>
  <c r="K9" i="2"/>
  <c r="K11" i="2" s="1"/>
  <c r="K29" i="2" s="1"/>
  <c r="O15" i="2"/>
  <c r="O9" i="2"/>
  <c r="O11" i="2" s="1"/>
  <c r="O16" i="2" s="1"/>
  <c r="V19" i="2"/>
  <c r="AO19" i="2" s="1"/>
  <c r="V14" i="2"/>
  <c r="AO14" i="2" s="1"/>
  <c r="V13" i="2"/>
  <c r="AO13" i="2" s="1"/>
  <c r="V12" i="2"/>
  <c r="AO12" i="2" s="1"/>
  <c r="V10" i="2"/>
  <c r="AO10" i="2" s="1"/>
  <c r="V8" i="2"/>
  <c r="AO8" i="2" s="1"/>
  <c r="V7" i="2"/>
  <c r="AO7" i="2" s="1"/>
  <c r="Z13" i="2"/>
  <c r="AP13" i="2" s="1"/>
  <c r="Z19" i="2"/>
  <c r="AP19" i="2" s="1"/>
  <c r="Z14" i="2"/>
  <c r="AP14" i="2" s="1"/>
  <c r="Z12" i="2"/>
  <c r="AP12" i="2" s="1"/>
  <c r="Z10" i="2"/>
  <c r="AP10" i="2" s="1"/>
  <c r="Z8" i="2"/>
  <c r="AP8" i="2" s="1"/>
  <c r="Z7" i="2"/>
  <c r="AP7" i="2" s="1"/>
  <c r="S17" i="2"/>
  <c r="S15" i="2"/>
  <c r="S9" i="2"/>
  <c r="S11" i="2" s="1"/>
  <c r="S29" i="2" s="1"/>
  <c r="W17" i="2"/>
  <c r="W15" i="2"/>
  <c r="W9" i="2"/>
  <c r="T17" i="2"/>
  <c r="T15" i="2"/>
  <c r="T9" i="2"/>
  <c r="T11" i="2" s="1"/>
  <c r="T16" i="2" s="1"/>
  <c r="X17" i="2"/>
  <c r="X15" i="2"/>
  <c r="X9" i="2"/>
  <c r="X11" i="2" s="1"/>
  <c r="U17" i="2"/>
  <c r="U15" i="2"/>
  <c r="U9" i="2"/>
  <c r="U11" i="2" s="1"/>
  <c r="U29" i="2" s="1"/>
  <c r="Y17" i="2"/>
  <c r="Y15" i="2"/>
  <c r="Y9" i="2"/>
  <c r="Y11" i="2" s="1"/>
  <c r="K8" i="1"/>
  <c r="K7" i="1"/>
  <c r="K6" i="1"/>
  <c r="K9" i="1" s="1"/>
  <c r="AR15" i="2" l="1"/>
  <c r="AT12" i="2"/>
  <c r="AT15" i="2" s="1"/>
  <c r="AT16" i="2" s="1"/>
  <c r="AS15" i="2"/>
  <c r="AS16" i="2" s="1"/>
  <c r="AS29" i="2"/>
  <c r="AT29" i="2"/>
  <c r="AD20" i="2"/>
  <c r="AQ11" i="2"/>
  <c r="Y16" i="2"/>
  <c r="H16" i="2"/>
  <c r="H28" i="2" s="1"/>
  <c r="P16" i="2"/>
  <c r="P28" i="2" s="1"/>
  <c r="F17" i="2"/>
  <c r="E16" i="2"/>
  <c r="E18" i="2" s="1"/>
  <c r="J17" i="2"/>
  <c r="AL17" i="2" s="1"/>
  <c r="X16" i="2"/>
  <c r="X18" i="2" s="1"/>
  <c r="L16" i="2"/>
  <c r="L28" i="2" s="1"/>
  <c r="G16" i="2"/>
  <c r="G18" i="2" s="1"/>
  <c r="G20" i="2" s="1"/>
  <c r="Y29" i="2"/>
  <c r="Y18" i="2"/>
  <c r="Y28" i="2"/>
  <c r="H29" i="2"/>
  <c r="O18" i="2"/>
  <c r="O20" i="2" s="1"/>
  <c r="O28" i="2"/>
  <c r="N17" i="2"/>
  <c r="AM17" i="2" s="1"/>
  <c r="I29" i="2"/>
  <c r="T18" i="2"/>
  <c r="T20" i="2" s="1"/>
  <c r="T28" i="2"/>
  <c r="L31" i="2"/>
  <c r="W31" i="2"/>
  <c r="X29" i="2"/>
  <c r="G29" i="2"/>
  <c r="O29" i="2"/>
  <c r="K31" i="2"/>
  <c r="S31" i="2"/>
  <c r="T31" i="2"/>
  <c r="U31" i="2"/>
  <c r="G31" i="2"/>
  <c r="O31" i="2"/>
  <c r="X31" i="2"/>
  <c r="P29" i="2"/>
  <c r="L29" i="2"/>
  <c r="T29" i="2"/>
  <c r="H31" i="2"/>
  <c r="P31" i="2"/>
  <c r="R17" i="2"/>
  <c r="AN17" i="2" s="1"/>
  <c r="AM19" i="2"/>
  <c r="E29" i="2"/>
  <c r="I31" i="2"/>
  <c r="Q31" i="2"/>
  <c r="Y31" i="2"/>
  <c r="M31" i="2"/>
  <c r="U16" i="2"/>
  <c r="AK19" i="2"/>
  <c r="M16" i="2"/>
  <c r="J9" i="2"/>
  <c r="AK17" i="2"/>
  <c r="AP15" i="2"/>
  <c r="Z17" i="2"/>
  <c r="AP17" i="2" s="1"/>
  <c r="R9" i="2"/>
  <c r="I18" i="2"/>
  <c r="V9" i="2"/>
  <c r="AO9" i="2" s="1"/>
  <c r="AO11" i="2" s="1"/>
  <c r="Z15" i="2"/>
  <c r="V15" i="2"/>
  <c r="Z9" i="2"/>
  <c r="W11" i="2"/>
  <c r="V17" i="2"/>
  <c r="AO17" i="2" s="1"/>
  <c r="P18" i="2"/>
  <c r="H18" i="2"/>
  <c r="S16" i="2"/>
  <c r="F15" i="2"/>
  <c r="AK15" i="2" s="1"/>
  <c r="F9" i="2"/>
  <c r="F11" i="2" s="1"/>
  <c r="F29" i="2" s="1"/>
  <c r="J15" i="2"/>
  <c r="AL15" i="2" s="1"/>
  <c r="D16" i="2"/>
  <c r="C16" i="2"/>
  <c r="Q16" i="2"/>
  <c r="R15" i="2"/>
  <c r="AN15" i="2" s="1"/>
  <c r="K16" i="2"/>
  <c r="N15" i="2"/>
  <c r="AM15" i="2" s="1"/>
  <c r="N9" i="2"/>
  <c r="AT28" i="2" l="1"/>
  <c r="AT18" i="2"/>
  <c r="AS18" i="2"/>
  <c r="AS28" i="2"/>
  <c r="AQ16" i="2"/>
  <c r="AQ29" i="2"/>
  <c r="E28" i="2"/>
  <c r="E20" i="2"/>
  <c r="E30" i="2"/>
  <c r="X28" i="2"/>
  <c r="G28" i="2"/>
  <c r="O30" i="2"/>
  <c r="L18" i="2"/>
  <c r="L30" i="2" s="1"/>
  <c r="Q18" i="2"/>
  <c r="Q30" i="2" s="1"/>
  <c r="Q28" i="2"/>
  <c r="G30" i="2"/>
  <c r="U18" i="2"/>
  <c r="U30" i="2" s="1"/>
  <c r="U28" i="2"/>
  <c r="Y20" i="2"/>
  <c r="Y30" i="2"/>
  <c r="T30" i="2"/>
  <c r="X20" i="2"/>
  <c r="X30" i="2"/>
  <c r="C18" i="2"/>
  <c r="C20" i="2" s="1"/>
  <c r="C28" i="2"/>
  <c r="M18" i="2"/>
  <c r="M20" i="2" s="1"/>
  <c r="M28" i="2"/>
  <c r="D18" i="2"/>
  <c r="D30" i="2" s="1"/>
  <c r="D28" i="2"/>
  <c r="K18" i="2"/>
  <c r="K20" i="2" s="1"/>
  <c r="K28" i="2"/>
  <c r="S18" i="2"/>
  <c r="S20" i="2" s="1"/>
  <c r="S28" i="2"/>
  <c r="U20" i="2"/>
  <c r="Z11" i="2"/>
  <c r="Z29" i="2" s="1"/>
  <c r="Z31" i="2"/>
  <c r="I20" i="2"/>
  <c r="I30" i="2"/>
  <c r="H20" i="2"/>
  <c r="H30" i="2"/>
  <c r="J11" i="2"/>
  <c r="J29" i="2" s="1"/>
  <c r="J31" i="2"/>
  <c r="R11" i="2"/>
  <c r="R29" i="2" s="1"/>
  <c r="R31" i="2"/>
  <c r="L20" i="2"/>
  <c r="P20" i="2"/>
  <c r="P30" i="2"/>
  <c r="AP11" i="2"/>
  <c r="AP29" i="2" s="1"/>
  <c r="N11" i="2"/>
  <c r="N29" i="2" s="1"/>
  <c r="N31" i="2"/>
  <c r="W16" i="2"/>
  <c r="W29" i="2"/>
  <c r="V11" i="2"/>
  <c r="V29" i="2" s="1"/>
  <c r="V31" i="2"/>
  <c r="AM9" i="2"/>
  <c r="AM11" i="2" s="1"/>
  <c r="AM16" i="2" s="1"/>
  <c r="AM18" i="2" s="1"/>
  <c r="F16" i="2"/>
  <c r="F28" i="2" s="1"/>
  <c r="AN9" i="2"/>
  <c r="AN11" i="2" s="1"/>
  <c r="AL11" i="2"/>
  <c r="AN16" i="2"/>
  <c r="AN18" i="2" s="1"/>
  <c r="AK9" i="2"/>
  <c r="AK11" i="2" s="1"/>
  <c r="AK16" i="2" s="1"/>
  <c r="AK18" i="2" s="1"/>
  <c r="AO15" i="2"/>
  <c r="AO16" i="2" s="1"/>
  <c r="AO18" i="2" s="1"/>
  <c r="AT20" i="2" l="1"/>
  <c r="AT30" i="2"/>
  <c r="AS20" i="2"/>
  <c r="AS30" i="2"/>
  <c r="AQ18" i="2"/>
  <c r="AQ28" i="2"/>
  <c r="AL16" i="2"/>
  <c r="AL29" i="2"/>
  <c r="Q20" i="2"/>
  <c r="F18" i="2"/>
  <c r="D20" i="2"/>
  <c r="K30" i="2"/>
  <c r="C30" i="2"/>
  <c r="AP16" i="2"/>
  <c r="M30" i="2"/>
  <c r="S30" i="2"/>
  <c r="W18" i="2"/>
  <c r="W20" i="2" s="1"/>
  <c r="W28" i="2"/>
  <c r="R16" i="2"/>
  <c r="Z16" i="2"/>
  <c r="F20" i="2"/>
  <c r="AK20" i="2" s="1"/>
  <c r="F30" i="2"/>
  <c r="N16" i="2"/>
  <c r="J16" i="2"/>
  <c r="V16" i="2"/>
  <c r="AQ30" i="2" l="1"/>
  <c r="AQ20" i="2"/>
  <c r="AU20" i="2"/>
  <c r="AV20" i="2" s="1"/>
  <c r="AW20" i="2" s="1"/>
  <c r="AX20" i="2" s="1"/>
  <c r="AY20" i="2" s="1"/>
  <c r="AZ20" i="2" s="1"/>
  <c r="BA20" i="2" s="1"/>
  <c r="BB20" i="2" s="1"/>
  <c r="BC20" i="2" s="1"/>
  <c r="BD20" i="2" s="1"/>
  <c r="BE20" i="2" s="1"/>
  <c r="BF20" i="2" s="1"/>
  <c r="BG20" i="2" s="1"/>
  <c r="BH20" i="2" s="1"/>
  <c r="BI20" i="2" s="1"/>
  <c r="BJ20" i="2" s="1"/>
  <c r="BK20" i="2" s="1"/>
  <c r="BL20" i="2" s="1"/>
  <c r="BM20" i="2" s="1"/>
  <c r="BN20" i="2" s="1"/>
  <c r="BO20" i="2" s="1"/>
  <c r="BP20" i="2" s="1"/>
  <c r="BQ20" i="2" s="1"/>
  <c r="BR20" i="2" s="1"/>
  <c r="BS20" i="2" s="1"/>
  <c r="BT20" i="2" s="1"/>
  <c r="BU20" i="2" s="1"/>
  <c r="BV20" i="2" s="1"/>
  <c r="BW20" i="2" s="1"/>
  <c r="BX20" i="2" s="1"/>
  <c r="BY20" i="2" s="1"/>
  <c r="BZ20" i="2" s="1"/>
  <c r="CA20" i="2" s="1"/>
  <c r="CB20" i="2" s="1"/>
  <c r="CC20" i="2" s="1"/>
  <c r="CD20" i="2" s="1"/>
  <c r="CE20" i="2" s="1"/>
  <c r="CF20" i="2" s="1"/>
  <c r="CG20" i="2" s="1"/>
  <c r="CH20" i="2" s="1"/>
  <c r="CI20" i="2" s="1"/>
  <c r="CJ20" i="2" s="1"/>
  <c r="CK20" i="2" s="1"/>
  <c r="CL20" i="2" s="1"/>
  <c r="CM20" i="2" s="1"/>
  <c r="CN20" i="2" s="1"/>
  <c r="CO20" i="2" s="1"/>
  <c r="CP20" i="2" s="1"/>
  <c r="CQ20" i="2" s="1"/>
  <c r="CR20" i="2" s="1"/>
  <c r="CS20" i="2" s="1"/>
  <c r="CT20" i="2" s="1"/>
  <c r="CU20" i="2" s="1"/>
  <c r="CV20" i="2" s="1"/>
  <c r="CW20" i="2" s="1"/>
  <c r="CX20" i="2" s="1"/>
  <c r="CY20" i="2" s="1"/>
  <c r="CZ20" i="2" s="1"/>
  <c r="DA20" i="2" s="1"/>
  <c r="DB20" i="2" s="1"/>
  <c r="DC20" i="2" s="1"/>
  <c r="DD20" i="2" s="1"/>
  <c r="DE20" i="2" s="1"/>
  <c r="DF20" i="2" s="1"/>
  <c r="DG20" i="2" s="1"/>
  <c r="DH20" i="2" s="1"/>
  <c r="DI20" i="2" s="1"/>
  <c r="DJ20" i="2" s="1"/>
  <c r="DK20" i="2" s="1"/>
  <c r="DL20" i="2" s="1"/>
  <c r="DM20" i="2" s="1"/>
  <c r="DN20" i="2" s="1"/>
  <c r="DO20" i="2" s="1"/>
  <c r="DP20" i="2" s="1"/>
  <c r="DQ20" i="2" s="1"/>
  <c r="DR20" i="2" s="1"/>
  <c r="DS20" i="2" s="1"/>
  <c r="DT20" i="2" s="1"/>
  <c r="DU20" i="2" s="1"/>
  <c r="DV20" i="2" s="1"/>
  <c r="DW20" i="2" s="1"/>
  <c r="DX20" i="2" s="1"/>
  <c r="DY20" i="2" s="1"/>
  <c r="DZ20" i="2" s="1"/>
  <c r="EA20" i="2" s="1"/>
  <c r="EB20" i="2" s="1"/>
  <c r="EC20" i="2" s="1"/>
  <c r="ED20" i="2" s="1"/>
  <c r="EE20" i="2" s="1"/>
  <c r="EF20" i="2" s="1"/>
  <c r="EG20" i="2" s="1"/>
  <c r="EH20" i="2" s="1"/>
  <c r="EI20" i="2" s="1"/>
  <c r="EJ20" i="2" s="1"/>
  <c r="EK20" i="2" s="1"/>
  <c r="EL20" i="2" s="1"/>
  <c r="EM20" i="2" s="1"/>
  <c r="EN20" i="2" s="1"/>
  <c r="EO20" i="2" s="1"/>
  <c r="AL18" i="2"/>
  <c r="AL30" i="2" s="1"/>
  <c r="AL28" i="2"/>
  <c r="AP18" i="2"/>
  <c r="AP30" i="2" s="1"/>
  <c r="AP28" i="2"/>
  <c r="W30" i="2"/>
  <c r="J18" i="2"/>
  <c r="J28" i="2"/>
  <c r="Z18" i="2"/>
  <c r="Z28" i="2"/>
  <c r="R18" i="2"/>
  <c r="R28" i="2"/>
  <c r="V18" i="2"/>
  <c r="V20" i="2" s="1"/>
  <c r="AO20" i="2" s="1"/>
  <c r="V28" i="2"/>
  <c r="N18" i="2"/>
  <c r="N28" i="2"/>
  <c r="N20" i="2"/>
  <c r="AM20" i="2" s="1"/>
  <c r="N30" i="2"/>
  <c r="J20" i="2"/>
  <c r="AL20" i="2" s="1"/>
  <c r="J30" i="2"/>
  <c r="AV41" i="2" l="1"/>
  <c r="AV42" i="2" s="1"/>
  <c r="AV44" i="2" s="1"/>
  <c r="V30" i="2"/>
  <c r="R20" i="2"/>
  <c r="AN20" i="2" s="1"/>
  <c r="R30" i="2"/>
  <c r="Z20" i="2"/>
  <c r="AP20" i="2" s="1"/>
  <c r="Z30" i="2"/>
  <c r="AR9" i="2"/>
  <c r="AR11" i="2" l="1"/>
  <c r="AR16" i="2" s="1"/>
  <c r="AR31" i="2"/>
  <c r="AS31" i="2"/>
  <c r="AR29" i="2" l="1"/>
  <c r="AR18" i="2"/>
  <c r="AR28" i="2"/>
  <c r="AR20" i="2" l="1"/>
  <c r="AR30" i="2"/>
</calcChain>
</file>

<file path=xl/sharedStrings.xml><?xml version="1.0" encoding="utf-8"?>
<sst xmlns="http://schemas.openxmlformats.org/spreadsheetml/2006/main" count="122" uniqueCount="110">
  <si>
    <t>Price</t>
  </si>
  <si>
    <t>Shares</t>
  </si>
  <si>
    <t>MC</t>
  </si>
  <si>
    <t>Cash</t>
  </si>
  <si>
    <t>Debt</t>
  </si>
  <si>
    <t>EV</t>
  </si>
  <si>
    <t>Q425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</si>
  <si>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</si>
  <si>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</si>
  <si>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</si>
  <si>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</si>
  <si>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</si>
  <si>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</si>
  <si>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</si>
  <si>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</si>
  <si>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</si>
  <si>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</si>
  <si>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</si>
  <si>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</si>
  <si>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</si>
  <si>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</si>
  <si>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</si>
  <si>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</si>
  <si>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</si>
  <si>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Q224</t>
  </si>
  <si>
    <t>Q324</t>
  </si>
  <si>
    <t>Q424</t>
  </si>
  <si>
    <t>Q125</t>
  </si>
  <si>
    <t>Q225</t>
  </si>
  <si>
    <t>Q325</t>
  </si>
  <si>
    <t>Q126</t>
  </si>
  <si>
    <t>Q226</t>
  </si>
  <si>
    <t>Q326</t>
  </si>
  <si>
    <t>Q426</t>
  </si>
  <si>
    <t>Revenue</t>
  </si>
  <si>
    <t>Product</t>
  </si>
  <si>
    <t>Service and other</t>
  </si>
  <si>
    <t>COGS</t>
  </si>
  <si>
    <t>R&amp;D</t>
  </si>
  <si>
    <t>S&amp;M</t>
  </si>
  <si>
    <t>G&amp;A</t>
  </si>
  <si>
    <t>OpEx</t>
  </si>
  <si>
    <t>OpInc</t>
  </si>
  <si>
    <t>Other</t>
  </si>
  <si>
    <t>Pretax</t>
  </si>
  <si>
    <t>Tax</t>
  </si>
  <si>
    <t>Net income</t>
  </si>
  <si>
    <t>Eps</t>
  </si>
  <si>
    <t>Gross Margin</t>
  </si>
  <si>
    <t>Tax Rate</t>
  </si>
  <si>
    <t>Revenue Growth</t>
  </si>
  <si>
    <t>Gross Profit</t>
  </si>
  <si>
    <t>Operating Margin</t>
  </si>
  <si>
    <t>Net cash</t>
  </si>
  <si>
    <t>AR</t>
  </si>
  <si>
    <t>Taxes</t>
  </si>
  <si>
    <t>Inventory</t>
  </si>
  <si>
    <t>OCA</t>
  </si>
  <si>
    <t>DT</t>
  </si>
  <si>
    <t>PP&amp;E</t>
  </si>
  <si>
    <t>Lease</t>
  </si>
  <si>
    <t>Goodwill</t>
  </si>
  <si>
    <t>ONCA</t>
  </si>
  <si>
    <t>Assets</t>
  </si>
  <si>
    <t>AP</t>
  </si>
  <si>
    <t>Compensation</t>
  </si>
  <si>
    <t>Leasae</t>
  </si>
  <si>
    <t>OLTL</t>
  </si>
  <si>
    <t>SE</t>
  </si>
  <si>
    <t>L+SE</t>
  </si>
  <si>
    <t>MODEL NI</t>
  </si>
  <si>
    <t>REPORTED NI</t>
  </si>
  <si>
    <t>Depreciation</t>
  </si>
  <si>
    <t>Amortization</t>
  </si>
  <si>
    <t>SBV</t>
  </si>
  <si>
    <t>Gain on equitiees</t>
  </si>
  <si>
    <t>WC</t>
  </si>
  <si>
    <t>CFFO</t>
  </si>
  <si>
    <t>CapEX</t>
  </si>
  <si>
    <t>Investments</t>
  </si>
  <si>
    <t>Acquisitions</t>
  </si>
  <si>
    <t>CFFI</t>
  </si>
  <si>
    <t>Equiti Other Investments</t>
  </si>
  <si>
    <t>UR</t>
  </si>
  <si>
    <t>OCL</t>
  </si>
  <si>
    <t>Productivity and business Processes</t>
  </si>
  <si>
    <t>Intelligent Cloud</t>
  </si>
  <si>
    <t>More Personal Computing</t>
  </si>
  <si>
    <t xml:space="preserve"> </t>
  </si>
  <si>
    <t>Productivity and Business Processes</t>
  </si>
  <si>
    <t>Office Comercial</t>
  </si>
  <si>
    <t>Office consumer</t>
  </si>
  <si>
    <t>LinkdIn</t>
  </si>
  <si>
    <t>Dynamics</t>
  </si>
  <si>
    <t>Azure</t>
  </si>
  <si>
    <t>Server products (Windows, SQL Server, GitHub)</t>
  </si>
  <si>
    <t>Enterprise Services (consulting/support for business running Microsoft)</t>
  </si>
  <si>
    <t>Personal computing</t>
  </si>
  <si>
    <t>Windows( licenses to PC makers, commercial)</t>
  </si>
  <si>
    <t>Devices ( tablets, laptops, accessories)</t>
  </si>
  <si>
    <t>Gaming (Xbox hardware, content services etc)</t>
  </si>
  <si>
    <t>Search News Advertising (Bing ads, MSN)</t>
  </si>
  <si>
    <t>Terminal</t>
  </si>
  <si>
    <t>Discount</t>
  </si>
  <si>
    <t>ROIC</t>
  </si>
  <si>
    <t>NPV</t>
  </si>
  <si>
    <t>Share</t>
  </si>
  <si>
    <t>Current</t>
  </si>
  <si>
    <t>Return</t>
  </si>
  <si>
    <t xml:space="preserve">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</si>
</sst>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9" fontId="1" fillId="0" borderId="0" xfId="0" applyNumberFormat="1" applyFont="1"/>
    <xf numFmtId="3" fontId="3" fillId="0" borderId="0" xfId="0" applyNumberFormat="1" applyFont="1"/>
    <xf numFmtId="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4" fontId="0" fillId="0" borderId="0" xfId="0" applyNumberFormat="1"/>
    <xf numFmtId="9" fontId="0" fillId="0" borderId="0" xfId="0" applyNumberFormat="1" applyFont="1"/>
    <xf numFmtId="165" fontId="0" fillId="0" borderId="0" xfId="0" applyNumberFormat="1"/>
    <xf numFmtId="9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800100</xdr:colOff>
      <xdr:row>2</xdr:row>
      <xdr:rowOff>13656</xdr:rowOff>
    </xdr:from>
    <xdr:to>
      <xdr:col>26</xdr:col>
      <xdr:colOff>13656</xdr:colOff>
      <xdr:row>54</xdr:row>
      <xdr:rowOff>25400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3583D35-2852-C95B-A018-0DB27435EBE7}"/>
            </a:ext>
          </a:extLst>
        </xdr:cNvPr>
        <xdr:cNvCxnSpPr/>
      </xdr:nvCxnSpPr>
      <xdr:spPr>
        <a:xfrm flipH="1">
          <a:off x="22786122" y="423333"/>
          <a:ext cx="32910" cy="1004884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0</xdr:row>
      <xdr:rowOff>0</xdr:rowOff>
    </xdr:from>
    <xdr:to>
      <xdr:col>42</xdr:col>
      <xdr:colOff>12700</xdr:colOff>
      <xdr:row>51</xdr:row>
      <xdr:rowOff>76201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595D4F08-5D23-D80B-14D8-89D6A9EE3EE7}"/>
            </a:ext>
          </a:extLst>
        </xdr:cNvPr>
        <xdr:cNvCxnSpPr/>
      </xdr:nvCxnSpPr>
      <xdr:spPr>
        <a:xfrm flipH="1">
          <a:off x="36727581" y="0"/>
          <a:ext cx="12700" cy="105229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EBEED-52C5-C243-BE2E-242217048E1B}">
  <dimension ref="B4:L18"/>
  <sheetViews>
    <sheetView topLeftCell="D1" workbookViewId="0">
      <selection activeCell="K39" sqref="K39"/>
    </sheetView>
  </sheetViews>
  <sheetFormatPr defaultColWidth="11" defaultRowHeight="15.75" x14ac:dyDescent="0.25"/>
  <cols>
    <col min="2" max="2" width="30.75" bestFit="1" customWidth="1"/>
    <col min="3" max="3" width="59" bestFit="1" customWidth="1"/>
    <col min="4" max="4" width="11.875" bestFit="1" customWidth="1"/>
  </cols>
  <sheetData>
    <row r="4" spans="2:12" x14ac:dyDescent="0.25">
      <c r="J4" s="2" t="s">
        <v>0</v>
      </c>
      <c r="K4" s="2">
        <v>517</v>
      </c>
    </row>
    <row r="5" spans="2:12" x14ac:dyDescent="0.25">
      <c r="B5" s="12" t="s">
        <v>89</v>
      </c>
      <c r="C5" s="9"/>
      <c r="D5" s="15">
        <f>(120810/281724)*100</f>
        <v>42.882395536056563</v>
      </c>
      <c r="J5" s="2" t="s">
        <v>1</v>
      </c>
      <c r="K5" s="2">
        <v>7433</v>
      </c>
      <c r="L5" s="3" t="s">
        <v>6</v>
      </c>
    </row>
    <row r="6" spans="2:12" x14ac:dyDescent="0.25">
      <c r="B6" s="13"/>
      <c r="C6" s="10" t="s">
        <v>90</v>
      </c>
      <c r="J6" s="2" t="s">
        <v>2</v>
      </c>
      <c r="K6" s="2">
        <f>K4*K5</f>
        <v>3842861</v>
      </c>
      <c r="L6" s="3"/>
    </row>
    <row r="7" spans="2:12" x14ac:dyDescent="0.25">
      <c r="B7" s="13"/>
      <c r="C7" s="10" t="s">
        <v>91</v>
      </c>
      <c r="J7" s="2" t="s">
        <v>3</v>
      </c>
      <c r="K7" s="2">
        <f>30242+64323+15405</f>
        <v>109970</v>
      </c>
      <c r="L7" s="3" t="s">
        <v>6</v>
      </c>
    </row>
    <row r="8" spans="2:12" x14ac:dyDescent="0.25">
      <c r="B8" s="13"/>
      <c r="C8" s="10" t="s">
        <v>92</v>
      </c>
      <c r="J8" s="2" t="s">
        <v>4</v>
      </c>
      <c r="K8" s="2">
        <f>2999+40152</f>
        <v>43151</v>
      </c>
      <c r="L8" s="3" t="s">
        <v>6</v>
      </c>
    </row>
    <row r="9" spans="2:12" x14ac:dyDescent="0.25">
      <c r="B9" s="14"/>
      <c r="C9" s="11" t="s">
        <v>93</v>
      </c>
      <c r="J9" s="2" t="s">
        <v>5</v>
      </c>
      <c r="K9" s="2">
        <f>K6-K7+K8</f>
        <v>3776042</v>
      </c>
      <c r="L9" s="3"/>
    </row>
    <row r="10" spans="2:12" x14ac:dyDescent="0.25">
      <c r="B10" s="12" t="s">
        <v>86</v>
      </c>
      <c r="C10" s="9"/>
      <c r="D10" s="1">
        <f>(106251/281724)*100</f>
        <v>37.714571708480641</v>
      </c>
    </row>
    <row r="11" spans="2:12" x14ac:dyDescent="0.25">
      <c r="B11" s="13"/>
      <c r="C11" s="10" t="s">
        <v>94</v>
      </c>
    </row>
    <row r="12" spans="2:12" x14ac:dyDescent="0.25">
      <c r="B12" s="13"/>
      <c r="C12" s="10" t="s">
        <v>95</v>
      </c>
    </row>
    <row r="13" spans="2:12" x14ac:dyDescent="0.25">
      <c r="B13" s="14"/>
      <c r="C13" s="11" t="s">
        <v>96</v>
      </c>
    </row>
    <row r="14" spans="2:12" x14ac:dyDescent="0.25">
      <c r="B14" s="12" t="s">
        <v>97</v>
      </c>
      <c r="C14" s="9"/>
      <c r="D14" s="1">
        <f>(54649/281764)*100</f>
        <v>19.395309549836032</v>
      </c>
    </row>
    <row r="15" spans="2:12" x14ac:dyDescent="0.25">
      <c r="B15" s="13"/>
      <c r="C15" s="10" t="s">
        <v>98</v>
      </c>
    </row>
    <row r="16" spans="2:12" x14ac:dyDescent="0.25">
      <c r="B16" s="13"/>
      <c r="C16" s="10" t="s">
        <v>99</v>
      </c>
    </row>
    <row r="17" spans="2:3" x14ac:dyDescent="0.25">
      <c r="B17" s="13"/>
      <c r="C17" s="10" t="s">
        <v>100</v>
      </c>
    </row>
    <row r="18" spans="2:3" x14ac:dyDescent="0.25">
      <c r="B18" s="14"/>
      <c r="C18" s="11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D0145-A2B5-9942-92F1-83BA6356B2DD}">
  <dimension ref="B3:EO1048576"/>
  <sheetViews>
    <sheetView tabSelected="1" zoomScale="78" zoomScaleNormal="78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I27" sqref="AI27"/>
    </sheetView>
  </sheetViews>
  <sheetFormatPr defaultColWidth="11" defaultRowHeight="15.75" x14ac:dyDescent="0.25"/>
  <cols>
    <col min="2" max="2" width="30.5" customWidth="1"/>
    <col min="30" max="30" width="10.625" customWidth="1"/>
  </cols>
  <sheetData>
    <row r="3" spans="2:95" x14ac:dyDescent="0.25"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 t="s">
        <v>19</v>
      </c>
      <c r="P3" s="3" t="s">
        <v>20</v>
      </c>
      <c r="Q3" s="3" t="s">
        <v>21</v>
      </c>
      <c r="R3" s="3" t="s">
        <v>22</v>
      </c>
      <c r="S3" s="3" t="s">
        <v>23</v>
      </c>
      <c r="T3" s="3" t="s">
        <v>24</v>
      </c>
      <c r="U3" s="3" t="s">
        <v>25</v>
      </c>
      <c r="V3" s="3" t="s">
        <v>26</v>
      </c>
      <c r="W3" s="3" t="s">
        <v>27</v>
      </c>
      <c r="X3" s="3" t="s">
        <v>28</v>
      </c>
      <c r="Y3" s="3" t="s">
        <v>29</v>
      </c>
      <c r="Z3" s="3" t="s">
        <v>6</v>
      </c>
      <c r="AA3" s="3" t="s">
        <v>30</v>
      </c>
      <c r="AB3" s="3" t="s">
        <v>31</v>
      </c>
      <c r="AC3" s="3" t="s">
        <v>32</v>
      </c>
      <c r="AD3" s="3" t="s">
        <v>33</v>
      </c>
      <c r="AK3">
        <v>2020</v>
      </c>
      <c r="AL3">
        <f>AK3+1</f>
        <v>2021</v>
      </c>
      <c r="AM3">
        <f t="shared" ref="AM3:BA3" si="0">AL3+1</f>
        <v>2022</v>
      </c>
      <c r="AN3">
        <f t="shared" si="0"/>
        <v>2023</v>
      </c>
      <c r="AO3">
        <f t="shared" si="0"/>
        <v>2024</v>
      </c>
      <c r="AP3">
        <f t="shared" si="0"/>
        <v>2025</v>
      </c>
      <c r="AQ3">
        <f t="shared" si="0"/>
        <v>2026</v>
      </c>
      <c r="AR3">
        <f t="shared" si="0"/>
        <v>2027</v>
      </c>
      <c r="AS3">
        <f t="shared" si="0"/>
        <v>2028</v>
      </c>
      <c r="AT3">
        <f t="shared" si="0"/>
        <v>2029</v>
      </c>
      <c r="AU3">
        <f t="shared" si="0"/>
        <v>2030</v>
      </c>
      <c r="AV3">
        <f t="shared" si="0"/>
        <v>2031</v>
      </c>
      <c r="AW3">
        <f t="shared" si="0"/>
        <v>2032</v>
      </c>
      <c r="AX3">
        <f t="shared" si="0"/>
        <v>2033</v>
      </c>
      <c r="AY3">
        <f t="shared" si="0"/>
        <v>2034</v>
      </c>
      <c r="AZ3">
        <f t="shared" si="0"/>
        <v>2035</v>
      </c>
      <c r="BA3">
        <f t="shared" si="0"/>
        <v>2036</v>
      </c>
    </row>
    <row r="4" spans="2:95" x14ac:dyDescent="0.25">
      <c r="B4" t="s">
        <v>85</v>
      </c>
      <c r="AK4" s="1"/>
      <c r="AL4" s="1"/>
      <c r="AM4" s="1">
        <v>63364</v>
      </c>
      <c r="AN4" s="1">
        <v>69274</v>
      </c>
      <c r="AO4" s="1">
        <v>106820</v>
      </c>
      <c r="AP4" s="1">
        <v>120810</v>
      </c>
      <c r="AQ4" s="1"/>
    </row>
    <row r="5" spans="2:95" x14ac:dyDescent="0.25">
      <c r="B5" s="3" t="s">
        <v>86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K5" s="1"/>
      <c r="AL5" s="1"/>
      <c r="AM5" s="1">
        <v>74965</v>
      </c>
      <c r="AN5" s="1">
        <v>87907</v>
      </c>
      <c r="AO5" s="1">
        <v>87464</v>
      </c>
      <c r="AP5" s="1">
        <v>106265</v>
      </c>
      <c r="AQ5" s="1"/>
    </row>
    <row r="6" spans="2:95" x14ac:dyDescent="0.25">
      <c r="B6" s="3" t="s">
        <v>87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K6" s="1"/>
      <c r="AL6" s="1"/>
      <c r="AM6" s="1">
        <v>59941</v>
      </c>
      <c r="AN6" s="1">
        <v>54734</v>
      </c>
      <c r="AO6" s="1">
        <v>50838</v>
      </c>
      <c r="AP6" s="1">
        <v>54649</v>
      </c>
      <c r="AQ6" s="1"/>
    </row>
    <row r="7" spans="2:95" x14ac:dyDescent="0.25">
      <c r="B7" s="3" t="s">
        <v>35</v>
      </c>
      <c r="C7" s="2">
        <v>15768</v>
      </c>
      <c r="D7" s="2">
        <v>18255</v>
      </c>
      <c r="E7" s="2">
        <v>15871</v>
      </c>
      <c r="F7" s="2">
        <f>68041-SUM(C7:E7)</f>
        <v>18147</v>
      </c>
      <c r="G7" s="2">
        <v>15803</v>
      </c>
      <c r="H7" s="2">
        <v>19460</v>
      </c>
      <c r="I7" s="2">
        <v>16873</v>
      </c>
      <c r="J7" s="2">
        <f>71074-SUM(G7:I7)</f>
        <v>18938</v>
      </c>
      <c r="K7" s="2">
        <v>16631</v>
      </c>
      <c r="L7" s="2">
        <v>20779</v>
      </c>
      <c r="M7" s="2">
        <v>17366</v>
      </c>
      <c r="N7" s="2">
        <f>72732-SUM(K7:M7)</f>
        <v>17956</v>
      </c>
      <c r="O7" s="2">
        <v>15741</v>
      </c>
      <c r="P7" s="2">
        <v>16517</v>
      </c>
      <c r="Q7" s="2">
        <v>15588</v>
      </c>
      <c r="R7" s="2">
        <f>64699-SUM(O7:Q7)</f>
        <v>16853</v>
      </c>
      <c r="S7" s="2">
        <v>15535</v>
      </c>
      <c r="T7" s="2">
        <v>18941</v>
      </c>
      <c r="U7" s="2">
        <v>17080</v>
      </c>
      <c r="V7" s="2">
        <f>64773-SUM(S7:U7)</f>
        <v>13217</v>
      </c>
      <c r="W7" s="2">
        <v>15272</v>
      </c>
      <c r="X7" s="2">
        <v>16219</v>
      </c>
      <c r="Y7" s="2">
        <v>15319</v>
      </c>
      <c r="Z7" s="2">
        <f>63946-SUM(W7:Y7)</f>
        <v>17136</v>
      </c>
      <c r="AA7" s="2">
        <f>Z7*1.01</f>
        <v>17307.36</v>
      </c>
      <c r="AB7" s="2">
        <f t="shared" ref="AB7:AD7" si="1">AA7*1.01</f>
        <v>17480.4336</v>
      </c>
      <c r="AC7" s="2">
        <f t="shared" si="1"/>
        <v>17655.237936000001</v>
      </c>
      <c r="AD7" s="2">
        <f t="shared" si="1"/>
        <v>17831.790315360002</v>
      </c>
      <c r="AE7" s="2"/>
      <c r="AF7" s="2"/>
      <c r="AK7" s="1">
        <f>SUM(C7:F7)</f>
        <v>68041</v>
      </c>
      <c r="AL7" s="1">
        <f>SUM(G7:J7)</f>
        <v>71074</v>
      </c>
      <c r="AM7" s="1">
        <f>SUM(K7:N7)</f>
        <v>72732</v>
      </c>
      <c r="AN7" s="1">
        <f>SUM(O7:R7)</f>
        <v>64699</v>
      </c>
      <c r="AO7" s="1">
        <f>SUM(S7:V7)</f>
        <v>64773</v>
      </c>
      <c r="AP7" s="1">
        <f>SUM(W7:Z7)</f>
        <v>63946</v>
      </c>
      <c r="AQ7" s="1">
        <f>SUM(AA7:AD7)</f>
        <v>70274.821851360015</v>
      </c>
      <c r="AR7" s="1">
        <f>AQ7*1.04</f>
        <v>73085.814725414413</v>
      </c>
      <c r="AS7" s="1">
        <f t="shared" ref="AS7:AT7" si="2">AR7*1.04</f>
        <v>76009.247314430992</v>
      </c>
      <c r="AT7" s="1">
        <f t="shared" si="2"/>
        <v>79049.617207008239</v>
      </c>
      <c r="AU7" s="1" t="s">
        <v>109</v>
      </c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</row>
    <row r="8" spans="2:95" x14ac:dyDescent="0.25">
      <c r="B8" s="3" t="s">
        <v>36</v>
      </c>
      <c r="C8" s="2">
        <v>17287</v>
      </c>
      <c r="D8" s="2">
        <v>18651</v>
      </c>
      <c r="E8" s="2">
        <v>19150</v>
      </c>
      <c r="F8" s="2">
        <f>74974-SUM(C8:E8)</f>
        <v>19886</v>
      </c>
      <c r="G8" s="2">
        <v>21351</v>
      </c>
      <c r="H8" s="2">
        <v>23616</v>
      </c>
      <c r="I8" s="2">
        <v>24833</v>
      </c>
      <c r="J8" s="2">
        <f>97014-SUM(G8:I8)</f>
        <v>27214</v>
      </c>
      <c r="K8" s="2">
        <v>28686</v>
      </c>
      <c r="L8" s="2">
        <v>30949</v>
      </c>
      <c r="M8" s="2">
        <v>31994</v>
      </c>
      <c r="N8" s="2">
        <f>125538-SUM(K8:M8)</f>
        <v>33909</v>
      </c>
      <c r="O8" s="2">
        <v>34381</v>
      </c>
      <c r="P8" s="2">
        <v>36230</v>
      </c>
      <c r="Q8" s="2">
        <v>37269</v>
      </c>
      <c r="R8" s="2">
        <f>147216-SUM(O8:Q8)</f>
        <v>39336</v>
      </c>
      <c r="S8" s="2">
        <v>40982</v>
      </c>
      <c r="T8" s="2">
        <v>43079</v>
      </c>
      <c r="U8" s="2">
        <v>44778</v>
      </c>
      <c r="V8" s="2">
        <f>180349-SUM(S8:U8)</f>
        <v>51510</v>
      </c>
      <c r="W8" s="2">
        <v>50313</v>
      </c>
      <c r="X8" s="2">
        <v>53413</v>
      </c>
      <c r="Y8" s="2">
        <v>54747</v>
      </c>
      <c r="Z8" s="2">
        <f>217778-SUM(W8:Y8)</f>
        <v>59305</v>
      </c>
      <c r="AA8" s="2">
        <f>Z8*1.05</f>
        <v>62270.25</v>
      </c>
      <c r="AB8" s="2">
        <f t="shared" ref="AB8:AD8" si="3">AA8*1.05</f>
        <v>65383.762500000004</v>
      </c>
      <c r="AC8" s="2">
        <f t="shared" si="3"/>
        <v>68652.950625000012</v>
      </c>
      <c r="AD8" s="2">
        <f t="shared" si="3"/>
        <v>72085.598156250009</v>
      </c>
      <c r="AE8" s="2"/>
      <c r="AF8" s="2"/>
      <c r="AK8" s="1">
        <f t="shared" ref="AK8:AK20" si="4">SUM(C8:F8)</f>
        <v>74974</v>
      </c>
      <c r="AL8" s="1">
        <f>SUM(G8:J8)</f>
        <v>97014</v>
      </c>
      <c r="AM8" s="1">
        <f>SUM(K8:N8)</f>
        <v>125538</v>
      </c>
      <c r="AN8" s="1">
        <f>SUM(O8:R8)</f>
        <v>147216</v>
      </c>
      <c r="AO8" s="1">
        <f>SUM(S8:V8)</f>
        <v>180349</v>
      </c>
      <c r="AP8" s="1">
        <f>SUM(W8:Z8)</f>
        <v>217778</v>
      </c>
      <c r="AQ8" s="1">
        <f>SUM(AA8:AD8)</f>
        <v>268392.56128125003</v>
      </c>
      <c r="AR8" s="1">
        <f>AQ8*1.15</f>
        <v>308651.44547343749</v>
      </c>
      <c r="AS8" s="1">
        <f t="shared" ref="AS8:AT8" si="5">AR8*1.15</f>
        <v>354949.16229445307</v>
      </c>
      <c r="AT8" s="1">
        <f t="shared" si="5"/>
        <v>408191.53663862101</v>
      </c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</row>
    <row r="9" spans="2:95" x14ac:dyDescent="0.25">
      <c r="B9" s="4" t="s">
        <v>34</v>
      </c>
      <c r="C9" s="5">
        <f t="shared" ref="C9:AD9" si="6">SUM(C7:C8)</f>
        <v>33055</v>
      </c>
      <c r="D9" s="5">
        <f t="shared" si="6"/>
        <v>36906</v>
      </c>
      <c r="E9" s="5">
        <f t="shared" si="6"/>
        <v>35021</v>
      </c>
      <c r="F9" s="5">
        <f t="shared" si="6"/>
        <v>38033</v>
      </c>
      <c r="G9" s="5">
        <f t="shared" si="6"/>
        <v>37154</v>
      </c>
      <c r="H9" s="5">
        <f t="shared" si="6"/>
        <v>43076</v>
      </c>
      <c r="I9" s="5">
        <f t="shared" si="6"/>
        <v>41706</v>
      </c>
      <c r="J9" s="5">
        <f t="shared" si="6"/>
        <v>46152</v>
      </c>
      <c r="K9" s="5">
        <f t="shared" si="6"/>
        <v>45317</v>
      </c>
      <c r="L9" s="5">
        <f t="shared" si="6"/>
        <v>51728</v>
      </c>
      <c r="M9" s="5">
        <f t="shared" si="6"/>
        <v>49360</v>
      </c>
      <c r="N9" s="5">
        <f t="shared" si="6"/>
        <v>51865</v>
      </c>
      <c r="O9" s="5">
        <f t="shared" si="6"/>
        <v>50122</v>
      </c>
      <c r="P9" s="5">
        <f t="shared" si="6"/>
        <v>52747</v>
      </c>
      <c r="Q9" s="5">
        <f t="shared" si="6"/>
        <v>52857</v>
      </c>
      <c r="R9" s="5">
        <f t="shared" si="6"/>
        <v>56189</v>
      </c>
      <c r="S9" s="5">
        <f t="shared" si="6"/>
        <v>56517</v>
      </c>
      <c r="T9" s="5">
        <f t="shared" si="6"/>
        <v>62020</v>
      </c>
      <c r="U9" s="5">
        <f t="shared" si="6"/>
        <v>61858</v>
      </c>
      <c r="V9" s="5">
        <f t="shared" si="6"/>
        <v>64727</v>
      </c>
      <c r="W9" s="5">
        <f t="shared" si="6"/>
        <v>65585</v>
      </c>
      <c r="X9" s="5">
        <f t="shared" si="6"/>
        <v>69632</v>
      </c>
      <c r="Y9" s="5">
        <f t="shared" si="6"/>
        <v>70066</v>
      </c>
      <c r="Z9" s="5">
        <f t="shared" si="6"/>
        <v>76441</v>
      </c>
      <c r="AA9" s="5">
        <f t="shared" si="6"/>
        <v>79577.61</v>
      </c>
      <c r="AB9" s="5">
        <f t="shared" si="6"/>
        <v>82864.196100000001</v>
      </c>
      <c r="AC9" s="5">
        <f t="shared" si="6"/>
        <v>86308.188561000017</v>
      </c>
      <c r="AD9" s="5">
        <f t="shared" si="6"/>
        <v>89917.388471610015</v>
      </c>
      <c r="AE9" s="2"/>
      <c r="AF9" s="2"/>
      <c r="AK9" s="7">
        <f t="shared" si="4"/>
        <v>143015</v>
      </c>
      <c r="AL9" s="7">
        <f>SUM(G9:J9)</f>
        <v>168088</v>
      </c>
      <c r="AM9" s="7">
        <f>SUM(K9:N9)</f>
        <v>198270</v>
      </c>
      <c r="AN9" s="7">
        <f>SUM(O9:R9)</f>
        <v>211915</v>
      </c>
      <c r="AO9" s="7">
        <f>SUM(S9:V9)</f>
        <v>245122</v>
      </c>
      <c r="AP9" s="7">
        <f>SUM(W9:Z9)</f>
        <v>281724</v>
      </c>
      <c r="AQ9" s="7">
        <f>SUM(AQ7:AQ8)</f>
        <v>338667.38313261006</v>
      </c>
      <c r="AR9" s="7">
        <f t="shared" ref="AR9:AT9" si="7">SUM(AR7:AR8)</f>
        <v>381737.26019885193</v>
      </c>
      <c r="AS9" s="7">
        <f t="shared" si="7"/>
        <v>430958.40960888407</v>
      </c>
      <c r="AT9" s="7">
        <f t="shared" si="7"/>
        <v>487241.15384562925</v>
      </c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</row>
    <row r="10" spans="2:95" x14ac:dyDescent="0.25">
      <c r="B10" s="3" t="s">
        <v>37</v>
      </c>
      <c r="C10" s="2">
        <v>10406</v>
      </c>
      <c r="D10" s="2">
        <v>12358</v>
      </c>
      <c r="E10" s="2">
        <v>10975</v>
      </c>
      <c r="F10" s="2">
        <f>46078-SUM(C10:E10)</f>
        <v>12339</v>
      </c>
      <c r="G10" s="2">
        <v>11002</v>
      </c>
      <c r="H10" s="2">
        <v>14194</v>
      </c>
      <c r="I10" s="2">
        <v>13045</v>
      </c>
      <c r="J10" s="2">
        <f>52232-SUM(G10:I10)</f>
        <v>13991</v>
      </c>
      <c r="K10" s="2">
        <v>13646</v>
      </c>
      <c r="L10" s="2">
        <v>16960</v>
      </c>
      <c r="M10" s="2">
        <v>15615</v>
      </c>
      <c r="N10" s="2">
        <f>62650-SUM(K10:M10)</f>
        <v>16429</v>
      </c>
      <c r="O10" s="2">
        <v>15452</v>
      </c>
      <c r="P10" s="2">
        <v>17488</v>
      </c>
      <c r="Q10" s="2">
        <v>16128</v>
      </c>
      <c r="R10" s="2">
        <f>65863-SUM(O10:Q10)</f>
        <v>16795</v>
      </c>
      <c r="S10" s="2">
        <v>16302</v>
      </c>
      <c r="T10" s="2">
        <v>19623</v>
      </c>
      <c r="U10" s="2">
        <v>18505</v>
      </c>
      <c r="V10" s="2">
        <f>74114-SUM(S10:U10)</f>
        <v>19684</v>
      </c>
      <c r="W10" s="2">
        <v>20099</v>
      </c>
      <c r="X10" s="2">
        <v>21799</v>
      </c>
      <c r="Y10" s="2">
        <v>21919</v>
      </c>
      <c r="Z10" s="2">
        <f>87831-SUM(W10:Y10)</f>
        <v>24014</v>
      </c>
      <c r="AA10" s="2">
        <f>Z10*1.02</f>
        <v>24494.28</v>
      </c>
      <c r="AB10" s="2">
        <f t="shared" ref="AB10:AD10" si="8">AA10*1.02</f>
        <v>24984.1656</v>
      </c>
      <c r="AC10" s="2">
        <f t="shared" si="8"/>
        <v>25483.848912000001</v>
      </c>
      <c r="AD10" s="2">
        <f t="shared" si="8"/>
        <v>25993.525890240002</v>
      </c>
      <c r="AE10" s="2"/>
      <c r="AF10" s="2"/>
      <c r="AK10" s="1">
        <f t="shared" si="4"/>
        <v>46078</v>
      </c>
      <c r="AL10" s="1">
        <f>SUM(G10:J10)</f>
        <v>52232</v>
      </c>
      <c r="AM10" s="1">
        <f>SUM(K10:N10)</f>
        <v>62650</v>
      </c>
      <c r="AN10" s="1">
        <f>SUM(O10:R10)</f>
        <v>65863</v>
      </c>
      <c r="AO10" s="1">
        <f>SUM(S10:V10)</f>
        <v>74114</v>
      </c>
      <c r="AP10" s="1">
        <f>SUM(W10:Z10)</f>
        <v>87831</v>
      </c>
      <c r="AQ10" s="1">
        <f>SUM(AA10:AD10)</f>
        <v>100955.82040224</v>
      </c>
      <c r="AR10" s="1">
        <f>AQ10*1.14</f>
        <v>115089.63525855359</v>
      </c>
      <c r="AS10" s="1">
        <f t="shared" ref="AS10:AT10" si="9">AR10*1.14</f>
        <v>131202.18419475108</v>
      </c>
      <c r="AT10" s="1">
        <f t="shared" si="9"/>
        <v>149570.48998201621</v>
      </c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</row>
    <row r="11" spans="2:95" x14ac:dyDescent="0.25">
      <c r="B11" s="3" t="s">
        <v>51</v>
      </c>
      <c r="C11" s="2">
        <f t="shared" ref="C11:AD11" si="10">C9-C10</f>
        <v>22649</v>
      </c>
      <c r="D11" s="2">
        <f t="shared" si="10"/>
        <v>24548</v>
      </c>
      <c r="E11" s="2">
        <f t="shared" si="10"/>
        <v>24046</v>
      </c>
      <c r="F11" s="2">
        <f t="shared" si="10"/>
        <v>25694</v>
      </c>
      <c r="G11" s="2">
        <f t="shared" si="10"/>
        <v>26152</v>
      </c>
      <c r="H11" s="2">
        <f t="shared" si="10"/>
        <v>28882</v>
      </c>
      <c r="I11" s="2">
        <f t="shared" si="10"/>
        <v>28661</v>
      </c>
      <c r="J11" s="2">
        <f t="shared" si="10"/>
        <v>32161</v>
      </c>
      <c r="K11" s="2">
        <f t="shared" si="10"/>
        <v>31671</v>
      </c>
      <c r="L11" s="2">
        <f t="shared" si="10"/>
        <v>34768</v>
      </c>
      <c r="M11" s="2">
        <f t="shared" si="10"/>
        <v>33745</v>
      </c>
      <c r="N11" s="2">
        <f t="shared" si="10"/>
        <v>35436</v>
      </c>
      <c r="O11" s="2">
        <f t="shared" si="10"/>
        <v>34670</v>
      </c>
      <c r="P11" s="2">
        <f t="shared" si="10"/>
        <v>35259</v>
      </c>
      <c r="Q11" s="2">
        <f t="shared" si="10"/>
        <v>36729</v>
      </c>
      <c r="R11" s="2">
        <f t="shared" si="10"/>
        <v>39394</v>
      </c>
      <c r="S11" s="2">
        <f t="shared" si="10"/>
        <v>40215</v>
      </c>
      <c r="T11" s="2">
        <f t="shared" si="10"/>
        <v>42397</v>
      </c>
      <c r="U11" s="2">
        <f t="shared" si="10"/>
        <v>43353</v>
      </c>
      <c r="V11" s="2">
        <f t="shared" si="10"/>
        <v>45043</v>
      </c>
      <c r="W11" s="2">
        <f t="shared" si="10"/>
        <v>45486</v>
      </c>
      <c r="X11" s="2">
        <f t="shared" si="10"/>
        <v>47833</v>
      </c>
      <c r="Y11" s="2">
        <f t="shared" si="10"/>
        <v>48147</v>
      </c>
      <c r="Z11" s="2">
        <f t="shared" si="10"/>
        <v>52427</v>
      </c>
      <c r="AA11" s="2">
        <f t="shared" si="10"/>
        <v>55083.33</v>
      </c>
      <c r="AB11" s="2">
        <f t="shared" si="10"/>
        <v>57880.030500000001</v>
      </c>
      <c r="AC11" s="2">
        <f t="shared" si="10"/>
        <v>60824.339649000016</v>
      </c>
      <c r="AD11" s="2">
        <f t="shared" si="10"/>
        <v>63923.862581370013</v>
      </c>
      <c r="AE11" s="2"/>
      <c r="AF11" s="2"/>
      <c r="AK11" s="2">
        <f t="shared" ref="AK11:AP11" si="11">AK9-AK10</f>
        <v>96937</v>
      </c>
      <c r="AL11" s="2">
        <f t="shared" si="11"/>
        <v>115856</v>
      </c>
      <c r="AM11" s="2">
        <f t="shared" si="11"/>
        <v>135620</v>
      </c>
      <c r="AN11" s="2">
        <f t="shared" si="11"/>
        <v>146052</v>
      </c>
      <c r="AO11" s="2">
        <f t="shared" si="11"/>
        <v>171008</v>
      </c>
      <c r="AP11" s="2">
        <f t="shared" si="11"/>
        <v>193893</v>
      </c>
      <c r="AQ11" s="2">
        <f t="shared" ref="AQ11:AR11" si="12">AQ9-AQ10</f>
        <v>237711.56273037006</v>
      </c>
      <c r="AR11" s="2">
        <f t="shared" si="12"/>
        <v>266647.62494029832</v>
      </c>
      <c r="AS11" s="2">
        <f t="shared" ref="AS11:AT11" si="13">AS9-AS10</f>
        <v>299756.22541413299</v>
      </c>
      <c r="AT11" s="2">
        <f t="shared" si="13"/>
        <v>337670.66386361304</v>
      </c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</row>
    <row r="12" spans="2:95" x14ac:dyDescent="0.25">
      <c r="B12" s="3" t="s">
        <v>38</v>
      </c>
      <c r="C12" s="2">
        <v>4565</v>
      </c>
      <c r="D12" s="2">
        <v>4603</v>
      </c>
      <c r="E12" s="2">
        <v>4887</v>
      </c>
      <c r="F12" s="2">
        <f>19269-SUM(C12:E12)</f>
        <v>5214</v>
      </c>
      <c r="G12" s="2">
        <v>4926</v>
      </c>
      <c r="H12" s="2">
        <v>4899</v>
      </c>
      <c r="I12" s="2">
        <v>5204</v>
      </c>
      <c r="J12" s="2">
        <f>20716-SUM(G12:I12)</f>
        <v>5687</v>
      </c>
      <c r="K12" s="2">
        <v>5599</v>
      </c>
      <c r="L12" s="2">
        <v>5758</v>
      </c>
      <c r="M12" s="2">
        <v>6306</v>
      </c>
      <c r="N12" s="2">
        <f>24512-SUM(K12:M12)</f>
        <v>6849</v>
      </c>
      <c r="O12" s="2">
        <v>6628</v>
      </c>
      <c r="P12" s="2">
        <v>6844</v>
      </c>
      <c r="Q12" s="2">
        <v>6984</v>
      </c>
      <c r="R12" s="2">
        <f>27195-SUM(O12:Q12)</f>
        <v>6739</v>
      </c>
      <c r="S12" s="2">
        <v>6659</v>
      </c>
      <c r="T12" s="2">
        <v>7142</v>
      </c>
      <c r="U12" s="2">
        <v>7653</v>
      </c>
      <c r="V12" s="2">
        <f>29510-SUM(S12:U12)</f>
        <v>8056</v>
      </c>
      <c r="W12" s="2">
        <v>7544</v>
      </c>
      <c r="X12" s="2">
        <v>7917</v>
      </c>
      <c r="Y12" s="2">
        <v>8198</v>
      </c>
      <c r="Z12" s="2">
        <f>32488-SUM(W12:Y12)</f>
        <v>8829</v>
      </c>
      <c r="AA12" s="2">
        <v>8800</v>
      </c>
      <c r="AB12" s="2">
        <f>AA12*1.05</f>
        <v>9240</v>
      </c>
      <c r="AC12" s="2">
        <f t="shared" ref="AC12:AD12" si="14">AB12*1.05</f>
        <v>9702</v>
      </c>
      <c r="AD12" s="2">
        <f t="shared" si="14"/>
        <v>10187.1</v>
      </c>
      <c r="AE12" s="2"/>
      <c r="AF12" s="2"/>
      <c r="AK12" s="1">
        <f t="shared" si="4"/>
        <v>19269</v>
      </c>
      <c r="AL12" s="1">
        <f>SUM(G12:J12)</f>
        <v>20716</v>
      </c>
      <c r="AM12" s="1">
        <f>SUM(K12:N12)</f>
        <v>24512</v>
      </c>
      <c r="AN12" s="1">
        <f>SUM(O12:R12)</f>
        <v>27195</v>
      </c>
      <c r="AO12" s="1">
        <f>SUM(S12:V12)</f>
        <v>29510</v>
      </c>
      <c r="AP12" s="1">
        <f>SUM(W12:Z12)</f>
        <v>32488</v>
      </c>
      <c r="AQ12" s="1">
        <f>SUM(AA12:AD12)</f>
        <v>37929.1</v>
      </c>
      <c r="AR12" s="1">
        <f>AQ12*1.02</f>
        <v>38687.682000000001</v>
      </c>
      <c r="AS12" s="1">
        <f>AR12*1.02</f>
        <v>39461.435640000003</v>
      </c>
      <c r="AT12" s="1">
        <f>AS12*1.02</f>
        <v>40250.664352800006</v>
      </c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</row>
    <row r="13" spans="2:95" x14ac:dyDescent="0.25">
      <c r="B13" s="3" t="s">
        <v>39</v>
      </c>
      <c r="C13" s="2">
        <v>4337</v>
      </c>
      <c r="D13" s="2">
        <v>4933</v>
      </c>
      <c r="E13" s="2">
        <v>4911</v>
      </c>
      <c r="F13" s="2">
        <f>19598-SUM(C13:E13)</f>
        <v>5417</v>
      </c>
      <c r="G13" s="2">
        <v>4231</v>
      </c>
      <c r="H13" s="2">
        <v>4947</v>
      </c>
      <c r="I13" s="2">
        <v>5082</v>
      </c>
      <c r="J13" s="2">
        <f>20117-SUM(G13:I13)</f>
        <v>5857</v>
      </c>
      <c r="K13" s="2">
        <v>4547</v>
      </c>
      <c r="L13" s="2">
        <v>5379</v>
      </c>
      <c r="M13" s="2">
        <v>5595</v>
      </c>
      <c r="N13" s="2">
        <f>21825-SUM(K13:M13)</f>
        <v>6304</v>
      </c>
      <c r="O13" s="2">
        <v>5126</v>
      </c>
      <c r="P13" s="2">
        <v>5679</v>
      </c>
      <c r="Q13" s="2">
        <v>5750</v>
      </c>
      <c r="R13" s="2">
        <f>22759-SUM(O13:Q13)</f>
        <v>6204</v>
      </c>
      <c r="S13" s="2">
        <v>5187</v>
      </c>
      <c r="T13" s="2">
        <v>6246</v>
      </c>
      <c r="U13" s="2">
        <v>6207</v>
      </c>
      <c r="V13" s="2">
        <f>24456-SUM(S13:U13)</f>
        <v>6816</v>
      </c>
      <c r="W13" s="2">
        <v>5717</v>
      </c>
      <c r="X13" s="2">
        <v>6440</v>
      </c>
      <c r="Y13" s="2">
        <v>6212</v>
      </c>
      <c r="Z13" s="2">
        <f>25654-SUM(W13:Y13)</f>
        <v>7285</v>
      </c>
      <c r="AA13" s="2">
        <f>25654-SUM(X13:Z13)</f>
        <v>5717</v>
      </c>
      <c r="AB13" s="2">
        <f t="shared" ref="AB13:AD13" si="15">AA13*1.05</f>
        <v>6002.85</v>
      </c>
      <c r="AC13" s="2">
        <f t="shared" si="15"/>
        <v>6302.9925000000003</v>
      </c>
      <c r="AD13" s="2">
        <f t="shared" si="15"/>
        <v>6618.1421250000003</v>
      </c>
      <c r="AE13" s="2"/>
      <c r="AF13" s="2"/>
      <c r="AK13" s="1">
        <f t="shared" si="4"/>
        <v>19598</v>
      </c>
      <c r="AL13" s="1">
        <f>SUM(G13:J13)</f>
        <v>20117</v>
      </c>
      <c r="AM13" s="1">
        <f>SUM(K13:N13)</f>
        <v>21825</v>
      </c>
      <c r="AN13" s="1">
        <f>SUM(O13:R13)</f>
        <v>22759</v>
      </c>
      <c r="AO13" s="1">
        <f>SUM(S13:V13)</f>
        <v>24456</v>
      </c>
      <c r="AP13" s="1">
        <f>SUM(W13:Z13)</f>
        <v>25654</v>
      </c>
      <c r="AQ13" s="1">
        <f>SUM(AA13:AD13)</f>
        <v>24640.984624999997</v>
      </c>
      <c r="AR13" s="1">
        <f t="shared" ref="AR13:AS14" si="16">AQ13*1.02</f>
        <v>25133.804317499998</v>
      </c>
      <c r="AS13" s="1">
        <f t="shared" si="16"/>
        <v>25636.480403850001</v>
      </c>
      <c r="AT13" s="1">
        <f t="shared" ref="AT13" si="17">AS13*1.02</f>
        <v>26149.210011927</v>
      </c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</row>
    <row r="14" spans="2:95" x14ac:dyDescent="0.25">
      <c r="B14" s="3" t="s">
        <v>40</v>
      </c>
      <c r="C14" s="2">
        <v>1061</v>
      </c>
      <c r="D14" s="2">
        <v>1121</v>
      </c>
      <c r="E14" s="2">
        <v>1273</v>
      </c>
      <c r="F14" s="2">
        <f>5111-SUM(C14:E14)</f>
        <v>1656</v>
      </c>
      <c r="G14" s="2">
        <v>1119</v>
      </c>
      <c r="H14" s="2">
        <v>1139</v>
      </c>
      <c r="I14" s="2">
        <v>1327</v>
      </c>
      <c r="J14" s="2">
        <f>5107-SUM(G14:I14)</f>
        <v>1522</v>
      </c>
      <c r="K14" s="2">
        <v>1287</v>
      </c>
      <c r="L14" s="2">
        <v>1384</v>
      </c>
      <c r="M14" s="2">
        <v>1480</v>
      </c>
      <c r="N14" s="2">
        <f>5900-SUM(K14:M14)</f>
        <v>1749</v>
      </c>
      <c r="O14" s="2">
        <v>1398</v>
      </c>
      <c r="P14" s="2">
        <v>2337</v>
      </c>
      <c r="Q14" s="2">
        <v>1643</v>
      </c>
      <c r="R14" s="2">
        <f>7575-SUM(O14:Q14)</f>
        <v>2197</v>
      </c>
      <c r="S14" s="2">
        <v>1474</v>
      </c>
      <c r="T14" s="2">
        <v>1977</v>
      </c>
      <c r="U14" s="2">
        <v>1912</v>
      </c>
      <c r="V14" s="2">
        <f>7609-SUM(S14:U14)</f>
        <v>2246</v>
      </c>
      <c r="W14" s="2">
        <v>1673</v>
      </c>
      <c r="X14" s="2">
        <v>1823</v>
      </c>
      <c r="Y14" s="2">
        <v>1737</v>
      </c>
      <c r="Z14" s="2">
        <f>7223-SUM(W14:Y14)</f>
        <v>1990</v>
      </c>
      <c r="AA14" s="2">
        <f>7223-SUM(X14:Z14)</f>
        <v>1673</v>
      </c>
      <c r="AB14" s="2">
        <f t="shared" ref="AB14:AD14" si="18">AA14*1.05</f>
        <v>1756.65</v>
      </c>
      <c r="AC14" s="2">
        <f t="shared" si="18"/>
        <v>1844.4825000000001</v>
      </c>
      <c r="AD14" s="2">
        <f t="shared" si="18"/>
        <v>1936.7066250000003</v>
      </c>
      <c r="AE14" s="2"/>
      <c r="AF14" s="2"/>
      <c r="AK14" s="1">
        <f t="shared" si="4"/>
        <v>5111</v>
      </c>
      <c r="AL14" s="1">
        <f>SUM(G14:J14)</f>
        <v>5107</v>
      </c>
      <c r="AM14" s="1">
        <f>SUM(K14:N14)</f>
        <v>5900</v>
      </c>
      <c r="AN14" s="1">
        <f>SUM(O14:R14)</f>
        <v>7575</v>
      </c>
      <c r="AO14" s="1">
        <f>SUM(S14:V14)</f>
        <v>7609</v>
      </c>
      <c r="AP14" s="1">
        <f>SUM(W14:Z14)</f>
        <v>7223</v>
      </c>
      <c r="AQ14" s="1">
        <f>SUM(AA14:AD14)</f>
        <v>7210.8391250000004</v>
      </c>
      <c r="AR14" s="1">
        <f t="shared" si="16"/>
        <v>7355.055907500001</v>
      </c>
      <c r="AS14" s="1">
        <f t="shared" si="16"/>
        <v>7502.1570256500008</v>
      </c>
      <c r="AT14" s="1">
        <f t="shared" ref="AT14" si="19">AS14*1.02</f>
        <v>7652.2001661630011</v>
      </c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</row>
    <row r="15" spans="2:95" x14ac:dyDescent="0.25">
      <c r="B15" s="3" t="s">
        <v>41</v>
      </c>
      <c r="C15" s="2">
        <f t="shared" ref="C15:AD15" si="20">SUM(C12:C14)</f>
        <v>9963</v>
      </c>
      <c r="D15" s="2">
        <f t="shared" si="20"/>
        <v>10657</v>
      </c>
      <c r="E15" s="2">
        <f t="shared" si="20"/>
        <v>11071</v>
      </c>
      <c r="F15" s="2">
        <f t="shared" si="20"/>
        <v>12287</v>
      </c>
      <c r="G15" s="2">
        <f t="shared" si="20"/>
        <v>10276</v>
      </c>
      <c r="H15" s="2">
        <f t="shared" si="20"/>
        <v>10985</v>
      </c>
      <c r="I15" s="2">
        <f t="shared" si="20"/>
        <v>11613</v>
      </c>
      <c r="J15" s="2">
        <f t="shared" si="20"/>
        <v>13066</v>
      </c>
      <c r="K15" s="2">
        <f t="shared" si="20"/>
        <v>11433</v>
      </c>
      <c r="L15" s="2">
        <f t="shared" si="20"/>
        <v>12521</v>
      </c>
      <c r="M15" s="2">
        <f t="shared" si="20"/>
        <v>13381</v>
      </c>
      <c r="N15" s="2">
        <f t="shared" si="20"/>
        <v>14902</v>
      </c>
      <c r="O15" s="2">
        <f t="shared" si="20"/>
        <v>13152</v>
      </c>
      <c r="P15" s="2">
        <f t="shared" si="20"/>
        <v>14860</v>
      </c>
      <c r="Q15" s="2">
        <f t="shared" si="20"/>
        <v>14377</v>
      </c>
      <c r="R15" s="2">
        <f t="shared" si="20"/>
        <v>15140</v>
      </c>
      <c r="S15" s="2">
        <f t="shared" si="20"/>
        <v>13320</v>
      </c>
      <c r="T15" s="2">
        <f t="shared" si="20"/>
        <v>15365</v>
      </c>
      <c r="U15" s="2">
        <f t="shared" si="20"/>
        <v>15772</v>
      </c>
      <c r="V15" s="2">
        <f t="shared" si="20"/>
        <v>17118</v>
      </c>
      <c r="W15" s="2">
        <f t="shared" si="20"/>
        <v>14934</v>
      </c>
      <c r="X15" s="2">
        <f t="shared" si="20"/>
        <v>16180</v>
      </c>
      <c r="Y15" s="2">
        <f t="shared" si="20"/>
        <v>16147</v>
      </c>
      <c r="Z15" s="2">
        <f t="shared" si="20"/>
        <v>18104</v>
      </c>
      <c r="AA15" s="2">
        <f t="shared" si="20"/>
        <v>16190</v>
      </c>
      <c r="AB15" s="2">
        <f t="shared" si="20"/>
        <v>16999.5</v>
      </c>
      <c r="AC15" s="2">
        <f t="shared" si="20"/>
        <v>17849.474999999999</v>
      </c>
      <c r="AD15" s="2">
        <f t="shared" si="20"/>
        <v>18741.94875</v>
      </c>
      <c r="AE15" s="2"/>
      <c r="AF15" s="2"/>
      <c r="AK15" s="1">
        <f t="shared" si="4"/>
        <v>43978</v>
      </c>
      <c r="AL15" s="1">
        <f>SUM(G15:J15)</f>
        <v>45940</v>
      </c>
      <c r="AM15" s="1">
        <f>SUM(K15:N15)</f>
        <v>52237</v>
      </c>
      <c r="AN15" s="1">
        <f>SUM(O15:R15)</f>
        <v>57529</v>
      </c>
      <c r="AO15" s="1">
        <f>SUM(S15:V15)</f>
        <v>61575</v>
      </c>
      <c r="AP15" s="2">
        <f>SUM(AP12:AP14)</f>
        <v>65365</v>
      </c>
      <c r="AQ15" s="1">
        <f>SUM(AA15:AD15)</f>
        <v>69780.923750000002</v>
      </c>
      <c r="AR15" s="1">
        <f>SUM(AR12:AR14)</f>
        <v>71176.542224999997</v>
      </c>
      <c r="AS15" s="1">
        <f>SUM(AS12:AS14)</f>
        <v>72600.073069500009</v>
      </c>
      <c r="AT15" s="1">
        <f>SUM(AT12:AT14)</f>
        <v>74052.074530890008</v>
      </c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</row>
    <row r="16" spans="2:95" x14ac:dyDescent="0.25">
      <c r="B16" s="3" t="s">
        <v>42</v>
      </c>
      <c r="C16" s="2">
        <f t="shared" ref="C16:AD16" si="21">C11-C15</f>
        <v>12686</v>
      </c>
      <c r="D16" s="2">
        <f t="shared" si="21"/>
        <v>13891</v>
      </c>
      <c r="E16" s="2">
        <f t="shared" si="21"/>
        <v>12975</v>
      </c>
      <c r="F16" s="2">
        <f t="shared" si="21"/>
        <v>13407</v>
      </c>
      <c r="G16" s="2">
        <f t="shared" si="21"/>
        <v>15876</v>
      </c>
      <c r="H16" s="2">
        <f t="shared" si="21"/>
        <v>17897</v>
      </c>
      <c r="I16" s="2">
        <f t="shared" si="21"/>
        <v>17048</v>
      </c>
      <c r="J16" s="2">
        <f t="shared" si="21"/>
        <v>19095</v>
      </c>
      <c r="K16" s="2">
        <f t="shared" si="21"/>
        <v>20238</v>
      </c>
      <c r="L16" s="5">
        <f t="shared" si="21"/>
        <v>22247</v>
      </c>
      <c r="M16" s="2">
        <f t="shared" si="21"/>
        <v>20364</v>
      </c>
      <c r="N16" s="2">
        <f t="shared" si="21"/>
        <v>20534</v>
      </c>
      <c r="O16" s="2">
        <f t="shared" si="21"/>
        <v>21518</v>
      </c>
      <c r="P16" s="2">
        <f t="shared" si="21"/>
        <v>20399</v>
      </c>
      <c r="Q16" s="2">
        <f t="shared" si="21"/>
        <v>22352</v>
      </c>
      <c r="R16" s="2">
        <f t="shared" si="21"/>
        <v>24254</v>
      </c>
      <c r="S16" s="2">
        <f t="shared" si="21"/>
        <v>26895</v>
      </c>
      <c r="T16" s="2">
        <f t="shared" si="21"/>
        <v>27032</v>
      </c>
      <c r="U16" s="2">
        <f t="shared" si="21"/>
        <v>27581</v>
      </c>
      <c r="V16" s="2">
        <f t="shared" si="21"/>
        <v>27925</v>
      </c>
      <c r="W16" s="2">
        <f t="shared" si="21"/>
        <v>30552</v>
      </c>
      <c r="X16" s="2">
        <f t="shared" si="21"/>
        <v>31653</v>
      </c>
      <c r="Y16" s="2">
        <f t="shared" si="21"/>
        <v>32000</v>
      </c>
      <c r="Z16" s="2">
        <f t="shared" si="21"/>
        <v>34323</v>
      </c>
      <c r="AA16" s="2">
        <f t="shared" si="21"/>
        <v>38893.33</v>
      </c>
      <c r="AB16" s="2">
        <f t="shared" si="21"/>
        <v>40880.530500000001</v>
      </c>
      <c r="AC16" s="2">
        <f t="shared" si="21"/>
        <v>42974.864649000017</v>
      </c>
      <c r="AD16" s="2">
        <f t="shared" si="21"/>
        <v>45181.91383137001</v>
      </c>
      <c r="AE16" s="2"/>
      <c r="AF16" s="2"/>
      <c r="AK16" s="2">
        <f t="shared" ref="AK16:AO16" si="22">AK11-AK15</f>
        <v>52959</v>
      </c>
      <c r="AL16" s="2">
        <f t="shared" si="22"/>
        <v>69916</v>
      </c>
      <c r="AM16" s="2">
        <f t="shared" si="22"/>
        <v>83383</v>
      </c>
      <c r="AN16" s="2">
        <f t="shared" si="22"/>
        <v>88523</v>
      </c>
      <c r="AO16" s="2">
        <f t="shared" si="22"/>
        <v>109433</v>
      </c>
      <c r="AP16" s="2">
        <f>AP11-AP15</f>
        <v>128528</v>
      </c>
      <c r="AQ16" s="2">
        <f>AQ11-AQ15</f>
        <v>167930.63898037007</v>
      </c>
      <c r="AR16" s="2">
        <f>AR11-AR15</f>
        <v>195471.08271529834</v>
      </c>
      <c r="AS16" s="2">
        <f>AS11-AS15</f>
        <v>227156.15234463298</v>
      </c>
      <c r="AT16" s="2">
        <f>AT11-AT15</f>
        <v>263618.58933272306</v>
      </c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</row>
    <row r="17" spans="2:145" x14ac:dyDescent="0.25">
      <c r="B17" s="3" t="s">
        <v>43</v>
      </c>
      <c r="C17" s="2">
        <v>0</v>
      </c>
      <c r="D17" s="2">
        <f>-194</f>
        <v>-194</v>
      </c>
      <c r="E17" s="2">
        <f>(132)</f>
        <v>132</v>
      </c>
      <c r="F17" s="2">
        <f>-77-SUM(C17:E17)</f>
        <v>-15</v>
      </c>
      <c r="G17" s="2">
        <f>-248</f>
        <v>-248</v>
      </c>
      <c r="H17" s="2">
        <f>-440</f>
        <v>-440</v>
      </c>
      <c r="I17" s="2">
        <f>-188</f>
        <v>-188</v>
      </c>
      <c r="J17" s="2">
        <f>-1186-SUM(G17:I17)</f>
        <v>-310</v>
      </c>
      <c r="K17" s="2">
        <f>-286</f>
        <v>-286</v>
      </c>
      <c r="L17" s="2">
        <f>-268</f>
        <v>-268</v>
      </c>
      <c r="M17" s="2">
        <f>(174)</f>
        <v>174</v>
      </c>
      <c r="N17" s="2">
        <f>-333-SUM(K17:M17)</f>
        <v>47</v>
      </c>
      <c r="O17" s="2">
        <f>-54</f>
        <v>-54</v>
      </c>
      <c r="P17" s="2">
        <f>(60)</f>
        <v>60</v>
      </c>
      <c r="Q17" s="2">
        <f>-321</f>
        <v>-321</v>
      </c>
      <c r="R17" s="2">
        <f>-788-SUM(O17:Q17)</f>
        <v>-473</v>
      </c>
      <c r="S17" s="2">
        <f>-389</f>
        <v>-389</v>
      </c>
      <c r="T17" s="2">
        <f>(506)</f>
        <v>506</v>
      </c>
      <c r="U17" s="2">
        <f>(854)</f>
        <v>854</v>
      </c>
      <c r="V17" s="2">
        <f>(1646)-SUM(S17:U17)</f>
        <v>675</v>
      </c>
      <c r="W17" s="2">
        <f>(283)</f>
        <v>283</v>
      </c>
      <c r="X17" s="2">
        <f>(2288)</f>
        <v>2288</v>
      </c>
      <c r="Y17" s="2">
        <f>(623)</f>
        <v>623</v>
      </c>
      <c r="Z17" s="2">
        <f>(4901)-SUM(W17:Y17)</f>
        <v>1707</v>
      </c>
      <c r="AA17" s="2">
        <v>1000</v>
      </c>
      <c r="AB17" s="2">
        <f>AA17*1.1</f>
        <v>1100</v>
      </c>
      <c r="AC17" s="2">
        <f t="shared" ref="AC17:AD17" si="23">AB17*1.1</f>
        <v>1210</v>
      </c>
      <c r="AD17" s="2">
        <f t="shared" si="23"/>
        <v>1331</v>
      </c>
      <c r="AE17" s="2"/>
      <c r="AF17" s="2"/>
      <c r="AK17" s="1">
        <f t="shared" si="4"/>
        <v>-77</v>
      </c>
      <c r="AL17" s="1">
        <f>SUM(G17:J17)</f>
        <v>-1186</v>
      </c>
      <c r="AM17" s="1">
        <f>SUM(K17:N17)</f>
        <v>-333</v>
      </c>
      <c r="AN17" s="1">
        <f>SUM(O17:R17)</f>
        <v>-788</v>
      </c>
      <c r="AO17" s="1">
        <f>SUM(S17:V17)</f>
        <v>1646</v>
      </c>
      <c r="AP17" s="1">
        <f>SUM(W17:Z17)</f>
        <v>4901</v>
      </c>
      <c r="AQ17" s="1">
        <f>SUM(AA17:AD17)</f>
        <v>4641</v>
      </c>
      <c r="AR17" s="1">
        <f>AQ17*1.01</f>
        <v>4687.41</v>
      </c>
      <c r="AS17" s="1">
        <f>AR17*1.01</f>
        <v>4734.2840999999999</v>
      </c>
      <c r="AT17" s="1">
        <f>AS17*1.01</f>
        <v>4781.6269409999995</v>
      </c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</row>
    <row r="18" spans="2:145" x14ac:dyDescent="0.25">
      <c r="B18" s="3" t="s">
        <v>44</v>
      </c>
      <c r="C18" s="2">
        <f t="shared" ref="C18:AD18" si="24">C16-C17</f>
        <v>12686</v>
      </c>
      <c r="D18" s="2">
        <f t="shared" si="24"/>
        <v>14085</v>
      </c>
      <c r="E18" s="2">
        <f t="shared" si="24"/>
        <v>12843</v>
      </c>
      <c r="F18" s="2">
        <f t="shared" si="24"/>
        <v>13422</v>
      </c>
      <c r="G18" s="2">
        <f t="shared" si="24"/>
        <v>16124</v>
      </c>
      <c r="H18" s="2">
        <f t="shared" si="24"/>
        <v>18337</v>
      </c>
      <c r="I18" s="2">
        <f t="shared" si="24"/>
        <v>17236</v>
      </c>
      <c r="J18" s="2">
        <f t="shared" si="24"/>
        <v>19405</v>
      </c>
      <c r="K18" s="2">
        <f t="shared" si="24"/>
        <v>20524</v>
      </c>
      <c r="L18" s="2">
        <f t="shared" si="24"/>
        <v>22515</v>
      </c>
      <c r="M18" s="2">
        <f t="shared" si="24"/>
        <v>20190</v>
      </c>
      <c r="N18" s="2">
        <f t="shared" si="24"/>
        <v>20487</v>
      </c>
      <c r="O18" s="2">
        <f t="shared" si="24"/>
        <v>21572</v>
      </c>
      <c r="P18" s="2">
        <f t="shared" si="24"/>
        <v>20339</v>
      </c>
      <c r="Q18" s="2">
        <f t="shared" si="24"/>
        <v>22673</v>
      </c>
      <c r="R18" s="2">
        <f t="shared" si="24"/>
        <v>24727</v>
      </c>
      <c r="S18" s="2">
        <f t="shared" si="24"/>
        <v>27284</v>
      </c>
      <c r="T18" s="2">
        <f t="shared" si="24"/>
        <v>26526</v>
      </c>
      <c r="U18" s="2">
        <f t="shared" si="24"/>
        <v>26727</v>
      </c>
      <c r="V18" s="2">
        <f t="shared" si="24"/>
        <v>27250</v>
      </c>
      <c r="W18" s="2">
        <f t="shared" si="24"/>
        <v>30269</v>
      </c>
      <c r="X18" s="2">
        <f t="shared" si="24"/>
        <v>29365</v>
      </c>
      <c r="Y18" s="2">
        <f t="shared" si="24"/>
        <v>31377</v>
      </c>
      <c r="Z18" s="2">
        <f t="shared" si="24"/>
        <v>32616</v>
      </c>
      <c r="AA18" s="2">
        <f t="shared" si="24"/>
        <v>37893.33</v>
      </c>
      <c r="AB18" s="2">
        <f t="shared" si="24"/>
        <v>39780.530500000001</v>
      </c>
      <c r="AC18" s="2">
        <f t="shared" si="24"/>
        <v>41764.864649000017</v>
      </c>
      <c r="AD18" s="2">
        <f t="shared" si="24"/>
        <v>43850.91383137001</v>
      </c>
      <c r="AE18" s="2"/>
      <c r="AF18" s="2"/>
      <c r="AK18" s="2">
        <f t="shared" ref="AK18:AP18" si="25">AK16-AK17</f>
        <v>53036</v>
      </c>
      <c r="AL18" s="2">
        <f t="shared" si="25"/>
        <v>71102</v>
      </c>
      <c r="AM18" s="2">
        <f t="shared" si="25"/>
        <v>83716</v>
      </c>
      <c r="AN18" s="2">
        <f t="shared" si="25"/>
        <v>89311</v>
      </c>
      <c r="AO18" s="2">
        <f t="shared" si="25"/>
        <v>107787</v>
      </c>
      <c r="AP18" s="2">
        <f t="shared" si="25"/>
        <v>123627</v>
      </c>
      <c r="AQ18" s="2">
        <f t="shared" ref="AQ18:AR18" si="26">AQ16-AQ17</f>
        <v>163289.63898037007</v>
      </c>
      <c r="AR18" s="2">
        <f t="shared" si="26"/>
        <v>190783.67271529834</v>
      </c>
      <c r="AS18" s="2">
        <f t="shared" ref="AS18:AT18" si="27">AS16-AS17</f>
        <v>222421.86824463299</v>
      </c>
      <c r="AT18" s="2">
        <f t="shared" si="27"/>
        <v>258836.96239172306</v>
      </c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</row>
    <row r="19" spans="2:145" x14ac:dyDescent="0.25">
      <c r="B19" s="3" t="s">
        <v>45</v>
      </c>
      <c r="C19" s="2">
        <v>2008</v>
      </c>
      <c r="D19" s="2">
        <v>2436</v>
      </c>
      <c r="E19" s="2">
        <v>2091</v>
      </c>
      <c r="F19" s="2">
        <f>8755-SUM(C19:E19)</f>
        <v>2220</v>
      </c>
      <c r="G19" s="2">
        <v>2231</v>
      </c>
      <c r="H19" s="2">
        <v>2874</v>
      </c>
      <c r="I19" s="2">
        <v>1779</v>
      </c>
      <c r="J19" s="2">
        <f>9831-SUM(G19:I19)</f>
        <v>2947</v>
      </c>
      <c r="K19" s="2">
        <v>19</v>
      </c>
      <c r="L19" s="2">
        <v>3750</v>
      </c>
      <c r="M19" s="2">
        <v>3462</v>
      </c>
      <c r="N19" s="2">
        <f>10978-SUM(K19:M19)</f>
        <v>3747</v>
      </c>
      <c r="O19" s="2">
        <v>4016</v>
      </c>
      <c r="P19" s="2">
        <v>3914</v>
      </c>
      <c r="Q19" s="2">
        <v>4374</v>
      </c>
      <c r="R19" s="2">
        <f>16950-SUM(O19:Q19)</f>
        <v>4646</v>
      </c>
      <c r="S19" s="2">
        <v>4993</v>
      </c>
      <c r="T19" s="2">
        <v>4656</v>
      </c>
      <c r="U19" s="2">
        <v>4788</v>
      </c>
      <c r="V19" s="2">
        <f>19651-SUM(S19:U19)</f>
        <v>5214</v>
      </c>
      <c r="W19" s="2">
        <v>5602</v>
      </c>
      <c r="X19" s="2">
        <v>5257</v>
      </c>
      <c r="Y19" s="2">
        <v>5553</v>
      </c>
      <c r="Z19" s="2">
        <f>21795-SUM(W19:Y19)</f>
        <v>5383</v>
      </c>
      <c r="AA19" s="2">
        <v>5300</v>
      </c>
      <c r="AB19" s="2">
        <f>AA19*1.07</f>
        <v>5671</v>
      </c>
      <c r="AC19" s="2">
        <f t="shared" ref="AC19:AD19" si="28">AB19*1.07</f>
        <v>6067.97</v>
      </c>
      <c r="AD19" s="2">
        <f t="shared" si="28"/>
        <v>6492.7279000000008</v>
      </c>
      <c r="AE19" s="2"/>
      <c r="AF19" s="2"/>
      <c r="AK19" s="1">
        <f t="shared" si="4"/>
        <v>8755</v>
      </c>
      <c r="AL19" s="1">
        <f>SUM(G19:J19)</f>
        <v>9831</v>
      </c>
      <c r="AM19" s="1">
        <f>SUM(K19:N19)</f>
        <v>10978</v>
      </c>
      <c r="AN19" s="1">
        <f>SUM(O19:R19)</f>
        <v>16950</v>
      </c>
      <c r="AO19" s="1">
        <f>SUM(S19:V19)</f>
        <v>19651</v>
      </c>
      <c r="AP19" s="1">
        <f>SUM(W19:Z19)</f>
        <v>21795</v>
      </c>
      <c r="AQ19" s="1">
        <f>SUM(AA19:AD19)</f>
        <v>23531.697900000003</v>
      </c>
      <c r="AR19" s="1">
        <f>AQ19*1.06</f>
        <v>24943.599774000006</v>
      </c>
      <c r="AS19" s="1">
        <f t="shared" ref="AS19:AT19" si="29">AR19*1.06</f>
        <v>26440.215760440009</v>
      </c>
      <c r="AT19" s="1">
        <f t="shared" si="29"/>
        <v>28026.628706066411</v>
      </c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</row>
    <row r="20" spans="2:145" x14ac:dyDescent="0.25">
      <c r="B20" s="3" t="s">
        <v>46</v>
      </c>
      <c r="C20" s="2">
        <f t="shared" ref="C20:AD20" si="30">C18-C19</f>
        <v>10678</v>
      </c>
      <c r="D20" s="2">
        <f t="shared" si="30"/>
        <v>11649</v>
      </c>
      <c r="E20" s="2">
        <f t="shared" si="30"/>
        <v>10752</v>
      </c>
      <c r="F20" s="2">
        <f t="shared" si="30"/>
        <v>11202</v>
      </c>
      <c r="G20" s="2">
        <f t="shared" si="30"/>
        <v>13893</v>
      </c>
      <c r="H20" s="2">
        <f t="shared" si="30"/>
        <v>15463</v>
      </c>
      <c r="I20" s="2">
        <f t="shared" si="30"/>
        <v>15457</v>
      </c>
      <c r="J20" s="2">
        <f t="shared" si="30"/>
        <v>16458</v>
      </c>
      <c r="K20" s="2">
        <f t="shared" si="30"/>
        <v>20505</v>
      </c>
      <c r="L20" s="2">
        <f t="shared" si="30"/>
        <v>18765</v>
      </c>
      <c r="M20" s="2">
        <f t="shared" si="30"/>
        <v>16728</v>
      </c>
      <c r="N20" s="2">
        <f t="shared" si="30"/>
        <v>16740</v>
      </c>
      <c r="O20" s="2">
        <f t="shared" si="30"/>
        <v>17556</v>
      </c>
      <c r="P20" s="2">
        <f t="shared" si="30"/>
        <v>16425</v>
      </c>
      <c r="Q20" s="2">
        <f t="shared" si="30"/>
        <v>18299</v>
      </c>
      <c r="R20" s="2">
        <f t="shared" si="30"/>
        <v>20081</v>
      </c>
      <c r="S20" s="2">
        <f t="shared" si="30"/>
        <v>22291</v>
      </c>
      <c r="T20" s="2">
        <f t="shared" si="30"/>
        <v>21870</v>
      </c>
      <c r="U20" s="2">
        <f t="shared" si="30"/>
        <v>21939</v>
      </c>
      <c r="V20" s="2">
        <f t="shared" si="30"/>
        <v>22036</v>
      </c>
      <c r="W20" s="2">
        <f t="shared" si="30"/>
        <v>24667</v>
      </c>
      <c r="X20" s="2">
        <f t="shared" si="30"/>
        <v>24108</v>
      </c>
      <c r="Y20" s="2">
        <f t="shared" si="30"/>
        <v>25824</v>
      </c>
      <c r="Z20" s="2">
        <f t="shared" si="30"/>
        <v>27233</v>
      </c>
      <c r="AA20" s="2">
        <f t="shared" si="30"/>
        <v>32593.33</v>
      </c>
      <c r="AB20" s="2">
        <f t="shared" si="30"/>
        <v>34109.530500000001</v>
      </c>
      <c r="AC20" s="2">
        <f t="shared" si="30"/>
        <v>35696.894649000016</v>
      </c>
      <c r="AD20" s="2">
        <f t="shared" si="30"/>
        <v>37358.185931370012</v>
      </c>
      <c r="AE20" s="2"/>
      <c r="AF20" s="2"/>
      <c r="AK20" s="1">
        <f t="shared" si="4"/>
        <v>44281</v>
      </c>
      <c r="AL20" s="1">
        <f>SUM(G20:J20)</f>
        <v>61271</v>
      </c>
      <c r="AM20" s="1">
        <f>SUM(K20:N20)</f>
        <v>72738</v>
      </c>
      <c r="AN20" s="1">
        <f>SUM(O20:R20)</f>
        <v>72361</v>
      </c>
      <c r="AO20" s="1">
        <f>SUM(S20:V20)</f>
        <v>88136</v>
      </c>
      <c r="AP20" s="1">
        <f>SUM(W20:Z20)</f>
        <v>101832</v>
      </c>
      <c r="AQ20" s="1">
        <f>AQ18-AQ19</f>
        <v>139757.94108037007</v>
      </c>
      <c r="AR20" s="1">
        <f>AR18-AR19</f>
        <v>165840.07294129833</v>
      </c>
      <c r="AS20" s="1">
        <f>AS18-AS19</f>
        <v>195981.65248419298</v>
      </c>
      <c r="AT20" s="1">
        <f>AT18-AT19</f>
        <v>230810.33368565666</v>
      </c>
      <c r="AU20" s="1">
        <f>+AT20*(1+$AV$36)</f>
        <v>235426.5403593698</v>
      </c>
      <c r="AV20" s="1">
        <f>+AU20*(1+$AV$36)</f>
        <v>240135.0711665572</v>
      </c>
      <c r="AW20" s="1">
        <f>+AV20*(1+$AV$36)</f>
        <v>244937.77258988834</v>
      </c>
      <c r="AX20" s="1">
        <f>+AW20*(1+$AV$36)</f>
        <v>249836.52804168611</v>
      </c>
      <c r="AY20" s="1">
        <f>+AX20*(1+$AV$36)</f>
        <v>254833.25860251984</v>
      </c>
      <c r="AZ20" s="1">
        <f>+AY20*(1+$AV$36)</f>
        <v>259929.92377457023</v>
      </c>
      <c r="BA20" s="1">
        <f>+AZ20*(1+$AV$36)</f>
        <v>265128.52225006162</v>
      </c>
      <c r="BB20" s="1">
        <f>+BA20*(1+$AV$36)</f>
        <v>270431.09269506286</v>
      </c>
      <c r="BC20" s="1">
        <f>+BB20*(1+$AV$36)</f>
        <v>275839.71454896411</v>
      </c>
      <c r="BD20" s="1">
        <f>+BC20*(1+$AV$36)</f>
        <v>281356.50883994339</v>
      </c>
      <c r="BE20" s="1">
        <f>+BD20*(1+$AV$36)</f>
        <v>286983.63901674224</v>
      </c>
      <c r="BF20" s="1">
        <f>+BE20*(1+$AV$36)</f>
        <v>292723.31179707707</v>
      </c>
      <c r="BG20" s="1">
        <f>+BF20*(1+$AV$36)</f>
        <v>298577.77803301864</v>
      </c>
      <c r="BH20" s="1">
        <f>+BG20*(1+$AV$36)</f>
        <v>304549.33359367901</v>
      </c>
      <c r="BI20" s="1">
        <f>+BH20*(1+$AV$36)</f>
        <v>310640.32026555261</v>
      </c>
      <c r="BJ20" s="1">
        <f>+BI20*(1+$AV$36)</f>
        <v>316853.12667086365</v>
      </c>
      <c r="BK20" s="1">
        <f>+BJ20*(1+$AV$36)</f>
        <v>323190.1892042809</v>
      </c>
      <c r="BL20" s="1">
        <f>+BK20*(1+$AV$36)</f>
        <v>329653.99298836652</v>
      </c>
      <c r="BM20" s="1">
        <f>+BL20*(1+$AV$36)</f>
        <v>336247.07284813386</v>
      </c>
      <c r="BN20" s="1">
        <f>+BM20*(1+$AV$36)</f>
        <v>342972.01430509653</v>
      </c>
      <c r="BO20" s="1">
        <f>+BN20*(1+$AV$36)</f>
        <v>349831.45459119848</v>
      </c>
      <c r="BP20" s="1">
        <f>+BO20*(1+$AV$36)</f>
        <v>356828.08368302247</v>
      </c>
      <c r="BQ20" s="1">
        <f>+BP20*(1+$AV$36)</f>
        <v>363964.64535668294</v>
      </c>
      <c r="BR20" s="1">
        <f>+BQ20*(1+$AV$36)</f>
        <v>371243.93826381658</v>
      </c>
      <c r="BS20" s="1">
        <f>+BR20*(1+$AV$36)</f>
        <v>378668.81702909293</v>
      </c>
      <c r="BT20" s="1">
        <f>+BS20*(1+$AV$36)</f>
        <v>386242.19336967479</v>
      </c>
      <c r="BU20" s="1">
        <f>+BT20*(1+$AV$36)</f>
        <v>393967.03723706829</v>
      </c>
      <c r="BV20" s="1">
        <f>+BU20*(1+$AV$36)</f>
        <v>401846.37798180967</v>
      </c>
      <c r="BW20" s="1">
        <f>+BV20*(1+$AV$36)</f>
        <v>409883.30554144585</v>
      </c>
      <c r="BX20" s="1">
        <f>+BW20*(1+$AV$36)</f>
        <v>418080.97165227478</v>
      </c>
      <c r="BY20" s="1">
        <f>+BX20*(1+$AV$36)</f>
        <v>426442.59108532028</v>
      </c>
      <c r="BZ20" s="1">
        <f>+BY20*(1+$AV$36)</f>
        <v>434971.44290702668</v>
      </c>
      <c r="CA20" s="1">
        <f>+BZ20*(1+$AV$36)</f>
        <v>443670.87176516722</v>
      </c>
      <c r="CB20" s="1">
        <f>+CA20*(1+$AV$36)</f>
        <v>452544.28920047055</v>
      </c>
      <c r="CC20" s="1">
        <f>+CB20*(1+$AV$36)</f>
        <v>461595.17498447996</v>
      </c>
      <c r="CD20" s="1">
        <f>+CC20*(1+$AV$36)</f>
        <v>470827.07848416956</v>
      </c>
      <c r="CE20" s="1">
        <f>+CD20*(1+$AV$36)</f>
        <v>480243.62005385297</v>
      </c>
      <c r="CF20" s="1">
        <f>+CE20*(1+$AV$36)</f>
        <v>489848.49245493003</v>
      </c>
      <c r="CG20" s="1">
        <f>+CF20*(1+$AV$36)</f>
        <v>499645.46230402862</v>
      </c>
      <c r="CH20" s="1">
        <f>+CG20*(1+$AV$36)</f>
        <v>509638.37155010918</v>
      </c>
      <c r="CI20" s="1">
        <f>+CH20*(1+$AV$36)</f>
        <v>519831.13898111135</v>
      </c>
      <c r="CJ20" s="1">
        <f>+CI20*(1+$AV$36)</f>
        <v>530227.76176073356</v>
      </c>
      <c r="CK20" s="1">
        <f>+CJ20*(1+$AV$36)</f>
        <v>540832.3169959482</v>
      </c>
      <c r="CL20" s="1">
        <f>+CK20*(1+$AV$36)</f>
        <v>551648.96333586716</v>
      </c>
      <c r="CM20" s="1">
        <f>+CL20*(1+$AV$36)</f>
        <v>562681.94260258449</v>
      </c>
      <c r="CN20" s="1">
        <f>+CM20*(1+$AV$36)</f>
        <v>573935.58145463618</v>
      </c>
      <c r="CO20" s="1">
        <f>+CN20*(1+$AV$36)</f>
        <v>585414.29308372887</v>
      </c>
      <c r="CP20" s="1">
        <f>+CO20*(1+$AV$36)</f>
        <v>597122.57894540345</v>
      </c>
      <c r="CQ20" s="1">
        <f>+CP20*(1+$AV$36)</f>
        <v>609065.03052431159</v>
      </c>
      <c r="CR20" s="1">
        <f>+CQ20*(1+$AV$36)</f>
        <v>621246.33113479777</v>
      </c>
      <c r="CS20" s="1">
        <f>+CR20*(1+$AV$36)</f>
        <v>633671.25775749376</v>
      </c>
      <c r="CT20" s="1">
        <f>+CS20*(1+$AV$36)</f>
        <v>646344.68291264365</v>
      </c>
      <c r="CU20" s="1">
        <f>+CT20*(1+$AV$36)</f>
        <v>659271.57657089655</v>
      </c>
      <c r="CV20" s="1">
        <f>+CU20*(1+$AV$36)</f>
        <v>672457.00810231455</v>
      </c>
      <c r="CW20" s="1">
        <f>+CV20*(1+$AV$36)</f>
        <v>685906.14826436085</v>
      </c>
      <c r="CX20" s="1">
        <f>+CW20*(1+$AV$36)</f>
        <v>699624.27122964803</v>
      </c>
      <c r="CY20" s="1">
        <f>+CX20*(1+$AV$36)</f>
        <v>713616.75665424101</v>
      </c>
      <c r="CZ20" s="1">
        <f>+CY20*(1+$AV$36)</f>
        <v>727889.0917873258</v>
      </c>
      <c r="DA20" s="1">
        <f>+CZ20*(1+$AV$36)</f>
        <v>742446.87362307229</v>
      </c>
      <c r="DB20" s="1">
        <f>+DA20*(1+$AV$36)</f>
        <v>757295.81109553378</v>
      </c>
      <c r="DC20" s="1">
        <f>+DB20*(1+$AV$36)</f>
        <v>772441.72731744451</v>
      </c>
      <c r="DD20" s="1">
        <f>+DC20*(1+$AV$36)</f>
        <v>787890.56186379341</v>
      </c>
      <c r="DE20" s="1">
        <f>+DD20*(1+$AV$36)</f>
        <v>803648.37310106924</v>
      </c>
      <c r="DF20" s="1">
        <f>+DE20*(1+$AV$36)</f>
        <v>819721.34056309063</v>
      </c>
      <c r="DG20" s="1">
        <f>+DF20*(1+$AV$36)</f>
        <v>836115.76737435244</v>
      </c>
      <c r="DH20" s="1">
        <f>+DG20*(1+$AV$36)</f>
        <v>852838.08272183954</v>
      </c>
      <c r="DI20" s="1">
        <f>+DH20*(1+$AV$36)</f>
        <v>869894.84437627636</v>
      </c>
      <c r="DJ20" s="1">
        <f>+DI20*(1+$AV$36)</f>
        <v>887292.74126380193</v>
      </c>
      <c r="DK20" s="1">
        <f>+DJ20*(1+$AV$36)</f>
        <v>905038.596089078</v>
      </c>
      <c r="DL20" s="1">
        <f>+DK20*(1+$AV$36)</f>
        <v>923139.36801085959</v>
      </c>
      <c r="DM20" s="1">
        <f>+DL20*(1+$AV$36)</f>
        <v>941602.15537107678</v>
      </c>
      <c r="DN20" s="1">
        <f>+DM20*(1+$AV$36)</f>
        <v>960434.19847849838</v>
      </c>
      <c r="DO20" s="1">
        <f>+DN20*(1+$AV$36)</f>
        <v>979642.88244806835</v>
      </c>
      <c r="DP20" s="1">
        <f>+DO20*(1+$AV$36)</f>
        <v>999235.74009702972</v>
      </c>
      <c r="DQ20" s="1">
        <f>+DP20*(1+$AV$36)</f>
        <v>1019220.4548989703</v>
      </c>
      <c r="DR20" s="1">
        <f>+DQ20*(1+$AV$36)</f>
        <v>1039604.8639969497</v>
      </c>
      <c r="DS20" s="1">
        <f>+DR20*(1+$AV$36)</f>
        <v>1060396.9612768888</v>
      </c>
      <c r="DT20" s="1">
        <f>+DS20*(1+$AV$36)</f>
        <v>1081604.9005024265</v>
      </c>
      <c r="DU20" s="1">
        <f>+DT20*(1+$AV$36)</f>
        <v>1103236.9985124751</v>
      </c>
      <c r="DV20" s="1">
        <f>+DU20*(1+$AV$36)</f>
        <v>1125301.7384827246</v>
      </c>
      <c r="DW20" s="1">
        <f>+DV20*(1+$AV$36)</f>
        <v>1147807.7732523791</v>
      </c>
      <c r="DX20" s="1">
        <f>+DW20*(1+$AV$36)</f>
        <v>1170763.9287174267</v>
      </c>
      <c r="DY20" s="1">
        <f>+DX20*(1+$AV$36)</f>
        <v>1194179.2072917754</v>
      </c>
      <c r="DZ20" s="1">
        <f>+DY20*(1+$AV$36)</f>
        <v>1218062.791437611</v>
      </c>
      <c r="EA20" s="1">
        <f>+DZ20*(1+$AV$36)</f>
        <v>1242424.0472663632</v>
      </c>
      <c r="EB20" s="1">
        <f>+EA20*(1+$AV$36)</f>
        <v>1267272.5282116905</v>
      </c>
      <c r="EC20" s="1">
        <f>+EB20*(1+$AV$36)</f>
        <v>1292617.9787759243</v>
      </c>
      <c r="ED20" s="1">
        <f>+EC20*(1+$AV$36)</f>
        <v>1318470.3383514427</v>
      </c>
      <c r="EE20" s="1">
        <f>+ED20*(1+$AV$36)</f>
        <v>1344839.7451184716</v>
      </c>
      <c r="EF20" s="1">
        <f>+EE20*(1+$AV$36)</f>
        <v>1371736.5400208409</v>
      </c>
      <c r="EG20" s="1">
        <f>+EF20*(1+$AV$36)</f>
        <v>1399171.2708212577</v>
      </c>
      <c r="EH20" s="1">
        <f>+EG20*(1+$AV$36)</f>
        <v>1427154.6962376828</v>
      </c>
      <c r="EI20" s="1">
        <f>+EH20*(1+$AV$36)</f>
        <v>1455697.7901624364</v>
      </c>
      <c r="EJ20" s="1">
        <f>+EI20*(1+$AV$36)</f>
        <v>1484811.7459656852</v>
      </c>
      <c r="EK20" s="1">
        <f>+EJ20*(1+$AV$36)</f>
        <v>1514507.980884999</v>
      </c>
      <c r="EL20" s="1">
        <f>+EK20*(1+$AV$36)</f>
        <v>1544798.140502699</v>
      </c>
      <c r="EM20" s="1">
        <f>+EL20*(1+$AV$36)</f>
        <v>1575694.1033127529</v>
      </c>
      <c r="EN20" s="1">
        <f>+EM20*(1+$AV$36)</f>
        <v>1607207.9853790081</v>
      </c>
      <c r="EO20" s="1">
        <f>+EN20*(1+$AV$36)</f>
        <v>1639352.1450865883</v>
      </c>
    </row>
    <row r="21" spans="2:145" x14ac:dyDescent="0.25">
      <c r="B21" s="3" t="s">
        <v>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 t="s">
        <v>88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</row>
    <row r="22" spans="2:145" x14ac:dyDescent="0.25">
      <c r="B22" s="4" t="s">
        <v>47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N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</row>
    <row r="23" spans="2:145" x14ac:dyDescent="0.25"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 t="s">
        <v>88</v>
      </c>
      <c r="AC23" s="2"/>
      <c r="AD23" s="2"/>
      <c r="AE23" s="2"/>
      <c r="AF23" s="2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</row>
    <row r="24" spans="2:145" x14ac:dyDescent="0.25"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M24" s="8"/>
      <c r="AN24" s="8">
        <f>AN4/AM4-1</f>
        <v>9.3270626854365268E-2</v>
      </c>
      <c r="AO24" s="8">
        <f>AO4/AN4-1</f>
        <v>0.54199266680139746</v>
      </c>
      <c r="AP24" s="8">
        <f>AP4/AO4-1</f>
        <v>0.13096798352368477</v>
      </c>
      <c r="AQ24" s="8">
        <f>AQ4/AP4-1</f>
        <v>-1</v>
      </c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</row>
    <row r="25" spans="2:145" x14ac:dyDescent="0.2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N25" s="8">
        <f t="shared" ref="AN25:AO25" si="31">AN5/AM5-1</f>
        <v>0.17264056559727869</v>
      </c>
      <c r="AO25" s="8">
        <f t="shared" si="31"/>
        <v>-5.0394166562389708E-3</v>
      </c>
      <c r="AP25" s="8">
        <f>AP5/AO5-1</f>
        <v>0.21495701088447827</v>
      </c>
      <c r="AQ25" s="8">
        <f>AQ5/AP5-1</f>
        <v>-1</v>
      </c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</row>
    <row r="26" spans="2:145" x14ac:dyDescent="0.25"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N26" s="8">
        <f t="shared" ref="AN26:AQ26" si="32">AN6/AM6-1</f>
        <v>-8.6868754275037152E-2</v>
      </c>
      <c r="AO26" s="8">
        <f t="shared" si="32"/>
        <v>-7.1180618993678557E-2</v>
      </c>
      <c r="AP26" s="8">
        <f t="shared" si="32"/>
        <v>7.4963609898107686E-2</v>
      </c>
      <c r="AQ26" s="8">
        <f t="shared" si="32"/>
        <v>-1</v>
      </c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</row>
    <row r="27" spans="2:145" x14ac:dyDescent="0.25"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P27" t="s">
        <v>88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</row>
    <row r="28" spans="2:145" x14ac:dyDescent="0.25">
      <c r="B28" s="3" t="s">
        <v>52</v>
      </c>
      <c r="C28" s="6">
        <f>C16/C9</f>
        <v>0.38378460142187265</v>
      </c>
      <c r="D28" s="6">
        <f t="shared" ref="D28:Z28" si="33">D16/D9</f>
        <v>0.37638866309001245</v>
      </c>
      <c r="E28" s="6">
        <f t="shared" si="33"/>
        <v>0.37049199051997372</v>
      </c>
      <c r="F28" s="6">
        <f t="shared" si="33"/>
        <v>0.35250966266137301</v>
      </c>
      <c r="G28" s="6">
        <f t="shared" si="33"/>
        <v>0.42730257845723207</v>
      </c>
      <c r="H28" s="6">
        <f t="shared" si="33"/>
        <v>0.41547497446373849</v>
      </c>
      <c r="I28" s="6">
        <f t="shared" si="33"/>
        <v>0.40876612477820939</v>
      </c>
      <c r="J28" s="6">
        <f t="shared" si="33"/>
        <v>0.41374154966198645</v>
      </c>
      <c r="K28" s="6">
        <f t="shared" si="33"/>
        <v>0.44658737339188381</v>
      </c>
      <c r="L28" s="6">
        <f t="shared" si="33"/>
        <v>0.43007655428394681</v>
      </c>
      <c r="M28" s="6">
        <f t="shared" si="33"/>
        <v>0.41256077795786061</v>
      </c>
      <c r="N28" s="6">
        <f t="shared" si="33"/>
        <v>0.3959124650535043</v>
      </c>
      <c r="O28" s="6">
        <f t="shared" si="33"/>
        <v>0.42931247755476637</v>
      </c>
      <c r="P28" s="6">
        <f t="shared" si="33"/>
        <v>0.3867328947617874</v>
      </c>
      <c r="Q28" s="6">
        <f t="shared" si="33"/>
        <v>0.42287681858599618</v>
      </c>
      <c r="R28" s="6">
        <f t="shared" si="33"/>
        <v>0.4316503230169606</v>
      </c>
      <c r="S28" s="6">
        <f t="shared" si="33"/>
        <v>0.47587451563246458</v>
      </c>
      <c r="T28" s="6">
        <f t="shared" si="33"/>
        <v>0.43585940019348596</v>
      </c>
      <c r="U28" s="6">
        <f t="shared" si="33"/>
        <v>0.44587603866921011</v>
      </c>
      <c r="V28" s="6">
        <f t="shared" si="33"/>
        <v>0.43142737960974553</v>
      </c>
      <c r="W28" s="6">
        <f t="shared" si="33"/>
        <v>0.46583822520393381</v>
      </c>
      <c r="X28" s="6">
        <f t="shared" si="33"/>
        <v>0.45457548253676472</v>
      </c>
      <c r="Y28" s="6">
        <f t="shared" si="33"/>
        <v>0.45671224274255701</v>
      </c>
      <c r="Z28" s="6">
        <f t="shared" si="33"/>
        <v>0.44901296424693554</v>
      </c>
      <c r="AA28" s="2"/>
      <c r="AB28" s="2"/>
      <c r="AC28" s="2"/>
      <c r="AD28" s="2"/>
      <c r="AE28" s="2"/>
      <c r="AF28" s="2"/>
      <c r="AK28" s="6">
        <f t="shared" ref="AK28" si="34">AK16/AK9</f>
        <v>0.37030381428521486</v>
      </c>
      <c r="AL28" s="6">
        <f t="shared" ref="AL28" si="35">AL16/AL9</f>
        <v>0.41594878872971303</v>
      </c>
      <c r="AM28" s="6">
        <f t="shared" ref="AM28" si="36">AM16/AM9</f>
        <v>0.4205527815604983</v>
      </c>
      <c r="AN28" s="6">
        <f t="shared" ref="AN28" si="37">AN16/AN9</f>
        <v>0.41772880636104098</v>
      </c>
      <c r="AO28" s="6">
        <f t="shared" ref="AO28" si="38">AO16/AO9</f>
        <v>0.44644299573273716</v>
      </c>
      <c r="AP28" s="6">
        <f>AP16/AP9</f>
        <v>0.45621956240859851</v>
      </c>
      <c r="AQ28" s="6">
        <f>AQ16/AQ9</f>
        <v>0.49585713695556688</v>
      </c>
      <c r="AR28" s="6">
        <f t="shared" ref="AR28:AT28" si="39">AR16/AR9</f>
        <v>0.51205659781147617</v>
      </c>
      <c r="AS28" s="6">
        <f t="shared" si="39"/>
        <v>0.52709530033487073</v>
      </c>
      <c r="AT28" s="6">
        <f t="shared" si="39"/>
        <v>0.54104335656393332</v>
      </c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</row>
    <row r="29" spans="2:145" x14ac:dyDescent="0.25">
      <c r="B29" s="3" t="s">
        <v>48</v>
      </c>
      <c r="C29" s="6">
        <f>C11/C9</f>
        <v>0.6851913477537438</v>
      </c>
      <c r="D29" s="6">
        <f t="shared" ref="D29:Z29" si="40">D11/D9</f>
        <v>0.66514929821709212</v>
      </c>
      <c r="E29" s="6">
        <f t="shared" si="40"/>
        <v>0.68661660146769077</v>
      </c>
      <c r="F29" s="6">
        <f t="shared" si="40"/>
        <v>0.67557121447164303</v>
      </c>
      <c r="G29" s="6">
        <f t="shared" si="40"/>
        <v>0.70388114334930285</v>
      </c>
      <c r="H29" s="6">
        <f t="shared" si="40"/>
        <v>0.67048936762930633</v>
      </c>
      <c r="I29" s="6">
        <f t="shared" si="40"/>
        <v>0.68721526878626582</v>
      </c>
      <c r="J29" s="6">
        <f t="shared" si="40"/>
        <v>0.69684954064829263</v>
      </c>
      <c r="K29" s="6">
        <f t="shared" si="40"/>
        <v>0.6988768012004325</v>
      </c>
      <c r="L29" s="6">
        <f t="shared" si="40"/>
        <v>0.67213114754098358</v>
      </c>
      <c r="M29" s="6">
        <f t="shared" si="40"/>
        <v>0.68365072933549431</v>
      </c>
      <c r="N29" s="6">
        <f t="shared" si="40"/>
        <v>0.68323532247180174</v>
      </c>
      <c r="O29" s="6">
        <f t="shared" si="40"/>
        <v>0.69171222217788597</v>
      </c>
      <c r="P29" s="6">
        <f t="shared" si="40"/>
        <v>0.66845507801391546</v>
      </c>
      <c r="Q29" s="6">
        <f t="shared" si="40"/>
        <v>0.69487485101311086</v>
      </c>
      <c r="R29" s="6">
        <f t="shared" si="40"/>
        <v>0.70109807969531401</v>
      </c>
      <c r="S29" s="6">
        <f t="shared" si="40"/>
        <v>0.71155581506449384</v>
      </c>
      <c r="T29" s="6">
        <f t="shared" si="40"/>
        <v>0.68360206385037081</v>
      </c>
      <c r="U29" s="6">
        <f t="shared" si="40"/>
        <v>0.70084710142584628</v>
      </c>
      <c r="V29" s="6">
        <f t="shared" si="40"/>
        <v>0.69589197707293715</v>
      </c>
      <c r="W29" s="6">
        <f t="shared" si="40"/>
        <v>0.69354273080734929</v>
      </c>
      <c r="X29" s="6">
        <f t="shared" si="40"/>
        <v>0.68693991268382348</v>
      </c>
      <c r="Y29" s="6">
        <f t="shared" si="40"/>
        <v>0.6871663859789342</v>
      </c>
      <c r="Z29" s="6">
        <f t="shared" si="40"/>
        <v>0.68584921704320978</v>
      </c>
      <c r="AA29" s="2"/>
      <c r="AB29" s="2"/>
      <c r="AC29" s="2"/>
      <c r="AD29" s="2"/>
      <c r="AE29" s="2"/>
      <c r="AF29" s="2"/>
      <c r="AK29" s="6">
        <f t="shared" ref="AK29" si="41">AK11/AK9</f>
        <v>0.67781001992797962</v>
      </c>
      <c r="AL29" s="6">
        <f t="shared" ref="AL29" si="42">AL11/AL9</f>
        <v>0.68925800771024703</v>
      </c>
      <c r="AM29" s="6">
        <f t="shared" ref="AM29" si="43">AM11/AM9</f>
        <v>0.68401674484289099</v>
      </c>
      <c r="AN29" s="6">
        <f t="shared" ref="AN29" si="44">AN11/AN9</f>
        <v>0.68920085883491022</v>
      </c>
      <c r="AO29" s="6">
        <f t="shared" ref="AO29" si="45">AO11/AO9</f>
        <v>0.69764443827971379</v>
      </c>
      <c r="AP29" s="6">
        <f t="shared" ref="AP29:AQ29" si="46">AP11/AP9</f>
        <v>0.68823742386165188</v>
      </c>
      <c r="AQ29" s="6">
        <f t="shared" si="46"/>
        <v>0.70190273575087891</v>
      </c>
      <c r="AR29" s="6">
        <f t="shared" ref="AR29:AT29" si="47">AR11/AR9</f>
        <v>0.69851086792365535</v>
      </c>
      <c r="AS29" s="6">
        <f t="shared" si="47"/>
        <v>0.69555720164777968</v>
      </c>
      <c r="AT29" s="6">
        <f t="shared" si="47"/>
        <v>0.69302574546196061</v>
      </c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</row>
    <row r="30" spans="2:145" x14ac:dyDescent="0.25">
      <c r="B30" s="3" t="s">
        <v>49</v>
      </c>
      <c r="C30" s="6">
        <f>C19/C18</f>
        <v>0.15828472331704241</v>
      </c>
      <c r="D30" s="6">
        <f t="shared" ref="D30:Z30" si="48">D19/D18</f>
        <v>0.17294994675186368</v>
      </c>
      <c r="E30" s="6">
        <f t="shared" si="48"/>
        <v>0.16281242700303666</v>
      </c>
      <c r="F30" s="6">
        <f t="shared" si="48"/>
        <v>0.16540008940545373</v>
      </c>
      <c r="G30" s="6">
        <f t="shared" si="48"/>
        <v>0.13836516993301909</v>
      </c>
      <c r="H30" s="6">
        <f t="shared" si="48"/>
        <v>0.15673228990565524</v>
      </c>
      <c r="I30" s="6">
        <f t="shared" si="48"/>
        <v>0.10321420283128337</v>
      </c>
      <c r="J30" s="6">
        <f t="shared" si="48"/>
        <v>0.15186807523834064</v>
      </c>
      <c r="K30" s="6">
        <f t="shared" si="48"/>
        <v>9.2574546871954783E-4</v>
      </c>
      <c r="L30" s="6">
        <f t="shared" si="48"/>
        <v>0.16655562958027981</v>
      </c>
      <c r="M30" s="6">
        <f t="shared" si="48"/>
        <v>0.17147102526002972</v>
      </c>
      <c r="N30" s="6">
        <f t="shared" si="48"/>
        <v>0.18289647093278666</v>
      </c>
      <c r="O30" s="6">
        <f t="shared" si="48"/>
        <v>0.18616725384758021</v>
      </c>
      <c r="P30" s="6">
        <f t="shared" si="48"/>
        <v>0.19243817296818919</v>
      </c>
      <c r="Q30" s="6">
        <f t="shared" si="48"/>
        <v>0.19291668504388479</v>
      </c>
      <c r="R30" s="6">
        <f t="shared" si="48"/>
        <v>0.18789177821814212</v>
      </c>
      <c r="S30" s="6">
        <f t="shared" si="48"/>
        <v>0.18300102624248643</v>
      </c>
      <c r="T30" s="6">
        <f t="shared" si="48"/>
        <v>0.17552589911784663</v>
      </c>
      <c r="U30" s="6">
        <f t="shared" si="48"/>
        <v>0.17914468514984846</v>
      </c>
      <c r="V30" s="6">
        <f t="shared" si="48"/>
        <v>0.1913394495412844</v>
      </c>
      <c r="W30" s="6">
        <f t="shared" si="48"/>
        <v>0.18507383791998414</v>
      </c>
      <c r="X30" s="6">
        <f t="shared" si="48"/>
        <v>0.17902264600715137</v>
      </c>
      <c r="Y30" s="6">
        <f t="shared" si="48"/>
        <v>0.17697676642126398</v>
      </c>
      <c r="Z30" s="6">
        <f t="shared" si="48"/>
        <v>0.16504169732646554</v>
      </c>
      <c r="AA30" s="2"/>
      <c r="AB30" s="2"/>
      <c r="AC30" s="2"/>
      <c r="AD30" s="2"/>
      <c r="AE30" s="2"/>
      <c r="AF30" s="2"/>
      <c r="AK30" s="6">
        <f t="shared" ref="AK30" si="49">AK19/AK18</f>
        <v>0.16507655177615205</v>
      </c>
      <c r="AL30" s="6">
        <f t="shared" ref="AL30" si="50">AL19/AL18</f>
        <v>0.13826615285083402</v>
      </c>
      <c r="AM30" s="6">
        <f t="shared" ref="AM30" si="51">AM19/AM18</f>
        <v>0.13113383343685794</v>
      </c>
      <c r="AN30" s="6">
        <f t="shared" ref="AN30" si="52">AN19/AN18</f>
        <v>0.18978625253328257</v>
      </c>
      <c r="AO30" s="6">
        <f t="shared" ref="AO30" si="53">AO19/AO18</f>
        <v>0.18231326597827197</v>
      </c>
      <c r="AP30" s="6">
        <f t="shared" ref="AP30:AQ30" si="54">AP19/AP18</f>
        <v>0.17629644009803683</v>
      </c>
      <c r="AQ30" s="6">
        <f t="shared" si="54"/>
        <v>0.14411017163697004</v>
      </c>
      <c r="AR30" s="6">
        <f t="shared" ref="AR30:AT30" si="55">AR19/AR18</f>
        <v>0.13074284302736278</v>
      </c>
      <c r="AS30" s="6">
        <f t="shared" si="55"/>
        <v>0.11887417352038183</v>
      </c>
      <c r="AT30" s="6">
        <f t="shared" si="55"/>
        <v>0.10827908211830657</v>
      </c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</row>
    <row r="31" spans="2:145" x14ac:dyDescent="0.25">
      <c r="B31" s="3" t="s">
        <v>50</v>
      </c>
      <c r="C31" s="2"/>
      <c r="D31" s="2"/>
      <c r="E31" s="2"/>
      <c r="F31" s="2"/>
      <c r="G31" s="6">
        <f>G9/C9-1</f>
        <v>0.12400544546967174</v>
      </c>
      <c r="H31" s="6">
        <f t="shared" ref="H31:Z31" si="56">H9/D9-1</f>
        <v>0.16718148810491518</v>
      </c>
      <c r="I31" s="6">
        <f t="shared" si="56"/>
        <v>0.19088546871876866</v>
      </c>
      <c r="J31" s="6">
        <f t="shared" si="56"/>
        <v>0.21347251071437956</v>
      </c>
      <c r="K31" s="6">
        <f t="shared" si="56"/>
        <v>0.21970716477364483</v>
      </c>
      <c r="L31" s="6">
        <f t="shared" si="56"/>
        <v>0.2008543040208004</v>
      </c>
      <c r="M31" s="6">
        <f t="shared" si="56"/>
        <v>0.18352275451973332</v>
      </c>
      <c r="N31" s="6">
        <f t="shared" si="56"/>
        <v>0.12378661813139202</v>
      </c>
      <c r="O31" s="6">
        <f t="shared" si="56"/>
        <v>0.1060308493501334</v>
      </c>
      <c r="P31" s="6">
        <f t="shared" si="56"/>
        <v>1.9699195793380753E-2</v>
      </c>
      <c r="Q31" s="6">
        <f t="shared" si="56"/>
        <v>7.0846839546191198E-2</v>
      </c>
      <c r="R31" s="6">
        <f t="shared" si="56"/>
        <v>8.3370288248336921E-2</v>
      </c>
      <c r="S31" s="6">
        <f t="shared" si="56"/>
        <v>0.12758868361198683</v>
      </c>
      <c r="T31" s="6">
        <f t="shared" si="56"/>
        <v>0.17580146738203117</v>
      </c>
      <c r="U31" s="6">
        <f t="shared" si="56"/>
        <v>0.17028964943148495</v>
      </c>
      <c r="V31" s="6">
        <f t="shared" si="56"/>
        <v>0.15195144957198026</v>
      </c>
      <c r="W31" s="6">
        <f t="shared" si="56"/>
        <v>0.16044729904276589</v>
      </c>
      <c r="X31" s="6">
        <f t="shared" si="56"/>
        <v>0.12273460174137374</v>
      </c>
      <c r="Y31" s="6">
        <f t="shared" si="56"/>
        <v>0.13269100197225914</v>
      </c>
      <c r="Z31" s="6">
        <f t="shared" si="56"/>
        <v>0.18097548163826538</v>
      </c>
      <c r="AA31" s="2"/>
      <c r="AB31" s="2"/>
      <c r="AC31" s="2"/>
      <c r="AD31" s="2"/>
      <c r="AE31" s="2"/>
      <c r="AF31" s="2"/>
      <c r="AK31" s="6"/>
      <c r="AL31" s="6">
        <f t="shared" ref="AL31:AQ31" si="57">AL9/AK9-1</f>
        <v>0.17531727441177503</v>
      </c>
      <c r="AM31" s="6">
        <f t="shared" si="57"/>
        <v>0.17956070629670173</v>
      </c>
      <c r="AN31" s="6">
        <f t="shared" si="57"/>
        <v>6.8820295556564215E-2</v>
      </c>
      <c r="AO31" s="6">
        <f t="shared" si="57"/>
        <v>0.1566996201307127</v>
      </c>
      <c r="AP31" s="6">
        <f t="shared" si="57"/>
        <v>0.14932156232406713</v>
      </c>
      <c r="AQ31" s="6">
        <f t="shared" si="57"/>
        <v>0.20212471473005511</v>
      </c>
      <c r="AR31" s="6">
        <f t="shared" ref="AR31:AT31" si="58">AR9/AQ9-1</f>
        <v>0.12717456481298428</v>
      </c>
      <c r="AS31" s="6">
        <f t="shared" si="58"/>
        <v>0.12893986137059876</v>
      </c>
      <c r="AT31" s="6">
        <f t="shared" si="58"/>
        <v>0.13059901601136992</v>
      </c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</row>
    <row r="32" spans="2:145" x14ac:dyDescent="0.25"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</row>
    <row r="33" spans="2:145" x14ac:dyDescent="0.25"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</row>
    <row r="34" spans="2:145" x14ac:dyDescent="0.25">
      <c r="B34" s="4" t="s">
        <v>53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5">
        <f>Y35-Y52</f>
        <v>33311</v>
      </c>
      <c r="Z34" s="2">
        <f>Y34*1.025</f>
        <v>34143.774999999994</v>
      </c>
      <c r="AA34" s="2">
        <f t="shared" ref="AA34:AD34" si="59">Z34*1.025</f>
        <v>34997.369374999987</v>
      </c>
      <c r="AB34" s="2">
        <f t="shared" si="59"/>
        <v>35872.303609374983</v>
      </c>
      <c r="AC34" s="2">
        <f t="shared" si="59"/>
        <v>36769.111199609353</v>
      </c>
      <c r="AD34" s="2">
        <f t="shared" si="59"/>
        <v>37688.338979599583</v>
      </c>
      <c r="AE34" s="2"/>
      <c r="AF34" s="2"/>
      <c r="AQ34" s="1">
        <f>SUM(AA34:AD34)</f>
        <v>145327.12316358392</v>
      </c>
      <c r="AR34" s="1">
        <f>AQ34*1.025</f>
        <v>148960.30124267351</v>
      </c>
      <c r="AS34" s="1">
        <f t="shared" ref="AS34:DD34" si="60">AR34*1.025</f>
        <v>152684.30877374034</v>
      </c>
      <c r="AT34" s="1">
        <f t="shared" si="60"/>
        <v>156501.41649308385</v>
      </c>
      <c r="AU34" s="1">
        <f t="shared" si="60"/>
        <v>160413.95190541094</v>
      </c>
      <c r="AV34" s="1">
        <f t="shared" si="60"/>
        <v>164424.3007030462</v>
      </c>
      <c r="AW34" s="1">
        <f t="shared" si="60"/>
        <v>168534.90822062234</v>
      </c>
      <c r="AX34" s="1">
        <f t="shared" si="60"/>
        <v>172748.28092613787</v>
      </c>
      <c r="AY34" s="1">
        <f t="shared" si="60"/>
        <v>177066.9879492913</v>
      </c>
      <c r="AZ34" s="1">
        <f t="shared" si="60"/>
        <v>181493.66264802357</v>
      </c>
      <c r="BA34" s="1">
        <f t="shared" si="60"/>
        <v>186031.00421422414</v>
      </c>
      <c r="BB34" s="1">
        <f t="shared" si="60"/>
        <v>190681.77931957974</v>
      </c>
      <c r="BC34" s="1">
        <f t="shared" si="60"/>
        <v>195448.82380256921</v>
      </c>
      <c r="BD34" s="1">
        <f t="shared" si="60"/>
        <v>200335.04439763344</v>
      </c>
      <c r="BE34" s="1">
        <f t="shared" si="60"/>
        <v>205343.42050757425</v>
      </c>
      <c r="BF34" s="1">
        <f t="shared" si="60"/>
        <v>210477.00602026359</v>
      </c>
      <c r="BG34" s="1">
        <f t="shared" si="60"/>
        <v>215738.93117077017</v>
      </c>
      <c r="BH34" s="1">
        <f t="shared" si="60"/>
        <v>221132.40445003941</v>
      </c>
      <c r="BI34" s="1">
        <f t="shared" si="60"/>
        <v>226660.71456129037</v>
      </c>
      <c r="BJ34" s="1">
        <f t="shared" si="60"/>
        <v>232327.23242532261</v>
      </c>
      <c r="BK34" s="1">
        <f t="shared" si="60"/>
        <v>238135.41323595567</v>
      </c>
      <c r="BL34" s="1">
        <f t="shared" si="60"/>
        <v>244088.79856685453</v>
      </c>
      <c r="BM34" s="1">
        <f t="shared" si="60"/>
        <v>250191.01853102588</v>
      </c>
      <c r="BN34" s="1">
        <f t="shared" si="60"/>
        <v>256445.79399430149</v>
      </c>
      <c r="BO34" s="1">
        <f t="shared" si="60"/>
        <v>262856.93884415901</v>
      </c>
      <c r="BP34" s="1">
        <f t="shared" si="60"/>
        <v>269428.36231526296</v>
      </c>
      <c r="BQ34" s="1">
        <f t="shared" si="60"/>
        <v>276164.07137314451</v>
      </c>
      <c r="BR34" s="1">
        <f t="shared" si="60"/>
        <v>283068.17315747309</v>
      </c>
      <c r="BS34" s="1">
        <f t="shared" si="60"/>
        <v>290144.87748640991</v>
      </c>
      <c r="BT34" s="1">
        <f t="shared" si="60"/>
        <v>297398.49942357012</v>
      </c>
      <c r="BU34" s="1">
        <f t="shared" si="60"/>
        <v>304833.46190915932</v>
      </c>
      <c r="BV34" s="1">
        <f t="shared" si="60"/>
        <v>312454.2984568883</v>
      </c>
      <c r="BW34" s="1">
        <f t="shared" si="60"/>
        <v>320265.65591831045</v>
      </c>
      <c r="BX34" s="1">
        <f t="shared" si="60"/>
        <v>328272.2973162682</v>
      </c>
      <c r="BY34" s="1">
        <f t="shared" si="60"/>
        <v>336479.10474917491</v>
      </c>
      <c r="BZ34" s="1">
        <f t="shared" si="60"/>
        <v>344891.08236790425</v>
      </c>
      <c r="CA34" s="1">
        <f t="shared" si="60"/>
        <v>353513.35942710185</v>
      </c>
      <c r="CB34" s="1">
        <f t="shared" si="60"/>
        <v>362351.19341277936</v>
      </c>
      <c r="CC34" s="1">
        <f t="shared" si="60"/>
        <v>371409.9732480988</v>
      </c>
      <c r="CD34" s="1">
        <f t="shared" si="60"/>
        <v>380695.22257930122</v>
      </c>
      <c r="CE34" s="1">
        <f t="shared" si="60"/>
        <v>390212.60314378369</v>
      </c>
      <c r="CF34" s="1">
        <f t="shared" si="60"/>
        <v>399967.91822237824</v>
      </c>
      <c r="CG34" s="1">
        <f t="shared" si="60"/>
        <v>409967.11617793766</v>
      </c>
      <c r="CH34" s="1">
        <f t="shared" si="60"/>
        <v>420216.29408238607</v>
      </c>
      <c r="CI34" s="1">
        <f t="shared" si="60"/>
        <v>430721.70143444568</v>
      </c>
      <c r="CJ34" s="1">
        <f t="shared" si="60"/>
        <v>441489.74397030676</v>
      </c>
      <c r="CK34" s="1">
        <f t="shared" si="60"/>
        <v>452526.98756956437</v>
      </c>
      <c r="CL34" s="1">
        <f t="shared" si="60"/>
        <v>463840.16225880344</v>
      </c>
      <c r="CM34" s="1">
        <f t="shared" si="60"/>
        <v>475436.1663152735</v>
      </c>
      <c r="CN34" s="1">
        <f t="shared" si="60"/>
        <v>487322.0704731553</v>
      </c>
      <c r="CO34" s="1">
        <f t="shared" si="60"/>
        <v>499505.12223498413</v>
      </c>
      <c r="CP34" s="1">
        <f t="shared" si="60"/>
        <v>511992.75029085868</v>
      </c>
      <c r="CQ34" s="1">
        <f t="shared" si="60"/>
        <v>524792.56904813007</v>
      </c>
      <c r="CR34" s="1">
        <f t="shared" si="60"/>
        <v>537912.38327433332</v>
      </c>
      <c r="CS34" s="1">
        <f t="shared" si="60"/>
        <v>551360.19285619166</v>
      </c>
      <c r="CT34" s="1">
        <f t="shared" si="60"/>
        <v>565144.19767759636</v>
      </c>
      <c r="CU34" s="1">
        <f t="shared" si="60"/>
        <v>579272.80261953617</v>
      </c>
      <c r="CV34" s="1">
        <f t="shared" si="60"/>
        <v>593754.62268502451</v>
      </c>
      <c r="CW34" s="1">
        <f t="shared" si="60"/>
        <v>608598.48825215013</v>
      </c>
      <c r="CX34" s="1">
        <f t="shared" si="60"/>
        <v>623813.45045845385</v>
      </c>
      <c r="CY34" s="1">
        <f t="shared" si="60"/>
        <v>639408.78671991511</v>
      </c>
      <c r="CZ34" s="1">
        <f t="shared" si="60"/>
        <v>655394.0063879129</v>
      </c>
      <c r="DA34" s="1">
        <f t="shared" si="60"/>
        <v>671778.85654761072</v>
      </c>
      <c r="DB34" s="1">
        <f t="shared" si="60"/>
        <v>688573.32796130097</v>
      </c>
      <c r="DC34" s="1">
        <f t="shared" si="60"/>
        <v>705787.66116033343</v>
      </c>
      <c r="DD34" s="1">
        <f t="shared" si="60"/>
        <v>723432.35268934176</v>
      </c>
      <c r="DE34" s="1">
        <f t="shared" ref="DE34:EO34" si="61">DD34*1.025</f>
        <v>741518.16150657518</v>
      </c>
      <c r="DF34" s="1">
        <f t="shared" si="61"/>
        <v>760056.11554423952</v>
      </c>
      <c r="DG34" s="1">
        <f t="shared" si="61"/>
        <v>779057.51843284548</v>
      </c>
      <c r="DH34" s="1">
        <f t="shared" si="61"/>
        <v>798533.95639366657</v>
      </c>
      <c r="DI34" s="1">
        <f t="shared" si="61"/>
        <v>818497.30530350818</v>
      </c>
      <c r="DJ34" s="1">
        <f t="shared" si="61"/>
        <v>838959.7379360958</v>
      </c>
      <c r="DK34" s="1">
        <f t="shared" si="61"/>
        <v>859933.73138449807</v>
      </c>
      <c r="DL34" s="1">
        <f t="shared" si="61"/>
        <v>881432.07466911047</v>
      </c>
      <c r="DM34" s="1">
        <f t="shared" si="61"/>
        <v>903467.87653583812</v>
      </c>
      <c r="DN34" s="1">
        <f t="shared" si="61"/>
        <v>926054.57344923401</v>
      </c>
      <c r="DO34" s="1">
        <f t="shared" si="61"/>
        <v>949205.9377854648</v>
      </c>
      <c r="DP34" s="1">
        <f t="shared" si="61"/>
        <v>972936.0862301013</v>
      </c>
      <c r="DQ34" s="1">
        <f t="shared" si="61"/>
        <v>997259.48838585371</v>
      </c>
      <c r="DR34" s="1">
        <f t="shared" si="61"/>
        <v>1022190.9755955</v>
      </c>
      <c r="DS34" s="1">
        <f t="shared" si="61"/>
        <v>1047745.7499853874</v>
      </c>
      <c r="DT34" s="1">
        <f t="shared" si="61"/>
        <v>1073939.3937350221</v>
      </c>
      <c r="DU34" s="1">
        <f t="shared" si="61"/>
        <v>1100787.8785783974</v>
      </c>
      <c r="DV34" s="1">
        <f t="shared" si="61"/>
        <v>1128307.5755428572</v>
      </c>
      <c r="DW34" s="1">
        <f t="shared" si="61"/>
        <v>1156515.2649314285</v>
      </c>
      <c r="DX34" s="1">
        <f t="shared" si="61"/>
        <v>1185428.1465547141</v>
      </c>
      <c r="DY34" s="1">
        <f t="shared" si="61"/>
        <v>1215063.8502185817</v>
      </c>
      <c r="DZ34" s="1">
        <f t="shared" si="61"/>
        <v>1245440.4464740462</v>
      </c>
      <c r="EA34" s="1">
        <f t="shared" si="61"/>
        <v>1276576.4576358972</v>
      </c>
      <c r="EB34" s="1">
        <f t="shared" si="61"/>
        <v>1308490.8690767945</v>
      </c>
      <c r="EC34" s="1">
        <f t="shared" si="61"/>
        <v>1341203.1408037143</v>
      </c>
      <c r="ED34" s="1">
        <f t="shared" si="61"/>
        <v>1374733.2193238069</v>
      </c>
      <c r="EE34" s="1">
        <f t="shared" si="61"/>
        <v>1409101.549806902</v>
      </c>
      <c r="EF34" s="1">
        <f t="shared" si="61"/>
        <v>1444329.0885520743</v>
      </c>
      <c r="EG34" s="1">
        <f t="shared" si="61"/>
        <v>1480437.3157658761</v>
      </c>
      <c r="EH34" s="1">
        <f t="shared" si="61"/>
        <v>1517448.2486600229</v>
      </c>
      <c r="EI34" s="1">
        <f t="shared" si="61"/>
        <v>1555384.4548765232</v>
      </c>
      <c r="EJ34" s="1">
        <f t="shared" si="61"/>
        <v>1594269.0662484362</v>
      </c>
      <c r="EK34" s="1">
        <f t="shared" si="61"/>
        <v>1634125.7929046471</v>
      </c>
      <c r="EL34" s="1">
        <f t="shared" si="61"/>
        <v>1674978.9377272632</v>
      </c>
      <c r="EM34" s="1">
        <f t="shared" si="61"/>
        <v>1716853.4111704447</v>
      </c>
      <c r="EN34" s="1">
        <f t="shared" si="61"/>
        <v>1759774.7464497057</v>
      </c>
      <c r="EO34" s="1">
        <f t="shared" si="61"/>
        <v>1803769.1151109482</v>
      </c>
    </row>
    <row r="35" spans="2:145" x14ac:dyDescent="0.25">
      <c r="B35" s="3" t="s">
        <v>3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>
        <f>20840+57588</f>
        <v>78428</v>
      </c>
      <c r="Z35" s="2"/>
      <c r="AA35" s="2"/>
      <c r="AB35" s="2"/>
      <c r="AC35" s="2"/>
      <c r="AD35" s="2"/>
      <c r="AE35" s="2"/>
      <c r="AF35" s="2"/>
      <c r="AQ35" s="1"/>
      <c r="AR35" s="1"/>
      <c r="AS35" s="1"/>
      <c r="AT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</row>
    <row r="36" spans="2:145" x14ac:dyDescent="0.25">
      <c r="B36" s="3" t="s">
        <v>54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>
        <v>44148</v>
      </c>
      <c r="Z36" s="2"/>
      <c r="AA36" s="2"/>
      <c r="AB36" s="2"/>
      <c r="AC36" s="2"/>
      <c r="AD36" s="2"/>
      <c r="AE36" s="2"/>
      <c r="AF36" s="2"/>
      <c r="AQ36" s="1"/>
      <c r="AR36" s="1"/>
      <c r="AS36" s="1"/>
      <c r="AT36" s="1"/>
      <c r="AU36" s="1" t="s">
        <v>102</v>
      </c>
      <c r="AV36" s="16">
        <v>0.02</v>
      </c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</row>
    <row r="37" spans="2:145" x14ac:dyDescent="0.25">
      <c r="B37" s="3" t="s">
        <v>56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>
        <v>1626</v>
      </c>
      <c r="Z37" s="2"/>
      <c r="AA37" s="2"/>
      <c r="AB37" s="2"/>
      <c r="AC37" s="2"/>
      <c r="AD37" s="2"/>
      <c r="AE37" s="2"/>
      <c r="AF37" s="2"/>
      <c r="AQ37" s="1"/>
      <c r="AR37" s="1"/>
      <c r="AS37" s="1"/>
      <c r="AT37" s="1"/>
      <c r="AU37" s="1" t="s">
        <v>103</v>
      </c>
      <c r="AV37" s="18">
        <v>0.06</v>
      </c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</row>
    <row r="38" spans="2:145" x14ac:dyDescent="0.25">
      <c r="B38" s="3" t="s">
        <v>57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>
        <v>25724</v>
      </c>
      <c r="Z38" s="2"/>
      <c r="AA38" s="2"/>
      <c r="AB38" s="2"/>
      <c r="AC38" s="2"/>
      <c r="AD38" s="2"/>
      <c r="AE38" s="2"/>
      <c r="AF38" s="2"/>
      <c r="AQ38" s="1"/>
      <c r="AR38" s="1"/>
      <c r="AS38" s="1"/>
      <c r="AT38" s="1"/>
      <c r="AU38" s="1" t="s">
        <v>104</v>
      </c>
      <c r="AV38" s="17">
        <v>2.5000000000000001E-2</v>
      </c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</row>
    <row r="39" spans="2:145" x14ac:dyDescent="0.25">
      <c r="B39" s="3" t="s">
        <v>82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>
        <v>15778</v>
      </c>
      <c r="Z39" s="2"/>
      <c r="AA39" s="2"/>
      <c r="AB39" s="2"/>
      <c r="AC39" s="2"/>
      <c r="AD39" s="2"/>
      <c r="AE39" s="2"/>
      <c r="AF39" s="2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</row>
    <row r="40" spans="2:145" x14ac:dyDescent="0.25">
      <c r="B40" s="3" t="s">
        <v>59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>
        <v>152863</v>
      </c>
      <c r="Z40" s="2"/>
      <c r="AA40" s="2"/>
      <c r="AB40" s="2"/>
      <c r="AC40" s="2"/>
      <c r="AD40" s="2"/>
      <c r="AE40" s="2"/>
      <c r="AF40" s="2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</row>
    <row r="41" spans="2:145" x14ac:dyDescent="0.25">
      <c r="B41" s="3" t="s">
        <v>60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>
        <v>20528</v>
      </c>
      <c r="Z41" s="2"/>
      <c r="AA41" s="2"/>
      <c r="AB41" s="2"/>
      <c r="AC41" s="2"/>
      <c r="AD41" s="2"/>
      <c r="AE41" s="2"/>
      <c r="AF41" s="2"/>
      <c r="AQ41" s="1"/>
      <c r="AR41" s="1"/>
      <c r="AS41" s="1"/>
      <c r="AT41" s="1"/>
      <c r="AU41" s="1" t="s">
        <v>105</v>
      </c>
      <c r="AV41" s="1">
        <f>NPV(AV37,AT20:EO20)</f>
        <v>5647054.0303178318</v>
      </c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</row>
    <row r="42" spans="2:145" x14ac:dyDescent="0.25">
      <c r="B42" s="3" t="s">
        <v>61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>
        <f>119374+26751</f>
        <v>146125</v>
      </c>
      <c r="Z42" s="2"/>
      <c r="AA42" s="2"/>
      <c r="AB42" s="2"/>
      <c r="AC42" s="2"/>
      <c r="AD42" s="2"/>
      <c r="AE42" s="2"/>
      <c r="AF42" s="2"/>
      <c r="AQ42" s="1"/>
      <c r="AR42" s="1"/>
      <c r="AS42" s="1"/>
      <c r="AT42" s="1"/>
      <c r="AU42" s="1" t="s">
        <v>106</v>
      </c>
      <c r="AV42" s="1">
        <f>+AV41/Main!K5</f>
        <v>759.72743580221061</v>
      </c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</row>
    <row r="43" spans="2:145" x14ac:dyDescent="0.25">
      <c r="B43" s="3" t="s">
        <v>62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>
        <f>37783</f>
        <v>37783</v>
      </c>
      <c r="Z43" s="2"/>
      <c r="AA43" s="2"/>
      <c r="AB43" s="2"/>
      <c r="AC43" s="2"/>
      <c r="AD43" s="2"/>
      <c r="AE43" s="2"/>
      <c r="AF43" s="2"/>
      <c r="AQ43" s="1"/>
      <c r="AR43" s="1"/>
      <c r="AS43" s="1"/>
      <c r="AT43" s="1"/>
      <c r="AU43" s="1" t="s">
        <v>107</v>
      </c>
      <c r="AV43" s="2">
        <v>517</v>
      </c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</row>
    <row r="44" spans="2:145" x14ac:dyDescent="0.25">
      <c r="B44" s="3" t="s">
        <v>63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>
        <f>SUM(Y35:Y43)</f>
        <v>523003</v>
      </c>
      <c r="Z44" s="2"/>
      <c r="AA44" s="2"/>
      <c r="AB44" s="2"/>
      <c r="AC44" s="2"/>
      <c r="AD44" s="2"/>
      <c r="AE44" s="2"/>
      <c r="AF44" s="2"/>
      <c r="AQ44" s="1"/>
      <c r="AR44" s="1"/>
      <c r="AS44" s="1"/>
      <c r="AT44" s="1"/>
      <c r="AU44" s="1" t="s">
        <v>108</v>
      </c>
      <c r="AV44" s="8">
        <f>AV42/AV43-1</f>
        <v>0.46949213888241892</v>
      </c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</row>
    <row r="45" spans="2:145" x14ac:dyDescent="0.25"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</row>
    <row r="46" spans="2:145" x14ac:dyDescent="0.25">
      <c r="B46" s="3" t="s">
        <v>64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>
        <v>22768</v>
      </c>
      <c r="Z46" s="2"/>
      <c r="AA46" s="2"/>
      <c r="AB46" s="2"/>
      <c r="AC46" s="2"/>
      <c r="AD46" s="2"/>
      <c r="AE46" s="2"/>
      <c r="AF46" s="2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</row>
    <row r="47" spans="2:145" x14ac:dyDescent="0.25">
      <c r="B47" s="3" t="s">
        <v>65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>
        <v>8326</v>
      </c>
      <c r="Z47" s="2"/>
      <c r="AA47" s="2"/>
      <c r="AB47" s="2"/>
      <c r="AC47" s="2"/>
      <c r="AD47" s="2"/>
      <c r="AE47" s="2"/>
      <c r="AF47" s="2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</row>
    <row r="48" spans="2:145" x14ac:dyDescent="0.25">
      <c r="B48" s="3" t="s">
        <v>83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>
        <f>53026+2663</f>
        <v>55689</v>
      </c>
      <c r="Z48" s="2"/>
      <c r="AA48" s="2"/>
      <c r="AB48" s="2"/>
      <c r="AC48" s="2"/>
      <c r="AD48" s="2"/>
      <c r="AE48" s="2"/>
      <c r="AF48" s="2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</row>
    <row r="49" spans="2:95" x14ac:dyDescent="0.25">
      <c r="B49" s="3" t="s">
        <v>84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>
        <v>19114</v>
      </c>
      <c r="Z49" s="2"/>
      <c r="AA49" s="2"/>
      <c r="AB49" s="2"/>
      <c r="AC49" s="2"/>
      <c r="AD49" s="2"/>
      <c r="AE49" s="2"/>
      <c r="AF49" s="2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</row>
    <row r="50" spans="2:95" x14ac:dyDescent="0.25">
      <c r="B50" s="3" t="s">
        <v>83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</row>
    <row r="51" spans="2:95" x14ac:dyDescent="0.25">
      <c r="B51" s="3" t="s">
        <v>55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>
        <f>24452+9717+2581</f>
        <v>36750</v>
      </c>
      <c r="Z51" s="2"/>
      <c r="AA51" s="2"/>
      <c r="AB51" s="2"/>
      <c r="AC51" s="2"/>
      <c r="AD51" s="2"/>
      <c r="AE51" s="2"/>
      <c r="AF51" s="2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</row>
    <row r="52" spans="2:95" x14ac:dyDescent="0.25">
      <c r="B52" s="3" t="s">
        <v>4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>
        <f>0+42868+2249</f>
        <v>45117</v>
      </c>
      <c r="Z52" s="2"/>
      <c r="AA52" s="2"/>
      <c r="AB52" s="2"/>
      <c r="AC52" s="2"/>
      <c r="AD52" s="2"/>
      <c r="AE52" s="2"/>
      <c r="AF52" s="2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</row>
    <row r="53" spans="2:95" x14ac:dyDescent="0.25">
      <c r="B53" s="3" t="s">
        <v>66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>
        <v>16361</v>
      </c>
      <c r="Z53" s="2"/>
      <c r="AA53" s="2"/>
      <c r="AB53" s="2"/>
      <c r="AC53" s="2"/>
      <c r="AD53" s="2"/>
      <c r="AE53" s="2"/>
      <c r="AF53" s="2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</row>
    <row r="54" spans="2:95" x14ac:dyDescent="0.25">
      <c r="B54" s="3" t="s">
        <v>67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1">
        <v>31165</v>
      </c>
      <c r="Z54" s="2"/>
      <c r="AA54" s="2"/>
      <c r="AB54" s="2"/>
      <c r="AC54" s="2"/>
      <c r="AD54" s="2"/>
      <c r="AE54" s="2"/>
      <c r="AF54" s="2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</row>
    <row r="55" spans="2:95" x14ac:dyDescent="0.25">
      <c r="B55" s="3" t="s">
        <v>68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>
        <f>102976+188929-4182</f>
        <v>287723</v>
      </c>
      <c r="Z55" s="2"/>
      <c r="AA55" s="2"/>
      <c r="AB55" s="2"/>
      <c r="AC55" s="2"/>
      <c r="AD55" s="2"/>
      <c r="AE55" s="2"/>
      <c r="AF55" s="2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</row>
    <row r="56" spans="2:95" x14ac:dyDescent="0.25">
      <c r="B56" s="3" t="s">
        <v>69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>
        <f>SUM(Y46:Y55)</f>
        <v>523013</v>
      </c>
      <c r="Z56" s="2"/>
      <c r="AA56" s="2"/>
      <c r="AB56" s="2"/>
      <c r="AC56" s="2"/>
      <c r="AD56" s="2"/>
      <c r="AE56" s="2"/>
      <c r="AF56" s="2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</row>
    <row r="57" spans="2:95" x14ac:dyDescent="0.25"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</row>
    <row r="58" spans="2:95" x14ac:dyDescent="0.25">
      <c r="B58" s="3" t="s">
        <v>70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</row>
    <row r="59" spans="2:95" x14ac:dyDescent="0.25">
      <c r="B59" s="3" t="s">
        <v>71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</row>
    <row r="60" spans="2:95" x14ac:dyDescent="0.25">
      <c r="B60" s="3" t="s">
        <v>72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</row>
    <row r="61" spans="2:95" x14ac:dyDescent="0.25">
      <c r="B61" s="3" t="s">
        <v>73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</row>
    <row r="62" spans="2:95" x14ac:dyDescent="0.25">
      <c r="B62" s="3" t="s">
        <v>74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</row>
    <row r="63" spans="2:95" x14ac:dyDescent="0.25">
      <c r="B63" s="3" t="s">
        <v>58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</row>
    <row r="64" spans="2:95" x14ac:dyDescent="0.25">
      <c r="B64" s="3" t="s">
        <v>75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</row>
    <row r="65" spans="2:95" x14ac:dyDescent="0.25">
      <c r="B65" s="3" t="s">
        <v>43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</row>
    <row r="66" spans="2:95" x14ac:dyDescent="0.25">
      <c r="B66" s="3" t="s">
        <v>76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</row>
    <row r="67" spans="2:95" x14ac:dyDescent="0.25">
      <c r="B67" s="3" t="s">
        <v>77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</row>
    <row r="68" spans="2:95" x14ac:dyDescent="0.25"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</row>
    <row r="69" spans="2:95" x14ac:dyDescent="0.25">
      <c r="B69" s="3" t="s">
        <v>78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</row>
    <row r="70" spans="2:95" x14ac:dyDescent="0.25">
      <c r="B70" s="3" t="s">
        <v>79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</row>
    <row r="71" spans="2:95" x14ac:dyDescent="0.25">
      <c r="B71" s="3" t="s">
        <v>80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</row>
    <row r="72" spans="2:95" x14ac:dyDescent="0.25">
      <c r="B72" s="3" t="s">
        <v>43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</row>
    <row r="73" spans="2:95" x14ac:dyDescent="0.25">
      <c r="B73" s="3" t="s">
        <v>81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</row>
    <row r="74" spans="2:95" x14ac:dyDescent="0.25"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2:95" x14ac:dyDescent="0.25"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2:95" x14ac:dyDescent="0.25"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2:95" x14ac:dyDescent="0.25"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2:95" x14ac:dyDescent="0.25"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2:95" x14ac:dyDescent="0.25"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2:95" x14ac:dyDescent="0.25"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2:32" x14ac:dyDescent="0.25"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2:32" x14ac:dyDescent="0.25"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2:32" x14ac:dyDescent="0.25"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2:32" x14ac:dyDescent="0.25"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2:32" x14ac:dyDescent="0.25"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2:32" x14ac:dyDescent="0.25"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2:32" x14ac:dyDescent="0.25"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2:32" x14ac:dyDescent="0.25"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2:32" x14ac:dyDescent="0.25"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spans="2:32" x14ac:dyDescent="0.25"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spans="2:32" x14ac:dyDescent="0.25"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spans="2:32" x14ac:dyDescent="0.25"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spans="2:32" x14ac:dyDescent="0.25"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spans="2:32" x14ac:dyDescent="0.25"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spans="2:32" x14ac:dyDescent="0.25"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spans="2:32" x14ac:dyDescent="0.25"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spans="2:32" x14ac:dyDescent="0.25"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spans="2:32" x14ac:dyDescent="0.25"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spans="2:32" x14ac:dyDescent="0.25"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spans="2:32" x14ac:dyDescent="0.25"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spans="2:32" x14ac:dyDescent="0.25"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spans="2:32" x14ac:dyDescent="0.25"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spans="2:32" x14ac:dyDescent="0.25"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spans="2:32" x14ac:dyDescent="0.25"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spans="2:32" x14ac:dyDescent="0.25"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spans="2:32" x14ac:dyDescent="0.25"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spans="2:32" x14ac:dyDescent="0.25"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spans="2:32" x14ac:dyDescent="0.25"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spans="2:32" x14ac:dyDescent="0.25"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spans="2:32" x14ac:dyDescent="0.25"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 spans="2:32" x14ac:dyDescent="0.25"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spans="2:32" x14ac:dyDescent="0.25"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spans="2:32" x14ac:dyDescent="0.25"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spans="2:32" x14ac:dyDescent="0.25"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spans="2:32" x14ac:dyDescent="0.25"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spans="2:32" x14ac:dyDescent="0.25"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spans="2:32" x14ac:dyDescent="0.25"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spans="2:32" x14ac:dyDescent="0.25"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spans="2:32" x14ac:dyDescent="0.25"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spans="2:32" x14ac:dyDescent="0.25"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spans="2:32" x14ac:dyDescent="0.25"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spans="2:32" x14ac:dyDescent="0.25"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spans="2:32" x14ac:dyDescent="0.25"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spans="2:32" x14ac:dyDescent="0.25"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spans="2:32" x14ac:dyDescent="0.25"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spans="2:32" x14ac:dyDescent="0.25"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spans="2:32" x14ac:dyDescent="0.25"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spans="2:32" x14ac:dyDescent="0.25"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spans="2:32" x14ac:dyDescent="0.25"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spans="2:32" x14ac:dyDescent="0.25"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spans="2:32" x14ac:dyDescent="0.25"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spans="2:32" x14ac:dyDescent="0.25"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spans="2:32" x14ac:dyDescent="0.25"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spans="2:32" x14ac:dyDescent="0.25"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spans="2:32" x14ac:dyDescent="0.25"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spans="2:32" x14ac:dyDescent="0.25"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spans="2:32" x14ac:dyDescent="0.25"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spans="2:32" x14ac:dyDescent="0.25"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spans="2:32" x14ac:dyDescent="0.25"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spans="2:32" x14ac:dyDescent="0.25"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spans="2:32" x14ac:dyDescent="0.25"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spans="2:32" x14ac:dyDescent="0.25"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 spans="2:32" x14ac:dyDescent="0.25"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spans="2:32" x14ac:dyDescent="0.25"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spans="2:32" x14ac:dyDescent="0.25"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spans="2:32" x14ac:dyDescent="0.25"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spans="2:32" x14ac:dyDescent="0.25"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spans="2:32" x14ac:dyDescent="0.25"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spans="2:32" x14ac:dyDescent="0.25"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spans="2:32" x14ac:dyDescent="0.25"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 spans="2:32" x14ac:dyDescent="0.25"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 spans="2:32" x14ac:dyDescent="0.25"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spans="2:32" x14ac:dyDescent="0.25"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 spans="2:32" x14ac:dyDescent="0.25"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 spans="2:32" x14ac:dyDescent="0.25"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 spans="2:32" x14ac:dyDescent="0.25"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 spans="2:32" x14ac:dyDescent="0.25"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 spans="2:32" x14ac:dyDescent="0.25"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 spans="2:32" x14ac:dyDescent="0.25"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 spans="2:32" x14ac:dyDescent="0.25"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 spans="2:32" x14ac:dyDescent="0.25"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 spans="2:32" x14ac:dyDescent="0.25"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 spans="2:32" x14ac:dyDescent="0.25"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 spans="2:32" x14ac:dyDescent="0.25"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 spans="2:32" x14ac:dyDescent="0.25"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spans="2:32" x14ac:dyDescent="0.25"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spans="2:32" x14ac:dyDescent="0.25"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spans="2:32" x14ac:dyDescent="0.25"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spans="2:32" x14ac:dyDescent="0.25"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spans="2:32" x14ac:dyDescent="0.25"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spans="2:32" x14ac:dyDescent="0.25"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spans="2:32" x14ac:dyDescent="0.25"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spans="2:32" x14ac:dyDescent="0.25"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spans="2:32" x14ac:dyDescent="0.25"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spans="2:32" x14ac:dyDescent="0.25"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spans="2:32" x14ac:dyDescent="0.25"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spans="2:32" x14ac:dyDescent="0.25"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spans="2:32" x14ac:dyDescent="0.25"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spans="2:32" x14ac:dyDescent="0.25"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spans="2:32" x14ac:dyDescent="0.25"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spans="2:32" x14ac:dyDescent="0.25"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spans="2:32" x14ac:dyDescent="0.25"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spans="2:32" x14ac:dyDescent="0.25"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spans="2:32" x14ac:dyDescent="0.25"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spans="2:32" x14ac:dyDescent="0.25"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spans="2:32" x14ac:dyDescent="0.25"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spans="2:32" x14ac:dyDescent="0.25"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spans="2:32" x14ac:dyDescent="0.25"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spans="2:32" x14ac:dyDescent="0.25"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spans="2:32" x14ac:dyDescent="0.25"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spans="2:32" x14ac:dyDescent="0.25"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spans="2:32" x14ac:dyDescent="0.25"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spans="2:32" x14ac:dyDescent="0.25"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spans="2:32" x14ac:dyDescent="0.25"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spans="2:32" x14ac:dyDescent="0.25"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spans="2:32" x14ac:dyDescent="0.25"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spans="2:32" x14ac:dyDescent="0.25"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spans="2:32" x14ac:dyDescent="0.25"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spans="2:32" x14ac:dyDescent="0.25"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spans="2:32" x14ac:dyDescent="0.25"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spans="2:32" x14ac:dyDescent="0.25">
      <c r="B201" s="3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spans="2:32" x14ac:dyDescent="0.25">
      <c r="B202" s="3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spans="2:32" x14ac:dyDescent="0.25">
      <c r="B203" s="3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spans="2:32" x14ac:dyDescent="0.25">
      <c r="B204" s="3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spans="2:32" x14ac:dyDescent="0.25">
      <c r="B205" s="3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spans="2:32" x14ac:dyDescent="0.25">
      <c r="B206" s="3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spans="2:32" x14ac:dyDescent="0.25">
      <c r="B207" s="3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spans="2:32" x14ac:dyDescent="0.25">
      <c r="B208" s="3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spans="2:32" x14ac:dyDescent="0.25">
      <c r="B209" s="3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spans="2:32" x14ac:dyDescent="0.25">
      <c r="B210" s="3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spans="2:32" x14ac:dyDescent="0.25">
      <c r="B211" s="3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spans="2:32" x14ac:dyDescent="0.25">
      <c r="B212" s="3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spans="2:32" x14ac:dyDescent="0.25">
      <c r="B213" s="3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spans="2:32" x14ac:dyDescent="0.25">
      <c r="B214" s="3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spans="2:32" x14ac:dyDescent="0.25">
      <c r="B215" s="3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spans="2:32" x14ac:dyDescent="0.25">
      <c r="B216" s="3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spans="2:32" x14ac:dyDescent="0.25">
      <c r="B217" s="3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spans="2:32" x14ac:dyDescent="0.25">
      <c r="B218" s="3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spans="2:32" x14ac:dyDescent="0.25">
      <c r="B219" s="3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spans="2:32" x14ac:dyDescent="0.25">
      <c r="B220" s="3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spans="2:32" x14ac:dyDescent="0.25">
      <c r="B221" s="3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spans="2:32" x14ac:dyDescent="0.25">
      <c r="B222" s="3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 spans="2:32" x14ac:dyDescent="0.25">
      <c r="B223" s="3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spans="2:32" x14ac:dyDescent="0.25">
      <c r="B224" s="3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spans="2:32" x14ac:dyDescent="0.25">
      <c r="B225" s="3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spans="2:32" x14ac:dyDescent="0.25">
      <c r="B226" s="3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 spans="2:32" x14ac:dyDescent="0.25">
      <c r="B227" s="3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 spans="2:32" x14ac:dyDescent="0.25">
      <c r="B228" s="3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 spans="2:32" x14ac:dyDescent="0.25">
      <c r="B229" s="3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 spans="2:32" x14ac:dyDescent="0.25">
      <c r="B230" s="3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 spans="2:32" x14ac:dyDescent="0.25">
      <c r="B231" s="3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 spans="2:32" x14ac:dyDescent="0.25">
      <c r="B232" s="3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 spans="2:32" x14ac:dyDescent="0.25">
      <c r="B233" s="3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 spans="2:32" x14ac:dyDescent="0.25">
      <c r="B234" s="3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 spans="2:32" x14ac:dyDescent="0.25">
      <c r="B235" s="3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 spans="2:32" x14ac:dyDescent="0.25">
      <c r="B236" s="3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 spans="2:32" x14ac:dyDescent="0.25">
      <c r="B237" s="3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 spans="2:32" x14ac:dyDescent="0.25">
      <c r="B238" s="3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 spans="2:32" x14ac:dyDescent="0.25">
      <c r="B239" s="3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 spans="2:32" x14ac:dyDescent="0.25">
      <c r="B240" s="3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 spans="2:32" x14ac:dyDescent="0.25">
      <c r="B241" s="3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 spans="2:32" x14ac:dyDescent="0.25">
      <c r="B242" s="3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 spans="2:32" x14ac:dyDescent="0.25">
      <c r="B243" s="3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 spans="2:32" x14ac:dyDescent="0.25">
      <c r="B244" s="3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 spans="2:32" x14ac:dyDescent="0.25">
      <c r="B245" s="3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 spans="2:32" x14ac:dyDescent="0.25">
      <c r="B246" s="3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 spans="2:32" x14ac:dyDescent="0.25">
      <c r="B247" s="3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 spans="2:32" x14ac:dyDescent="0.25">
      <c r="B248" s="3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 spans="2:32" x14ac:dyDescent="0.25">
      <c r="B249" s="3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 spans="2:32" x14ac:dyDescent="0.25">
      <c r="B250" s="3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 spans="2:32" x14ac:dyDescent="0.25">
      <c r="B251" s="3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 spans="2:32" x14ac:dyDescent="0.25">
      <c r="B252" s="3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 spans="2:32" x14ac:dyDescent="0.25">
      <c r="B253" s="3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 spans="2:32" x14ac:dyDescent="0.25">
      <c r="B254" s="3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 spans="2:32" x14ac:dyDescent="0.25">
      <c r="B255" s="3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 spans="2:32" x14ac:dyDescent="0.25">
      <c r="B256" s="3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 spans="2:32" x14ac:dyDescent="0.25">
      <c r="B257" s="3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 spans="2:32" x14ac:dyDescent="0.25">
      <c r="B258" s="3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 spans="2:32" x14ac:dyDescent="0.25">
      <c r="B259" s="3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 spans="2:32" x14ac:dyDescent="0.25">
      <c r="B260" s="3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 spans="2:32" x14ac:dyDescent="0.25">
      <c r="B261" s="3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 spans="2:32" x14ac:dyDescent="0.25">
      <c r="B262" s="3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 spans="2:32" x14ac:dyDescent="0.25">
      <c r="B263" s="3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 spans="2:32" x14ac:dyDescent="0.25">
      <c r="B264" s="3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 spans="2:32" x14ac:dyDescent="0.25">
      <c r="B265" s="3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 spans="2:32" x14ac:dyDescent="0.25">
      <c r="B266" s="3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 spans="2:32" x14ac:dyDescent="0.25">
      <c r="B267" s="3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 spans="2:32" x14ac:dyDescent="0.25">
      <c r="B268" s="3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 spans="2:32" x14ac:dyDescent="0.25">
      <c r="B269" s="3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 spans="2:32" x14ac:dyDescent="0.25">
      <c r="B270" s="3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 spans="2:32" x14ac:dyDescent="0.25">
      <c r="B271" s="3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 spans="2:32" x14ac:dyDescent="0.25">
      <c r="B272" s="3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 spans="2:32" x14ac:dyDescent="0.25">
      <c r="B273" s="3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 spans="2:32" x14ac:dyDescent="0.25">
      <c r="B274" s="3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 spans="2:32" x14ac:dyDescent="0.25">
      <c r="B275" s="3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 spans="2:32" x14ac:dyDescent="0.25">
      <c r="B276" s="3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 spans="2:32" x14ac:dyDescent="0.25">
      <c r="B277" s="3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 spans="2:32" x14ac:dyDescent="0.25">
      <c r="B278" s="3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 spans="2:32" x14ac:dyDescent="0.25">
      <c r="B279" s="3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 spans="2:32" x14ac:dyDescent="0.25">
      <c r="B280" s="3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 spans="2:32" x14ac:dyDescent="0.25">
      <c r="B281" s="3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 spans="2:32" x14ac:dyDescent="0.25">
      <c r="B282" s="3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 spans="2:32" x14ac:dyDescent="0.25">
      <c r="B283" s="3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 spans="2:32" x14ac:dyDescent="0.25">
      <c r="B284" s="3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 spans="2:32" x14ac:dyDescent="0.25">
      <c r="B285" s="3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 spans="2:32" x14ac:dyDescent="0.25">
      <c r="B286" s="3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 spans="2:32" x14ac:dyDescent="0.25">
      <c r="B287" s="3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 spans="2:32" x14ac:dyDescent="0.25">
      <c r="B288" s="3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 spans="2:32" x14ac:dyDescent="0.25">
      <c r="B289" s="3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 spans="2:32" x14ac:dyDescent="0.25">
      <c r="B290" s="3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 spans="2:32" x14ac:dyDescent="0.25">
      <c r="B291" s="3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 spans="2:32" x14ac:dyDescent="0.25">
      <c r="B292" s="3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 spans="2:32" x14ac:dyDescent="0.25">
      <c r="B293" s="3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 spans="2:32" x14ac:dyDescent="0.25">
      <c r="B294" s="3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 spans="2:32" x14ac:dyDescent="0.25">
      <c r="B295" s="3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 spans="2:32" x14ac:dyDescent="0.25">
      <c r="B296" s="3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 spans="2:32" x14ac:dyDescent="0.25">
      <c r="B297" s="3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 spans="2:32" x14ac:dyDescent="0.25">
      <c r="B298" s="3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 spans="2:32" x14ac:dyDescent="0.25">
      <c r="B299" s="3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 spans="2:32" x14ac:dyDescent="0.25">
      <c r="B300" s="3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 spans="2:32" x14ac:dyDescent="0.25">
      <c r="B301" s="3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 spans="2:32" x14ac:dyDescent="0.25">
      <c r="B302" s="3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 spans="2:32" x14ac:dyDescent="0.25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spans="2:32" x14ac:dyDescent="0.25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spans="2:30" x14ac:dyDescent="0.25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spans="2:30" x14ac:dyDescent="0.25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1048570" spans="5:14" x14ac:dyDescent="0.25">
      <c r="E1048570" s="2"/>
      <c r="F1048570" s="2"/>
      <c r="G1048570" s="2"/>
      <c r="H1048570" s="2"/>
      <c r="I1048570" s="2"/>
      <c r="J1048570" s="2"/>
      <c r="K1048570" s="2"/>
      <c r="L1048570" s="2"/>
      <c r="M1048570" s="2"/>
      <c r="N1048570" s="2"/>
    </row>
    <row r="1048571" spans="5:14" x14ac:dyDescent="0.25">
      <c r="E1048571" s="2"/>
      <c r="F1048571" s="2"/>
      <c r="G1048571" s="2"/>
      <c r="H1048571" s="2"/>
      <c r="I1048571" s="2"/>
      <c r="J1048571" s="2"/>
      <c r="K1048571" s="2"/>
      <c r="L1048571" s="2"/>
      <c r="M1048571" s="2"/>
      <c r="N1048571" s="2"/>
    </row>
    <row r="1048572" spans="5:14" x14ac:dyDescent="0.25">
      <c r="E1048572" s="2"/>
      <c r="F1048572" s="2"/>
      <c r="G1048572" s="2"/>
      <c r="H1048572" s="2"/>
      <c r="I1048572" s="2"/>
      <c r="J1048572" s="2"/>
      <c r="K1048572" s="2"/>
      <c r="L1048572" s="2"/>
      <c r="M1048572" s="2"/>
      <c r="N1048572" s="2"/>
    </row>
    <row r="1048573" spans="5:14" x14ac:dyDescent="0.25">
      <c r="E1048573" s="2"/>
      <c r="F1048573" s="2"/>
      <c r="G1048573" s="2"/>
      <c r="H1048573" s="2"/>
      <c r="I1048573" s="2"/>
      <c r="J1048573" s="2"/>
      <c r="K1048573" s="2"/>
      <c r="L1048573" s="2"/>
      <c r="M1048573" s="2"/>
      <c r="N1048573" s="2"/>
    </row>
    <row r="1048574" spans="5:14" x14ac:dyDescent="0.25">
      <c r="E1048574" s="2"/>
      <c r="F1048574" s="2"/>
      <c r="G1048574" s="2"/>
      <c r="H1048574" s="2"/>
      <c r="I1048574" s="2"/>
      <c r="J1048574" s="2"/>
      <c r="K1048574" s="2"/>
      <c r="L1048574" s="2"/>
      <c r="M1048574" s="2"/>
      <c r="N1048574" s="2"/>
    </row>
    <row r="1048575" spans="5:14" x14ac:dyDescent="0.25">
      <c r="E1048575" s="2"/>
      <c r="F1048575" s="2"/>
      <c r="G1048575" s="2"/>
      <c r="H1048575" s="2"/>
      <c r="I1048575" s="2"/>
      <c r="J1048575" s="2"/>
      <c r="K1048575" s="2"/>
      <c r="L1048575" s="2"/>
      <c r="M1048575" s="2"/>
      <c r="N1048575" s="2"/>
    </row>
    <row r="1048576" spans="5:14" x14ac:dyDescent="0.25">
      <c r="E1048576" s="2"/>
      <c r="F1048576" s="2"/>
      <c r="G1048576" s="2"/>
      <c r="H1048576" s="2"/>
      <c r="I1048576" s="2"/>
      <c r="J1048576" s="2"/>
      <c r="K1048576" s="2"/>
      <c r="L1048576" s="2"/>
      <c r="M1048576" s="2"/>
      <c r="N1048576" s="2"/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 V S SILVIU-MARIAN</dc:creator>
  <cp:lastModifiedBy>Coca Silviu</cp:lastModifiedBy>
  <dcterms:created xsi:type="dcterms:W3CDTF">2025-09-21T21:05:27Z</dcterms:created>
  <dcterms:modified xsi:type="dcterms:W3CDTF">2025-10-06T13:26:42Z</dcterms:modified>
</cp:coreProperties>
</file>