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simone/Downloads/"/>
    </mc:Choice>
  </mc:AlternateContent>
  <xr:revisionPtr revIDLastSave="0" documentId="13_ncr:1_{8660902E-3A58-A341-B24A-86A178C42E9E}" xr6:coauthVersionLast="47" xr6:coauthVersionMax="47" xr10:uidLastSave="{00000000-0000-0000-0000-000000000000}"/>
  <bookViews>
    <workbookView xWindow="0" yWindow="0" windowWidth="28800" windowHeight="18000" activeTab="2" xr2:uid="{00000000-000D-0000-FFFF-FFFF00000000}"/>
  </bookViews>
  <sheets>
    <sheet name="Bilancio di Verifica" sheetId="17" r:id="rId1"/>
    <sheet name="Piano dei conti" sheetId="16" r:id="rId2"/>
    <sheet name="Libro Mastro" sheetId="3" r:id="rId3"/>
    <sheet name="Libro Giornale" sheetId="4" r:id="rId4"/>
    <sheet name="Scritture di riclassificazione" sheetId="18" r:id="rId5"/>
    <sheet name="Scritture di riepilogo" sheetId="19" r:id="rId6"/>
    <sheet name="Scritture finali" sheetId="20" r:id="rId7"/>
    <sheet name="Scritture di apertura" sheetId="21" r:id="rId8"/>
    <sheet name="Piani di Ammortamento" sheetId="22" r:id="rId9"/>
    <sheet name="TFR" sheetId="24" r:id="rId10"/>
    <sheet name="Lavori in corso su ordinazione" sheetId="23" r:id="rId11"/>
    <sheet name="Costo ammortizzato" sheetId="25" r:id="rId12"/>
    <sheet name="Operazione in valuta" sheetId="26" r:id="rId13"/>
    <sheet name="Leasing" sheetId="27" r:id="rId14"/>
    <sheet name="Rimanenze" sheetId="28" r:id="rId15"/>
    <sheet name="Titoli" sheetId="29" r:id="rId16"/>
    <sheet name="Riparto utile" sheetId="30" r:id="rId17"/>
    <sheet name="Conto Economico" sheetId="12" r:id="rId18"/>
    <sheet name="Stato Patrimoniale" sheetId="13" r:id="rId19"/>
  </sheets>
  <externalReferences>
    <externalReference r:id="rId20"/>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3" l="1"/>
  <c r="B62" i="13"/>
  <c r="B59" i="13"/>
  <c r="B32" i="13"/>
  <c r="B112" i="13"/>
  <c r="B110" i="13"/>
  <c r="B105" i="13"/>
  <c r="B85" i="13"/>
  <c r="B78" i="13"/>
  <c r="B77" i="13"/>
  <c r="E44" i="12"/>
  <c r="E57" i="12" s="1"/>
  <c r="E30" i="12"/>
  <c r="C16" i="30" l="1"/>
  <c r="C11" i="30" l="1"/>
  <c r="C12" i="30"/>
  <c r="C6" i="29"/>
  <c r="E6" i="29" s="1"/>
  <c r="F6" i="29" s="1"/>
  <c r="E7" i="29"/>
  <c r="F7" i="29"/>
  <c r="E8" i="29"/>
  <c r="E11" i="29" s="1"/>
  <c r="F11" i="29" s="1"/>
  <c r="E9" i="29"/>
  <c r="D10" i="29"/>
  <c r="E10" i="29"/>
  <c r="D11" i="29"/>
  <c r="E12" i="29"/>
  <c r="E15" i="29" s="1"/>
  <c r="E13" i="29"/>
  <c r="C14" i="29"/>
  <c r="D14" i="29"/>
  <c r="E14" i="29"/>
  <c r="D15" i="29"/>
  <c r="E16" i="29"/>
  <c r="F16" i="29" s="1"/>
  <c r="E17" i="29"/>
  <c r="F17" i="29"/>
  <c r="C27" i="29"/>
  <c r="E27" i="29"/>
  <c r="F27" i="29"/>
  <c r="E28" i="29"/>
  <c r="F28" i="29"/>
  <c r="E29" i="29"/>
  <c r="D30" i="29"/>
  <c r="E30" i="29"/>
  <c r="D31" i="29"/>
  <c r="E31" i="29"/>
  <c r="F31" i="29" s="1"/>
  <c r="E32" i="29"/>
  <c r="C33" i="29"/>
  <c r="D33" i="29"/>
  <c r="E33" i="29"/>
  <c r="D34" i="29"/>
  <c r="E34" i="29"/>
  <c r="J29" i="29" s="1"/>
  <c r="F34" i="29"/>
  <c r="E35" i="29"/>
  <c r="J28" i="29" s="1"/>
  <c r="J30" i="29" s="1"/>
  <c r="E36" i="29"/>
  <c r="F36" i="29"/>
  <c r="C6" i="28"/>
  <c r="E6" i="28" s="1"/>
  <c r="E7" i="28"/>
  <c r="J7" i="28"/>
  <c r="L7" i="28"/>
  <c r="E8" i="28"/>
  <c r="J8" i="28"/>
  <c r="L8" i="28"/>
  <c r="E9" i="28"/>
  <c r="J9" i="28"/>
  <c r="L9" i="28"/>
  <c r="D10" i="28"/>
  <c r="E10" i="28"/>
  <c r="D11" i="28"/>
  <c r="E11" i="28"/>
  <c r="E12" i="28"/>
  <c r="E15" i="28" s="1"/>
  <c r="E13" i="28"/>
  <c r="C14" i="28"/>
  <c r="D14" i="28"/>
  <c r="E14" i="28"/>
  <c r="D15" i="28"/>
  <c r="D16" i="28"/>
  <c r="E16" i="28"/>
  <c r="C25" i="28"/>
  <c r="E25" i="28"/>
  <c r="E26" i="28"/>
  <c r="J26" i="28"/>
  <c r="L26" i="28"/>
  <c r="E27" i="28"/>
  <c r="J27" i="28"/>
  <c r="L27" i="28"/>
  <c r="E28" i="28"/>
  <c r="J28" i="28"/>
  <c r="L28" i="28"/>
  <c r="D29" i="28"/>
  <c r="E29" i="28"/>
  <c r="D30" i="28"/>
  <c r="E30" i="28"/>
  <c r="E31" i="28"/>
  <c r="E34" i="28" s="1"/>
  <c r="E32" i="28"/>
  <c r="C33" i="28"/>
  <c r="D33" i="28"/>
  <c r="E33" i="28"/>
  <c r="D34" i="28"/>
  <c r="D35" i="28"/>
  <c r="E35" i="28"/>
  <c r="C44" i="28"/>
  <c r="E44" i="28"/>
  <c r="E45" i="28"/>
  <c r="J45" i="28"/>
  <c r="L45" i="28"/>
  <c r="E46" i="28"/>
  <c r="J46" i="28"/>
  <c r="L46" i="28"/>
  <c r="D47" i="28"/>
  <c r="E47" i="28"/>
  <c r="J47" i="28"/>
  <c r="L47" i="28"/>
  <c r="D48" i="28"/>
  <c r="E48" i="28"/>
  <c r="E49" i="28"/>
  <c r="C50" i="28"/>
  <c r="E50" i="28" s="1"/>
  <c r="D50" i="28"/>
  <c r="D51" i="28"/>
  <c r="E52" i="28"/>
  <c r="F13" i="27"/>
  <c r="E19" i="27"/>
  <c r="E20" i="27"/>
  <c r="F31" i="27"/>
  <c r="E36" i="27"/>
  <c r="E37" i="27"/>
  <c r="F48" i="27"/>
  <c r="E53" i="27"/>
  <c r="F60" i="27"/>
  <c r="F64" i="27"/>
  <c r="F84" i="27"/>
  <c r="F88" i="27"/>
  <c r="E92" i="27"/>
  <c r="F90" i="27" s="1"/>
  <c r="F98" i="27"/>
  <c r="I98" i="27"/>
  <c r="E100" i="27"/>
  <c r="E101" i="27"/>
  <c r="E109" i="27"/>
  <c r="E110" i="27"/>
  <c r="F116" i="27"/>
  <c r="F117" i="27"/>
  <c r="I118" i="27"/>
  <c r="I119" i="27" s="1"/>
  <c r="J118" i="27"/>
  <c r="J119" i="27" s="1"/>
  <c r="K118" i="27"/>
  <c r="L118" i="27"/>
  <c r="M118" i="27"/>
  <c r="M119" i="27" s="1"/>
  <c r="K119" i="27"/>
  <c r="L119" i="27"/>
  <c r="E129" i="27"/>
  <c r="F127" i="27" s="1"/>
  <c r="F133" i="27"/>
  <c r="C86" i="22"/>
  <c r="F86" i="22" s="1"/>
  <c r="H86" i="22" s="1"/>
  <c r="C82" i="22"/>
  <c r="C80" i="22"/>
  <c r="C83" i="22" s="1"/>
  <c r="D86" i="22" s="1"/>
  <c r="E5" i="26"/>
  <c r="G5" i="26"/>
  <c r="H5" i="26" s="1"/>
  <c r="E6" i="26"/>
  <c r="G6" i="26"/>
  <c r="H6" i="26"/>
  <c r="C7" i="25"/>
  <c r="B9" i="25"/>
  <c r="B10" i="25"/>
  <c r="B11" i="25"/>
  <c r="B12" i="25"/>
  <c r="B13" i="25"/>
  <c r="B14" i="25"/>
  <c r="B15" i="25"/>
  <c r="C31" i="25" s="1"/>
  <c r="B16" i="25"/>
  <c r="B17" i="25"/>
  <c r="B18" i="25"/>
  <c r="B19" i="25"/>
  <c r="B20" i="25"/>
  <c r="B21" i="25"/>
  <c r="B22" i="25"/>
  <c r="B23" i="25"/>
  <c r="B24" i="25"/>
  <c r="B25" i="25"/>
  <c r="B26" i="25"/>
  <c r="B27" i="25"/>
  <c r="B28" i="25"/>
  <c r="B29" i="25"/>
  <c r="C34" i="25"/>
  <c r="H34" i="25" s="1"/>
  <c r="C35" i="25" s="1"/>
  <c r="E35" i="25"/>
  <c r="E36" i="25" s="1"/>
  <c r="G36" i="25"/>
  <c r="E37" i="25"/>
  <c r="G37" i="25"/>
  <c r="E38" i="25"/>
  <c r="E39" i="25" s="1"/>
  <c r="G39" i="25"/>
  <c r="E40" i="25"/>
  <c r="G40" i="25"/>
  <c r="E41" i="25"/>
  <c r="E42" i="25" s="1"/>
  <c r="G42" i="25"/>
  <c r="E43" i="25"/>
  <c r="G43" i="25"/>
  <c r="E44" i="25"/>
  <c r="E45" i="25" s="1"/>
  <c r="G45" i="25"/>
  <c r="E46" i="25"/>
  <c r="G46" i="25"/>
  <c r="E47" i="25"/>
  <c r="E48" i="25" s="1"/>
  <c r="G48" i="25"/>
  <c r="E49" i="25"/>
  <c r="G49" i="25"/>
  <c r="E50" i="25"/>
  <c r="E51" i="25" s="1"/>
  <c r="G51" i="25"/>
  <c r="E52" i="25"/>
  <c r="G52" i="25"/>
  <c r="J52" i="25"/>
  <c r="E53" i="25"/>
  <c r="E54" i="25" s="1"/>
  <c r="G54" i="25"/>
  <c r="E55" i="25"/>
  <c r="G55" i="25"/>
  <c r="E56" i="25"/>
  <c r="E57" i="25" s="1"/>
  <c r="G57" i="25"/>
  <c r="E58" i="25"/>
  <c r="G58" i="25"/>
  <c r="E59" i="25"/>
  <c r="E60" i="25" s="1"/>
  <c r="G60" i="25"/>
  <c r="E61" i="25"/>
  <c r="G61" i="25"/>
  <c r="E62" i="25"/>
  <c r="E63" i="25" s="1"/>
  <c r="G63" i="25"/>
  <c r="E64" i="25"/>
  <c r="G64" i="25"/>
  <c r="C74" i="25"/>
  <c r="B76" i="25"/>
  <c r="B77" i="25"/>
  <c r="B78" i="25"/>
  <c r="B79" i="25"/>
  <c r="B80" i="25"/>
  <c r="B81" i="25"/>
  <c r="B82" i="25"/>
  <c r="B83" i="25"/>
  <c r="B84" i="25"/>
  <c r="B85" i="25"/>
  <c r="B86" i="25"/>
  <c r="B87" i="25"/>
  <c r="B88" i="25"/>
  <c r="B89" i="25"/>
  <c r="B90" i="25"/>
  <c r="B91" i="25"/>
  <c r="B92" i="25"/>
  <c r="B93" i="25"/>
  <c r="B94" i="25"/>
  <c r="B95" i="25"/>
  <c r="B96" i="25"/>
  <c r="B97" i="25"/>
  <c r="B98" i="25"/>
  <c r="B99" i="25"/>
  <c r="B100" i="25"/>
  <c r="C105" i="25"/>
  <c r="H105" i="25"/>
  <c r="C106" i="25"/>
  <c r="E119" i="25"/>
  <c r="C182" i="25"/>
  <c r="E113" i="25" s="1"/>
  <c r="C186" i="25"/>
  <c r="C187" i="25"/>
  <c r="C188" i="25"/>
  <c r="E122" i="25" s="1"/>
  <c r="C196" i="25"/>
  <c r="E134" i="25" s="1"/>
  <c r="C197" i="25"/>
  <c r="E135" i="25" s="1"/>
  <c r="C198" i="25"/>
  <c r="E137" i="25" s="1"/>
  <c r="D4" i="24"/>
  <c r="D6" i="24"/>
  <c r="D7" i="24"/>
  <c r="D9" i="24" s="1"/>
  <c r="D8" i="24"/>
  <c r="C6" i="22"/>
  <c r="D6" i="22"/>
  <c r="E6" i="22"/>
  <c r="F6" i="22"/>
  <c r="G6" i="22"/>
  <c r="H6" i="22"/>
  <c r="I6" i="22"/>
  <c r="J6" i="22"/>
  <c r="K6" i="22"/>
  <c r="L6" i="22"/>
  <c r="C7" i="22"/>
  <c r="C8" i="22" s="1"/>
  <c r="D7" i="22"/>
  <c r="D8" i="22" s="1"/>
  <c r="E7" i="22"/>
  <c r="F7" i="22" s="1"/>
  <c r="C14" i="22"/>
  <c r="D14" i="22"/>
  <c r="E14" i="22"/>
  <c r="F14" i="22"/>
  <c r="G14" i="22"/>
  <c r="G15" i="22"/>
  <c r="E15" i="22" s="1"/>
  <c r="C25" i="22"/>
  <c r="D25" i="22"/>
  <c r="D26" i="22" s="1"/>
  <c r="D27" i="22" s="1"/>
  <c r="E25" i="22"/>
  <c r="J25" i="22"/>
  <c r="F25" i="22" s="1"/>
  <c r="C26" i="22"/>
  <c r="C27" i="22"/>
  <c r="D34" i="22"/>
  <c r="C34" i="22" s="1"/>
  <c r="C35" i="22" s="1"/>
  <c r="C48" i="22"/>
  <c r="D48" i="22"/>
  <c r="E48" i="22"/>
  <c r="C49" i="22"/>
  <c r="D49" i="22"/>
  <c r="E49" i="22"/>
  <c r="C54" i="22"/>
  <c r="C55" i="22" s="1"/>
  <c r="D54" i="22"/>
  <c r="E54" i="22"/>
  <c r="F54" i="22"/>
  <c r="G54" i="22"/>
  <c r="H54" i="22"/>
  <c r="I54" i="22"/>
  <c r="J54" i="22"/>
  <c r="K54" i="22"/>
  <c r="L54" i="22"/>
  <c r="M54" i="22"/>
  <c r="C60" i="22"/>
  <c r="C61" i="22" s="1"/>
  <c r="D60" i="22"/>
  <c r="E60" i="22"/>
  <c r="F60" i="22"/>
  <c r="C70" i="22"/>
  <c r="C71" i="22" s="1"/>
  <c r="D71" i="22" s="1"/>
  <c r="E71" i="22" s="1"/>
  <c r="F71" i="22" s="1"/>
  <c r="G71" i="22" s="1"/>
  <c r="D70" i="22"/>
  <c r="E70" i="22"/>
  <c r="F70" i="22"/>
  <c r="G70" i="22"/>
  <c r="B5" i="21"/>
  <c r="E5" i="21"/>
  <c r="E6" i="21"/>
  <c r="E7" i="21"/>
  <c r="E8" i="21"/>
  <c r="E10" i="21"/>
  <c r="E11" i="21"/>
  <c r="E12" i="21"/>
  <c r="E13" i="21"/>
  <c r="E14" i="21"/>
  <c r="E15" i="21"/>
  <c r="E21" i="21"/>
  <c r="B23" i="21"/>
  <c r="E23" i="21"/>
  <c r="E26" i="21"/>
  <c r="E27" i="21"/>
  <c r="E28" i="21"/>
  <c r="B32" i="21"/>
  <c r="E35" i="21"/>
  <c r="E36" i="21"/>
  <c r="E37" i="21"/>
  <c r="E38" i="21"/>
  <c r="E39" i="21"/>
  <c r="E40" i="21"/>
  <c r="E41" i="21"/>
  <c r="E42" i="21"/>
  <c r="E43" i="21"/>
  <c r="E44" i="21"/>
  <c r="E45" i="21"/>
  <c r="E46" i="21"/>
  <c r="E47" i="21"/>
  <c r="E48" i="21"/>
  <c r="E49" i="21"/>
  <c r="E50" i="21"/>
  <c r="E51" i="21"/>
  <c r="E52" i="21"/>
  <c r="E53" i="21"/>
  <c r="E54" i="21"/>
  <c r="D56" i="21"/>
  <c r="E56" i="21"/>
  <c r="E56" i="20"/>
  <c r="B56" i="20"/>
  <c r="E54" i="20"/>
  <c r="E53" i="20"/>
  <c r="E52" i="20"/>
  <c r="E51" i="20"/>
  <c r="E50" i="20"/>
  <c r="E49" i="20"/>
  <c r="E48" i="20"/>
  <c r="E47" i="20"/>
  <c r="E46" i="20"/>
  <c r="E45" i="20"/>
  <c r="E44" i="20"/>
  <c r="E43" i="20"/>
  <c r="E42" i="20"/>
  <c r="E41" i="20"/>
  <c r="E40" i="20"/>
  <c r="E39" i="20"/>
  <c r="E38" i="20"/>
  <c r="E37" i="20"/>
  <c r="E36" i="20"/>
  <c r="E35" i="20"/>
  <c r="D32" i="20"/>
  <c r="E28" i="20"/>
  <c r="E27" i="20"/>
  <c r="E26" i="20"/>
  <c r="E23" i="20"/>
  <c r="D23" i="20"/>
  <c r="E21" i="20"/>
  <c r="E15" i="20"/>
  <c r="E14" i="20"/>
  <c r="E13" i="20"/>
  <c r="E12" i="20"/>
  <c r="E11" i="20"/>
  <c r="E10" i="20"/>
  <c r="E8" i="20"/>
  <c r="E7" i="20"/>
  <c r="E6" i="20"/>
  <c r="E5" i="20"/>
  <c r="D5" i="20"/>
  <c r="G24" i="18"/>
  <c r="E5" i="19"/>
  <c r="E6" i="19"/>
  <c r="E7" i="19"/>
  <c r="E8" i="19"/>
  <c r="E9" i="19"/>
  <c r="E10" i="19"/>
  <c r="E12" i="19"/>
  <c r="E13" i="19"/>
  <c r="E14" i="19"/>
  <c r="E16" i="19"/>
  <c r="E17" i="19"/>
  <c r="E26" i="19"/>
  <c r="E27" i="19"/>
  <c r="E28" i="19"/>
  <c r="E30" i="19"/>
  <c r="E31" i="19"/>
  <c r="E32" i="19"/>
  <c r="E33" i="19"/>
  <c r="E34" i="19"/>
  <c r="E35" i="19"/>
  <c r="E36" i="19"/>
  <c r="E37" i="19"/>
  <c r="E38" i="19"/>
  <c r="E39" i="19"/>
  <c r="E40" i="19"/>
  <c r="E44" i="19"/>
  <c r="C13" i="30" l="1"/>
  <c r="F13" i="30" s="1"/>
  <c r="I88" i="27"/>
  <c r="F35" i="27"/>
  <c r="F107" i="27"/>
  <c r="K87" i="27" s="1"/>
  <c r="F18" i="27"/>
  <c r="E54" i="27"/>
  <c r="F52" i="27" s="1"/>
  <c r="G7" i="22"/>
  <c r="F8" i="22"/>
  <c r="E26" i="22"/>
  <c r="F26" i="22" s="1"/>
  <c r="E8" i="22"/>
  <c r="D61" i="22"/>
  <c r="E61" i="22" s="1"/>
  <c r="F61" i="22" s="1"/>
  <c r="I25" i="22"/>
  <c r="H25" i="22"/>
  <c r="G25" i="22"/>
  <c r="D55" i="22"/>
  <c r="E55" i="22" s="1"/>
  <c r="F55" i="22" s="1"/>
  <c r="G55" i="22" s="1"/>
  <c r="H55" i="22" s="1"/>
  <c r="I55" i="22" s="1"/>
  <c r="J55" i="22" s="1"/>
  <c r="K55" i="22" s="1"/>
  <c r="L55" i="22" s="1"/>
  <c r="M55" i="22" s="1"/>
  <c r="G65" i="25"/>
  <c r="F15" i="29"/>
  <c r="J8" i="29"/>
  <c r="J7" i="29"/>
  <c r="J9" i="29" s="1"/>
  <c r="F35" i="29"/>
  <c r="E51" i="28"/>
  <c r="I120" i="27"/>
  <c r="J95" i="27"/>
  <c r="E86" i="22"/>
  <c r="D87" i="22"/>
  <c r="E121" i="25"/>
  <c r="D35" i="25"/>
  <c r="C183" i="25"/>
  <c r="C191" i="25"/>
  <c r="C199" i="25"/>
  <c r="C184" i="25"/>
  <c r="E116" i="25" s="1"/>
  <c r="C192" i="25"/>
  <c r="E128" i="25" s="1"/>
  <c r="C200" i="25"/>
  <c r="E140" i="25" s="1"/>
  <c r="C177" i="25"/>
  <c r="E106" i="25" s="1"/>
  <c r="C185" i="25"/>
  <c r="C193" i="25"/>
  <c r="C195" i="25"/>
  <c r="C181" i="25"/>
  <c r="C194" i="25"/>
  <c r="E131" i="25" s="1"/>
  <c r="C180" i="25"/>
  <c r="E110" i="25" s="1"/>
  <c r="E136" i="25"/>
  <c r="C190" i="25"/>
  <c r="E125" i="25" s="1"/>
  <c r="C179" i="25"/>
  <c r="E65" i="25"/>
  <c r="C189" i="25"/>
  <c r="C178" i="25"/>
  <c r="E107" i="25" s="1"/>
  <c r="E120" i="25"/>
  <c r="C102" i="25"/>
  <c r="D106" i="25" s="1"/>
  <c r="D35" i="22"/>
  <c r="D36" i="22" s="1"/>
  <c r="C36" i="22"/>
  <c r="F15" i="22"/>
  <c r="D15" i="22"/>
  <c r="C15" i="22"/>
  <c r="C16" i="22" s="1"/>
  <c r="C17" i="22" s="1"/>
  <c r="C17" i="30" l="1"/>
  <c r="C18" i="30" s="1"/>
  <c r="E27" i="22"/>
  <c r="G8" i="22"/>
  <c r="H7" i="22"/>
  <c r="J120" i="27"/>
  <c r="F121" i="27"/>
  <c r="I121" i="27"/>
  <c r="I87" i="27" s="1"/>
  <c r="D88" i="22"/>
  <c r="G86" i="22"/>
  <c r="I86" i="22"/>
  <c r="C87" i="22" s="1"/>
  <c r="E123" i="25"/>
  <c r="E124" i="25" s="1"/>
  <c r="E111" i="25"/>
  <c r="E112" i="25" s="1"/>
  <c r="E138" i="25"/>
  <c r="E139" i="25" s="1"/>
  <c r="E108" i="25"/>
  <c r="E109" i="25" s="1"/>
  <c r="E132" i="25"/>
  <c r="E133" i="25"/>
  <c r="E126" i="25"/>
  <c r="E127" i="25"/>
  <c r="F35" i="25"/>
  <c r="E129" i="25"/>
  <c r="E130" i="25" s="1"/>
  <c r="E114" i="25"/>
  <c r="E115" i="25" s="1"/>
  <c r="F106" i="25"/>
  <c r="H106" i="25" s="1"/>
  <c r="C107" i="25" s="1"/>
  <c r="E117" i="25"/>
  <c r="E118" i="25" s="1"/>
  <c r="F27" i="22"/>
  <c r="G26" i="22"/>
  <c r="D16" i="22"/>
  <c r="E24" i="19"/>
  <c r="E22" i="19"/>
  <c r="E19" i="19"/>
  <c r="E43" i="19"/>
  <c r="I7" i="22" l="1"/>
  <c r="H8" i="22"/>
  <c r="E31" i="20"/>
  <c r="E31" i="21"/>
  <c r="J121" i="27"/>
  <c r="K120" i="27"/>
  <c r="F87" i="22"/>
  <c r="D89" i="22"/>
  <c r="E25" i="19"/>
  <c r="E9" i="21"/>
  <c r="E9" i="20"/>
  <c r="H35" i="25"/>
  <c r="C36" i="25" s="1"/>
  <c r="D107" i="25"/>
  <c r="F107" i="25" s="1"/>
  <c r="H107" i="25"/>
  <c r="C108" i="25" s="1"/>
  <c r="E24" i="20"/>
  <c r="E24" i="21"/>
  <c r="E25" i="20"/>
  <c r="E25" i="21"/>
  <c r="E23" i="19"/>
  <c r="E21" i="19"/>
  <c r="E22" i="21"/>
  <c r="E22" i="20"/>
  <c r="E16" i="22"/>
  <c r="D17" i="22"/>
  <c r="G27" i="22"/>
  <c r="H26" i="22"/>
  <c r="E41" i="19"/>
  <c r="E11" i="19"/>
  <c r="E45" i="19"/>
  <c r="I8" i="22" l="1"/>
  <c r="J7" i="22"/>
  <c r="E42" i="19"/>
  <c r="F29" i="19" s="1"/>
  <c r="E29" i="20"/>
  <c r="E29" i="21"/>
  <c r="E30" i="21"/>
  <c r="E30" i="20"/>
  <c r="E32" i="20"/>
  <c r="E32" i="21"/>
  <c r="K121" i="27"/>
  <c r="L120" i="27"/>
  <c r="D90" i="22"/>
  <c r="H87" i="22"/>
  <c r="E87" i="22"/>
  <c r="D108" i="25"/>
  <c r="F108" i="25" s="1"/>
  <c r="H108" i="25" s="1"/>
  <c r="C109" i="25" s="1"/>
  <c r="D36" i="25"/>
  <c r="I26" i="22"/>
  <c r="H27" i="22"/>
  <c r="E17" i="20"/>
  <c r="E17" i="21"/>
  <c r="E20" i="20"/>
  <c r="E20" i="21"/>
  <c r="F16" i="22"/>
  <c r="E17" i="22"/>
  <c r="E20" i="19"/>
  <c r="E46" i="19"/>
  <c r="E18" i="19"/>
  <c r="K7" i="22" l="1"/>
  <c r="J8" i="22"/>
  <c r="E16" i="20"/>
  <c r="E16" i="21"/>
  <c r="L121" i="27"/>
  <c r="M120" i="27"/>
  <c r="M121" i="27" s="1"/>
  <c r="I87" i="22"/>
  <c r="C88" i="22" s="1"/>
  <c r="G87" i="22"/>
  <c r="D91" i="22"/>
  <c r="D109" i="25"/>
  <c r="F109" i="25" s="1"/>
  <c r="H109" i="25"/>
  <c r="C110" i="25" s="1"/>
  <c r="E55" i="21"/>
  <c r="E55" i="20"/>
  <c r="F36" i="25"/>
  <c r="F17" i="22"/>
  <c r="G16" i="22"/>
  <c r="G17" i="22" s="1"/>
  <c r="I27" i="22"/>
  <c r="J26" i="22"/>
  <c r="J27" i="22" s="1"/>
  <c r="L7" i="22" l="1"/>
  <c r="L8" i="22" s="1"/>
  <c r="K8" i="22"/>
  <c r="D92" i="22"/>
  <c r="F88" i="22"/>
  <c r="H36" i="25"/>
  <c r="C37" i="25" s="1"/>
  <c r="D110" i="25"/>
  <c r="F110" i="25" s="1"/>
  <c r="H110" i="25"/>
  <c r="C111" i="25" s="1"/>
  <c r="E18" i="21"/>
  <c r="E18" i="20"/>
  <c r="E19" i="20"/>
  <c r="E19" i="21"/>
  <c r="E88" i="22" l="1"/>
  <c r="H88" i="22"/>
  <c r="D93" i="22"/>
  <c r="D111" i="25"/>
  <c r="F111" i="25" s="1"/>
  <c r="H111" i="25" s="1"/>
  <c r="C112" i="25" s="1"/>
  <c r="D37" i="25"/>
  <c r="G88" i="22" l="1"/>
  <c r="I88" i="22"/>
  <c r="C89" i="22" s="1"/>
  <c r="D94" i="22"/>
  <c r="D112" i="25"/>
  <c r="F112" i="25" s="1"/>
  <c r="H112" i="25"/>
  <c r="C113" i="25" s="1"/>
  <c r="F37" i="25"/>
  <c r="D95" i="22" l="1"/>
  <c r="F89" i="22"/>
  <c r="H37" i="25"/>
  <c r="C38" i="25" s="1"/>
  <c r="D113" i="25"/>
  <c r="F113" i="25" s="1"/>
  <c r="H113" i="25"/>
  <c r="C114" i="25" s="1"/>
  <c r="E89" i="22" l="1"/>
  <c r="H89" i="22"/>
  <c r="D96" i="22"/>
  <c r="D114" i="25"/>
  <c r="F114" i="25" s="1"/>
  <c r="H114" i="25" s="1"/>
  <c r="C115" i="25" s="1"/>
  <c r="D38" i="25"/>
  <c r="D97" i="22" l="1"/>
  <c r="G89" i="22"/>
  <c r="I89" i="22"/>
  <c r="C90" i="22" s="1"/>
  <c r="D115" i="25"/>
  <c r="F115" i="25" s="1"/>
  <c r="H115" i="25"/>
  <c r="C116" i="25" s="1"/>
  <c r="F38" i="25"/>
  <c r="D98" i="22" l="1"/>
  <c r="F90" i="22"/>
  <c r="H38" i="25"/>
  <c r="C39" i="25" s="1"/>
  <c r="D116" i="25"/>
  <c r="F116" i="25" s="1"/>
  <c r="H116" i="25" s="1"/>
  <c r="C117" i="25" s="1"/>
  <c r="E90" i="22" l="1"/>
  <c r="H90" i="22"/>
  <c r="D99" i="22"/>
  <c r="D117" i="25"/>
  <c r="F117" i="25" s="1"/>
  <c r="H117" i="25" s="1"/>
  <c r="C118" i="25" s="1"/>
  <c r="D39" i="25"/>
  <c r="G90" i="22" l="1"/>
  <c r="I90" i="22"/>
  <c r="C91" i="22" s="1"/>
  <c r="D100" i="22"/>
  <c r="D118" i="25"/>
  <c r="F118" i="25" s="1"/>
  <c r="H118" i="25"/>
  <c r="C119" i="25" s="1"/>
  <c r="F39" i="25"/>
  <c r="D101" i="22" l="1"/>
  <c r="F91" i="22"/>
  <c r="H39" i="25"/>
  <c r="C40" i="25" s="1"/>
  <c r="D119" i="25"/>
  <c r="F119" i="25" s="1"/>
  <c r="H119" i="25" s="1"/>
  <c r="C120" i="25" s="1"/>
  <c r="E91" i="22" l="1"/>
  <c r="H91" i="22"/>
  <c r="D102" i="22"/>
  <c r="D120" i="25"/>
  <c r="F120" i="25" s="1"/>
  <c r="H120" i="25" s="1"/>
  <c r="C121" i="25" s="1"/>
  <c r="D40" i="25"/>
  <c r="F40" i="25" s="1"/>
  <c r="H40" i="25" s="1"/>
  <c r="C41" i="25" s="1"/>
  <c r="D103" i="22" l="1"/>
  <c r="G91" i="22"/>
  <c r="I91" i="22"/>
  <c r="C92" i="22" s="1"/>
  <c r="D41" i="25"/>
  <c r="F41" i="25" s="1"/>
  <c r="H41" i="25" s="1"/>
  <c r="C42" i="25" s="1"/>
  <c r="D121" i="25"/>
  <c r="F121" i="25" s="1"/>
  <c r="H121" i="25"/>
  <c r="C122" i="25" s="1"/>
  <c r="F92" i="22" l="1"/>
  <c r="D104" i="22"/>
  <c r="D42" i="25"/>
  <c r="F42" i="25" s="1"/>
  <c r="H42" i="25" s="1"/>
  <c r="C43" i="25" s="1"/>
  <c r="D122" i="25"/>
  <c r="F122" i="25" s="1"/>
  <c r="H122" i="25" s="1"/>
  <c r="C123" i="25" s="1"/>
  <c r="D105" i="22" l="1"/>
  <c r="E92" i="22"/>
  <c r="H92" i="22"/>
  <c r="D123" i="25"/>
  <c r="F123" i="25" s="1"/>
  <c r="H123" i="25"/>
  <c r="C124" i="25" s="1"/>
  <c r="D43" i="25"/>
  <c r="F43" i="25" s="1"/>
  <c r="H43" i="25" s="1"/>
  <c r="C44" i="25" s="1"/>
  <c r="I92" i="22" l="1"/>
  <c r="C93" i="22" s="1"/>
  <c r="G92" i="22"/>
  <c r="D44" i="25"/>
  <c r="F44" i="25" s="1"/>
  <c r="H44" i="25" s="1"/>
  <c r="C45" i="25" s="1"/>
  <c r="D124" i="25"/>
  <c r="F124" i="25" s="1"/>
  <c r="H124" i="25" s="1"/>
  <c r="C125" i="25" s="1"/>
  <c r="F93" i="22" l="1"/>
  <c r="D125" i="25"/>
  <c r="F125" i="25" s="1"/>
  <c r="H125" i="25" s="1"/>
  <c r="C126" i="25" s="1"/>
  <c r="D45" i="25"/>
  <c r="F45" i="25" s="1"/>
  <c r="H45" i="25" s="1"/>
  <c r="C46" i="25" s="1"/>
  <c r="E93" i="22" l="1"/>
  <c r="H93" i="22"/>
  <c r="D126" i="25"/>
  <c r="F126" i="25" s="1"/>
  <c r="H126" i="25"/>
  <c r="C127" i="25" s="1"/>
  <c r="D46" i="25"/>
  <c r="F46" i="25" s="1"/>
  <c r="H46" i="25" s="1"/>
  <c r="C47" i="25" s="1"/>
  <c r="G93" i="22" l="1"/>
  <c r="I93" i="22"/>
  <c r="C94" i="22" s="1"/>
  <c r="D47" i="25"/>
  <c r="F47" i="25" s="1"/>
  <c r="H47" i="25" s="1"/>
  <c r="C48" i="25" s="1"/>
  <c r="D127" i="25"/>
  <c r="F127" i="25" s="1"/>
  <c r="H127" i="25" s="1"/>
  <c r="C128" i="25" s="1"/>
  <c r="F94" i="22" l="1"/>
  <c r="D128" i="25"/>
  <c r="F128" i="25" s="1"/>
  <c r="H128" i="25"/>
  <c r="C129" i="25" s="1"/>
  <c r="D48" i="25"/>
  <c r="F48" i="25" s="1"/>
  <c r="H48" i="25"/>
  <c r="C49" i="25" s="1"/>
  <c r="E94" i="22" l="1"/>
  <c r="H94" i="22"/>
  <c r="D49" i="25"/>
  <c r="F49" i="25" s="1"/>
  <c r="H49" i="25" s="1"/>
  <c r="C50" i="25" s="1"/>
  <c r="D129" i="25"/>
  <c r="F129" i="25" s="1"/>
  <c r="H129" i="25"/>
  <c r="C130" i="25" s="1"/>
  <c r="I94" i="22" l="1"/>
  <c r="C95" i="22" s="1"/>
  <c r="G94" i="22"/>
  <c r="D130" i="25"/>
  <c r="F130" i="25" s="1"/>
  <c r="H130" i="25" s="1"/>
  <c r="C131" i="25" s="1"/>
  <c r="D50" i="25"/>
  <c r="F50" i="25" s="1"/>
  <c r="H50" i="25" s="1"/>
  <c r="C51" i="25" s="1"/>
  <c r="F95" i="22" l="1"/>
  <c r="D51" i="25"/>
  <c r="F51" i="25" s="1"/>
  <c r="H51" i="25" s="1"/>
  <c r="C52" i="25" s="1"/>
  <c r="D131" i="25"/>
  <c r="F131" i="25" s="1"/>
  <c r="H131" i="25"/>
  <c r="C132" i="25" s="1"/>
  <c r="E95" i="22" l="1"/>
  <c r="H95" i="22"/>
  <c r="D52" i="25"/>
  <c r="F52" i="25" s="1"/>
  <c r="H52" i="25" s="1"/>
  <c r="C53" i="25" s="1"/>
  <c r="D132" i="25"/>
  <c r="F132" i="25" s="1"/>
  <c r="H132" i="25" s="1"/>
  <c r="C133" i="25" s="1"/>
  <c r="G95" i="22" l="1"/>
  <c r="I95" i="22"/>
  <c r="C96" i="22" s="1"/>
  <c r="D133" i="25"/>
  <c r="F133" i="25" s="1"/>
  <c r="H133" i="25"/>
  <c r="C134" i="25" s="1"/>
  <c r="D53" i="25"/>
  <c r="F53" i="25" s="1"/>
  <c r="H53" i="25" s="1"/>
  <c r="C54" i="25" s="1"/>
  <c r="F96" i="22" l="1"/>
  <c r="D54" i="25"/>
  <c r="F54" i="25" s="1"/>
  <c r="H54" i="25" s="1"/>
  <c r="C55" i="25" s="1"/>
  <c r="D134" i="25"/>
  <c r="F134" i="25" s="1"/>
  <c r="H134" i="25"/>
  <c r="C135" i="25" s="1"/>
  <c r="E96" i="22" l="1"/>
  <c r="H96" i="22"/>
  <c r="D55" i="25"/>
  <c r="F55" i="25" s="1"/>
  <c r="H55" i="25" s="1"/>
  <c r="C56" i="25" s="1"/>
  <c r="D135" i="25"/>
  <c r="F135" i="25" s="1"/>
  <c r="H135" i="25" s="1"/>
  <c r="C136" i="25" s="1"/>
  <c r="I96" i="22" l="1"/>
  <c r="C97" i="22" s="1"/>
  <c r="G96" i="22"/>
  <c r="D136" i="25"/>
  <c r="F136" i="25" s="1"/>
  <c r="H136" i="25"/>
  <c r="C137" i="25" s="1"/>
  <c r="D56" i="25"/>
  <c r="F56" i="25" s="1"/>
  <c r="H56" i="25"/>
  <c r="C57" i="25" s="1"/>
  <c r="F97" i="22" l="1"/>
  <c r="D137" i="25"/>
  <c r="F137" i="25" s="1"/>
  <c r="H137" i="25"/>
  <c r="C138" i="25" s="1"/>
  <c r="D57" i="25"/>
  <c r="F57" i="25" s="1"/>
  <c r="H57" i="25" s="1"/>
  <c r="C58" i="25" s="1"/>
  <c r="E97" i="22" l="1"/>
  <c r="H97" i="22"/>
  <c r="D58" i="25"/>
  <c r="F58" i="25" s="1"/>
  <c r="H58" i="25" s="1"/>
  <c r="C59" i="25" s="1"/>
  <c r="D138" i="25"/>
  <c r="F138" i="25" s="1"/>
  <c r="H138" i="25" s="1"/>
  <c r="C139" i="25" s="1"/>
  <c r="G97" i="22" l="1"/>
  <c r="I97" i="22"/>
  <c r="C98" i="22" s="1"/>
  <c r="D139" i="25"/>
  <c r="F139" i="25" s="1"/>
  <c r="H139" i="25"/>
  <c r="C140" i="25" s="1"/>
  <c r="D140" i="25" s="1"/>
  <c r="F140" i="25" s="1"/>
  <c r="D59" i="25"/>
  <c r="F59" i="25" s="1"/>
  <c r="H59" i="25" s="1"/>
  <c r="C60" i="25" s="1"/>
  <c r="F98" i="22" l="1"/>
  <c r="D60" i="25"/>
  <c r="F60" i="25" s="1"/>
  <c r="H60" i="25"/>
  <c r="C61" i="25" s="1"/>
  <c r="E98" i="22" l="1"/>
  <c r="H98" i="22"/>
  <c r="D61" i="25"/>
  <c r="F61" i="25" s="1"/>
  <c r="H61" i="25" s="1"/>
  <c r="C62" i="25" s="1"/>
  <c r="G98" i="22" l="1"/>
  <c r="I98" i="22"/>
  <c r="C99" i="22" s="1"/>
  <c r="D62" i="25"/>
  <c r="F62" i="25" s="1"/>
  <c r="H62" i="25" s="1"/>
  <c r="C63" i="25" s="1"/>
  <c r="F99" i="22" l="1"/>
  <c r="D63" i="25"/>
  <c r="F63" i="25" s="1"/>
  <c r="H63" i="25" s="1"/>
  <c r="C64" i="25" s="1"/>
  <c r="D64" i="25" s="1"/>
  <c r="E99" i="22" l="1"/>
  <c r="H99" i="22"/>
  <c r="F64" i="25"/>
  <c r="F65" i="25" s="1"/>
  <c r="D65" i="25"/>
  <c r="I99" i="22" l="1"/>
  <c r="C100" i="22" s="1"/>
  <c r="G99" i="22"/>
  <c r="F100" i="22" l="1"/>
  <c r="E100" i="22" l="1"/>
  <c r="H100" i="22"/>
  <c r="G100" i="22" l="1"/>
  <c r="I100" i="22"/>
  <c r="C101" i="22" s="1"/>
  <c r="F101" i="22" l="1"/>
  <c r="E101" i="22" l="1"/>
  <c r="H101" i="22"/>
  <c r="E15" i="19"/>
  <c r="F4" i="19" s="1"/>
  <c r="F48" i="19" l="1"/>
  <c r="I101" i="22"/>
  <c r="C102" i="22" s="1"/>
  <c r="G101" i="22"/>
  <c r="E57" i="20"/>
  <c r="E57" i="21"/>
  <c r="E8" i="30" l="1"/>
  <c r="E33" i="21"/>
  <c r="F4" i="21" s="1"/>
  <c r="E33" i="20"/>
  <c r="F4" i="20" s="1"/>
  <c r="F102" i="22"/>
  <c r="E102" i="22" l="1"/>
  <c r="H102" i="22"/>
  <c r="E58" i="20"/>
  <c r="F34" i="20" s="1"/>
  <c r="E58" i="21"/>
  <c r="F34" i="21" s="1"/>
  <c r="G102" i="22" l="1"/>
  <c r="I102" i="22"/>
  <c r="C103" i="22" s="1"/>
  <c r="F103" i="22" l="1"/>
  <c r="Q66" i="4"/>
  <c r="Q62" i="4"/>
  <c r="H108" i="3"/>
  <c r="D101" i="3"/>
  <c r="E103" i="22" l="1"/>
  <c r="H103" i="22"/>
  <c r="A68" i="3"/>
  <c r="E47" i="3"/>
  <c r="G61" i="3"/>
  <c r="H26" i="3"/>
  <c r="A61" i="3"/>
  <c r="M54" i="3"/>
  <c r="A12" i="3"/>
  <c r="H33" i="3"/>
  <c r="B54" i="3"/>
  <c r="D61" i="3"/>
  <c r="Q33" i="3"/>
  <c r="D5" i="3"/>
  <c r="G54" i="3"/>
  <c r="E35" i="18"/>
  <c r="C35" i="18"/>
  <c r="E34" i="18"/>
  <c r="C34" i="18"/>
  <c r="E33" i="18"/>
  <c r="C33" i="18"/>
  <c r="C32" i="18"/>
  <c r="C31" i="18"/>
  <c r="C30" i="18"/>
  <c r="F30" i="18"/>
  <c r="F29" i="18"/>
  <c r="G28" i="18"/>
  <c r="G35" i="18"/>
  <c r="G34" i="18"/>
  <c r="G33" i="18"/>
  <c r="G32" i="18"/>
  <c r="E32" i="18"/>
  <c r="G31" i="18"/>
  <c r="E31" i="18"/>
  <c r="I103" i="22" l="1"/>
  <c r="C104" i="22" s="1"/>
  <c r="G103" i="22"/>
  <c r="K75" i="3"/>
  <c r="H75" i="3"/>
  <c r="B75" i="3"/>
  <c r="A76" i="3" s="1"/>
  <c r="Q68" i="3"/>
  <c r="E54" i="3"/>
  <c r="D54" i="3" s="1"/>
  <c r="Q47" i="3"/>
  <c r="D40" i="3"/>
  <c r="M33" i="3"/>
  <c r="D33" i="3"/>
  <c r="A33" i="3"/>
  <c r="A34" i="3" s="1"/>
  <c r="P26" i="3"/>
  <c r="Q26" i="3" s="1"/>
  <c r="D26" i="3"/>
  <c r="A26" i="3"/>
  <c r="B27" i="3" s="1"/>
  <c r="J19" i="3"/>
  <c r="G19" i="3"/>
  <c r="D19" i="3"/>
  <c r="A19" i="3"/>
  <c r="P12" i="3"/>
  <c r="Q12" i="3" s="1"/>
  <c r="D12" i="3"/>
  <c r="J5" i="3"/>
  <c r="K6" i="3" s="1"/>
  <c r="G5" i="3"/>
  <c r="H6" i="3" s="1"/>
  <c r="A5" i="3"/>
  <c r="J74" i="3"/>
  <c r="A74" i="3"/>
  <c r="P67" i="3"/>
  <c r="A67" i="3"/>
  <c r="D53" i="3"/>
  <c r="P46" i="3"/>
  <c r="D39" i="3"/>
  <c r="M32" i="3"/>
  <c r="D32" i="3"/>
  <c r="A32" i="3"/>
  <c r="P25" i="3"/>
  <c r="D25" i="3"/>
  <c r="A25" i="3"/>
  <c r="J18" i="3"/>
  <c r="G18" i="3"/>
  <c r="D18" i="3"/>
  <c r="A18" i="3"/>
  <c r="P11" i="3"/>
  <c r="D11" i="3"/>
  <c r="J4" i="3"/>
  <c r="G4" i="3"/>
  <c r="B69" i="17"/>
  <c r="C69" i="17"/>
  <c r="F104" i="22" l="1"/>
  <c r="E10" i="12"/>
  <c r="R390" i="4"/>
  <c r="Q352" i="4"/>
  <c r="R346" i="4"/>
  <c r="Q307" i="4"/>
  <c r="E31" i="12" l="1"/>
  <c r="E61" i="12" s="1"/>
  <c r="E104" i="22"/>
  <c r="H104" i="22"/>
  <c r="I104" i="22" l="1"/>
  <c r="C105" i="22" s="1"/>
  <c r="F105" i="22" s="1"/>
  <c r="E105" i="22" s="1"/>
  <c r="G104" i="22"/>
  <c r="G105" i="22" s="1"/>
  <c r="H105" i="22" l="1"/>
</calcChain>
</file>

<file path=xl/sharedStrings.xml><?xml version="1.0" encoding="utf-8"?>
<sst xmlns="http://schemas.openxmlformats.org/spreadsheetml/2006/main" count="2226" uniqueCount="1154">
  <si>
    <t>CONTI</t>
  </si>
  <si>
    <t>DARE</t>
  </si>
  <si>
    <t>AVERE</t>
  </si>
  <si>
    <t>UNICREDIT C/C</t>
  </si>
  <si>
    <t>CASSA</t>
  </si>
  <si>
    <t>ERARIO C/RITENUTE SUBITE</t>
  </si>
  <si>
    <t>TERRENI E FABBRICATI</t>
  </si>
  <si>
    <t>IMPIANTI</t>
  </si>
  <si>
    <t>MACCHINARI</t>
  </si>
  <si>
    <t>ATTREZZATURE INDUSTRIALI</t>
  </si>
  <si>
    <t>IMPIANTI IN CORSO</t>
  </si>
  <si>
    <t>CONCESSIONI E LICENZE</t>
  </si>
  <si>
    <t>DIRITTI BREVETTO INDUSTRIALE</t>
  </si>
  <si>
    <t>AVVIAMENTO</t>
  </si>
  <si>
    <t>MATERIE PRIME C/ACQUISTI</t>
  </si>
  <si>
    <t>VARIAZIONE RIMANENZE SEMILAVORATI</t>
  </si>
  <si>
    <t>VARIAZIONE RIMANENZE PRODOTTI FINITI</t>
  </si>
  <si>
    <t>FITTI PASSIVI</t>
  </si>
  <si>
    <t>COSTI PER SERVIZI</t>
  </si>
  <si>
    <t>COSTI DI SVILUPPO</t>
  </si>
  <si>
    <t>COSTI DI PUBBLICITA'</t>
  </si>
  <si>
    <t>COSTI DI TRASPORTO</t>
  </si>
  <si>
    <t>CANONI DI LEASING</t>
  </si>
  <si>
    <t>SALARI E STIPENDI</t>
  </si>
  <si>
    <t>ONERI PREVIDENZIALI E ASSISTENZIALI</t>
  </si>
  <si>
    <t>INTERESSI PASSIVI SU MUTUI</t>
  </si>
  <si>
    <t>ANTICIPI DA CLIENTI</t>
  </si>
  <si>
    <t>MUTUI PASSIVI</t>
  </si>
  <si>
    <t>FONDO AMMORTAMENTO TERRENI E FABBRICATI</t>
  </si>
  <si>
    <t>FONDO AMMORTAMENTO IMPIANTI</t>
  </si>
  <si>
    <t>FONDO AMMORTAMENTO MACCHINARI</t>
  </si>
  <si>
    <t>FONDO SVALUTAZIONE CREDITI</t>
  </si>
  <si>
    <t>FONDO PER CONTENZIOSO TRIBUTARIO</t>
  </si>
  <si>
    <t>FONDO PER RISCHI E ONERI</t>
  </si>
  <si>
    <t>FONDO PER GARANZIA PRODOTTI</t>
  </si>
  <si>
    <t>FONDO IMPOSTE DIFFERITE</t>
  </si>
  <si>
    <t>CAPITALE SOCIALE</t>
  </si>
  <si>
    <t>RISERVA LEGALE</t>
  </si>
  <si>
    <t>RISERVA STATUTARIA</t>
  </si>
  <si>
    <t>ALTRE RISERVE</t>
  </si>
  <si>
    <t>ALTRI RICAVI</t>
  </si>
  <si>
    <t>RIMBORSI SPESE</t>
  </si>
  <si>
    <t>CONTRIBUTI IN C/ESERCIZIO</t>
  </si>
  <si>
    <t>INTERESSI ATTIVI SU C/C</t>
  </si>
  <si>
    <t>INTERESSI ATTIVI SU TITOLI</t>
  </si>
  <si>
    <t>DIVIDENDI DA IMPRESE COLLEGATE</t>
  </si>
  <si>
    <t>TOTALE</t>
  </si>
  <si>
    <t>Costi di sviluppo</t>
  </si>
  <si>
    <t>Concessioni e licenze</t>
  </si>
  <si>
    <t>Avviamento</t>
  </si>
  <si>
    <t>Costi di pubblicità</t>
  </si>
  <si>
    <t>Impianti e macchinari</t>
  </si>
  <si>
    <t>Impianti</t>
  </si>
  <si>
    <t>Macchinari</t>
  </si>
  <si>
    <t>Attrezzature industriali</t>
  </si>
  <si>
    <t>Impianti in corso</t>
  </si>
  <si>
    <t>Crediti</t>
  </si>
  <si>
    <t>Altri titoli</t>
  </si>
  <si>
    <t>Prodotti finiti e merci</t>
  </si>
  <si>
    <t>Anticipi a fornitori</t>
  </si>
  <si>
    <t>Iva a credito</t>
  </si>
  <si>
    <t>Erario c/ritenute subite</t>
  </si>
  <si>
    <t>Partecipazioni in imprese collegate</t>
  </si>
  <si>
    <t>Partecipazioni in imprese controllate</t>
  </si>
  <si>
    <t>Titoli a reddito fisso disponibili</t>
  </si>
  <si>
    <t>Unicredit c/c</t>
  </si>
  <si>
    <t>Cassa</t>
  </si>
  <si>
    <t>Capitale Sociale</t>
  </si>
  <si>
    <t>Riserva legale</t>
  </si>
  <si>
    <t>Altre riserve</t>
  </si>
  <si>
    <t>Fondo Svalutazione Crediti</t>
  </si>
  <si>
    <t>Fondo per Garanzia Prodotti</t>
  </si>
  <si>
    <t>Fondo premi a clienti</t>
  </si>
  <si>
    <t>Debiti verso fornitori</t>
  </si>
  <si>
    <t>Debiti verso imprese collegate</t>
  </si>
  <si>
    <t>Erario c/ritenute operate</t>
  </si>
  <si>
    <t>Debiti verso enti previdenziali e assistenziali</t>
  </si>
  <si>
    <t>Anticipi da clienti</t>
  </si>
  <si>
    <t>Debiti diversi</t>
  </si>
  <si>
    <t>Prodotti c/vendite</t>
  </si>
  <si>
    <t>Resi su vendite</t>
  </si>
  <si>
    <t>Altri ricavi</t>
  </si>
  <si>
    <t>Contributi in c/esercizio</t>
  </si>
  <si>
    <t>Materie prime c/acquisti</t>
  </si>
  <si>
    <t>Costi per servizi</t>
  </si>
  <si>
    <t>Costi di trasporto</t>
  </si>
  <si>
    <t>Salari e stipendi</t>
  </si>
  <si>
    <t>Oneri previdenziali e assistenziali</t>
  </si>
  <si>
    <t>Interessi attivi su c/c</t>
  </si>
  <si>
    <t>Interessi passivi su mutui</t>
  </si>
  <si>
    <t>CLIENTI C/FATTURE DA EMETTERE</t>
  </si>
  <si>
    <t>RISCONTI PASSIVI</t>
  </si>
  <si>
    <t>FORNITORI C/PREMI DA RICEVERE</t>
  </si>
  <si>
    <t>FORNITORI C/FATTURE DA RICEVERE</t>
  </si>
  <si>
    <t>SVALUTAZIONE CREDITI</t>
  </si>
  <si>
    <t>RISCONTI ATTIVI</t>
  </si>
  <si>
    <t>ERARIO C/IVA</t>
  </si>
  <si>
    <t>SERVIZI TRASPORTO E CONSEGNA</t>
  </si>
  <si>
    <t>INCREM. IMMOB. PER LAVORI INTERNI</t>
  </si>
  <si>
    <t>FDO ACCANTON. MANUT. E RIPARAZ.</t>
  </si>
  <si>
    <t>RATEI PASSIVI</t>
  </si>
  <si>
    <t>COSTO DEL PERSONALE: TFR</t>
  </si>
  <si>
    <t>DEBITI TRIBUTARI</t>
  </si>
  <si>
    <t>AMMORTAMENTO IMPIANTI</t>
  </si>
  <si>
    <t>AMMORTAMENTO TERRENI E FABBRICATI</t>
  </si>
  <si>
    <t>AMMORTAMENTO ATTREZZATURE INDUSTRIALI</t>
  </si>
  <si>
    <t xml:space="preserve">AMMORTAMENTO MACCHINARI </t>
  </si>
  <si>
    <t>AMMORTAMENTO CONCESSIONI E LICENZE</t>
  </si>
  <si>
    <t>AMMORTAMENTO DIRITTI BREVETTO INDUSTRIALE</t>
  </si>
  <si>
    <t>AMMORTAMENTO AVVIAMENTO</t>
  </si>
  <si>
    <t>AMMORTAMENTO COSTI DI SVILUPPO</t>
  </si>
  <si>
    <t>LAVORI IN CORSO SU ORDINAZIONE</t>
  </si>
  <si>
    <t>COSTI LAVORI IN CORSO SU ORDINAZIONE</t>
  </si>
  <si>
    <t>DEBITI PER ACCONTI</t>
  </si>
  <si>
    <t xml:space="preserve">      PERDITE SU CAMBI</t>
  </si>
  <si>
    <t xml:space="preserve">      IMPOSTE CORRENTI </t>
  </si>
  <si>
    <t xml:space="preserve">IMPOSTE DIFFERITE </t>
  </si>
  <si>
    <t>RIMANENZE FINALI MATERIE PRIME</t>
  </si>
  <si>
    <t>RIMANENZE FINALI SEMILAVORATI</t>
  </si>
  <si>
    <t>RIMANENZE FINALI PRODOTTI</t>
  </si>
  <si>
    <t>FORNITORI C/FATT. DA RICEVERE</t>
  </si>
  <si>
    <t>DEBITI V/FORNITORI</t>
  </si>
  <si>
    <t>IVA NS CREDITO</t>
  </si>
  <si>
    <t>COSTI MANUT. E RIPARAZ.</t>
  </si>
  <si>
    <t>FDO SVALUTAZIONE CREDITI</t>
  </si>
  <si>
    <t>CREDITI V/CLIENTI</t>
  </si>
  <si>
    <t>FDO AMMORT. MACCHINARI</t>
  </si>
  <si>
    <t>MINUSVALENZE DA ALIENAZIONE</t>
  </si>
  <si>
    <t>IVA NS DEBITO</t>
  </si>
  <si>
    <t>CONTO ECONOMICO</t>
  </si>
  <si>
    <t>STATO PATRIMONIALE FINALE</t>
  </si>
  <si>
    <t>Tipologia di scritture</t>
  </si>
  <si>
    <t>N. Oper.</t>
  </si>
  <si>
    <t>Data</t>
  </si>
  <si>
    <t>SCRITTURA DI COMPLETAMENTO</t>
  </si>
  <si>
    <t>CLIENTI C/FATT. DA EMETTERE</t>
  </si>
  <si>
    <t>A</t>
  </si>
  <si>
    <t>PRODOTTI C/VENDITE</t>
  </si>
  <si>
    <t>SCRITTURA DI DETERMINAZIONE DELLE COMPETENZE</t>
  </si>
  <si>
    <t>COSTI PER IL PERSONALE: TFR</t>
  </si>
  <si>
    <t>COSTI PER MANUTENZIONE E RIPARAZIONI</t>
  </si>
  <si>
    <t>AMMORTAMENTO MACCHINARI</t>
  </si>
  <si>
    <t>FONDO AMMORTAMENTO ATTREZZATURE INDUSTRIALI</t>
  </si>
  <si>
    <t>VARIAZIONE LAVORI IN CORSO SU ORDINAZIONE</t>
  </si>
  <si>
    <t>INCREM. IMMOBILIZZ. PER LAVORI IN CORSO</t>
  </si>
  <si>
    <t>19 a.</t>
  </si>
  <si>
    <t>19 b.</t>
  </si>
  <si>
    <t>PERDITE SU CAMBIO</t>
  </si>
  <si>
    <t>CREDITI V/CLIENTI ESTERI</t>
  </si>
  <si>
    <t xml:space="preserve">IMPOSTE CORRENTI </t>
  </si>
  <si>
    <t>IMPOSTE DIFFERITE</t>
  </si>
  <si>
    <t>VARIAZIONE RIMANENZE MATERIE PRIME</t>
  </si>
  <si>
    <t>VARIAZIONE RIMANENZE PRODOTTI</t>
  </si>
  <si>
    <t>TITOLI A REDDITO FISSO DISPONIBILI (ALFA)</t>
  </si>
  <si>
    <t>TITOLI A REDDITO FISSO DISPONIBILI (BETA)</t>
  </si>
  <si>
    <t>SCRITTURE DI RICLASSIFICAZIONE</t>
  </si>
  <si>
    <t xml:space="preserve">CREDITI V/ CLIENTI ESTERI </t>
  </si>
  <si>
    <t>CREDITI V/IMPRESE COLLEGATE</t>
  </si>
  <si>
    <t xml:space="preserve">RESI SU VENDITE </t>
  </si>
  <si>
    <t xml:space="preserve">DEBITI DIVERSI </t>
  </si>
  <si>
    <t>ABBUONI E SCONTI ATTIVI</t>
  </si>
  <si>
    <t>SCRITTURE DI RIEPILOGO</t>
  </si>
  <si>
    <t>COSTI PER MANUTENZIONE E RIPARAZIONE</t>
  </si>
  <si>
    <t>COSTO PER IL PERSONALE: TFR</t>
  </si>
  <si>
    <t>PERDITE SU CAMBI</t>
  </si>
  <si>
    <t>IMPOSTE CORRENTI</t>
  </si>
  <si>
    <t>UTILI SU CAMBI</t>
  </si>
  <si>
    <t>UTILI SU TITOLI</t>
  </si>
  <si>
    <t>INCREMENTI IMMOB. PER LAVORI INTERNI</t>
  </si>
  <si>
    <t>PERDITA DI ESERCIZIO</t>
  </si>
  <si>
    <t>SCRITTURE FINALI</t>
  </si>
  <si>
    <t>ERARIO C/ RITENUTE SUBUTE</t>
  </si>
  <si>
    <t>CRED IMPOSTE ANTICIPATE</t>
  </si>
  <si>
    <t>RIMANENZE FINALI MP</t>
  </si>
  <si>
    <t>CLIENTI C/ FATTURE DA EMETTERE</t>
  </si>
  <si>
    <t>DEBITI VERSO ENTI PREVIDENZ. E ASSISTENZ.</t>
  </si>
  <si>
    <t>ERARIO C/ RITENUTE OPERATE</t>
  </si>
  <si>
    <t>TRATTAMENTO DI FINE RAPPORTO</t>
  </si>
  <si>
    <t>FONDO PER IMPOSTE DIFFERITE</t>
  </si>
  <si>
    <t>ERARIO C/ IVA</t>
  </si>
  <si>
    <t xml:space="preserve">SCRITTURE DI APERTURA </t>
  </si>
  <si>
    <t>SOPRAVVENIENZA DELL'ATTIVO</t>
  </si>
  <si>
    <t>FDO AMMORTAMENTO MACCHINARI</t>
  </si>
  <si>
    <t>Anno 1</t>
  </si>
  <si>
    <t>Anno 2</t>
  </si>
  <si>
    <t>Anno 3</t>
  </si>
  <si>
    <t>Anno 4</t>
  </si>
  <si>
    <t>Anno 5</t>
  </si>
  <si>
    <t>Anno 6</t>
  </si>
  <si>
    <t>Anno 7</t>
  </si>
  <si>
    <t>Anno 8</t>
  </si>
  <si>
    <t>Anno 9</t>
  </si>
  <si>
    <t>Anno 10</t>
  </si>
  <si>
    <t>Anno 11</t>
  </si>
  <si>
    <t>Quota di ammortamento</t>
  </si>
  <si>
    <t>Fondo ammortamento</t>
  </si>
  <si>
    <t>Costo</t>
  </si>
  <si>
    <t>Costi della produzione</t>
  </si>
  <si>
    <t>Saldo iniziale</t>
  </si>
  <si>
    <t>Rata</t>
  </si>
  <si>
    <t>Capitale Cumulato</t>
  </si>
  <si>
    <t>Interessi cumulati</t>
  </si>
  <si>
    <t>Saldo finale</t>
  </si>
  <si>
    <t>1)</t>
  </si>
  <si>
    <t>Canoni di leasing</t>
  </si>
  <si>
    <t>Costo storico</t>
  </si>
  <si>
    <t>Proventi e oneri finanziari</t>
  </si>
  <si>
    <t>Interessi passivi</t>
  </si>
  <si>
    <t>RATA</t>
  </si>
  <si>
    <t>Date pagamenti</t>
  </si>
  <si>
    <t xml:space="preserve">      CONTO ECONOMICO (ART. 2425 C.C.)</t>
  </si>
  <si>
    <t>A)</t>
  </si>
  <si>
    <t>Valore della produzione</t>
  </si>
  <si>
    <t>ricavi delle vendite e delle prestazioni;</t>
  </si>
  <si>
    <t>2)</t>
  </si>
  <si>
    <t>variazioni delle rimanenze di prodotti in corso di lavorazione, semilavorati e finiti;</t>
  </si>
  <si>
    <t>3)</t>
  </si>
  <si>
    <t>variazione dei lavori in corso su ordinazione;</t>
  </si>
  <si>
    <t>4)</t>
  </si>
  <si>
    <t>incrementi di immobilizzazioni per lavori interni;</t>
  </si>
  <si>
    <t>5)</t>
  </si>
  <si>
    <t xml:space="preserve">altri ricavi e proventi </t>
  </si>
  <si>
    <t>Totale</t>
  </si>
  <si>
    <t>B)</t>
  </si>
  <si>
    <t>6)</t>
  </si>
  <si>
    <t>per materie prime, sussidiarie, di consumo e di merci;</t>
  </si>
  <si>
    <t>7)</t>
  </si>
  <si>
    <t>per servizi;</t>
  </si>
  <si>
    <t>8)</t>
  </si>
  <si>
    <t>per godimento di beni di terzi;</t>
  </si>
  <si>
    <t>9)</t>
  </si>
  <si>
    <t>per il personale:</t>
  </si>
  <si>
    <t>a) salari e stipendi;</t>
  </si>
  <si>
    <t>b) oneri sociali;</t>
  </si>
  <si>
    <t>c) trattamento di fine rapporto;</t>
  </si>
  <si>
    <t>d) trattamento di quiescenza e simili;</t>
  </si>
  <si>
    <t>e) altri costi;</t>
  </si>
  <si>
    <t>10)</t>
  </si>
  <si>
    <t>Ammortamenti e svalutazioni:</t>
  </si>
  <si>
    <t>a) ammortamento delle immobilizzazioni immateriali;</t>
  </si>
  <si>
    <t>b) ammortamento delle immobilizzazioni materiali;</t>
  </si>
  <si>
    <t>c) altre svalutazioni delle immobilizzazioni;</t>
  </si>
  <si>
    <t>d) svalutazione dei crediti compresi nell'attivo circolante e delle disponibilità liquide;</t>
  </si>
  <si>
    <t>11)</t>
  </si>
  <si>
    <t>Variazione delle rimanenze di materie prime, sussidiarie, di consumo e merci;</t>
  </si>
  <si>
    <t>12)</t>
  </si>
  <si>
    <t>Accantonamenti per rischi;</t>
  </si>
  <si>
    <t>13)</t>
  </si>
  <si>
    <t>Altri accantonamenti;</t>
  </si>
  <si>
    <t>14)</t>
  </si>
  <si>
    <t>Oneri diversi di gestione;</t>
  </si>
  <si>
    <t>(A-B)</t>
  </si>
  <si>
    <t>Differenza tra valore e costi della produzione</t>
  </si>
  <si>
    <t xml:space="preserve">C) </t>
  </si>
  <si>
    <t>15)</t>
  </si>
  <si>
    <t xml:space="preserve">proventi da partecipazioni in: </t>
  </si>
  <si>
    <t>- imprese collegate</t>
  </si>
  <si>
    <t>- altre imprese</t>
  </si>
  <si>
    <t>16)</t>
  </si>
  <si>
    <t>altri proventi finanziari:</t>
  </si>
  <si>
    <t>a) da crediti iscritti nelle immobilizzazioni</t>
  </si>
  <si>
    <t>b) da titoli iscritti nelle immobilizzazioni    che non costituiscono partecipazioni;</t>
  </si>
  <si>
    <t>c) da titoli iscritti nell'attivo circolante che non costituiscono partecipazioni;</t>
  </si>
  <si>
    <t>d) proventi diversi</t>
  </si>
  <si>
    <t>17)</t>
  </si>
  <si>
    <t>interessi e altri oneri finanziari</t>
  </si>
  <si>
    <r>
      <t>17-</t>
    </r>
    <r>
      <rPr>
        <b/>
        <i/>
        <sz val="14"/>
        <color rgb="FF000000"/>
        <rFont val="Arial"/>
        <family val="2"/>
      </rPr>
      <t>bis</t>
    </r>
    <r>
      <rPr>
        <b/>
        <sz val="14"/>
        <color rgb="FF000000"/>
        <rFont val="Arial"/>
        <family val="2"/>
      </rPr>
      <t>)</t>
    </r>
  </si>
  <si>
    <r>
      <t>Totale (15 + 16 – 17</t>
    </r>
    <r>
      <rPr>
        <b/>
        <i/>
        <u/>
        <sz val="16"/>
        <color rgb="FF000000"/>
        <rFont val="Arial"/>
        <family val="2"/>
      </rPr>
      <t>+/-17 bis</t>
    </r>
    <r>
      <rPr>
        <b/>
        <i/>
        <sz val="16"/>
        <color rgb="FF000000"/>
        <rFont val="Arial"/>
        <family val="2"/>
      </rPr>
      <t>)</t>
    </r>
  </si>
  <si>
    <t>D)</t>
  </si>
  <si>
    <t>Rettifiche di valore di attività  e passività finanziarie</t>
  </si>
  <si>
    <t>18)</t>
  </si>
  <si>
    <r>
      <t xml:space="preserve">    rivalutazioni</t>
    </r>
    <r>
      <rPr>
        <b/>
        <sz val="16"/>
        <color rgb="FF000000"/>
        <rFont val="Arial"/>
        <family val="2"/>
      </rPr>
      <t>:</t>
    </r>
  </si>
  <si>
    <t xml:space="preserve">      </t>
  </si>
  <si>
    <t xml:space="preserve">a) di partecipazioni </t>
  </si>
  <si>
    <t>b) di immobilizzazioni finanziarie che non costituiscono partecipazioni;</t>
  </si>
  <si>
    <t>c) di titoli iscritti all’attivo circolante che non costituiscono partecipazioni;</t>
  </si>
  <si>
    <t xml:space="preserve">d) di strumenti finanziari derivati; </t>
  </si>
  <si>
    <t>19)</t>
  </si>
  <si>
    <t xml:space="preserve">    svalutazioni:</t>
  </si>
  <si>
    <t>a) di partecipazioni;</t>
  </si>
  <si>
    <t>c) di titoli iscritti all'attivo circolante che non costituiscono partecipazioni;</t>
  </si>
  <si>
    <t>d) di strumenti finanziari derivati;</t>
  </si>
  <si>
    <t>Totale delle rettifiche (18 - 19)</t>
  </si>
  <si>
    <t>Risultato prima delle imposte (A - B +/- C +/- D)</t>
  </si>
  <si>
    <t>20)</t>
  </si>
  <si>
    <t>Imposte sul reddito correnti, differite e anticipate</t>
  </si>
  <si>
    <t>Imposte correnti IRES</t>
  </si>
  <si>
    <t>Imposte correnti IRAP</t>
  </si>
  <si>
    <t>21)</t>
  </si>
  <si>
    <t xml:space="preserve">Utile (perdita) dell'esercizio </t>
  </si>
  <si>
    <t>STATO PATRIMONIALE</t>
  </si>
  <si>
    <t>ATTIVO</t>
  </si>
  <si>
    <t>A) CREDITI VERSO SOCI PER VERSAMENTI ANCORA DOVUTI</t>
  </si>
  <si>
    <t xml:space="preserve">B) IMMOBILIZZAZIONI </t>
  </si>
  <si>
    <t xml:space="preserve">  I - IMMOBILIZZAZIONI IMMATERIALI</t>
  </si>
  <si>
    <t xml:space="preserve">     1) Costi d'impianto e di ampliamento</t>
  </si>
  <si>
    <t xml:space="preserve">     2) Costi di ricerca, sviluppo e di pubblicità</t>
  </si>
  <si>
    <t xml:space="preserve">     3) Diritto di brevetto industriale e di utilizzo delle opere d'ingegno</t>
  </si>
  <si>
    <t xml:space="preserve">     4) Concessioni, licenze, marchi e diritti simili</t>
  </si>
  <si>
    <t xml:space="preserve">     5) Avviamento</t>
  </si>
  <si>
    <t xml:space="preserve">     6) Immobilizzazioni in corso e acconti</t>
  </si>
  <si>
    <t xml:space="preserve">     7) Altre</t>
  </si>
  <si>
    <t xml:space="preserve">  II - IMMOBILIZZAZIONI MATERIALI</t>
  </si>
  <si>
    <t xml:space="preserve">     1) Terreni e fabbricati</t>
  </si>
  <si>
    <t xml:space="preserve">     2) Impianti e macchinari</t>
  </si>
  <si>
    <t xml:space="preserve">     3) Attrezzature industriali e commerciali</t>
  </si>
  <si>
    <t xml:space="preserve">     4) Altri beni</t>
  </si>
  <si>
    <t xml:space="preserve">     5) Immobilizzazioni in corso e acconti</t>
  </si>
  <si>
    <t xml:space="preserve">  III - IMMOBILIZZAZIONI FINANZIARIE</t>
  </si>
  <si>
    <t xml:space="preserve">     1) Partecipazioni </t>
  </si>
  <si>
    <t xml:space="preserve">       a) imprese controllate</t>
  </si>
  <si>
    <t xml:space="preserve">       b) imprese collegate</t>
  </si>
  <si>
    <t xml:space="preserve">       c) imprese controllanti</t>
  </si>
  <si>
    <t xml:space="preserve">       d) altre imprese</t>
  </si>
  <si>
    <t xml:space="preserve">     2) Crediti</t>
  </si>
  <si>
    <t xml:space="preserve">       a) verso imprese controllate</t>
  </si>
  <si>
    <t xml:space="preserve">       b) verso imprese collegate</t>
  </si>
  <si>
    <t xml:space="preserve">       c) verso controllanti</t>
  </si>
  <si>
    <t xml:space="preserve">       d) verso altri</t>
  </si>
  <si>
    <t xml:space="preserve">     3) Altri titoli</t>
  </si>
  <si>
    <t xml:space="preserve">     4) Azioni proprie</t>
  </si>
  <si>
    <t>TOTALE IMMOBILIZZAZIONI ( B )</t>
  </si>
  <si>
    <t>C) ATTIVO CIRCOLANTE</t>
  </si>
  <si>
    <t xml:space="preserve">  I - RIMANENZE</t>
  </si>
  <si>
    <t xml:space="preserve">     1) Materie prime, sussidiarie e di consumo</t>
  </si>
  <si>
    <t xml:space="preserve">     2) Prodotti in corso di lavorazione e semilavorati</t>
  </si>
  <si>
    <t xml:space="preserve">     3) Lavori in corso su ordinazione</t>
  </si>
  <si>
    <t xml:space="preserve">     4) Prodotti finiti e merci</t>
  </si>
  <si>
    <t xml:space="preserve">     5) Acconti</t>
  </si>
  <si>
    <t xml:space="preserve">  II - CREDITI</t>
  </si>
  <si>
    <t xml:space="preserve">     1) Verso clienti</t>
  </si>
  <si>
    <t xml:space="preserve">     2) Verso imprese controllate</t>
  </si>
  <si>
    <t xml:space="preserve">     4) Verso imprese controllanti</t>
  </si>
  <si>
    <t xml:space="preserve">     4-bis) Crediti tributari</t>
  </si>
  <si>
    <t xml:space="preserve">     4-ter) Imposte anticipate</t>
  </si>
  <si>
    <t xml:space="preserve">     5) Verso altri </t>
  </si>
  <si>
    <t xml:space="preserve">  III - ATTIVITA' FINANZIARIE CHE NON COST. IMMOBILIZZAZIONI</t>
  </si>
  <si>
    <t xml:space="preserve">     1) Partecipazioni in imprese controllate</t>
  </si>
  <si>
    <t xml:space="preserve">     2) Partecipazioni in imprese collegate</t>
  </si>
  <si>
    <t xml:space="preserve">     3) Partecipazioni in imprese controllanti</t>
  </si>
  <si>
    <t xml:space="preserve">     4) Altre partecipazioni</t>
  </si>
  <si>
    <t xml:space="preserve">     5) Azioni proprie</t>
  </si>
  <si>
    <t xml:space="preserve">     6) Altri titoli</t>
  </si>
  <si>
    <t xml:space="preserve">  IV - DISPONIBILITA' LIQUIDE</t>
  </si>
  <si>
    <t xml:space="preserve">     1) Depositi bancari e postali</t>
  </si>
  <si>
    <t xml:space="preserve">     2) Assegni</t>
  </si>
  <si>
    <t xml:space="preserve">     3) Denaro e valori in cassa</t>
  </si>
  <si>
    <t>TOTALE ATTIVO CIRCOLANTE (C )</t>
  </si>
  <si>
    <t xml:space="preserve">D) RATEI E RISCONTI </t>
  </si>
  <si>
    <t>TOTALE (A + B + C + D)</t>
  </si>
  <si>
    <t>PASSIVO</t>
  </si>
  <si>
    <t>A) PATRIMONIO NETTO</t>
  </si>
  <si>
    <t xml:space="preserve">    I - Capitale</t>
  </si>
  <si>
    <t xml:space="preserve">    II - Riserva di sovrapprezzo azioni</t>
  </si>
  <si>
    <t xml:space="preserve">   III - Riserva di rivalutazione</t>
  </si>
  <si>
    <t xml:space="preserve">  IV - Riserva legale</t>
  </si>
  <si>
    <t xml:space="preserve">   V - Riserva per azioni proprie in portafoglio</t>
  </si>
  <si>
    <t xml:space="preserve">  VI - Riserva statutarie</t>
  </si>
  <si>
    <t xml:space="preserve">  VII - Altre riserve distintamente indicate</t>
  </si>
  <si>
    <t xml:space="preserve">        Riserva straordinaria</t>
  </si>
  <si>
    <t xml:space="preserve">        Riserva da arrotondamenti</t>
  </si>
  <si>
    <t>VIII - Utile (perdite) portate a nuovo</t>
  </si>
  <si>
    <t>TOTALE PATRIMONIO NETTO ( A )</t>
  </si>
  <si>
    <t>B) FONDI PER RISCHI ED ONERI</t>
  </si>
  <si>
    <t xml:space="preserve">     1) Per trattamento di quiescenza ed obblighi simili</t>
  </si>
  <si>
    <t xml:space="preserve">     2) Per imposte, anche differite</t>
  </si>
  <si>
    <t xml:space="preserve">     3) Altri fondi</t>
  </si>
  <si>
    <t>TOTALE FONDI PER RISCHI ED ONERI ( B )</t>
  </si>
  <si>
    <t>C) TRATTAMENTO DI FINE RAPPORTO</t>
  </si>
  <si>
    <t>D) DEBITI</t>
  </si>
  <si>
    <t xml:space="preserve">     1) Obbligazioni </t>
  </si>
  <si>
    <t xml:space="preserve">     2) Obbligazioni convertibili </t>
  </si>
  <si>
    <t xml:space="preserve">     3) Debiti verso soci per finanziamenti</t>
  </si>
  <si>
    <t xml:space="preserve">     5) Debiti verso altri finanziatori </t>
  </si>
  <si>
    <t xml:space="preserve">     6) Acconti </t>
  </si>
  <si>
    <t xml:space="preserve">     7) Debiti verso fornitori </t>
  </si>
  <si>
    <t xml:space="preserve">     8) Debiti rappresentati da titoli di credito</t>
  </si>
  <si>
    <t xml:space="preserve">     9) Debiti verso imprese controllate </t>
  </si>
  <si>
    <t xml:space="preserve">   10) Debiti verso imprese collegate </t>
  </si>
  <si>
    <t xml:space="preserve">   11) Debiti verso imprese controllanti </t>
  </si>
  <si>
    <t xml:space="preserve">   12) Debiti tributari </t>
  </si>
  <si>
    <t xml:space="preserve">   13) Debiti verso Istituti di prev. e sicurezza sociale </t>
  </si>
  <si>
    <t xml:space="preserve">   14) Altri debiti</t>
  </si>
  <si>
    <t>TOTALE DEBITI ( D )</t>
  </si>
  <si>
    <t>E) RATEI E RISCONTI</t>
  </si>
  <si>
    <t>TOTALE (A + B + C + D + E)</t>
  </si>
  <si>
    <t>Beni di terzi in leasing </t>
  </si>
  <si>
    <t>24.01.01</t>
  </si>
  <si>
    <t>Beni di terzi presso di noi </t>
  </si>
  <si>
    <t>24.01</t>
  </si>
  <si>
    <t>CONTI D'ORDINE</t>
  </si>
  <si>
    <t>Imposte anticipate</t>
  </si>
  <si>
    <t>23.01.03</t>
  </si>
  <si>
    <t>Imposte differite </t>
  </si>
  <si>
    <t>23.01.02</t>
  </si>
  <si>
    <t>rettifiche per imposte anticipate </t>
  </si>
  <si>
    <t>23.01.01.01</t>
  </si>
  <si>
    <t>Imposte correnti </t>
  </si>
  <si>
    <t>23.01.01</t>
  </si>
  <si>
    <t>Imposte sul reddito dell'esercizio </t>
  </si>
  <si>
    <t>23.01</t>
  </si>
  <si>
    <t>IMPOSTE</t>
  </si>
  <si>
    <t>RIVALUTAZIONI DI PASSIVITA' FINANZIARIE</t>
  </si>
  <si>
    <t>Svalutazioni titoli</t>
  </si>
  <si>
    <t>21.01.02</t>
  </si>
  <si>
    <t>Svalut. di immob.fin. (non partecipazioni) </t>
  </si>
  <si>
    <t>21.01.01</t>
  </si>
  <si>
    <t>Svalutazioni </t>
  </si>
  <si>
    <t>21.01</t>
  </si>
  <si>
    <t>SVALUTAZIONE DI ATTIVITA' FINANZIARIE</t>
  </si>
  <si>
    <t>Utili e perdite su cambi </t>
  </si>
  <si>
    <t>20.01.01.04</t>
  </si>
  <si>
    <t>perdite su cambi </t>
  </si>
  <si>
    <t>20.01.01.03</t>
  </si>
  <si>
    <t>int.pass. su prest. obbligaz. </t>
  </si>
  <si>
    <t>20.01.01.02</t>
  </si>
  <si>
    <t>interessi passivi su mutui </t>
  </si>
  <si>
    <t>20.01.01.01</t>
  </si>
  <si>
    <t>Interessi e altri oneri finanz. v/ altri </t>
  </si>
  <si>
    <t>20.01.01</t>
  </si>
  <si>
    <t>Interessi e altri oneri finanziari </t>
  </si>
  <si>
    <t>20.01</t>
  </si>
  <si>
    <t>ONERI FINANZIARI </t>
  </si>
  <si>
    <t>Oneri diversi di gestione </t>
  </si>
  <si>
    <t>19.09</t>
  </si>
  <si>
    <t>accant. f.do garanzia prodotti </t>
  </si>
  <si>
    <t>19.08.01</t>
  </si>
  <si>
    <t>Altri accantonamenti </t>
  </si>
  <si>
    <t>19.08</t>
  </si>
  <si>
    <t>accant. f.do premi a clienti</t>
  </si>
  <si>
    <t>19.07.01</t>
  </si>
  <si>
    <t>Accantonamenti per rischi </t>
  </si>
  <si>
    <t>19.07</t>
  </si>
  <si>
    <t>variaz. riman. finali prodotti</t>
  </si>
  <si>
    <t>19.06.03</t>
  </si>
  <si>
    <t>variaz. riman. finali semilavorati </t>
  </si>
  <si>
    <t>19.06.02</t>
  </si>
  <si>
    <t>variaz.rimanenze materie prime </t>
  </si>
  <si>
    <t>19.06.01</t>
  </si>
  <si>
    <t>Variazione rimanenze</t>
  </si>
  <si>
    <t>19.06</t>
  </si>
  <si>
    <t>svalutaz. crediti </t>
  </si>
  <si>
    <t>19.05.03.01</t>
  </si>
  <si>
    <t>Svalutaz. cred. del circol. e delle disp. liq. </t>
  </si>
  <si>
    <t>19.05.03</t>
  </si>
  <si>
    <t>ammort. attrezz. industriali e commerciali </t>
  </si>
  <si>
    <t>19.05.02.04</t>
  </si>
  <si>
    <t>ammort. impianti e macchinario </t>
  </si>
  <si>
    <t>19.05.02.03</t>
  </si>
  <si>
    <t>ammort. terreni </t>
  </si>
  <si>
    <t>19.05.02.02</t>
  </si>
  <si>
    <t>ammort. terreni e fabbricati </t>
  </si>
  <si>
    <t>19.05.02.01</t>
  </si>
  <si>
    <t>Ammortamento delle immobilizzaz. materiali </t>
  </si>
  <si>
    <t>19.05.02</t>
  </si>
  <si>
    <t>ammort. oneri pluriennali su finanziamenti e mutui </t>
  </si>
  <si>
    <t>19.05.01.08</t>
  </si>
  <si>
    <t>ammort. manutenzioni e riparazioni da ammortizzare </t>
  </si>
  <si>
    <t>19.05.01.07</t>
  </si>
  <si>
    <t>ammort. avviamento </t>
  </si>
  <si>
    <t>19.05.01.06</t>
  </si>
  <si>
    <t>ammort. licenze d'uso (software e varie) </t>
  </si>
  <si>
    <t>19.05.01.05</t>
  </si>
  <si>
    <t>ammort. concessioni </t>
  </si>
  <si>
    <t>19.05.01.04</t>
  </si>
  <si>
    <t>ammort. diritti di brevetto industriale </t>
  </si>
  <si>
    <t>19.05.01.03</t>
  </si>
  <si>
    <t>ammort. costi di sviluppo </t>
  </si>
  <si>
    <t>19.05.01.02</t>
  </si>
  <si>
    <t>ammort. spese di avviamento impianti e/o produzione </t>
  </si>
  <si>
    <t>19.05.01.01</t>
  </si>
  <si>
    <t>Ammortamento attivita' immateriali </t>
  </si>
  <si>
    <t>19.05.01</t>
  </si>
  <si>
    <t>Ammortamenti e svalutazioni </t>
  </si>
  <si>
    <t>19.05</t>
  </si>
  <si>
    <t>Accantonamento al t.f.r. </t>
  </si>
  <si>
    <t>19.04.03</t>
  </si>
  <si>
    <t>Oneri sociali </t>
  </si>
  <si>
    <t>19.04.02</t>
  </si>
  <si>
    <t>Salari, stipendi </t>
  </si>
  <si>
    <t>19.04.01</t>
  </si>
  <si>
    <t>Costi del personale </t>
  </si>
  <si>
    <t>19.04</t>
  </si>
  <si>
    <t>canoni leasing </t>
  </si>
  <si>
    <t>19.03.01</t>
  </si>
  <si>
    <t>Spese per godimento di beni di terzi </t>
  </si>
  <si>
    <t>19.03</t>
  </si>
  <si>
    <t>servizi vari </t>
  </si>
  <si>
    <t>19.02.03</t>
  </si>
  <si>
    <t>costi di pubblicità</t>
  </si>
  <si>
    <t>19.02.02</t>
  </si>
  <si>
    <t>spese di manutenz. e varie </t>
  </si>
  <si>
    <t>19.02.01</t>
  </si>
  <si>
    <t xml:space="preserve"> Spese per prestazioni di servizi </t>
  </si>
  <si>
    <t>19.02</t>
  </si>
  <si>
    <t>acquisto materie prime </t>
  </si>
  <si>
    <t>19.01</t>
  </si>
  <si>
    <t>COSTI DELLA PRODUZIONE REALIZZATA</t>
  </si>
  <si>
    <t>SVALUTAZIOIN DI PASSIVITA' FINANZIARIE</t>
  </si>
  <si>
    <t>RIVALUTAZIONI DI ATTIVITA' FINANZIARIE</t>
  </si>
  <si>
    <t>altri proventi </t>
  </si>
  <si>
    <t>16.02.02</t>
  </si>
  <si>
    <t>interessi attivi su titoli </t>
  </si>
  <si>
    <t>16.02.01</t>
  </si>
  <si>
    <t>Altri proventi finanziari </t>
  </si>
  <si>
    <t>16.02</t>
  </si>
  <si>
    <t>Proventi da partec. in impr. controllate </t>
  </si>
  <si>
    <t>16.01.01</t>
  </si>
  <si>
    <t>Proventi da partecipazioni </t>
  </si>
  <si>
    <t>16.01</t>
  </si>
  <si>
    <t>PROVENTI FINANZIARI</t>
  </si>
  <si>
    <t>altri ricavi</t>
  </si>
  <si>
    <t>15.05.02</t>
  </si>
  <si>
    <t>fitti attivi </t>
  </si>
  <si>
    <t>15.05.01</t>
  </si>
  <si>
    <t>Altri ricavi e proventi </t>
  </si>
  <si>
    <t>15.05</t>
  </si>
  <si>
    <t>capitalizz.ne costi sviluppo</t>
  </si>
  <si>
    <t>15.04.02</t>
  </si>
  <si>
    <t>capitalizz.ne costi di impianto e di ampliamento </t>
  </si>
  <si>
    <t>15.04.01</t>
  </si>
  <si>
    <t>Incrementi di immobil. per lavori interni </t>
  </si>
  <si>
    <t>15.04</t>
  </si>
  <si>
    <t>rimanenze finali lavori in corso su ordinaz. </t>
  </si>
  <si>
    <t>15.03.02</t>
  </si>
  <si>
    <t>variazione rimanenze lavori in corso su ordinazione </t>
  </si>
  <si>
    <t>15.03.01</t>
  </si>
  <si>
    <t>Variazione dei lavori in corso su ordinaz. </t>
  </si>
  <si>
    <t>15.03</t>
  </si>
  <si>
    <t>rimanenze finali prod.finiti </t>
  </si>
  <si>
    <t>15.02.06</t>
  </si>
  <si>
    <t>variazione rimanenze prodotti finiti </t>
  </si>
  <si>
    <t>15.02.05</t>
  </si>
  <si>
    <t>rimanenze finali semilavorati </t>
  </si>
  <si>
    <t>15.02.04</t>
  </si>
  <si>
    <t>variazione rimanenze semilavorati </t>
  </si>
  <si>
    <t>15.02.03</t>
  </si>
  <si>
    <t>rimanenze finali prod.in corso di lavoraz. </t>
  </si>
  <si>
    <t>15.02.02</t>
  </si>
  <si>
    <t>variazione rimanenze prodotti in corso di lavorazione </t>
  </si>
  <si>
    <t>15.02.01</t>
  </si>
  <si>
    <t>Var. rim. prod. in corso di lav., semilav., fin. </t>
  </si>
  <si>
    <t>15.02</t>
  </si>
  <si>
    <t>costi di trasporto addebitati in fattura </t>
  </si>
  <si>
    <t>15.01.06</t>
  </si>
  <si>
    <t>premi su vendite </t>
  </si>
  <si>
    <t>15.01.05</t>
  </si>
  <si>
    <t>resi su vendite </t>
  </si>
  <si>
    <t>15.01.04</t>
  </si>
  <si>
    <t>vendite prodotti estero</t>
  </si>
  <si>
    <t>15.01.03</t>
  </si>
  <si>
    <t>vendite prodotti Italia </t>
  </si>
  <si>
    <t>15.01.02</t>
  </si>
  <si>
    <t>vendite prodotti</t>
  </si>
  <si>
    <t>15.01.01</t>
  </si>
  <si>
    <t>Ricavi delle vendite e delle prestazioni </t>
  </si>
  <si>
    <t>15.01</t>
  </si>
  <si>
    <t>VALORE DELLA PRODUZIONE REALIZZATA</t>
  </si>
  <si>
    <t>COMPONENTI POSITIVI DEL REDDITO</t>
  </si>
  <si>
    <t>Risconti passivi </t>
  </si>
  <si>
    <t>14.01.02</t>
  </si>
  <si>
    <t>Ratei passivi </t>
  </si>
  <si>
    <t>14.01.01</t>
  </si>
  <si>
    <t>Vari </t>
  </si>
  <si>
    <t>14.01</t>
  </si>
  <si>
    <t>RATEI E RISCONTI PASSIVI </t>
  </si>
  <si>
    <t>diversi debiti</t>
  </si>
  <si>
    <t>13.05.01</t>
  </si>
  <si>
    <t>Altri debiti </t>
  </si>
  <si>
    <t>13.05</t>
  </si>
  <si>
    <t>13.04</t>
  </si>
  <si>
    <t>erario c/ IVA</t>
  </si>
  <si>
    <t>13.03.03</t>
  </si>
  <si>
    <t>debiti tributari</t>
  </si>
  <si>
    <t>13.03.02</t>
  </si>
  <si>
    <t>erario c/ritenute </t>
  </si>
  <si>
    <t>13.03.01</t>
  </si>
  <si>
    <t>Debiti tributari </t>
  </si>
  <si>
    <t>13.03</t>
  </si>
  <si>
    <t>Debiti v/ fornitori </t>
  </si>
  <si>
    <t>13.02</t>
  </si>
  <si>
    <t>mutui passivi</t>
  </si>
  <si>
    <t>13.01.01</t>
  </si>
  <si>
    <t>Debiti v/banche </t>
  </si>
  <si>
    <t>13.01</t>
  </si>
  <si>
    <t>DEBITI </t>
  </si>
  <si>
    <t>TRATTAMENTO DI FINE RAPPORTO DI LAVORO</t>
  </si>
  <si>
    <t>Altri fondi oneri e rischi futuri </t>
  </si>
  <si>
    <t>11.02</t>
  </si>
  <si>
    <t>Fondo per imposte, anche differite </t>
  </si>
  <si>
    <t>11.01</t>
  </si>
  <si>
    <t>FONDI PER RISCHI ED ONERI </t>
  </si>
  <si>
    <t>CAPITALE NETTO </t>
  </si>
  <si>
    <t>PASSIVO </t>
  </si>
  <si>
    <t>risconti attivi canoni leasing </t>
  </si>
  <si>
    <t>9.01.03</t>
  </si>
  <si>
    <t>risconti attivi </t>
  </si>
  <si>
    <t>9.01.02</t>
  </si>
  <si>
    <t>ratei attivi </t>
  </si>
  <si>
    <t>9.01.01</t>
  </si>
  <si>
    <t>9.01</t>
  </si>
  <si>
    <t>RATEI E RISCONTI ATTIVI </t>
  </si>
  <si>
    <t>Valori in cassa </t>
  </si>
  <si>
    <t>8.02</t>
  </si>
  <si>
    <t>Depositi bancari e postali </t>
  </si>
  <si>
    <t>8.01</t>
  </si>
  <si>
    <t>DISPONIBILITA' LIQUIDE </t>
  </si>
  <si>
    <t>ATTIVITA' FINANZIARE NON IMMOBILIZZATE</t>
  </si>
  <si>
    <t> crediti per operazioni finanziarie</t>
  </si>
  <si>
    <t>6.03.13</t>
  </si>
  <si>
    <t> crediti per anticipi prestazioni e servizi</t>
  </si>
  <si>
    <t>6.03.12</t>
  </si>
  <si>
    <t> crediti per fatture da emettere</t>
  </si>
  <si>
    <t>6.03.11</t>
  </si>
  <si>
    <t> crediti commerciali</t>
  </si>
  <si>
    <t>6.03.10</t>
  </si>
  <si>
    <t>Acconto Iva</t>
  </si>
  <si>
    <t>6.03.09</t>
  </si>
  <si>
    <t xml:space="preserve">Erario c/Iva </t>
  </si>
  <si>
    <t>6.03.08</t>
  </si>
  <si>
    <t>6.03.07</t>
  </si>
  <si>
    <t>Erario c/ritenute diverse</t>
  </si>
  <si>
    <t>6.03.06</t>
  </si>
  <si>
    <t>Erario c/ritenute su dividendi</t>
  </si>
  <si>
    <t>6.03.05</t>
  </si>
  <si>
    <t>Erario c/ritenute su interessi attivi</t>
  </si>
  <si>
    <t>6.03.04</t>
  </si>
  <si>
    <t>crediti tributari</t>
  </si>
  <si>
    <t>6.03.03</t>
  </si>
  <si>
    <t>Crediti v/fornitori</t>
  </si>
  <si>
    <t>6.03.02</t>
  </si>
  <si>
    <t>Anticipi a fornitori (per servizi e vari)</t>
  </si>
  <si>
    <t>6.03.01</t>
  </si>
  <si>
    <t>Crediti  v/altri</t>
  </si>
  <si>
    <t>6.03</t>
  </si>
  <si>
    <t>Crediti v/controllate</t>
  </si>
  <si>
    <t>6.02</t>
  </si>
  <si>
    <t xml:space="preserve">f.do svalutazione crediti </t>
  </si>
  <si>
    <t>6.01.04</t>
  </si>
  <si>
    <t>crediti per fatture da emettere</t>
  </si>
  <si>
    <t>6.01.03</t>
  </si>
  <si>
    <t>  clienti estero</t>
  </si>
  <si>
    <t>6.01.02</t>
  </si>
  <si>
    <t>  clienti Italia</t>
  </si>
  <si>
    <t>6.01.01</t>
  </si>
  <si>
    <t>Crediti  v/clienti</t>
  </si>
  <si>
    <t>6.01</t>
  </si>
  <si>
    <t>CREDITI</t>
  </si>
  <si>
    <t>5.05</t>
  </si>
  <si>
    <t>rimanenze prodotti finiti</t>
  </si>
  <si>
    <t>5.04.01</t>
  </si>
  <si>
    <t>5.04</t>
  </si>
  <si>
    <t>rimanenze lavori in corso su ordinazione</t>
  </si>
  <si>
    <t>5.03.01</t>
  </si>
  <si>
    <t xml:space="preserve"> Lavori in corso su ordinazione</t>
  </si>
  <si>
    <t>5.03</t>
  </si>
  <si>
    <t>rimanenze fabbricati in corso di costruzione</t>
  </si>
  <si>
    <t>5.02.03</t>
  </si>
  <si>
    <t>rimanenze prodotti in corso di lavorazione</t>
  </si>
  <si>
    <t>5.02.02</t>
  </si>
  <si>
    <t>rimanenze semilavorati di produzione</t>
  </si>
  <si>
    <t>5.02.01</t>
  </si>
  <si>
    <t>Prodotti in corso di lavoraz. e semilavor.</t>
  </si>
  <si>
    <t>5.02</t>
  </si>
  <si>
    <t>rimanenze materie prime</t>
  </si>
  <si>
    <t>5.01.01</t>
  </si>
  <si>
    <t xml:space="preserve"> Materie prime, sussidiarie e di consumo</t>
  </si>
  <si>
    <t>5.01</t>
  </si>
  <si>
    <t>RIMANENZE</t>
  </si>
  <si>
    <t xml:space="preserve"> ATTIVO CIRCOLANTE</t>
  </si>
  <si>
    <t>4.03</t>
  </si>
  <si>
    <t>Crediti verso imprese controllate</t>
  </si>
  <si>
    <t>4.02.01</t>
  </si>
  <si>
    <t>4.02</t>
  </si>
  <si>
    <t>4.01.01</t>
  </si>
  <si>
    <t>Partecipazioni</t>
  </si>
  <si>
    <t>4.01</t>
  </si>
  <si>
    <t>IMMOBILIZZAZIONI FINANZIARIE</t>
  </si>
  <si>
    <t>impianti in corso</t>
  </si>
  <si>
    <t>3.05.01</t>
  </si>
  <si>
    <t xml:space="preserve"> immobilizzazioni in corso e acconti</t>
  </si>
  <si>
    <t>3.05</t>
  </si>
  <si>
    <t xml:space="preserve"> Altri beni materiali</t>
  </si>
  <si>
    <t>3.04</t>
  </si>
  <si>
    <t xml:space="preserve">f.do ammort. attrezzature </t>
  </si>
  <si>
    <t>3.03.02</t>
  </si>
  <si>
    <t>attrezzature</t>
  </si>
  <si>
    <t>3.03.01</t>
  </si>
  <si>
    <t xml:space="preserve"> Attrezzature industriali e commerciali</t>
  </si>
  <si>
    <t>3.03</t>
  </si>
  <si>
    <t>f.do ammort. macchinari</t>
  </si>
  <si>
    <t>3.02.04</t>
  </si>
  <si>
    <t>macchinari</t>
  </si>
  <si>
    <t>3.02.03</t>
  </si>
  <si>
    <t xml:space="preserve">f.do ammort. impianti </t>
  </si>
  <si>
    <t>3.02.02</t>
  </si>
  <si>
    <t xml:space="preserve">impianti </t>
  </si>
  <si>
    <t>3.02.01</t>
  </si>
  <si>
    <t>3.02</t>
  </si>
  <si>
    <t xml:space="preserve">f.do ammort. terreni e fabbricati </t>
  </si>
  <si>
    <t>3.01.02</t>
  </si>
  <si>
    <t>terreni e fabbricati</t>
  </si>
  <si>
    <t>3.01.01</t>
  </si>
  <si>
    <t xml:space="preserve"> Terreni e fabbricati</t>
  </si>
  <si>
    <t>3.01</t>
  </si>
  <si>
    <t> IMMOBILIZZAZIONI MATERIALI</t>
  </si>
  <si>
    <t>costi ed oneri pluriennali da ammortizzare</t>
  </si>
  <si>
    <t>2.08.02</t>
  </si>
  <si>
    <t>oneri pluriennali su finanziamenti e mutui</t>
  </si>
  <si>
    <t>2.08.01</t>
  </si>
  <si>
    <t>Altre immobilizzazioni immateriali</t>
  </si>
  <si>
    <t>2.08</t>
  </si>
  <si>
    <t>immobilizzazioni immateriali in corso</t>
  </si>
  <si>
    <t>2.07.01</t>
  </si>
  <si>
    <t>Immobilizzazioni imm. in corso e acconti</t>
  </si>
  <si>
    <t>2.07</t>
  </si>
  <si>
    <t>avviamento</t>
  </si>
  <si>
    <t>2.06.01</t>
  </si>
  <si>
    <t>2.06</t>
  </si>
  <si>
    <t>2.05.01</t>
  </si>
  <si>
    <t>Concessioni, licenze, marchi e dir. simili</t>
  </si>
  <si>
    <t>2.05</t>
  </si>
  <si>
    <t>diritti di brevetto industriale</t>
  </si>
  <si>
    <t>2.04.01</t>
  </si>
  <si>
    <t>Dir. di brevetti industriali</t>
  </si>
  <si>
    <t>2.04</t>
  </si>
  <si>
    <t>2.03.01</t>
  </si>
  <si>
    <t>2.03</t>
  </si>
  <si>
    <t>costi di sviluppo</t>
  </si>
  <si>
    <t>2.02.04</t>
  </si>
  <si>
    <t>Costi di ricerca e sviluppo, pubblicita'</t>
  </si>
  <si>
    <t>2.02</t>
  </si>
  <si>
    <t>spese di avviamento impianti e/o produzioni</t>
  </si>
  <si>
    <t>2.01.01</t>
  </si>
  <si>
    <t>Costi di impianto e di ampliamento</t>
  </si>
  <si>
    <t>2.01</t>
  </si>
  <si>
    <t>IMMOBILIZZAZIONI IMMATERIALI</t>
  </si>
  <si>
    <t xml:space="preserve"> CREDITI VERSO SOCI PER VERSAMENTI ANCORA DOVUTI</t>
  </si>
  <si>
    <t>Impegni per canoni leasing da corrispondere</t>
  </si>
  <si>
    <t>Beni di Terzi in Leasing</t>
  </si>
  <si>
    <t>Conti d’ordine</t>
  </si>
  <si>
    <t> </t>
  </si>
  <si>
    <t>Dividendi da imprese collegate</t>
  </si>
  <si>
    <t>Interessi attivi su titoli</t>
  </si>
  <si>
    <t>Rimborsi spese</t>
  </si>
  <si>
    <t>Riserva Statutaria</t>
  </si>
  <si>
    <t>Fondo imposte differite</t>
  </si>
  <si>
    <t>Fondo per Rischi e Oneri</t>
  </si>
  <si>
    <t>Fondo per Contenzioso Tributario</t>
  </si>
  <si>
    <t>Fondo Ammortamento Attrezzature Industriali</t>
  </si>
  <si>
    <t>Fondo Ammortamento Macchinari</t>
  </si>
  <si>
    <t>Fondo Ammortamento Impianti</t>
  </si>
  <si>
    <t>Fondo Ammortamento Terreni e Fabbricati</t>
  </si>
  <si>
    <t>Trattamento Fine Rapporto</t>
  </si>
  <si>
    <t>Mutui passivi</t>
  </si>
  <si>
    <t>IVA a debito</t>
  </si>
  <si>
    <t>Costi per manutenzioni e riparazioni</t>
  </si>
  <si>
    <t>Canoni di Leasing</t>
  </si>
  <si>
    <t>Fitti Passivi</t>
  </si>
  <si>
    <t>Variazione Rimanenze Prodotti finiti</t>
  </si>
  <si>
    <t>Variazione Rimanenze Semilavorati</t>
  </si>
  <si>
    <t>Variazione Rimanenze Materie prime</t>
  </si>
  <si>
    <t>Diritti brevetto industriale</t>
  </si>
  <si>
    <t>Terreni e Fabbricati</t>
  </si>
  <si>
    <t>Crediti verso Erario (per acconti IRAP)</t>
  </si>
  <si>
    <t>Crediti verso Erario (per acconti IRES)</t>
  </si>
  <si>
    <t>Crediti per imposte anticipate</t>
  </si>
  <si>
    <t>IVA a credito</t>
  </si>
  <si>
    <t>Crediti verso imprese collegate</t>
  </si>
  <si>
    <t>Crediti verso clienti esteri</t>
  </si>
  <si>
    <t>Crediti verso clienti</t>
  </si>
  <si>
    <t>BILANCIO DI VERIFICA AL 31.12.2020</t>
  </si>
  <si>
    <t>1.01</t>
  </si>
  <si>
    <t>1.02</t>
  </si>
  <si>
    <t>Azionisti c/ sottoscrizione</t>
  </si>
  <si>
    <t>Azionisti c/  decimi richiamati</t>
  </si>
  <si>
    <t>a</t>
  </si>
  <si>
    <t>Diversi</t>
  </si>
  <si>
    <t>DIVERSI</t>
  </si>
  <si>
    <t>Mutui passivi scadenti entro l'anno</t>
  </si>
  <si>
    <t>Mutui passivi scadenti oltre l'anno</t>
  </si>
  <si>
    <t>Scritture di riclassificazione finali</t>
  </si>
  <si>
    <t>PARZIALI</t>
  </si>
  <si>
    <t>TOTALI</t>
  </si>
  <si>
    <t>N.B Riepilogo dell'IVA effettuato nella scheda "Libro giornale"</t>
  </si>
  <si>
    <t>Scritture di riclassificazione iniziali</t>
  </si>
  <si>
    <t>TIPO DI SCRITTURA</t>
  </si>
  <si>
    <t>SCRITTURE DI STORNO</t>
  </si>
  <si>
    <t>SCRITTURA DI RICOMPOSIZIONE DEL  DEBITO</t>
  </si>
  <si>
    <t>STORNO DEI FONDI RETTIFICATIVI DELL`ATTIVO</t>
  </si>
  <si>
    <t>RIPRISTINO DEI FONDI RETTIFICATIVI DELL`ATTIVO</t>
  </si>
  <si>
    <t>TFR DI LAVORO SUBORDINATO</t>
  </si>
  <si>
    <t>IVA A CREDITO</t>
  </si>
  <si>
    <t>INCREMENTI DI IMMOBILIZZAZIONI PER LAVORI INTERNI</t>
  </si>
  <si>
    <t>RIMANENZE LAVORI IN CORSO SU ORDINAZIONE</t>
  </si>
  <si>
    <t>VARIAZIONE RIMANENZE LAVORI IN CORSO SU ORDINAZIONE</t>
  </si>
  <si>
    <t>ACCANTONAMENTI MANUTENZIONE E RIPARAZIONE</t>
  </si>
  <si>
    <t>RIMANENZE MATERIE PRIME</t>
  </si>
  <si>
    <t>RIMANENZE  SEMILAVORATI</t>
  </si>
  <si>
    <t>RIMANENZE  PRODOTTI</t>
  </si>
  <si>
    <t xml:space="preserve">        UTILI SU TITOLI ALFA</t>
  </si>
  <si>
    <t xml:space="preserve">        UTILI SU TITOLI BETA</t>
  </si>
  <si>
    <t>CAPITALIZZAZIONE COSTI DI RICERCA E SVILUPPO</t>
  </si>
  <si>
    <t>MUTUI PASSIVI SCADENTI ENTRO ANNO</t>
  </si>
  <si>
    <t>MUTUI PASSIVI SCADENTI OLTRE ANNO</t>
  </si>
  <si>
    <t>LEGENDA:</t>
  </si>
  <si>
    <t>Bilancio di verifica</t>
  </si>
  <si>
    <t>Scritture di assestamento</t>
  </si>
  <si>
    <t>Scritture di riclassificazione</t>
  </si>
  <si>
    <t>Scritture di riepilogo</t>
  </si>
  <si>
    <t>Scritture finali</t>
  </si>
  <si>
    <t xml:space="preserve">Anno successivo </t>
  </si>
  <si>
    <t>Risconti attivi</t>
  </si>
  <si>
    <t>Fornitori c/fatture da ricevere</t>
  </si>
  <si>
    <t>Ratei passivi</t>
  </si>
  <si>
    <t xml:space="preserve"> RIMANENZE MATERIE PRIME</t>
  </si>
  <si>
    <t>VALORI DERIVANTI DALL'ESERCIZIO DELL'ANNO PRECEDENTE</t>
  </si>
  <si>
    <t>VARIAZIONE RIMANENZE SEMILAVORAATI</t>
  </si>
  <si>
    <t xml:space="preserve"> RIMANENZE PRODOTTI FINITI</t>
  </si>
  <si>
    <t>ALTRI SERVIZI</t>
  </si>
  <si>
    <t>CANONI LEASING</t>
  </si>
  <si>
    <t xml:space="preserve">MUTUI PASSIVI </t>
  </si>
  <si>
    <t xml:space="preserve"> FONDO AMMORTAMENTO MACCHINARI</t>
  </si>
  <si>
    <t xml:space="preserve"> FONDO AMMORTAMENTO ATTREZZATURE INDUSTRIALI</t>
  </si>
  <si>
    <t xml:space="preserve"> FONDO SVALUTAZIONE CREDITI</t>
  </si>
  <si>
    <t>CREDITI VERSO CLIENTI</t>
  </si>
  <si>
    <t>FORNITORI C/ FATTURE DA RICEVERE</t>
  </si>
  <si>
    <t xml:space="preserve">FORNITORI </t>
  </si>
  <si>
    <t>COSTO MANUTENZIONE E RIPARAZIONE</t>
  </si>
  <si>
    <t>FONDO MANUTENZIONE E RIPARAZIONE</t>
  </si>
  <si>
    <t>CLIENTI</t>
  </si>
  <si>
    <t>FONDO SVALUTAZIONE</t>
  </si>
  <si>
    <t>PERDITA SU CREDITI</t>
  </si>
  <si>
    <t>MACCHINARI FUORI CICLO</t>
  </si>
  <si>
    <t>IVA A DEBITO</t>
  </si>
  <si>
    <t>PLUSVALENZA A ALIENAZIONE</t>
  </si>
  <si>
    <t>9a</t>
  </si>
  <si>
    <t>9b</t>
  </si>
  <si>
    <t>11a</t>
  </si>
  <si>
    <t>11b</t>
  </si>
  <si>
    <t>11c</t>
  </si>
  <si>
    <t>11d</t>
  </si>
  <si>
    <t>13a</t>
  </si>
  <si>
    <t>13b</t>
  </si>
  <si>
    <t>13c</t>
  </si>
  <si>
    <t>14a</t>
  </si>
  <si>
    <t>14b</t>
  </si>
  <si>
    <t>FONDO ACCANTON. MANUT E RIPARAZ.</t>
  </si>
  <si>
    <t>ACCANTONAMENTI PER MANUTENZIONE E RIPARAZIONE</t>
  </si>
  <si>
    <t>16a</t>
  </si>
  <si>
    <t>16b</t>
  </si>
  <si>
    <t>NON VENGONO EFFETTUATE ALCUNE VARIAZIONI IN QUANTO LA VALUTAZIONE DELLA PARTECIPAZIONE È EFFETTUATA SULLA BASE DEL COSTO</t>
  </si>
  <si>
    <t>/</t>
  </si>
  <si>
    <t>22a</t>
  </si>
  <si>
    <t>22b</t>
  </si>
  <si>
    <t>23a</t>
  </si>
  <si>
    <t>23b</t>
  </si>
  <si>
    <t>23c</t>
  </si>
  <si>
    <t>UTILE SU TITOLI ALFA</t>
  </si>
  <si>
    <t>UTILE SU TITOLI BETA</t>
  </si>
  <si>
    <t>24a</t>
  </si>
  <si>
    <t>24b</t>
  </si>
  <si>
    <t>SCRITTURA DI RIEPILOGO DELL'IVA</t>
  </si>
  <si>
    <t>ANNO SUCCESSIVO</t>
  </si>
  <si>
    <t>DEBITI V/ FORNITORI</t>
  </si>
  <si>
    <t>FONDO MANUTENZIONE E RIPAARAZIONE</t>
  </si>
  <si>
    <t>CREDITI V/ CLIENTI</t>
  </si>
  <si>
    <t>5a</t>
  </si>
  <si>
    <t>5b</t>
  </si>
  <si>
    <t>PLUSVALENZA DA ALIENAZIONE</t>
  </si>
  <si>
    <t xml:space="preserve"> RIMANENZE SEMILAVORATI</t>
  </si>
  <si>
    <t>Perdita d'esercizio</t>
  </si>
  <si>
    <t>Stato patrimoniale finale</t>
  </si>
  <si>
    <t>Crediti vs Erario (acconti IRES)</t>
  </si>
  <si>
    <t>Crediti vs Erario (acconti IRAP)</t>
  </si>
  <si>
    <t xml:space="preserve">Attrezzature industriali </t>
  </si>
  <si>
    <t xml:space="preserve">Impianti in corso </t>
  </si>
  <si>
    <t>Clienti c/fatture da emettere</t>
  </si>
  <si>
    <t>Fornitori c/premi da ricevere</t>
  </si>
  <si>
    <t>Rimanenze Lavori in corso su ordinazione</t>
  </si>
  <si>
    <t>Rimanenze Materie prime</t>
  </si>
  <si>
    <t>Rimanenze Semilavorati</t>
  </si>
  <si>
    <t>Rimanenza Prodotti finiti</t>
  </si>
  <si>
    <t xml:space="preserve">Anticipi da clienti </t>
  </si>
  <si>
    <t>Debiti verso enti previd. e assi.</t>
  </si>
  <si>
    <t>Riserva Legale</t>
  </si>
  <si>
    <t>Debiti tributari</t>
  </si>
  <si>
    <t>Erario c/IVA</t>
  </si>
  <si>
    <t>Fondo manutenzioni e riparazioni</t>
  </si>
  <si>
    <t>Stato patrimoniale iniziale</t>
  </si>
  <si>
    <t>Ammortizziano a quote costanti in assonanza all' OIC 24.</t>
  </si>
  <si>
    <t>Valore netto contabile</t>
  </si>
  <si>
    <t>Costo sostenuto originaramente</t>
  </si>
  <si>
    <t>Annno 4</t>
  </si>
  <si>
    <t>PIANO A QUOTE COSTANTI -  Costi di sviluppo</t>
  </si>
  <si>
    <t>Operazione 14</t>
  </si>
  <si>
    <t>Si ipotizza un piano a quote costanti poiché sono di diritto esclusivo dell'impresa e non sono soggetti a logorio.</t>
  </si>
  <si>
    <t>VNC = VNC del periodo precedente - QA</t>
  </si>
  <si>
    <t>Quota ammortamento = VNC/ residua possibilità di utilizzo = 40000/4 = 10000</t>
  </si>
  <si>
    <t>Valore netto contabile al 31/12/2020 = 40000</t>
  </si>
  <si>
    <t>PIANO A QUOTE COSTANTI - Avviamento</t>
  </si>
  <si>
    <t>PIANO A QUOTE COSTANTI - Diritti brevetto industriale</t>
  </si>
  <si>
    <t>Quota ammortamento = VNC/ residua possibilità di utilizzo = 7000/3 = 2333,33</t>
  </si>
  <si>
    <t>Valore netto contabile al 31/12/2020 = 7000</t>
  </si>
  <si>
    <t>PIANO A QUOTE COSTANTI - Concessioni e licenze</t>
  </si>
  <si>
    <t>Operazione 13</t>
  </si>
  <si>
    <t>Si ipotizza un ammortamento a quote decrescenti in quanto hanno un rapido ciclo di usura.</t>
  </si>
  <si>
    <t>VNC = Costo storico - FA</t>
  </si>
  <si>
    <t>Valore contabile</t>
  </si>
  <si>
    <t xml:space="preserve">FA= FA anno precedente + QA anno </t>
  </si>
  <si>
    <t>Quota ammortamento = VNC/ (1+2)    Q1=QA*2   Q2=QA</t>
  </si>
  <si>
    <t>Fondo ammortamento al 31/12/2020 = 22000</t>
  </si>
  <si>
    <t>Valore netto contabile al 31/12/2020 = 5500</t>
  </si>
  <si>
    <t xml:space="preserve"> Anno 2 </t>
  </si>
  <si>
    <t xml:space="preserve"> Anno 1 </t>
  </si>
  <si>
    <t xml:space="preserve">PIANO A QUOTE DECRESCENTI- Attrezzature industriali </t>
  </si>
  <si>
    <t>Si ipotizza un ammortamento a quote decrescenti per i macchinari a causa dell’obsolescenza e del progresso tecnologico.</t>
  </si>
  <si>
    <t>QA = VNC/ (1+2+3+4+5)  Q1=QA*8  Q2=QA*7  Q3=QA*6  Q4=QA*5 ...</t>
  </si>
  <si>
    <t>Fondo ammortamento al 31/12/2020 = 30680</t>
  </si>
  <si>
    <t>Valore netto contabile al 31/12/2020 = 46020</t>
  </si>
  <si>
    <t xml:space="preserve"> Anno 8  </t>
  </si>
  <si>
    <t xml:space="preserve"> Anno 7 </t>
  </si>
  <si>
    <t xml:space="preserve"> Anno 6 </t>
  </si>
  <si>
    <t xml:space="preserve"> Anno 5 </t>
  </si>
  <si>
    <t xml:space="preserve"> Anno 4 </t>
  </si>
  <si>
    <t xml:space="preserve"> Anno 3 </t>
  </si>
  <si>
    <t>PIANO A QUOTE DECRESCENTI - Macchinari</t>
  </si>
  <si>
    <t>Si ipotizza che la manutenzione straordinaria di cui l'operazione 16, vada ad incrementare la produttività degli impianti, incrementando il costo storico e dunque il VNC al 31/12/2020.</t>
  </si>
  <si>
    <t>Si ipotizza un ammortamento a quote decrescenti per gli impianti poiché supponiamo che i problemi relativi a tali fattori tendono a manifestarsi più frequentemente con il passare degli anni.</t>
  </si>
  <si>
    <t>QA = VNC/ (1+2+3+4+5)   Q1=QA*5  Q2=QA*4  Q3=QA*3  Q4=QA*2  Q5=QA</t>
  </si>
  <si>
    <t>Fondo ammortamento al 31/12/2020 = 23450</t>
  </si>
  <si>
    <t>Valore netto contabile al 31/12/2020 = 43550 + 6000 (Manutenzione straordinaria)</t>
  </si>
  <si>
    <t>PIANO A QUOTE DERESCENTI - Impianti</t>
  </si>
  <si>
    <t xml:space="preserve">  </t>
  </si>
  <si>
    <t>Si ipotizza un ammortamento a quote costanti in quanto terreni e fabbricati non hanno un tasso di obsolescenza elevato ed è prevista una manutenzione ordinaria.</t>
  </si>
  <si>
    <t>Costo storico - fondo ammortamento</t>
  </si>
  <si>
    <t>Quota ammortamento = VNC/ residua possibilità di utilizzo = 49.400/10 = 4.940</t>
  </si>
  <si>
    <t>Fondo ammortamento al 31/12/2020 = 49100</t>
  </si>
  <si>
    <t>Valore netto contabile al 31/12/2020 = 49400</t>
  </si>
  <si>
    <t xml:space="preserve"> Anno 10 </t>
  </si>
  <si>
    <t xml:space="preserve"> Anno 9 </t>
  </si>
  <si>
    <t>PIANO A QUOTE COSTANTI - Terreni e fabbricati</t>
  </si>
  <si>
    <t>Operazione 11</t>
  </si>
  <si>
    <t>LIBRO GIORNALE</t>
  </si>
  <si>
    <t>95000-17500-32500= 45000</t>
  </si>
  <si>
    <t>UTILE</t>
  </si>
  <si>
    <t>65%*50000 = 32500</t>
  </si>
  <si>
    <t>B) COSTI DELLA PRODUZIONE</t>
  </si>
  <si>
    <t xml:space="preserve">    3) ∆ Lavori in corso su ordinazione</t>
  </si>
  <si>
    <t xml:space="preserve">    1) Ricavi</t>
  </si>
  <si>
    <t>A) VALORE DELLA PRODUZIONE</t>
  </si>
  <si>
    <t>CRITERIO DELLA COMMESSA COMPLETATA (ANNO 2)</t>
  </si>
  <si>
    <t>17500-17500 = 0</t>
  </si>
  <si>
    <t>35%*50000 = 17500</t>
  </si>
  <si>
    <t>CRITERIO DELLA COMMESSA COMPLETATA (ANNO 1)</t>
  </si>
  <si>
    <t>Quesito e</t>
  </si>
  <si>
    <t>95000-33250-32500= 29250</t>
  </si>
  <si>
    <t>CRITERIO DELLA PERCENTUALE DI COMPLETAMENTO (ANNO 2)</t>
  </si>
  <si>
    <t>33250-17500 = 15750</t>
  </si>
  <si>
    <t>35%*95000 =  33250</t>
  </si>
  <si>
    <t>CRITERIO DELLA PERCENTUALE DI COMPLETAMENTO (ANNO 1)</t>
  </si>
  <si>
    <t>Operazione 15</t>
  </si>
  <si>
    <t xml:space="preserve">Avanzamento lavori al termine del primo anno </t>
  </si>
  <si>
    <t>2 anni</t>
  </si>
  <si>
    <t>Tempo di esecuzione</t>
  </si>
  <si>
    <t>Costi</t>
  </si>
  <si>
    <t>Ricavi pattutiti</t>
  </si>
  <si>
    <t>16766,67-357</t>
  </si>
  <si>
    <t>Aumento del fondo TFR</t>
  </si>
  <si>
    <t>2100*17%</t>
  </si>
  <si>
    <t>Imposta sostitutiva</t>
  </si>
  <si>
    <t>14666,67+2100</t>
  </si>
  <si>
    <t>Importo TFR maturato nell'anno</t>
  </si>
  <si>
    <t>80000*(1,5+1,5*75%)%</t>
  </si>
  <si>
    <t>Rivalutazione indennità pregresse</t>
  </si>
  <si>
    <t>Indennità pregresse TFR</t>
  </si>
  <si>
    <t>198000/13,5</t>
  </si>
  <si>
    <t>Quota di competenza</t>
  </si>
  <si>
    <t>Retribuzione lorda salari e stipendi</t>
  </si>
  <si>
    <t>Calcolo TFR</t>
  </si>
  <si>
    <t>Debito iniziale + Quota di competenza del diaggio - Quota di rimborso</t>
  </si>
  <si>
    <t>Debito finale al costo ammortizzato</t>
  </si>
  <si>
    <t>Quota capitale</t>
  </si>
  <si>
    <t>Quota di rimborso</t>
  </si>
  <si>
    <t>Interessi effettivi - Interessi nominali</t>
  </si>
  <si>
    <t>Quota di competenza del disaggio</t>
  </si>
  <si>
    <t>Quota interessi</t>
  </si>
  <si>
    <t>Interessi nominali al 01/12 n+1</t>
  </si>
  <si>
    <t>Interessi nominali al 1/06 - quelli al 31/12</t>
  </si>
  <si>
    <t>Interessi nominali al 01/06 n+1</t>
  </si>
  <si>
    <t>QI periodo successivo/6*1</t>
  </si>
  <si>
    <t>Interessi nominali al 31/12</t>
  </si>
  <si>
    <t>Debito iniziale*TIR</t>
  </si>
  <si>
    <t>Interessi effettivi al 01/12 n+1</t>
  </si>
  <si>
    <t>(Debito iniziale*TIR) - Interessi effettivi al 31/12</t>
  </si>
  <si>
    <t>Interessi effettivi al 01/06 n+1</t>
  </si>
  <si>
    <t>Debito iniziale*(TIR/6*1)</t>
  </si>
  <si>
    <t>Interessi effettivi al 31/12</t>
  </si>
  <si>
    <t>Debito finale</t>
  </si>
  <si>
    <t>Interessi nominali</t>
  </si>
  <si>
    <t>Interessi effettivi</t>
  </si>
  <si>
    <t>Debito iniziale</t>
  </si>
  <si>
    <t>TIR semestrale</t>
  </si>
  <si>
    <t>rata</t>
  </si>
  <si>
    <t>Tasso nominale semestrale</t>
  </si>
  <si>
    <t>Tasso nominale annuo</t>
  </si>
  <si>
    <t>Disaggio</t>
  </si>
  <si>
    <t>Valore Nominale</t>
  </si>
  <si>
    <t>Quesito h (Operazione 19 b)</t>
  </si>
  <si>
    <t>Spese di istruttoria</t>
  </si>
  <si>
    <t>Quesito h (Operazione 19 a)</t>
  </si>
  <si>
    <t>Crediti USA</t>
  </si>
  <si>
    <t>Crediti Cina</t>
  </si>
  <si>
    <t>Differenze di cambio in €</t>
  </si>
  <si>
    <t>Valore del credito al 31/12</t>
  </si>
  <si>
    <t>Tasso al 31/12</t>
  </si>
  <si>
    <t>Valore in valuta al momento della vendita</t>
  </si>
  <si>
    <t>Tasso di cambio al momento della vendita</t>
  </si>
  <si>
    <t>Valore in €</t>
  </si>
  <si>
    <t>Operazione 20</t>
  </si>
  <si>
    <t>Operazione 19</t>
  </si>
  <si>
    <t>Importo mutuo passivo</t>
  </si>
  <si>
    <t>Interesse annuo</t>
  </si>
  <si>
    <t>Interesse semestrale</t>
  </si>
  <si>
    <t xml:space="preserve">Durata (anni) </t>
  </si>
  <si>
    <t>Semestri</t>
  </si>
  <si>
    <t xml:space="preserve">Quota Capitale </t>
  </si>
  <si>
    <t>Quota Interessi</t>
  </si>
  <si>
    <t>Rata - Quota interessi</t>
  </si>
  <si>
    <t>Saldo iniziale * Interesse semestrale</t>
  </si>
  <si>
    <t>Saldo iniziale - Quota capitale</t>
  </si>
  <si>
    <t>Saldo finale del periodo precedente</t>
  </si>
  <si>
    <t>Debiti vs/società di Leasing</t>
  </si>
  <si>
    <t>Regolamento</t>
  </si>
  <si>
    <t>IVA a Credito</t>
  </si>
  <si>
    <t>Automezzo</t>
  </si>
  <si>
    <t>Liquidazione</t>
  </si>
  <si>
    <t>b) in caso di riscatto del bene</t>
  </si>
  <si>
    <t>Valore residuo del bene</t>
  </si>
  <si>
    <t>F. amm. Automezzo in Leasing</t>
  </si>
  <si>
    <t>Ammortamento Automezzo in Leasing</t>
  </si>
  <si>
    <t xml:space="preserve">DARE </t>
  </si>
  <si>
    <t>Ammortamento del bene</t>
  </si>
  <si>
    <t>Valore iniziale del bene</t>
  </si>
  <si>
    <t>PIANO A QUOTE COSTANTI - Automezzi</t>
  </si>
  <si>
    <t>Db v/società di leasing</t>
  </si>
  <si>
    <t>Calcolo del risconto relativo alla seconda rata</t>
  </si>
  <si>
    <t>Al 31/12 in sede di determinazione delle competenze</t>
  </si>
  <si>
    <t>Partita doppia:</t>
  </si>
  <si>
    <t>Al momento della corresponsione del secondo canone 01/12/2021</t>
  </si>
  <si>
    <t>17) Interessi passivi</t>
  </si>
  <si>
    <t>…</t>
  </si>
  <si>
    <t>C)Proventi e altri oneri finanziari</t>
  </si>
  <si>
    <t>Differenza (A-B)</t>
  </si>
  <si>
    <t>10) Ammortamenti</t>
  </si>
  <si>
    <t>B) Costi della produzione</t>
  </si>
  <si>
    <t>Al momento della corresponsione del primo canone 01/06/2021</t>
  </si>
  <si>
    <t>A) Valore della produzione</t>
  </si>
  <si>
    <t>(*) = (Valore iniziale del debito: €50.000,00) - (Quota già rimborsata: €5.747,45 + €5799,94)</t>
  </si>
  <si>
    <t>(°) = Costo (€55.000,00) - Fondo ammortamento (€10.000,00)</t>
  </si>
  <si>
    <t>Corresponsione del maxicanone:</t>
  </si>
  <si>
    <t>D) Risconti Attivi</t>
  </si>
  <si>
    <t>Beni in Leasing</t>
  </si>
  <si>
    <t>D) Debiti *</t>
  </si>
  <si>
    <t>B) Immobilizzazioni °</t>
  </si>
  <si>
    <t>Società di Leasing c/canoni</t>
  </si>
  <si>
    <t>Canoni di Leasing da corrispondere</t>
  </si>
  <si>
    <t>Rappresentazione in bilancio (al termine del primo anno)</t>
  </si>
  <si>
    <t xml:space="preserve">PARZIALI </t>
  </si>
  <si>
    <t>Sistema degli impegni e rischi</t>
  </si>
  <si>
    <t>Al momento dell'acquisizione del bene 01/04/2021</t>
  </si>
  <si>
    <t>b) Metodo finanziario</t>
  </si>
  <si>
    <t>Cedenti beni in Leasing</t>
  </si>
  <si>
    <t>Sistema dei beni di terzi</t>
  </si>
  <si>
    <t>Conti d'ordine</t>
  </si>
  <si>
    <t>a) informazioni da fornire in nota integrativa</t>
  </si>
  <si>
    <t>Quesito d</t>
  </si>
  <si>
    <t>Calcolo del risconto relativo al secondo canone</t>
  </si>
  <si>
    <t>Calcolo del risconto relativo al maxicanone</t>
  </si>
  <si>
    <t>Beni in leasing</t>
  </si>
  <si>
    <t>Al momento del pagamento del secondo canone 01/12/2021</t>
  </si>
  <si>
    <t>iva su q. cap</t>
  </si>
  <si>
    <t>prima quota cap.</t>
  </si>
  <si>
    <t>Al momento del pagamento del primo canone 01/06/2021</t>
  </si>
  <si>
    <t>somma rate + maxicanone</t>
  </si>
  <si>
    <t>Cedenti beni in leasing</t>
  </si>
  <si>
    <t>Operazione 21  (Metodo patrimoniale)</t>
  </si>
  <si>
    <t>Per il criterio della convenzione del costo, le rimanenze devono essere valutate al minimo tra il costo (FIFO, LIFO, CMP) e il valore di presumibile realizzo. Pertanto, come criterio di valutazione dei semilavorati scegliamo il FIFO.</t>
  </si>
  <si>
    <t>Valore di presumibile realizzo</t>
  </si>
  <si>
    <t>LIFO a scatti</t>
  </si>
  <si>
    <t>FIFO</t>
  </si>
  <si>
    <t>LIFO continuo</t>
  </si>
  <si>
    <t>Costo medio ponderato</t>
  </si>
  <si>
    <t>VALORE DELLE RIMANENZE</t>
  </si>
  <si>
    <t>RIMANENZE FINALI</t>
  </si>
  <si>
    <t>COSTO UNITARIO</t>
  </si>
  <si>
    <t>CRITERIO</t>
  </si>
  <si>
    <t>IAS/IFRS</t>
  </si>
  <si>
    <t xml:space="preserve">CRITERIO </t>
  </si>
  <si>
    <t>SEMILAVORATI</t>
  </si>
  <si>
    <t>Per il criterio della convenzione del costo, le rimanenze devono essere valutate al minimo tra il costo (FIFO, LIFO, CMP) e il valore di presumibile realizzo. Pertanto scegliamo di utilizzare come criterio di valutazione dei prodotti finiti il FIFO.</t>
  </si>
  <si>
    <t>PRODOTTI FINITI</t>
  </si>
  <si>
    <t>Per il criterio della convenzione del costo, le rimanenze devono essere valutate al minimo tra il costo (FIFO, LIFO, CMP) e il valore di presumibile realizzo. Pertanto scegliamo di utilizzare come criterio di valutazione delle rimanenze delle materie prime il costo medio ponderato (CMP).</t>
  </si>
  <si>
    <t>Usando i principi contabili internazionali, non è consentito utilizzare il criterio del LIFO in quanto il valore che si determina si allontana dai valori correnti. Dunque, scegliamo di utilizzare il costo medio ponderato in quanto è il valore minimo tra quelli considerabili. Pertanto gli effetti sul reddito di periodo sono nulli rispetto al metodo civilistico.</t>
  </si>
  <si>
    <t>MATERIE PRIME</t>
  </si>
  <si>
    <t>Quesito f</t>
  </si>
  <si>
    <t>Operazione 23</t>
  </si>
  <si>
    <t>Scegliamo di valutare il Titolo ALFA al LIFO (che coincide con il LIFO a scatti) poichè preferiamo assumere un comportamento prudente e quindi attribuire alle attività il minimo valore.</t>
  </si>
  <si>
    <t>Valore di borsa al 16/03/2020</t>
  </si>
  <si>
    <t>Valore di borsa al 31/12/2019</t>
  </si>
  <si>
    <t>Differenza (Utile)</t>
  </si>
  <si>
    <t>LIFO</t>
  </si>
  <si>
    <t>Valutazione al Fair value</t>
  </si>
  <si>
    <t>TITOLO ALFA</t>
  </si>
  <si>
    <t>UTILE/PERDITA DA NEGOZIAZIONE</t>
  </si>
  <si>
    <t>CORSO</t>
  </si>
  <si>
    <t>TITOLO BETA</t>
  </si>
  <si>
    <t>Scegliamo di valutare il Titolo ALFA al LIFO a scatti poichè preferiamo assumere un comportamento prudente e quindi attribuire alle attività il minimo valore.</t>
  </si>
  <si>
    <t>Operazione 24 / Quesito g</t>
  </si>
  <si>
    <t xml:space="preserve">Capitale sociale </t>
  </si>
  <si>
    <t>Patrimonio netto a fine esercizio</t>
  </si>
  <si>
    <t>Capitale sociale (per la parte restante)</t>
  </si>
  <si>
    <t>Riserve statuarie (per l'intero ammontare)</t>
  </si>
  <si>
    <t>Altre riserve (per l'intero ammontare)</t>
  </si>
  <si>
    <t>Possiamo ipotizzare di coprire la perdita attraverso l'utilizzo delle seguenti riserve:</t>
  </si>
  <si>
    <t>Ammontare della perdita d'esercizio:</t>
  </si>
  <si>
    <t>RESI SU VENDITE</t>
  </si>
  <si>
    <t>COSTI DI PUBBLICITÀ</t>
  </si>
  <si>
    <t>COSTI PER MANUTENZIONI E RIPARAZIONI</t>
  </si>
  <si>
    <t>ONERI PREVIDENZIALI ED ASSISTENZIALI</t>
  </si>
  <si>
    <t>COSTO PERSONALE TFR</t>
  </si>
  <si>
    <t>AMMORTAMENTO DIRITTO DI BREVETTO INDUSTRIALE</t>
  </si>
  <si>
    <t>PERDITA SU CAMBI</t>
  </si>
  <si>
    <t>ACCANTONAMENTI MANUTENZIONI E RIPARAZIONI</t>
  </si>
  <si>
    <t>PRODOTTI C/ VENDITE</t>
  </si>
  <si>
    <t>CONTRIBUTI IN C/ ESERCIZIO</t>
  </si>
  <si>
    <t>INCREMENTI IMMOBILIZZAZIONI PER LAVORI INTERNI</t>
  </si>
  <si>
    <t>VARIAZIONE RIMANENZE PER LAVORI IN CORSO SU ORDINAZIONE</t>
  </si>
  <si>
    <t>UTILE SU TITOLO ALFA</t>
  </si>
  <si>
    <t>UTILE SU TITOLO BETA</t>
  </si>
  <si>
    <t>PERDITA D'ESERCIZIO</t>
  </si>
  <si>
    <t>COSTO PER IL PERSONALE TFR</t>
  </si>
  <si>
    <t>FINANZIAMENTO</t>
  </si>
  <si>
    <t>Avendo riportato una perdita non distribuiamo dividendi in questo esercizio.</t>
  </si>
  <si>
    <t>SCRITTURA CONTINUATIVE</t>
  </si>
  <si>
    <t>utili e perdite su cambi                                                                                   PERDITA</t>
  </si>
  <si>
    <t>PATRIMONIO NETTO</t>
  </si>
  <si>
    <t xml:space="preserve">     3) Verso imprese collegate</t>
  </si>
  <si>
    <r>
      <t xml:space="preserve"> IX - Utile (perdita) dell'esercizio</t>
    </r>
    <r>
      <rPr>
        <sz val="12"/>
        <rFont val="Arial"/>
        <family val="2"/>
      </rPr>
      <t xml:space="preserve">                                                                                     Perdita</t>
    </r>
  </si>
  <si>
    <t>TFR lavoro subordinato</t>
  </si>
  <si>
    <t xml:space="preserve">     4) Debiti verso banche (mutui passivi)</t>
  </si>
  <si>
    <t>Risconti passivi</t>
  </si>
  <si>
    <t>TOTALE RATEI E RISCONTI ( E )</t>
  </si>
  <si>
    <t xml:space="preserve">         |                    | Rimanenze LIC a Variazione rimanenze LIC |               | 45000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</si>
</sst>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4" formatCode="_-* #,##0.00\ &quot;€&quot;_-;\-* #,##0.00\ &quot;€&quot;_-;_-* &quot;-&quot;??\ &quot;€&quot;_-;_-@_-"/>
    <numFmt numFmtId="166" formatCode="_-* #,##0.00\ [$€-410]_-;\-* #,##0.00\ [$€-410]_-;_-* &quot;-&quot;??\ [$€-410]_-;_-@_-"/>
    <numFmt numFmtId="167" formatCode="#,##0.00\ &quot;€&quot;"/>
    <numFmt numFmtId="168" formatCode="0.0000%"/>
    <numFmt numFmtId="169" formatCode="&quot;€&quot;\ #,##0.00"/>
    <numFmt numFmtId="170" formatCode="_-* #,##0.0000\ [$€-410]_-;\-* #,##0.0000\ [$€-410]_-;_-* &quot;-&quot;????\ [$€-410]_-;_-@_-"/>
    <numFmt numFmtId="171" formatCode="_-[$$-409]* #,##0.00_ ;_-[$$-409]* \-#,##0.00\ ;_-[$$-409]* &quot;-&quot;??_ ;_-@_ "/>
    <numFmt numFmtId="172" formatCode="_ [$¥-804]* #,##0.00_ ;_ [$¥-804]* \-#,##0.00_ ;_ [$¥-804]* &quot;-&quot;??_ ;_ @_ "/>
    <numFmt numFmtId="173" formatCode="_-&quot;€&quot;\ * #,##0.00_-;\-&quot;€&quot;\ * #,##0.00_-;_-&quot;€&quot;\ * &quot;-&quot;??_-;_-@_-"/>
    <numFmt numFmtId="174" formatCode="&quot;€&quot;\ #,##0.00;[Red]\-&quot;€&quot;\ #,##0.00"/>
  </numFmts>
  <fonts count="96">
    <font>
      <sz val="11"/>
      <color rgb="FF000000"/>
      <name val="Calibri"/>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name val="Calibri"/>
      <family val="2"/>
    </font>
    <font>
      <b/>
      <sz val="11"/>
      <color rgb="FF000000"/>
      <name val="Calibri"/>
      <family val="2"/>
    </font>
    <font>
      <sz val="9"/>
      <color rgb="FF000000"/>
      <name val="Calibri"/>
      <family val="2"/>
    </font>
    <font>
      <sz val="8"/>
      <color rgb="FF000000"/>
      <name val="Calibri"/>
      <family val="2"/>
    </font>
    <font>
      <sz val="11"/>
      <color rgb="FFFF0000"/>
      <name val="Calibri"/>
      <family val="2"/>
    </font>
    <font>
      <sz val="10"/>
      <color rgb="FF000000"/>
      <name val="Calibri"/>
      <family val="2"/>
    </font>
    <font>
      <sz val="12"/>
      <color rgb="FF000000"/>
      <name val="Calibri"/>
      <family val="2"/>
    </font>
    <font>
      <b/>
      <sz val="12"/>
      <color rgb="FF000000"/>
      <name val="Calibri"/>
      <family val="2"/>
    </font>
    <font>
      <sz val="18"/>
      <color rgb="FF000000"/>
      <name val="Calibri"/>
      <family val="2"/>
    </font>
    <font>
      <b/>
      <sz val="18"/>
      <color rgb="FF000000"/>
      <name val="Calibri"/>
      <family val="2"/>
    </font>
    <font>
      <b/>
      <sz val="14"/>
      <color rgb="FF000000"/>
      <name val="Calibri"/>
      <family val="2"/>
    </font>
    <font>
      <b/>
      <sz val="28"/>
      <color rgb="FF000000"/>
      <name val="Calibri"/>
      <family val="2"/>
    </font>
    <font>
      <b/>
      <sz val="18"/>
      <color rgb="FF000000"/>
      <name val="Arial"/>
      <family val="2"/>
    </font>
    <font>
      <b/>
      <sz val="16"/>
      <color rgb="FF000000"/>
      <name val="Arial"/>
      <family val="2"/>
    </font>
    <font>
      <b/>
      <sz val="16"/>
      <color rgb="FF000000"/>
      <name val="Calibri"/>
      <family val="2"/>
    </font>
    <font>
      <sz val="16"/>
      <name val="Arial"/>
      <family val="2"/>
    </font>
    <font>
      <b/>
      <i/>
      <sz val="16"/>
      <color rgb="FF000000"/>
      <name val="Arial"/>
      <family val="2"/>
    </font>
    <font>
      <sz val="16"/>
      <color rgb="FF000000"/>
      <name val="Arial"/>
      <family val="2"/>
    </font>
    <font>
      <sz val="18"/>
      <name val="Arial"/>
      <family val="2"/>
    </font>
    <font>
      <b/>
      <sz val="14"/>
      <color rgb="FF000000"/>
      <name val="Arial"/>
      <family val="2"/>
    </font>
    <font>
      <b/>
      <sz val="17"/>
      <color rgb="FF000000"/>
      <name val="Arial"/>
      <family val="2"/>
    </font>
    <font>
      <b/>
      <i/>
      <sz val="17"/>
      <color rgb="FF000000"/>
      <name val="Arial"/>
      <family val="2"/>
    </font>
    <font>
      <b/>
      <sz val="24"/>
      <name val="Calibri"/>
      <family val="2"/>
    </font>
    <font>
      <b/>
      <sz val="18"/>
      <name val="Calibri"/>
      <family val="2"/>
    </font>
    <font>
      <sz val="10"/>
      <name val="Arial"/>
      <family val="2"/>
    </font>
    <font>
      <b/>
      <sz val="12"/>
      <color rgb="FFFF0000"/>
      <name val="Comic Sans MS"/>
      <family val="4"/>
    </font>
    <font>
      <sz val="12"/>
      <name val="Arial"/>
      <family val="2"/>
    </font>
    <font>
      <b/>
      <sz val="12"/>
      <color rgb="FFFF9900"/>
      <name val="Lucida Bright"/>
      <family val="1"/>
    </font>
    <font>
      <sz val="12"/>
      <name val="Tahoma"/>
      <family val="2"/>
    </font>
    <font>
      <b/>
      <sz val="12"/>
      <color rgb="FF339966"/>
      <name val="Overlock"/>
    </font>
    <font>
      <b/>
      <sz val="12"/>
      <name val="Arial"/>
      <family val="2"/>
    </font>
    <font>
      <b/>
      <sz val="12"/>
      <color rgb="FF0000FF"/>
      <name val="Overlock"/>
    </font>
    <font>
      <sz val="12"/>
      <color rgb="FF000000"/>
      <name val="Arial"/>
      <family val="2"/>
    </font>
    <font>
      <b/>
      <sz val="12"/>
      <color rgb="FF339966"/>
      <name val="Arial"/>
      <family val="2"/>
    </font>
    <font>
      <b/>
      <sz val="12"/>
      <color rgb="FF000000"/>
      <name val="Arial"/>
      <family val="2"/>
    </font>
    <font>
      <b/>
      <sz val="12"/>
      <color rgb="FF0000FF"/>
      <name val="Arial"/>
      <family val="2"/>
    </font>
    <font>
      <sz val="11"/>
      <color rgb="FF000000"/>
      <name val="Calibri"/>
      <family val="2"/>
    </font>
    <font>
      <b/>
      <i/>
      <sz val="14"/>
      <color rgb="FF000000"/>
      <name val="Arial"/>
      <family val="2"/>
    </font>
    <font>
      <b/>
      <i/>
      <u/>
      <sz val="16"/>
      <color rgb="FF000000"/>
      <name val="Arial"/>
      <family val="2"/>
    </font>
    <font>
      <sz val="11"/>
      <color theme="1"/>
      <name val="Calibri"/>
      <family val="2"/>
    </font>
    <font>
      <sz val="11"/>
      <color theme="1"/>
      <name val="Calibri"/>
      <family val="2"/>
      <scheme val="minor"/>
    </font>
    <font>
      <sz val="10"/>
      <name val="Calibri"/>
      <family val="2"/>
    </font>
    <font>
      <sz val="10"/>
      <color theme="1"/>
      <name val="Calibri"/>
      <family val="2"/>
    </font>
    <font>
      <sz val="12"/>
      <name val="Calibri"/>
      <family val="2"/>
    </font>
    <font>
      <b/>
      <sz val="14"/>
      <name val="Calibri"/>
      <family val="2"/>
    </font>
    <font>
      <b/>
      <sz val="14"/>
      <color theme="1"/>
      <name val="Calibri"/>
      <family val="2"/>
    </font>
    <font>
      <sz val="7"/>
      <color rgb="FF000000"/>
      <name val="Calibri"/>
      <family val="2"/>
    </font>
    <font>
      <sz val="10"/>
      <name val="Calibri"/>
      <family val="2"/>
      <scheme val="minor"/>
    </font>
    <font>
      <sz val="10"/>
      <color theme="1"/>
      <name val="Calibri"/>
      <family val="2"/>
      <scheme val="minor"/>
    </font>
    <font>
      <sz val="10"/>
      <color rgb="FF000000"/>
      <name val="Calibri"/>
      <family val="2"/>
      <scheme val="minor"/>
    </font>
    <font>
      <sz val="6.5"/>
      <color rgb="FF000000"/>
      <name val="Calibri"/>
      <family val="2"/>
    </font>
    <font>
      <b/>
      <sz val="12"/>
      <color theme="1"/>
      <name val="Calibri"/>
      <family val="2"/>
      <scheme val="minor"/>
    </font>
    <font>
      <sz val="11"/>
      <color theme="1"/>
      <name val="Arial"/>
      <family val="2"/>
    </font>
    <font>
      <sz val="11"/>
      <color rgb="FF000000"/>
      <name val="Calibri"/>
      <family val="2"/>
      <scheme val="minor"/>
    </font>
    <font>
      <i/>
      <sz val="12"/>
      <color theme="1"/>
      <name val="Calibri"/>
      <family val="2"/>
      <scheme val="minor"/>
    </font>
    <font>
      <b/>
      <sz val="11"/>
      <color theme="1"/>
      <name val="Calibri"/>
      <family val="2"/>
      <scheme val="minor"/>
    </font>
    <font>
      <sz val="11"/>
      <color rgb="FF0070C0"/>
      <name val="Calibri"/>
      <family val="2"/>
    </font>
    <font>
      <sz val="11"/>
      <color rgb="FF00B050"/>
      <name val="Calibri"/>
      <family val="2"/>
    </font>
    <font>
      <sz val="11"/>
      <color rgb="FF7030A0"/>
      <name val="Calibri"/>
      <family val="2"/>
    </font>
    <font>
      <b/>
      <sz val="14"/>
      <color theme="1"/>
      <name val="Arial"/>
      <family val="2"/>
    </font>
    <font>
      <sz val="16"/>
      <color rgb="FF000000"/>
      <name val="Calibri"/>
      <family val="2"/>
    </font>
    <font>
      <sz val="26"/>
      <color rgb="FF000000"/>
      <name val="Calibri"/>
      <family val="2"/>
    </font>
    <font>
      <sz val="8"/>
      <color theme="1"/>
      <name val="Calibri"/>
      <family val="2"/>
    </font>
    <font>
      <sz val="48"/>
      <color rgb="FF000000"/>
      <name val="Calibri"/>
      <family val="2"/>
    </font>
    <font>
      <sz val="12"/>
      <color theme="1"/>
      <name val="Arial"/>
      <family val="2"/>
    </font>
    <font>
      <b/>
      <sz val="12"/>
      <color theme="1"/>
      <name val="Arial"/>
      <family val="2"/>
    </font>
    <font>
      <i/>
      <sz val="12"/>
      <color theme="1"/>
      <name val="Arial"/>
      <family val="2"/>
    </font>
    <font>
      <b/>
      <sz val="14"/>
      <color theme="1"/>
      <name val="Calibri"/>
      <family val="2"/>
      <scheme val="minor"/>
    </font>
    <font>
      <sz val="14"/>
      <color theme="1"/>
      <name val="Arial"/>
      <family val="2"/>
    </font>
    <font>
      <sz val="11"/>
      <color rgb="FFFFFFFF"/>
      <name val="Calibri"/>
      <family val="2"/>
      <scheme val="minor"/>
    </font>
    <font>
      <sz val="12"/>
      <color rgb="FFFFFFFF"/>
      <name val="Arial"/>
      <family val="2"/>
    </font>
    <font>
      <b/>
      <sz val="12"/>
      <color rgb="FFC00000"/>
      <name val="Arial"/>
      <family val="2"/>
    </font>
    <font>
      <b/>
      <i/>
      <sz val="12"/>
      <color theme="1"/>
      <name val="Arial"/>
      <family val="2"/>
    </font>
    <font>
      <sz val="11"/>
      <color rgb="FF000000"/>
      <name val="Arial"/>
      <family val="2"/>
    </font>
    <font>
      <i/>
      <sz val="11"/>
      <color theme="1"/>
      <name val="Arial"/>
      <family val="2"/>
    </font>
    <font>
      <i/>
      <sz val="12"/>
      <color rgb="FF000000"/>
      <name val="Arial"/>
      <family val="2"/>
    </font>
    <font>
      <b/>
      <sz val="11"/>
      <color theme="1"/>
      <name val="Arial"/>
      <family val="2"/>
    </font>
    <font>
      <sz val="12"/>
      <color rgb="FFFF0000"/>
      <name val="Arial"/>
      <family val="2"/>
    </font>
    <font>
      <b/>
      <sz val="12"/>
      <color rgb="FF000000"/>
      <name val="Calibri"/>
      <family val="2"/>
      <scheme val="minor"/>
    </font>
    <font>
      <sz val="16"/>
      <color rgb="FF000000"/>
      <name val="Calibri (Corpo)"/>
    </font>
    <font>
      <b/>
      <sz val="16"/>
      <color rgb="FF000000"/>
      <name val="Calibri (Corpo)"/>
    </font>
    <font>
      <sz val="11"/>
      <color rgb="FF000000"/>
      <name val="Calibri"/>
    </font>
    <font>
      <b/>
      <sz val="16"/>
      <name val="Arial"/>
      <family val="2"/>
    </font>
    <font>
      <sz val="12"/>
      <color theme="1"/>
      <name val="Tahoma"/>
      <family val="2"/>
    </font>
    <font>
      <b/>
      <sz val="14"/>
      <color rgb="FF0070C0"/>
      <name val="Calibri"/>
      <family val="2"/>
      <scheme val="minor"/>
    </font>
    <font>
      <b/>
      <sz val="14"/>
      <color rgb="FF000000"/>
      <name val="Calibri"/>
      <family val="2"/>
      <scheme val="minor"/>
    </font>
    <font>
      <b/>
      <sz val="14"/>
      <color rgb="FFC00000"/>
      <name val="Calibri"/>
      <family val="2"/>
      <scheme val="minor"/>
    </font>
    <font>
      <b/>
      <sz val="12"/>
      <color rgb="FF7030A0"/>
      <name val="Calibri"/>
      <family val="2"/>
      <scheme val="minor"/>
    </font>
    <font>
      <b/>
      <sz val="14"/>
      <color rgb="FF00B050"/>
      <name val="Calibri"/>
      <family val="2"/>
      <scheme val="minor"/>
    </font>
    <font>
      <sz val="14"/>
      <color rgb="FF000000"/>
      <name val="Calibri"/>
      <family val="2"/>
      <scheme val="minor"/>
    </font>
    <font>
      <sz val="13"/>
      <color rgb="FFFF0000"/>
      <name val="Calibri"/>
      <family val="2"/>
      <scheme val="minor"/>
    </font>
  </fonts>
  <fills count="34">
    <fill>
      <patternFill patternType="none"/>
    </fill>
    <fill>
      <patternFill patternType="gray125"/>
    </fill>
    <fill>
      <patternFill patternType="solid">
        <fgColor rgb="FF9CC2E5"/>
        <bgColor rgb="FF9CC2E5"/>
      </patternFill>
    </fill>
    <fill>
      <patternFill patternType="solid">
        <fgColor rgb="FFF7CAAC"/>
        <bgColor rgb="FFF7CAAC"/>
      </patternFill>
    </fill>
    <fill>
      <patternFill patternType="solid">
        <fgColor rgb="FFC5E0B3"/>
        <bgColor rgb="FFC5E0B3"/>
      </patternFill>
    </fill>
    <fill>
      <patternFill patternType="solid">
        <fgColor rgb="FFFCAD7C"/>
        <bgColor rgb="FFFCAD7C"/>
      </patternFill>
    </fill>
    <fill>
      <patternFill patternType="solid">
        <fgColor rgb="FFB4C6E7"/>
        <bgColor rgb="FFB4C6E7"/>
      </patternFill>
    </fill>
    <fill>
      <patternFill patternType="solid">
        <fgColor rgb="FF00FF99"/>
        <bgColor rgb="FF00FF99"/>
      </patternFill>
    </fill>
    <fill>
      <patternFill patternType="solid">
        <fgColor rgb="FFFFC000"/>
        <bgColor rgb="FFFFC000"/>
      </patternFill>
    </fill>
    <fill>
      <patternFill patternType="solid">
        <fgColor rgb="FFFFFF99"/>
        <bgColor rgb="FFFFFF99"/>
      </patternFill>
    </fill>
    <fill>
      <patternFill patternType="solid">
        <fgColor rgb="FFFFFFFF"/>
        <bgColor rgb="FFFFFFFF"/>
      </patternFill>
    </fill>
    <fill>
      <patternFill patternType="solid">
        <fgColor rgb="FFFFCC99"/>
        <bgColor rgb="FFFFCC99"/>
      </patternFill>
    </fill>
    <fill>
      <patternFill patternType="solid">
        <fgColor rgb="FFCCFFCC"/>
        <bgColor rgb="FFCCFFCC"/>
      </patternFill>
    </fill>
    <fill>
      <patternFill patternType="solid">
        <fgColor rgb="FFBDD7EE"/>
        <bgColor indexed="64"/>
      </patternFill>
    </fill>
    <fill>
      <patternFill patternType="solid">
        <fgColor rgb="FF92D050"/>
        <bgColor indexed="64"/>
      </patternFill>
    </fill>
    <fill>
      <patternFill patternType="solid">
        <fgColor rgb="FFDDEBF7"/>
        <bgColor indexed="64"/>
      </patternFill>
    </fill>
    <fill>
      <patternFill patternType="solid">
        <fgColor theme="4" tint="0.59999389629810485"/>
        <bgColor indexed="65"/>
      </patternFill>
    </fill>
    <fill>
      <patternFill patternType="solid">
        <fgColor rgb="FF9CC2E6"/>
        <bgColor indexed="64"/>
      </patternFill>
    </fill>
    <fill>
      <patternFill patternType="solid">
        <fgColor theme="7" tint="0.59999389629810485"/>
        <bgColor rgb="FFF7CAAC"/>
      </patternFill>
    </fill>
    <fill>
      <patternFill patternType="solid">
        <fgColor theme="0" tint="-0.14999847407452621"/>
        <bgColor indexed="64"/>
      </patternFill>
    </fill>
    <fill>
      <patternFill patternType="solid">
        <fgColor rgb="FFC8C2FF"/>
        <bgColor rgb="FFF7CAAC"/>
      </patternFill>
    </fill>
    <fill>
      <patternFill patternType="solid">
        <fgColor rgb="FFD0CECE"/>
        <bgColor indexed="64"/>
      </patternFill>
    </fill>
    <fill>
      <patternFill patternType="solid">
        <fgColor rgb="FF9BC2E6"/>
        <bgColor indexed="64"/>
      </patternFill>
    </fill>
    <fill>
      <patternFill patternType="solid">
        <fgColor rgb="FFFFFFFF"/>
        <bgColor indexed="64"/>
      </patternFill>
    </fill>
    <fill>
      <patternFill patternType="solid">
        <fgColor rgb="FFA6A6A6"/>
        <bgColor indexed="64"/>
      </patternFill>
    </fill>
    <fill>
      <patternFill patternType="solid">
        <fgColor rgb="FFD9D9D9"/>
        <bgColor indexed="64"/>
      </patternFill>
    </fill>
    <fill>
      <patternFill patternType="solid">
        <fgColor rgb="FFFFBFF6"/>
        <bgColor indexed="64"/>
      </patternFill>
    </fill>
    <fill>
      <patternFill patternType="solid">
        <fgColor theme="8" tint="0.59999389629810485"/>
        <bgColor indexed="64"/>
      </patternFill>
    </fill>
    <fill>
      <patternFill patternType="solid">
        <fgColor rgb="FFC8C2FF"/>
        <bgColor indexed="64"/>
      </patternFill>
    </fill>
    <fill>
      <patternFill patternType="solid">
        <fgColor rgb="FFFFC6CD"/>
        <bgColor indexed="64"/>
      </patternFill>
    </fill>
    <fill>
      <patternFill patternType="solid">
        <fgColor rgb="FFFFD298"/>
        <bgColor indexed="64"/>
      </patternFill>
    </fill>
    <fill>
      <patternFill patternType="solid">
        <fgColor rgb="FFFF7678"/>
        <bgColor indexed="64"/>
      </patternFill>
    </fill>
    <fill>
      <patternFill patternType="solid">
        <fgColor theme="9" tint="0.59999389629810485"/>
        <bgColor indexed="64"/>
      </patternFill>
    </fill>
    <fill>
      <patternFill patternType="solid">
        <fgColor theme="0" tint="-0.249977111117893"/>
        <bgColor indexed="64"/>
      </patternFill>
    </fill>
  </fills>
  <borders count="188">
    <border>
      <left/>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medium">
        <color rgb="FF000000"/>
      </left>
      <right style="medium">
        <color rgb="FF000000"/>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
      <left style="medium">
        <color rgb="FF000000"/>
      </left>
      <right/>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top/>
      <bottom style="medium">
        <color rgb="FF000000"/>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style="medium">
        <color rgb="FF000000"/>
      </left>
      <right/>
      <top style="thin">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thin">
        <color rgb="FF000000"/>
      </top>
      <bottom/>
      <diagonal/>
    </border>
    <border>
      <left style="medium">
        <color rgb="FF000000"/>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thin">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thick">
        <color rgb="FF000000"/>
      </right>
      <top style="medium">
        <color rgb="FF000000"/>
      </top>
      <bottom style="medium">
        <color rgb="FF000000"/>
      </bottom>
      <diagonal/>
    </border>
    <border>
      <left style="thick">
        <color rgb="FF000000"/>
      </left>
      <right/>
      <top style="medium">
        <color rgb="FF000000"/>
      </top>
      <bottom style="medium">
        <color rgb="FF000000"/>
      </bottom>
      <diagonal/>
    </border>
    <border>
      <left style="thick">
        <color rgb="FF000000"/>
      </left>
      <right style="medium">
        <color rgb="FF000000"/>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bottom style="dotted">
        <color rgb="FF000000"/>
      </bottom>
      <diagonal/>
    </border>
    <border>
      <left style="thick">
        <color rgb="FF000000"/>
      </left>
      <right style="medium">
        <color rgb="FF000000"/>
      </right>
      <top style="dotted">
        <color rgb="FF000000"/>
      </top>
      <bottom style="dotted">
        <color rgb="FF000000"/>
      </bottom>
      <diagonal/>
    </border>
    <border>
      <left style="medium">
        <color rgb="FF000000"/>
      </left>
      <right/>
      <top style="dotted">
        <color rgb="FF000000"/>
      </top>
      <bottom style="dotted">
        <color rgb="FF000000"/>
      </bottom>
      <diagonal/>
    </border>
    <border>
      <left style="medium">
        <color rgb="FF000000"/>
      </left>
      <right style="medium">
        <color rgb="FF000000"/>
      </right>
      <top style="dotted">
        <color rgb="FF000000"/>
      </top>
      <bottom style="dotted">
        <color rgb="FF000000"/>
      </bottom>
      <diagonal/>
    </border>
    <border>
      <left style="thick">
        <color rgb="FF000000"/>
      </left>
      <right style="medium">
        <color rgb="FF000000"/>
      </right>
      <top/>
      <bottom/>
      <diagonal/>
    </border>
    <border>
      <left style="medium">
        <color rgb="FF000000"/>
      </left>
      <right/>
      <top style="dotted">
        <color rgb="FF000000"/>
      </top>
      <bottom/>
      <diagonal/>
    </border>
    <border>
      <left style="medium">
        <color rgb="FF000000"/>
      </left>
      <right style="medium">
        <color rgb="FF000000"/>
      </right>
      <top style="dotted">
        <color rgb="FF000000"/>
      </top>
      <bottom style="medium">
        <color rgb="FF000000"/>
      </bottom>
      <diagonal/>
    </border>
    <border>
      <left style="medium">
        <color rgb="FF000000"/>
      </left>
      <right/>
      <top/>
      <bottom style="thick">
        <color rgb="FF000000"/>
      </bottom>
      <diagonal/>
    </border>
    <border>
      <left style="thick">
        <color rgb="FF000000"/>
      </left>
      <right/>
      <top/>
      <bottom/>
      <diagonal/>
    </border>
    <border>
      <left style="thick">
        <color rgb="FF000000"/>
      </left>
      <right/>
      <top/>
      <bottom style="dotted">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000000"/>
      </left>
      <right style="medium">
        <color rgb="FF000000"/>
      </right>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4"/>
      </top>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right style="thin">
        <color rgb="FF000000"/>
      </right>
      <top style="medium">
        <color indexed="64"/>
      </top>
      <bottom/>
      <diagonal/>
    </border>
    <border>
      <left style="thin">
        <color rgb="FF000000"/>
      </left>
      <right/>
      <top style="medium">
        <color indexed="64"/>
      </top>
      <bottom/>
      <diagonal/>
    </border>
    <border>
      <left/>
      <right style="thin">
        <color indexed="64"/>
      </right>
      <top style="medium">
        <color indexed="64"/>
      </top>
      <bottom/>
      <diagonal/>
    </border>
    <border>
      <left style="thin">
        <color auto="1"/>
      </left>
      <right style="thin">
        <color auto="1"/>
      </right>
      <top style="medium">
        <color indexed="64"/>
      </top>
      <bottom/>
      <diagonal/>
    </border>
    <border>
      <left style="thin">
        <color rgb="FF000000"/>
      </left>
      <right style="thin">
        <color rgb="FF000000"/>
      </right>
      <top style="medium">
        <color indexed="64"/>
      </top>
      <bottom/>
      <diagonal/>
    </border>
    <border>
      <left style="thin">
        <color indexed="64"/>
      </left>
      <right/>
      <top/>
      <bottom style="medium">
        <color indexed="64"/>
      </bottom>
      <diagonal/>
    </border>
    <border>
      <left style="thin">
        <color indexed="64"/>
      </left>
      <right/>
      <top style="medium">
        <color indexed="64"/>
      </top>
      <bottom/>
      <diagonal/>
    </border>
    <border>
      <left style="medium">
        <color indexed="64"/>
      </left>
      <right style="thin">
        <color auto="1"/>
      </right>
      <top style="medium">
        <color indexed="64"/>
      </top>
      <bottom/>
      <diagonal/>
    </border>
    <border>
      <left style="medium">
        <color indexed="64"/>
      </left>
      <right style="thin">
        <color auto="1"/>
      </right>
      <top/>
      <bottom style="medium">
        <color indexed="64"/>
      </bottom>
      <diagonal/>
    </border>
    <border>
      <left style="medium">
        <color indexed="64"/>
      </left>
      <right style="medium">
        <color rgb="FF000000"/>
      </right>
      <top/>
      <bottom style="medium">
        <color rgb="FF000000"/>
      </bottom>
      <diagonal/>
    </border>
    <border>
      <left style="thin">
        <color auto="1"/>
      </left>
      <right style="medium">
        <color indexed="64"/>
      </right>
      <top/>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auto="1"/>
      </left>
      <right style="medium">
        <color indexed="64"/>
      </right>
      <top/>
      <bottom style="medium">
        <color indexed="64"/>
      </bottom>
      <diagonal/>
    </border>
    <border>
      <left style="medium">
        <color indexed="64"/>
      </left>
      <right style="medium">
        <color rgb="FF000000"/>
      </right>
      <top style="medium">
        <color indexed="64"/>
      </top>
      <bottom style="medium">
        <color rgb="FF000000"/>
      </bottom>
      <diagonal/>
    </border>
    <border>
      <left style="thin">
        <color auto="1"/>
      </left>
      <right style="medium">
        <color indexed="64"/>
      </right>
      <top style="medium">
        <color indexed="64"/>
      </top>
      <bottom/>
      <diagonal/>
    </border>
    <border>
      <left/>
      <right style="medium">
        <color indexed="64"/>
      </right>
      <top/>
      <bottom/>
      <diagonal/>
    </border>
    <border>
      <left style="medium">
        <color indexed="64"/>
      </left>
      <right style="thin">
        <color rgb="FF000000"/>
      </right>
      <top style="medium">
        <color indexed="64"/>
      </top>
      <bottom/>
      <diagonal/>
    </border>
    <border>
      <left style="thin">
        <color indexed="64"/>
      </left>
      <right style="thin">
        <color rgb="FF000000"/>
      </right>
      <top/>
      <bottom style="medium">
        <color indexed="64"/>
      </bottom>
      <diagonal/>
    </border>
    <border>
      <left style="thin">
        <color indexed="64"/>
      </left>
      <right style="thin">
        <color rgb="FF000000"/>
      </right>
      <top style="medium">
        <color indexed="64"/>
      </top>
      <bottom/>
      <diagonal/>
    </border>
    <border>
      <left style="thin">
        <color rgb="FF000000"/>
      </left>
      <right style="thin">
        <color indexed="64"/>
      </right>
      <top/>
      <bottom/>
      <diagonal/>
    </border>
    <border>
      <left style="thin">
        <color indexed="64"/>
      </left>
      <right style="thin">
        <color rgb="FF000000"/>
      </right>
      <top style="thin">
        <color rgb="FF000000"/>
      </top>
      <bottom style="thin">
        <color rgb="FF000000"/>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theme="1"/>
      </left>
      <right/>
      <top style="thin">
        <color theme="1"/>
      </top>
      <bottom style="thin">
        <color theme="1"/>
      </bottom>
      <diagonal/>
    </border>
    <border>
      <left style="thin">
        <color theme="1"/>
      </left>
      <right/>
      <top style="thin">
        <color theme="1"/>
      </top>
      <bottom/>
      <diagonal/>
    </border>
    <border>
      <left/>
      <right/>
      <top style="thin">
        <color theme="1"/>
      </top>
      <bottom/>
      <diagonal/>
    </border>
    <border>
      <left style="thin">
        <color indexed="64"/>
      </left>
      <right style="thin">
        <color indexed="64"/>
      </right>
      <top style="thin">
        <color indexed="64"/>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style="thin">
        <color rgb="FF000000"/>
      </top>
      <bottom style="medium">
        <color indexed="64"/>
      </bottom>
      <diagonal/>
    </border>
    <border>
      <left style="medium">
        <color indexed="64"/>
      </left>
      <right style="thin">
        <color rgb="FF000000"/>
      </right>
      <top style="thin">
        <color rgb="FF000000"/>
      </top>
      <bottom style="thin">
        <color rgb="FF000000"/>
      </bottom>
      <diagonal/>
    </border>
    <border>
      <left style="thin">
        <color indexed="64"/>
      </left>
      <right style="medium">
        <color indexed="64"/>
      </right>
      <top style="thin">
        <color indexed="64"/>
      </top>
      <bottom style="thin">
        <color indexed="64"/>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medium">
        <color indexed="64"/>
      </bottom>
      <diagonal/>
    </border>
    <border>
      <left/>
      <right style="medium">
        <color theme="1" tint="0.14999847407452621"/>
      </right>
      <top/>
      <bottom style="medium">
        <color theme="1" tint="0.14999847407452621"/>
      </bottom>
      <diagonal/>
    </border>
    <border>
      <left style="medium">
        <color theme="1" tint="0.14999847407452621"/>
      </left>
      <right style="medium">
        <color theme="1" tint="0.14999847407452621"/>
      </right>
      <top/>
      <bottom style="medium">
        <color theme="1" tint="0.14999847407452621"/>
      </bottom>
      <diagonal/>
    </border>
    <border>
      <left/>
      <right/>
      <top/>
      <bottom style="medium">
        <color theme="1" tint="0.14999847407452621"/>
      </bottom>
      <diagonal/>
    </border>
    <border>
      <left style="thin">
        <color theme="1" tint="0.14999847407452621"/>
      </left>
      <right style="thin">
        <color theme="1" tint="0.14999847407452621"/>
      </right>
      <top/>
      <bottom style="medium">
        <color theme="1" tint="0.14999847407452621"/>
      </bottom>
      <diagonal/>
    </border>
    <border>
      <left style="medium">
        <color theme="1" tint="0.14999847407452621"/>
      </left>
      <right style="thin">
        <color theme="1" tint="0.14999847407452621"/>
      </right>
      <top/>
      <bottom style="medium">
        <color theme="1" tint="0.14999847407452621"/>
      </bottom>
      <diagonal/>
    </border>
    <border>
      <left/>
      <right style="medium">
        <color theme="1" tint="0.14999847407452621"/>
      </right>
      <top style="medium">
        <color theme="1" tint="0.14999847407452621"/>
      </top>
      <bottom style="medium">
        <color theme="1" tint="0.14999847407452621"/>
      </bottom>
      <diagonal/>
    </border>
    <border>
      <left style="medium">
        <color theme="1" tint="0.14999847407452621"/>
      </left>
      <right style="medium">
        <color theme="1" tint="0.14999847407452621"/>
      </right>
      <top style="medium">
        <color theme="1" tint="0.14999847407452621"/>
      </top>
      <bottom style="medium">
        <color theme="1" tint="0.14999847407452621"/>
      </bottom>
      <diagonal/>
    </border>
    <border>
      <left/>
      <right/>
      <top style="medium">
        <color theme="1" tint="0.14999847407452621"/>
      </top>
      <bottom style="medium">
        <color theme="1" tint="0.14999847407452621"/>
      </bottom>
      <diagonal/>
    </border>
    <border>
      <left style="thin">
        <color theme="1" tint="0.14999847407452621"/>
      </left>
      <right style="thin">
        <color theme="1" tint="0.14999847407452621"/>
      </right>
      <top style="medium">
        <color theme="1" tint="0.14999847407452621"/>
      </top>
      <bottom style="medium">
        <color theme="1" tint="0.14999847407452621"/>
      </bottom>
      <diagonal/>
    </border>
    <border>
      <left style="medium">
        <color theme="1" tint="0.14999847407452621"/>
      </left>
      <right style="thin">
        <color theme="1" tint="0.14999847407452621"/>
      </right>
      <top style="medium">
        <color theme="1" tint="0.14999847407452621"/>
      </top>
      <bottom style="medium">
        <color theme="1" tint="0.14999847407452621"/>
      </bottom>
      <diagonal/>
    </border>
    <border>
      <left/>
      <right style="medium">
        <color theme="1" tint="0.14999847407452621"/>
      </right>
      <top style="medium">
        <color theme="1" tint="0.14999847407452621"/>
      </top>
      <bottom/>
      <diagonal/>
    </border>
    <border>
      <left style="medium">
        <color theme="1" tint="0.14999847407452621"/>
      </left>
      <right style="medium">
        <color theme="1" tint="0.14999847407452621"/>
      </right>
      <top style="medium">
        <color theme="1" tint="0.14999847407452621"/>
      </top>
      <bottom/>
      <diagonal/>
    </border>
    <border>
      <left/>
      <right/>
      <top style="medium">
        <color theme="1" tint="0.14999847407452621"/>
      </top>
      <bottom/>
      <diagonal/>
    </border>
    <border>
      <left/>
      <right style="thin">
        <color theme="1" tint="0.14999847407452621"/>
      </right>
      <top style="medium">
        <color theme="1" tint="0.14999847407452621"/>
      </top>
      <bottom/>
      <diagonal/>
    </border>
    <border>
      <left style="medium">
        <color theme="1" tint="0.14999847407452621"/>
      </left>
      <right style="thin">
        <color theme="1" tint="0.14999847407452621"/>
      </right>
      <top style="medium">
        <color theme="1" tint="0.14999847407452621"/>
      </top>
      <bottom/>
      <diagonal/>
    </border>
    <border>
      <left style="medium">
        <color theme="1" tint="0.14999847407452621"/>
      </left>
      <right/>
      <top/>
      <bottom style="medium">
        <color theme="1" tint="0.14999847407452621"/>
      </bottom>
      <diagonal/>
    </border>
    <border>
      <left/>
      <right style="medium">
        <color theme="1" tint="0.14999847407452621"/>
      </right>
      <top/>
      <bottom/>
      <diagonal/>
    </border>
    <border>
      <left style="medium">
        <color theme="1" tint="0.14999847407452621"/>
      </left>
      <right style="medium">
        <color theme="1" tint="0.14999847407452621"/>
      </right>
      <top/>
      <bottom/>
      <diagonal/>
    </border>
    <border>
      <left style="thin">
        <color theme="1" tint="0.14999847407452621"/>
      </left>
      <right style="thin">
        <color theme="1" tint="0.14999847407452621"/>
      </right>
      <top/>
      <bottom/>
      <diagonal/>
    </border>
    <border>
      <left style="medium">
        <color theme="1" tint="0.14999847407452621"/>
      </left>
      <right style="thin">
        <color theme="1" tint="0.14999847407452621"/>
      </right>
      <top/>
      <bottom/>
      <diagonal/>
    </border>
    <border>
      <left style="medium">
        <color indexed="64"/>
      </left>
      <right/>
      <top/>
      <bottom/>
      <diagonal/>
    </border>
    <border>
      <left style="thin">
        <color theme="1"/>
      </left>
      <right/>
      <top/>
      <bottom style="thin">
        <color theme="1"/>
      </bottom>
      <diagonal/>
    </border>
    <border>
      <left/>
      <right/>
      <top/>
      <bottom style="thin">
        <color theme="1"/>
      </bottom>
      <diagonal/>
    </border>
    <border>
      <left style="medium">
        <color theme="1" tint="0.14999847407452621"/>
      </left>
      <right/>
      <top/>
      <bottom style="thin">
        <color rgb="FF000000"/>
      </bottom>
      <diagonal/>
    </border>
    <border>
      <left style="thin">
        <color rgb="FF000000"/>
      </left>
      <right style="thin">
        <color rgb="FF000000"/>
      </right>
      <top style="thin">
        <color indexed="64"/>
      </top>
      <bottom style="thin">
        <color rgb="FF000000"/>
      </bottom>
      <diagonal/>
    </border>
    <border>
      <left style="thin">
        <color theme="1" tint="0.14999847407452621"/>
      </left>
      <right style="thin">
        <color theme="1" tint="0.14999847407452621"/>
      </right>
      <top style="medium">
        <color theme="1" tint="0.14999847407452621"/>
      </top>
      <bottom/>
      <diagonal/>
    </border>
    <border>
      <left style="thick">
        <color rgb="FF000000"/>
      </left>
      <right style="medium">
        <color rgb="FF000000"/>
      </right>
      <top style="dotted">
        <color rgb="FF000000"/>
      </top>
      <bottom/>
      <diagonal/>
    </border>
    <border>
      <left style="medium">
        <color indexed="64"/>
      </left>
      <right style="medium">
        <color rgb="FF000000"/>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right/>
      <top style="dotted">
        <color rgb="FF000000"/>
      </top>
      <bottom/>
      <diagonal/>
    </border>
    <border>
      <left style="thick">
        <color rgb="FF000000"/>
      </left>
      <right style="medium">
        <color rgb="FF000000"/>
      </right>
      <top/>
      <bottom style="thick">
        <color rgb="FF000000"/>
      </bottom>
      <diagonal/>
    </border>
    <border>
      <left/>
      <right style="medium">
        <color rgb="FF000000"/>
      </right>
      <top style="medium">
        <color indexed="64"/>
      </top>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s>
  <cellStyleXfs count="8">
    <xf numFmtId="0" fontId="0" fillId="0" borderId="0"/>
    <xf numFmtId="0" fontId="45" fillId="0" borderId="23"/>
    <xf numFmtId="0" fontId="4" fillId="0" borderId="23"/>
    <xf numFmtId="0" fontId="3" fillId="0" borderId="23"/>
    <xf numFmtId="9" fontId="45" fillId="0" borderId="23" applyFont="0" applyFill="0" applyBorder="0" applyAlignment="0" applyProtection="0"/>
    <xf numFmtId="0" fontId="45" fillId="16" borderId="23" applyNumberFormat="0" applyBorder="0" applyAlignment="0" applyProtection="0"/>
    <xf numFmtId="44" fontId="45" fillId="0" borderId="23" applyFont="0" applyFill="0" applyBorder="0" applyAlignment="0" applyProtection="0"/>
    <xf numFmtId="44" fontId="86" fillId="0" borderId="0" applyFont="0" applyFill="0" applyBorder="0" applyAlignment="0" applyProtection="0"/>
  </cellStyleXfs>
  <cellXfs count="878">
    <xf numFmtId="0" fontId="0" fillId="0" borderId="0" xfId="0"/>
    <xf numFmtId="0" fontId="0" fillId="0" borderId="11" xfId="0" applyBorder="1"/>
    <xf numFmtId="0" fontId="0" fillId="0" borderId="13" xfId="0" applyBorder="1"/>
    <xf numFmtId="0" fontId="0" fillId="0" borderId="14" xfId="0" applyBorder="1"/>
    <xf numFmtId="0" fontId="0" fillId="0" borderId="17" xfId="0" applyBorder="1"/>
    <xf numFmtId="14" fontId="0" fillId="0" borderId="18" xfId="0" applyNumberFormat="1" applyBorder="1"/>
    <xf numFmtId="0" fontId="0" fillId="0" borderId="17" xfId="0" applyBorder="1" applyAlignment="1">
      <alignment horizontal="right"/>
    </xf>
    <xf numFmtId="0" fontId="0" fillId="0" borderId="19" xfId="0" applyBorder="1"/>
    <xf numFmtId="0" fontId="6" fillId="5" borderId="2" xfId="0" applyFont="1" applyFill="1" applyBorder="1" applyAlignment="1">
      <alignment horizontal="center"/>
    </xf>
    <xf numFmtId="0" fontId="0" fillId="0" borderId="20" xfId="0" applyBorder="1"/>
    <xf numFmtId="0" fontId="6" fillId="6" borderId="2" xfId="0" applyFont="1" applyFill="1" applyBorder="1" applyAlignment="1">
      <alignment horizontal="center"/>
    </xf>
    <xf numFmtId="0" fontId="6" fillId="7" borderId="2" xfId="0" applyFont="1" applyFill="1" applyBorder="1" applyAlignment="1">
      <alignment horizontal="center"/>
    </xf>
    <xf numFmtId="0" fontId="6" fillId="8" borderId="2" xfId="0" applyFont="1" applyFill="1" applyBorder="1" applyAlignment="1">
      <alignment horizontal="center"/>
    </xf>
    <xf numFmtId="14" fontId="0" fillId="0" borderId="17" xfId="0" applyNumberFormat="1" applyBorder="1"/>
    <xf numFmtId="0" fontId="0" fillId="0" borderId="21" xfId="0" applyBorder="1"/>
    <xf numFmtId="0" fontId="11" fillId="0" borderId="0" xfId="0" applyFont="1"/>
    <xf numFmtId="0" fontId="16" fillId="0" borderId="0" xfId="0" applyFont="1"/>
    <xf numFmtId="0" fontId="17" fillId="9" borderId="2" xfId="0" applyFont="1" applyFill="1" applyBorder="1" applyAlignment="1">
      <alignment horizontal="center" vertical="center" wrapText="1" readingOrder="1"/>
    </xf>
    <xf numFmtId="0" fontId="18" fillId="10" borderId="2" xfId="0" applyFont="1" applyFill="1" applyBorder="1" applyAlignment="1">
      <alignment horizontal="center" vertical="center" wrapText="1" readingOrder="1"/>
    </xf>
    <xf numFmtId="0" fontId="18" fillId="10" borderId="1" xfId="0" applyFont="1" applyFill="1" applyBorder="1" applyAlignment="1">
      <alignment horizontal="left" vertical="center" wrapText="1" readingOrder="1"/>
    </xf>
    <xf numFmtId="0" fontId="18" fillId="10" borderId="33" xfId="0" applyFont="1" applyFill="1" applyBorder="1" applyAlignment="1">
      <alignment horizontal="center" vertical="center" wrapText="1" readingOrder="1"/>
    </xf>
    <xf numFmtId="0" fontId="18" fillId="10" borderId="34" xfId="0" applyFont="1" applyFill="1" applyBorder="1" applyAlignment="1">
      <alignment horizontal="center" vertical="center" wrapText="1" readingOrder="1"/>
    </xf>
    <xf numFmtId="0" fontId="18" fillId="10" borderId="35" xfId="0" applyFont="1" applyFill="1" applyBorder="1" applyAlignment="1">
      <alignment horizontal="center" vertical="center" wrapText="1" readingOrder="1"/>
    </xf>
    <xf numFmtId="0" fontId="17" fillId="11" borderId="38" xfId="0" applyFont="1" applyFill="1" applyBorder="1" applyAlignment="1">
      <alignment horizontal="center" vertical="center" wrapText="1" readingOrder="1"/>
    </xf>
    <xf numFmtId="0" fontId="18" fillId="10" borderId="39" xfId="0" applyFont="1" applyFill="1" applyBorder="1" applyAlignment="1">
      <alignment horizontal="left" vertical="center" wrapText="1" readingOrder="1"/>
    </xf>
    <xf numFmtId="0" fontId="18" fillId="10" borderId="40" xfId="0" applyFont="1" applyFill="1" applyBorder="1" applyAlignment="1">
      <alignment horizontal="center" vertical="center" wrapText="1" readingOrder="1"/>
    </xf>
    <xf numFmtId="0" fontId="20" fillId="10" borderId="43" xfId="0" applyFont="1" applyFill="1" applyBorder="1" applyAlignment="1">
      <alignment horizontal="center" vertical="center" wrapText="1"/>
    </xf>
    <xf numFmtId="0" fontId="20" fillId="10" borderId="44" xfId="0" applyFont="1" applyFill="1" applyBorder="1" applyAlignment="1">
      <alignment horizontal="center" vertical="center" wrapText="1"/>
    </xf>
    <xf numFmtId="0" fontId="18" fillId="10" borderId="25" xfId="0" applyFont="1" applyFill="1" applyBorder="1" applyAlignment="1">
      <alignment horizontal="center" vertical="center" wrapText="1" readingOrder="1"/>
    </xf>
    <xf numFmtId="0" fontId="18" fillId="12" borderId="36" xfId="0" applyFont="1" applyFill="1" applyBorder="1" applyAlignment="1">
      <alignment horizontal="center" vertical="center" wrapText="1" readingOrder="1"/>
    </xf>
    <xf numFmtId="0" fontId="24" fillId="10" borderId="36" xfId="0" applyFont="1" applyFill="1" applyBorder="1" applyAlignment="1">
      <alignment horizontal="center" vertical="center" wrapText="1" readingOrder="1"/>
    </xf>
    <xf numFmtId="0" fontId="18" fillId="10" borderId="43" xfId="0" applyFont="1" applyFill="1" applyBorder="1" applyAlignment="1">
      <alignment horizontal="center" vertical="center" wrapText="1" readingOrder="1"/>
    </xf>
    <xf numFmtId="0" fontId="23" fillId="10" borderId="43" xfId="0" applyFont="1" applyFill="1" applyBorder="1" applyAlignment="1">
      <alignment horizontal="right" vertical="center" wrapText="1"/>
    </xf>
    <xf numFmtId="0" fontId="23" fillId="10" borderId="39" xfId="0" applyFont="1" applyFill="1" applyBorder="1" applyAlignment="1">
      <alignment horizontal="right" vertical="center" wrapText="1"/>
    </xf>
    <xf numFmtId="0" fontId="24" fillId="10" borderId="36" xfId="0" applyFont="1" applyFill="1" applyBorder="1" applyAlignment="1">
      <alignment horizontal="left" vertical="top" wrapText="1" readingOrder="1"/>
    </xf>
    <xf numFmtId="0" fontId="28" fillId="0" borderId="50" xfId="0" applyFont="1" applyBorder="1" applyAlignment="1">
      <alignment horizontal="center" vertical="center"/>
    </xf>
    <xf numFmtId="0" fontId="29" fillId="0" borderId="51" xfId="0" applyFont="1" applyBorder="1" applyAlignment="1">
      <alignment horizontal="left" vertical="center"/>
    </xf>
    <xf numFmtId="0" fontId="30" fillId="0" borderId="52" xfId="0" applyFont="1" applyBorder="1" applyAlignment="1">
      <alignment horizontal="left" vertical="center"/>
    </xf>
    <xf numFmtId="0" fontId="29" fillId="0" borderId="24" xfId="0" applyFont="1" applyBorder="1" applyAlignment="1">
      <alignment horizontal="left" vertical="center"/>
    </xf>
    <xf numFmtId="0" fontId="32" fillId="0" borderId="55" xfId="0" applyFont="1" applyBorder="1" applyAlignment="1">
      <alignment horizontal="left" vertical="center"/>
    </xf>
    <xf numFmtId="0" fontId="33" fillId="0" borderId="52" xfId="0" applyFont="1" applyBorder="1" applyAlignment="1">
      <alignment horizontal="left" vertical="center"/>
    </xf>
    <xf numFmtId="0" fontId="33" fillId="0" borderId="58" xfId="0" applyFont="1" applyBorder="1" applyAlignment="1">
      <alignment horizontal="left" vertical="center"/>
    </xf>
    <xf numFmtId="0" fontId="33" fillId="0" borderId="55" xfId="0" applyFont="1" applyBorder="1" applyAlignment="1">
      <alignment horizontal="left" vertical="center"/>
    </xf>
    <xf numFmtId="0" fontId="28" fillId="0" borderId="2" xfId="0" applyFont="1" applyBorder="1" applyAlignment="1">
      <alignment horizontal="center" vertical="center"/>
    </xf>
    <xf numFmtId="0" fontId="11" fillId="0" borderId="2" xfId="0" applyFont="1" applyBorder="1"/>
    <xf numFmtId="0" fontId="30" fillId="0" borderId="52" xfId="0" applyFont="1" applyBorder="1"/>
    <xf numFmtId="0" fontId="31" fillId="0" borderId="58" xfId="0" applyFont="1" applyBorder="1"/>
    <xf numFmtId="0" fontId="31" fillId="0" borderId="55" xfId="0" applyFont="1" applyBorder="1"/>
    <xf numFmtId="0" fontId="35" fillId="0" borderId="55" xfId="0" applyFont="1" applyBorder="1"/>
    <xf numFmtId="0" fontId="38" fillId="0" borderId="55" xfId="0" applyFont="1" applyBorder="1"/>
    <xf numFmtId="0" fontId="35" fillId="0" borderId="58" xfId="0" applyFont="1" applyBorder="1"/>
    <xf numFmtId="0" fontId="31" fillId="0" borderId="52" xfId="0" applyFont="1" applyBorder="1"/>
    <xf numFmtId="0" fontId="35" fillId="0" borderId="62" xfId="0" applyFont="1" applyBorder="1"/>
    <xf numFmtId="0" fontId="30" fillId="0" borderId="63" xfId="0" applyFont="1" applyBorder="1"/>
    <xf numFmtId="166" fontId="0" fillId="0" borderId="0" xfId="0" applyNumberFormat="1"/>
    <xf numFmtId="166" fontId="0" fillId="0" borderId="14" xfId="0" applyNumberFormat="1" applyBorder="1"/>
    <xf numFmtId="166" fontId="0" fillId="0" borderId="11" xfId="0" applyNumberFormat="1" applyBorder="1"/>
    <xf numFmtId="166" fontId="0" fillId="0" borderId="22" xfId="0" applyNumberFormat="1" applyBorder="1"/>
    <xf numFmtId="0" fontId="45" fillId="0" borderId="23" xfId="1"/>
    <xf numFmtId="0" fontId="44" fillId="0" borderId="23" xfId="1" applyFont="1"/>
    <xf numFmtId="0" fontId="46" fillId="0" borderId="23" xfId="1" applyFont="1" applyAlignment="1">
      <alignment wrapText="1"/>
    </xf>
    <xf numFmtId="0" fontId="46" fillId="0" borderId="23" xfId="1" applyFont="1"/>
    <xf numFmtId="0" fontId="47" fillId="0" borderId="23" xfId="1" applyFont="1"/>
    <xf numFmtId="0" fontId="4" fillId="0" borderId="23" xfId="2"/>
    <xf numFmtId="0" fontId="44" fillId="0" borderId="23" xfId="2" applyFont="1"/>
    <xf numFmtId="44" fontId="44" fillId="0" borderId="23" xfId="2" applyNumberFormat="1" applyFont="1"/>
    <xf numFmtId="44" fontId="11" fillId="0" borderId="64" xfId="2" applyNumberFormat="1" applyFont="1" applyBorder="1"/>
    <xf numFmtId="0" fontId="48" fillId="0" borderId="64" xfId="2" applyFont="1" applyBorder="1"/>
    <xf numFmtId="0" fontId="10" fillId="0" borderId="23" xfId="2" applyFont="1"/>
    <xf numFmtId="44" fontId="15" fillId="0" borderId="64" xfId="2" applyNumberFormat="1" applyFont="1" applyBorder="1"/>
    <xf numFmtId="0" fontId="49" fillId="0" borderId="64" xfId="2" applyFont="1" applyBorder="1"/>
    <xf numFmtId="44" fontId="10" fillId="0" borderId="64" xfId="2" applyNumberFormat="1" applyFont="1" applyBorder="1"/>
    <xf numFmtId="0" fontId="48" fillId="0" borderId="64" xfId="2" applyFont="1" applyBorder="1" applyAlignment="1">
      <alignment wrapText="1"/>
    </xf>
    <xf numFmtId="0" fontId="48" fillId="0" borderId="23" xfId="2" applyFont="1"/>
    <xf numFmtId="0" fontId="11" fillId="0" borderId="23" xfId="2" applyFont="1"/>
    <xf numFmtId="44" fontId="12" fillId="15" borderId="64" xfId="2" applyNumberFormat="1" applyFont="1" applyFill="1" applyBorder="1"/>
    <xf numFmtId="0" fontId="12" fillId="15" borderId="64" xfId="2" applyFont="1" applyFill="1" applyBorder="1"/>
    <xf numFmtId="0" fontId="49" fillId="0" borderId="23" xfId="2" applyFont="1"/>
    <xf numFmtId="0" fontId="52" fillId="0" borderId="64" xfId="1" applyFont="1" applyBorder="1" applyAlignment="1">
      <alignment horizontal="right" vertical="center" wrapText="1"/>
    </xf>
    <xf numFmtId="0" fontId="52" fillId="0" borderId="64" xfId="1" applyFont="1" applyBorder="1" applyAlignment="1">
      <alignment wrapText="1"/>
    </xf>
    <xf numFmtId="0" fontId="52" fillId="0" borderId="64" xfId="1" applyFont="1" applyBorder="1"/>
    <xf numFmtId="0" fontId="52" fillId="0" borderId="64" xfId="1" applyFont="1" applyBorder="1" applyAlignment="1">
      <alignment horizontal="center" wrapText="1"/>
    </xf>
    <xf numFmtId="0" fontId="52" fillId="0" borderId="64" xfId="1" applyFont="1" applyBorder="1" applyAlignment="1">
      <alignment horizontal="right" wrapText="1"/>
    </xf>
    <xf numFmtId="0" fontId="52" fillId="0" borderId="64" xfId="1" applyFont="1" applyBorder="1" applyAlignment="1">
      <alignment horizontal="left" wrapText="1"/>
    </xf>
    <xf numFmtId="0" fontId="45" fillId="0" borderId="64" xfId="1" applyBorder="1"/>
    <xf numFmtId="0" fontId="45" fillId="0" borderId="64" xfId="1" applyBorder="1" applyAlignment="1">
      <alignment horizontal="right"/>
    </xf>
    <xf numFmtId="0" fontId="53" fillId="0" borderId="64" xfId="1" applyFont="1" applyBorder="1"/>
    <xf numFmtId="0" fontId="53" fillId="0" borderId="64" xfId="1" applyFont="1" applyBorder="1" applyAlignment="1">
      <alignment horizontal="right"/>
    </xf>
    <xf numFmtId="0" fontId="54" fillId="0" borderId="64" xfId="1" applyFont="1" applyBorder="1" applyAlignment="1">
      <alignment horizontal="right" wrapText="1"/>
    </xf>
    <xf numFmtId="0" fontId="52" fillId="0" borderId="64" xfId="1" applyFont="1" applyBorder="1" applyAlignment="1">
      <alignment vertical="center" wrapText="1"/>
    </xf>
    <xf numFmtId="0" fontId="52" fillId="0" borderId="64" xfId="1" applyFont="1" applyBorder="1" applyAlignment="1">
      <alignment horizontal="left" vertical="center" wrapText="1"/>
    </xf>
    <xf numFmtId="0" fontId="18" fillId="10" borderId="41" xfId="0" applyFont="1" applyFill="1" applyBorder="1" applyAlignment="1">
      <alignment horizontal="center" vertical="center" wrapText="1" readingOrder="1"/>
    </xf>
    <xf numFmtId="0" fontId="18" fillId="10" borderId="1" xfId="0" applyFont="1" applyFill="1" applyBorder="1" applyAlignment="1">
      <alignment vertical="center" wrapText="1" readingOrder="1"/>
    </xf>
    <xf numFmtId="0" fontId="18" fillId="12" borderId="7" xfId="0" applyFont="1" applyFill="1" applyBorder="1" applyAlignment="1">
      <alignment horizontal="center" vertical="center" wrapText="1" readingOrder="1"/>
    </xf>
    <xf numFmtId="0" fontId="18" fillId="10" borderId="48" xfId="0" applyFont="1" applyFill="1" applyBorder="1" applyAlignment="1">
      <alignment horizontal="center" vertical="center" wrapText="1" readingOrder="1"/>
    </xf>
    <xf numFmtId="0" fontId="41" fillId="0" borderId="0" xfId="0" applyFont="1"/>
    <xf numFmtId="0" fontId="0" fillId="0" borderId="23" xfId="0" applyBorder="1"/>
    <xf numFmtId="0" fontId="45" fillId="0" borderId="23" xfId="0" applyFont="1" applyBorder="1"/>
    <xf numFmtId="0" fontId="57" fillId="0" borderId="23" xfId="0" applyFont="1" applyBorder="1" applyAlignment="1">
      <alignment horizontal="center"/>
    </xf>
    <xf numFmtId="166" fontId="57" fillId="0" borderId="23" xfId="0" applyNumberFormat="1" applyFont="1" applyBorder="1" applyAlignment="1">
      <alignment horizontal="right"/>
    </xf>
    <xf numFmtId="0" fontId="58" fillId="0" borderId="0" xfId="0" applyFont="1"/>
    <xf numFmtId="0" fontId="45" fillId="0" borderId="23" xfId="0" applyFont="1" applyBorder="1" applyAlignment="1">
      <alignment horizontal="left"/>
    </xf>
    <xf numFmtId="3" fontId="45" fillId="0" borderId="23" xfId="0" applyNumberFormat="1" applyFont="1" applyBorder="1" applyAlignment="1">
      <alignment horizontal="left"/>
    </xf>
    <xf numFmtId="166" fontId="0" fillId="0" borderId="23" xfId="0" applyNumberFormat="1" applyBorder="1"/>
    <xf numFmtId="0" fontId="0" fillId="0" borderId="23" xfId="0" applyBorder="1" applyAlignment="1">
      <alignment horizontal="center"/>
    </xf>
    <xf numFmtId="0" fontId="41" fillId="0" borderId="23" xfId="0" applyFont="1" applyBorder="1"/>
    <xf numFmtId="0" fontId="41" fillId="0" borderId="23" xfId="0" applyFont="1" applyBorder="1" applyAlignment="1">
      <alignment horizontal="center"/>
    </xf>
    <xf numFmtId="0" fontId="41" fillId="0" borderId="23" xfId="0" applyFont="1" applyBorder="1" applyAlignment="1">
      <alignment horizontal="center" vertical="top"/>
    </xf>
    <xf numFmtId="0" fontId="41" fillId="0" borderId="17" xfId="0" applyFont="1" applyBorder="1" applyAlignment="1">
      <alignment horizontal="right"/>
    </xf>
    <xf numFmtId="0" fontId="0" fillId="0" borderId="13" xfId="0" applyBorder="1" applyAlignment="1">
      <alignment horizontal="right"/>
    </xf>
    <xf numFmtId="0" fontId="41" fillId="0" borderId="13" xfId="0" applyFont="1" applyBorder="1" applyAlignment="1">
      <alignment horizontal="right"/>
    </xf>
    <xf numFmtId="0" fontId="0" fillId="0" borderId="86" xfId="0" applyBorder="1"/>
    <xf numFmtId="0" fontId="0" fillId="0" borderId="99" xfId="0" applyBorder="1"/>
    <xf numFmtId="0" fontId="0" fillId="0" borderId="103" xfId="0" applyBorder="1"/>
    <xf numFmtId="0" fontId="41" fillId="0" borderId="103" xfId="0" applyFont="1" applyBorder="1" applyAlignment="1">
      <alignment horizontal="right"/>
    </xf>
    <xf numFmtId="0" fontId="41" fillId="0" borderId="23" xfId="0" applyFont="1" applyBorder="1" applyAlignment="1">
      <alignment horizontal="right"/>
    </xf>
    <xf numFmtId="0" fontId="41" fillId="0" borderId="91" xfId="0" applyFont="1" applyBorder="1" applyAlignment="1">
      <alignment horizontal="right"/>
    </xf>
    <xf numFmtId="0" fontId="41" fillId="0" borderId="99" xfId="0" applyFont="1" applyBorder="1" applyAlignment="1">
      <alignment horizontal="right"/>
    </xf>
    <xf numFmtId="0" fontId="0" fillId="0" borderId="74" xfId="0" applyBorder="1"/>
    <xf numFmtId="0" fontId="0" fillId="0" borderId="91" xfId="0" applyBorder="1"/>
    <xf numFmtId="0" fontId="0" fillId="0" borderId="107" xfId="0" applyBorder="1"/>
    <xf numFmtId="0" fontId="0" fillId="0" borderId="107" xfId="0" applyBorder="1" applyAlignment="1">
      <alignment horizontal="right"/>
    </xf>
    <xf numFmtId="0" fontId="0" fillId="0" borderId="99" xfId="0" applyBorder="1" applyAlignment="1">
      <alignment horizontal="right"/>
    </xf>
    <xf numFmtId="0" fontId="41" fillId="0" borderId="107" xfId="0" applyFont="1" applyBorder="1" applyAlignment="1">
      <alignment horizontal="right"/>
    </xf>
    <xf numFmtId="0" fontId="6" fillId="3" borderId="112" xfId="0" applyFont="1" applyFill="1" applyBorder="1" applyAlignment="1">
      <alignment horizontal="center"/>
    </xf>
    <xf numFmtId="0" fontId="0" fillId="0" borderId="114" xfId="0" applyBorder="1"/>
    <xf numFmtId="0" fontId="0" fillId="0" borderId="115" xfId="0" applyBorder="1"/>
    <xf numFmtId="0" fontId="6" fillId="4" borderId="117" xfId="0" applyFont="1" applyFill="1" applyBorder="1" applyAlignment="1">
      <alignment horizontal="center"/>
    </xf>
    <xf numFmtId="0" fontId="6" fillId="3" borderId="117" xfId="0" applyFont="1" applyFill="1" applyBorder="1" applyAlignment="1">
      <alignment horizontal="center"/>
    </xf>
    <xf numFmtId="0" fontId="0" fillId="0" borderId="93" xfId="0" applyBorder="1"/>
    <xf numFmtId="0" fontId="0" fillId="0" borderId="90" xfId="0" applyBorder="1"/>
    <xf numFmtId="0" fontId="0" fillId="0" borderId="120" xfId="0" applyBorder="1"/>
    <xf numFmtId="0" fontId="6" fillId="0" borderId="23" xfId="0" applyFont="1" applyBorder="1" applyAlignment="1">
      <alignment horizontal="center"/>
    </xf>
    <xf numFmtId="166" fontId="0" fillId="0" borderId="23" xfId="0" applyNumberFormat="1" applyBorder="1" applyAlignment="1">
      <alignment horizontal="center" vertical="center"/>
    </xf>
    <xf numFmtId="0" fontId="0" fillId="0" borderId="100" xfId="0" applyBorder="1" applyAlignment="1">
      <alignment horizontal="right"/>
    </xf>
    <xf numFmtId="14" fontId="0" fillId="0" borderId="23" xfId="0" applyNumberFormat="1" applyBorder="1"/>
    <xf numFmtId="14" fontId="0" fillId="0" borderId="91" xfId="0" applyNumberFormat="1" applyBorder="1"/>
    <xf numFmtId="14" fontId="0" fillId="0" borderId="104" xfId="0" applyNumberFormat="1" applyBorder="1"/>
    <xf numFmtId="0" fontId="0" fillId="0" borderId="100" xfId="0" applyBorder="1"/>
    <xf numFmtId="14" fontId="0" fillId="0" borderId="74" xfId="0" applyNumberFormat="1" applyBorder="1"/>
    <xf numFmtId="0" fontId="41" fillId="0" borderId="109" xfId="0" applyFont="1" applyBorder="1"/>
    <xf numFmtId="0" fontId="6" fillId="18" borderId="117" xfId="0" applyFont="1" applyFill="1" applyBorder="1" applyAlignment="1">
      <alignment horizontal="center"/>
    </xf>
    <xf numFmtId="0" fontId="0" fillId="0" borderId="121" xfId="0" applyBorder="1"/>
    <xf numFmtId="0" fontId="0" fillId="0" borderId="122" xfId="0" applyBorder="1"/>
    <xf numFmtId="0" fontId="41" fillId="0" borderId="123" xfId="0" applyFont="1" applyBorder="1" applyAlignment="1">
      <alignment horizontal="right"/>
    </xf>
    <xf numFmtId="0" fontId="0" fillId="0" borderId="23" xfId="0" applyBorder="1" applyAlignment="1">
      <alignment horizontal="right"/>
    </xf>
    <xf numFmtId="0" fontId="41" fillId="0" borderId="23" xfId="0" applyFont="1" applyBorder="1" applyAlignment="1">
      <alignment vertical="top"/>
    </xf>
    <xf numFmtId="166" fontId="0" fillId="0" borderId="23" xfId="0" applyNumberFormat="1" applyBorder="1" applyAlignment="1">
      <alignment vertical="center"/>
    </xf>
    <xf numFmtId="0" fontId="6" fillId="20" borderId="112" xfId="0" applyFont="1" applyFill="1" applyBorder="1" applyAlignment="1">
      <alignment horizontal="center"/>
    </xf>
    <xf numFmtId="0" fontId="45" fillId="0" borderId="16" xfId="0" applyFont="1" applyBorder="1" applyAlignment="1">
      <alignment horizontal="center"/>
    </xf>
    <xf numFmtId="0" fontId="45" fillId="0" borderId="16" xfId="0" applyFont="1" applyBorder="1"/>
    <xf numFmtId="166" fontId="45" fillId="0" borderId="16" xfId="0" applyNumberFormat="1" applyFont="1" applyBorder="1" applyAlignment="1">
      <alignment horizontal="right"/>
    </xf>
    <xf numFmtId="0" fontId="45" fillId="0" borderId="18" xfId="0" applyFont="1" applyBorder="1" applyAlignment="1">
      <alignment horizontal="center"/>
    </xf>
    <xf numFmtId="0" fontId="45" fillId="0" borderId="18" xfId="0" applyFont="1" applyBorder="1"/>
    <xf numFmtId="0" fontId="45" fillId="0" borderId="15" xfId="0" applyFont="1" applyBorder="1" applyAlignment="1">
      <alignment horizontal="center"/>
    </xf>
    <xf numFmtId="166" fontId="45" fillId="0" borderId="31" xfId="0" applyNumberFormat="1" applyFont="1" applyBorder="1" applyAlignment="1">
      <alignment horizontal="right"/>
    </xf>
    <xf numFmtId="0" fontId="45" fillId="0" borderId="14" xfId="0" applyFont="1" applyBorder="1"/>
    <xf numFmtId="0" fontId="45" fillId="0" borderId="22" xfId="0" applyFont="1" applyBorder="1"/>
    <xf numFmtId="0" fontId="59" fillId="0" borderId="23" xfId="0" applyFont="1" applyBorder="1"/>
    <xf numFmtId="0" fontId="58" fillId="0" borderId="23" xfId="0" applyFont="1" applyBorder="1"/>
    <xf numFmtId="0" fontId="56" fillId="0" borderId="0" xfId="0" applyFont="1"/>
    <xf numFmtId="0" fontId="45" fillId="0" borderId="124" xfId="0" applyFont="1" applyBorder="1"/>
    <xf numFmtId="0" fontId="45" fillId="0" borderId="125" xfId="0" applyFont="1" applyBorder="1"/>
    <xf numFmtId="0" fontId="45" fillId="0" borderId="126" xfId="0" applyFont="1" applyBorder="1"/>
    <xf numFmtId="0" fontId="45" fillId="0" borderId="127" xfId="0" applyFont="1" applyBorder="1"/>
    <xf numFmtId="166" fontId="45" fillId="0" borderId="64" xfId="0" applyNumberFormat="1" applyFont="1" applyBorder="1" applyAlignment="1">
      <alignment horizontal="right"/>
    </xf>
    <xf numFmtId="0" fontId="45" fillId="0" borderId="65" xfId="0" applyFont="1" applyBorder="1"/>
    <xf numFmtId="0" fontId="45" fillId="0" borderId="67" xfId="0" applyFont="1" applyBorder="1"/>
    <xf numFmtId="0" fontId="45" fillId="0" borderId="66" xfId="0" applyFont="1" applyBorder="1" applyAlignment="1">
      <alignment horizontal="center"/>
    </xf>
    <xf numFmtId="0" fontId="45" fillId="0" borderId="84" xfId="0" applyFont="1" applyBorder="1"/>
    <xf numFmtId="0" fontId="45" fillId="0" borderId="86" xfId="0" applyFont="1" applyBorder="1"/>
    <xf numFmtId="0" fontId="45" fillId="0" borderId="89" xfId="0" applyFont="1" applyBorder="1"/>
    <xf numFmtId="0" fontId="45" fillId="0" borderId="83" xfId="0" applyFont="1" applyBorder="1"/>
    <xf numFmtId="166" fontId="45" fillId="0" borderId="95" xfId="0" applyNumberFormat="1" applyFont="1" applyBorder="1" applyAlignment="1">
      <alignment horizontal="right"/>
    </xf>
    <xf numFmtId="0" fontId="45" fillId="0" borderId="85" xfId="0" applyFont="1" applyBorder="1"/>
    <xf numFmtId="166" fontId="45" fillId="0" borderId="96" xfId="0" applyNumberFormat="1" applyFont="1" applyBorder="1" applyAlignment="1">
      <alignment horizontal="right"/>
    </xf>
    <xf numFmtId="0" fontId="45" fillId="0" borderId="88" xfId="0" applyFont="1" applyBorder="1"/>
    <xf numFmtId="166" fontId="45" fillId="0" borderId="97" xfId="0" applyNumberFormat="1" applyFont="1" applyBorder="1" applyAlignment="1">
      <alignment horizontal="right"/>
    </xf>
    <xf numFmtId="0" fontId="3" fillId="0" borderId="23" xfId="1" applyFont="1"/>
    <xf numFmtId="0" fontId="69" fillId="0" borderId="23" xfId="1" applyFont="1"/>
    <xf numFmtId="166" fontId="45" fillId="0" borderId="23" xfId="1" applyNumberFormat="1"/>
    <xf numFmtId="0" fontId="69" fillId="22" borderId="36" xfId="1" applyFont="1" applyFill="1" applyBorder="1" applyAlignment="1">
      <alignment horizontal="left" vertical="center"/>
    </xf>
    <xf numFmtId="0" fontId="69" fillId="22" borderId="48" xfId="1" applyFont="1" applyFill="1" applyBorder="1" applyAlignment="1">
      <alignment horizontal="left" vertical="center"/>
    </xf>
    <xf numFmtId="0" fontId="69" fillId="22" borderId="36" xfId="1" applyFont="1" applyFill="1" applyBorder="1"/>
    <xf numFmtId="0" fontId="69" fillId="22" borderId="49" xfId="1" applyFont="1" applyFill="1" applyBorder="1"/>
    <xf numFmtId="0" fontId="71" fillId="23" borderId="23" xfId="1" applyFont="1" applyFill="1" applyAlignment="1">
      <alignment horizontal="center"/>
    </xf>
    <xf numFmtId="0" fontId="3" fillId="23" borderId="23" xfId="1" applyFont="1" applyFill="1"/>
    <xf numFmtId="0" fontId="70" fillId="0" borderId="23" xfId="1" applyFont="1"/>
    <xf numFmtId="166" fontId="73" fillId="0" borderId="16" xfId="1" applyNumberFormat="1" applyFont="1" applyBorder="1"/>
    <xf numFmtId="0" fontId="73" fillId="0" borderId="16" xfId="1" applyFont="1" applyBorder="1" applyAlignment="1">
      <alignment horizontal="center"/>
    </xf>
    <xf numFmtId="4" fontId="73" fillId="0" borderId="16" xfId="1" applyNumberFormat="1" applyFont="1" applyBorder="1" applyAlignment="1">
      <alignment horizontal="center"/>
    </xf>
    <xf numFmtId="166" fontId="73" fillId="0" borderId="19" xfId="1" applyNumberFormat="1" applyFont="1" applyBorder="1"/>
    <xf numFmtId="0" fontId="73" fillId="0" borderId="19" xfId="1" applyFont="1" applyBorder="1" applyAlignment="1">
      <alignment horizontal="center"/>
    </xf>
    <xf numFmtId="166" fontId="73" fillId="23" borderId="19" xfId="1" applyNumberFormat="1" applyFont="1" applyFill="1" applyBorder="1"/>
    <xf numFmtId="0" fontId="73" fillId="23" borderId="19" xfId="1" applyFont="1" applyFill="1" applyBorder="1" applyAlignment="1">
      <alignment horizontal="center"/>
    </xf>
    <xf numFmtId="0" fontId="74" fillId="23" borderId="23" xfId="1" applyFont="1" applyFill="1"/>
    <xf numFmtId="166" fontId="75" fillId="23" borderId="23" xfId="1" applyNumberFormat="1" applyFont="1" applyFill="1" applyAlignment="1">
      <alignment horizontal="right" vertical="center" wrapText="1" readingOrder="1"/>
    </xf>
    <xf numFmtId="14" fontId="45" fillId="0" borderId="23" xfId="1" applyNumberFormat="1"/>
    <xf numFmtId="166" fontId="31" fillId="23" borderId="64" xfId="1" applyNumberFormat="1" applyFont="1" applyFill="1" applyBorder="1" applyAlignment="1">
      <alignment vertical="top" wrapText="1"/>
    </xf>
    <xf numFmtId="166" fontId="37" fillId="23" borderId="64" xfId="1" applyNumberFormat="1" applyFont="1" applyFill="1" applyBorder="1" applyAlignment="1">
      <alignment horizontal="right" vertical="center" wrapText="1" readingOrder="1"/>
    </xf>
    <xf numFmtId="166" fontId="37" fillId="0" borderId="136" xfId="1" applyNumberFormat="1" applyFont="1" applyBorder="1" applyAlignment="1">
      <alignment horizontal="right" vertical="center" wrapText="1" readingOrder="1"/>
    </xf>
    <xf numFmtId="166" fontId="31" fillId="0" borderId="64" xfId="1" applyNumberFormat="1" applyFont="1" applyBorder="1" applyAlignment="1">
      <alignment vertical="top" wrapText="1"/>
    </xf>
    <xf numFmtId="166" fontId="37" fillId="0" borderId="64" xfId="1" applyNumberFormat="1" applyFont="1" applyBorder="1" applyAlignment="1">
      <alignment horizontal="right" vertical="center" wrapText="1" readingOrder="1"/>
    </xf>
    <xf numFmtId="169" fontId="45" fillId="0" borderId="23" xfId="1" applyNumberFormat="1"/>
    <xf numFmtId="14" fontId="69" fillId="0" borderId="150" xfId="1" applyNumberFormat="1" applyFont="1" applyBorder="1" applyAlignment="1">
      <alignment horizontal="center"/>
    </xf>
    <xf numFmtId="166" fontId="37" fillId="23" borderId="136" xfId="1" applyNumberFormat="1" applyFont="1" applyFill="1" applyBorder="1" applyAlignment="1">
      <alignment horizontal="right" vertical="center" wrapText="1" readingOrder="1"/>
    </xf>
    <xf numFmtId="14" fontId="69" fillId="23" borderId="150" xfId="5" applyNumberFormat="1" applyFont="1" applyFill="1" applyBorder="1" applyAlignment="1">
      <alignment horizontal="center"/>
    </xf>
    <xf numFmtId="14" fontId="69" fillId="0" borderId="150" xfId="5" applyNumberFormat="1" applyFont="1" applyFill="1" applyBorder="1" applyAlignment="1">
      <alignment horizontal="center"/>
    </xf>
    <xf numFmtId="14" fontId="69" fillId="0" borderId="150" xfId="5" applyNumberFormat="1" applyFont="1" applyFill="1" applyBorder="1" applyAlignment="1">
      <alignment horizontal="center" vertical="center"/>
    </xf>
    <xf numFmtId="170" fontId="45" fillId="0" borderId="23" xfId="1" applyNumberFormat="1"/>
    <xf numFmtId="0" fontId="57" fillId="0" borderId="23" xfId="1" applyFont="1"/>
    <xf numFmtId="0" fontId="70" fillId="24" borderId="16" xfId="0" applyFont="1" applyFill="1" applyBorder="1"/>
    <xf numFmtId="166" fontId="69" fillId="25" borderId="16" xfId="0" applyNumberFormat="1" applyFont="1" applyFill="1" applyBorder="1"/>
    <xf numFmtId="10" fontId="69" fillId="25" borderId="16" xfId="0" applyNumberFormat="1" applyFont="1" applyFill="1" applyBorder="1"/>
    <xf numFmtId="0" fontId="69" fillId="25" borderId="16" xfId="0" applyFont="1" applyFill="1" applyBorder="1"/>
    <xf numFmtId="1" fontId="69" fillId="25" borderId="16" xfId="0" applyNumberFormat="1" applyFont="1" applyFill="1" applyBorder="1"/>
    <xf numFmtId="0" fontId="70" fillId="24" borderId="16" xfId="0" applyFont="1" applyFill="1" applyBorder="1" applyAlignment="1">
      <alignment vertical="center"/>
    </xf>
    <xf numFmtId="0" fontId="77" fillId="0" borderId="23" xfId="1" applyFont="1"/>
    <xf numFmtId="0" fontId="77" fillId="0" borderId="2" xfId="1" applyFont="1" applyBorder="1"/>
    <xf numFmtId="0" fontId="69" fillId="0" borderId="23" xfId="1" applyFont="1" applyAlignment="1">
      <alignment horizontal="center"/>
    </xf>
    <xf numFmtId="0" fontId="77" fillId="0" borderId="11" xfId="1" applyFont="1" applyBorder="1"/>
    <xf numFmtId="166" fontId="69" fillId="0" borderId="23" xfId="1" applyNumberFormat="1" applyFont="1" applyAlignment="1">
      <alignment horizontal="right"/>
    </xf>
    <xf numFmtId="0" fontId="77" fillId="0" borderId="155" xfId="1" applyFont="1" applyBorder="1"/>
    <xf numFmtId="0" fontId="57" fillId="0" borderId="23" xfId="1" applyFont="1" applyAlignment="1">
      <alignment horizontal="center"/>
    </xf>
    <xf numFmtId="0" fontId="39" fillId="0" borderId="23" xfId="1" applyFont="1" applyAlignment="1">
      <alignment horizontal="center" vertical="center"/>
    </xf>
    <xf numFmtId="0" fontId="79" fillId="0" borderId="23" xfId="1" applyFont="1"/>
    <xf numFmtId="0" fontId="70" fillId="0" borderId="2" xfId="1" applyFont="1" applyBorder="1"/>
    <xf numFmtId="0" fontId="37" fillId="0" borderId="23" xfId="1" applyFont="1"/>
    <xf numFmtId="0" fontId="70" fillId="0" borderId="23" xfId="1" applyFont="1" applyAlignment="1">
      <alignment horizontal="center"/>
    </xf>
    <xf numFmtId="0" fontId="56" fillId="27" borderId="87" xfId="0" applyFont="1" applyFill="1" applyBorder="1"/>
    <xf numFmtId="0" fontId="45" fillId="29" borderId="64" xfId="0" applyFont="1" applyFill="1" applyBorder="1" applyAlignment="1">
      <alignment horizontal="left" vertical="center"/>
    </xf>
    <xf numFmtId="0" fontId="45" fillId="30" borderId="64" xfId="0" applyFont="1" applyFill="1" applyBorder="1" applyAlignment="1">
      <alignment horizontal="left" vertical="center"/>
    </xf>
    <xf numFmtId="0" fontId="45" fillId="28" borderId="64" xfId="0" applyFont="1" applyFill="1" applyBorder="1" applyAlignment="1">
      <alignment horizontal="left" vertical="center"/>
    </xf>
    <xf numFmtId="0" fontId="2" fillId="0" borderId="12" xfId="1" applyFont="1" applyBorder="1" applyAlignment="1">
      <alignment vertical="top"/>
    </xf>
    <xf numFmtId="0" fontId="2" fillId="0" borderId="31" xfId="1" applyFont="1" applyBorder="1"/>
    <xf numFmtId="166" fontId="2" fillId="0" borderId="16" xfId="1" applyNumberFormat="1" applyFont="1" applyBorder="1" applyAlignment="1">
      <alignment horizontal="right"/>
    </xf>
    <xf numFmtId="0" fontId="2" fillId="0" borderId="13" xfId="1" applyFont="1" applyBorder="1" applyAlignment="1">
      <alignment vertical="top"/>
    </xf>
    <xf numFmtId="0" fontId="2" fillId="0" borderId="13" xfId="1" applyFont="1" applyBorder="1" applyAlignment="1">
      <alignment horizontal="left" vertical="top"/>
    </xf>
    <xf numFmtId="0" fontId="2" fillId="0" borderId="32" xfId="1" applyFont="1" applyBorder="1"/>
    <xf numFmtId="0" fontId="2" fillId="0" borderId="23" xfId="1" applyFont="1"/>
    <xf numFmtId="0" fontId="2" fillId="0" borderId="16" xfId="1" applyFont="1" applyBorder="1" applyAlignment="1">
      <alignment horizontal="left" vertical="center"/>
    </xf>
    <xf numFmtId="0" fontId="2" fillId="0" borderId="16" xfId="1" applyFont="1" applyBorder="1" applyAlignment="1">
      <alignment horizontal="center" vertical="center"/>
    </xf>
    <xf numFmtId="166" fontId="2" fillId="0" borderId="16" xfId="1" applyNumberFormat="1" applyFont="1" applyBorder="1" applyAlignment="1">
      <alignment horizontal="right" vertical="center"/>
    </xf>
    <xf numFmtId="0" fontId="69" fillId="0" borderId="18" xfId="1" applyFont="1" applyBorder="1" applyAlignment="1">
      <alignment vertical="top"/>
    </xf>
    <xf numFmtId="0" fontId="69" fillId="0" borderId="16" xfId="1" applyFont="1" applyBorder="1"/>
    <xf numFmtId="166" fontId="69" fillId="0" borderId="16" xfId="1" applyNumberFormat="1" applyFont="1" applyBorder="1" applyAlignment="1">
      <alignment horizontal="right"/>
    </xf>
    <xf numFmtId="0" fontId="69" fillId="0" borderId="17" xfId="1" applyFont="1" applyBorder="1" applyAlignment="1">
      <alignment vertical="top"/>
    </xf>
    <xf numFmtId="0" fontId="69" fillId="0" borderId="18" xfId="1" applyFont="1" applyBorder="1"/>
    <xf numFmtId="0" fontId="69" fillId="0" borderId="16" xfId="1" applyFont="1" applyBorder="1" applyAlignment="1">
      <alignment horizontal="center"/>
    </xf>
    <xf numFmtId="0" fontId="69" fillId="0" borderId="19" xfId="1" applyFont="1" applyBorder="1" applyAlignment="1">
      <alignment vertical="top"/>
    </xf>
    <xf numFmtId="166" fontId="70" fillId="0" borderId="18" xfId="1" applyNumberFormat="1" applyFont="1" applyBorder="1" applyAlignment="1">
      <alignment horizontal="right"/>
    </xf>
    <xf numFmtId="166" fontId="69" fillId="0" borderId="32" xfId="1" applyNumberFormat="1" applyFont="1" applyBorder="1" applyAlignment="1">
      <alignment horizontal="right"/>
    </xf>
    <xf numFmtId="166" fontId="69" fillId="0" borderId="19" xfId="1" applyNumberFormat="1" applyFont="1" applyBorder="1" applyAlignment="1">
      <alignment horizontal="right"/>
    </xf>
    <xf numFmtId="166" fontId="69" fillId="0" borderId="18" xfId="1" applyNumberFormat="1" applyFont="1" applyBorder="1" applyAlignment="1">
      <alignment horizontal="right"/>
    </xf>
    <xf numFmtId="0" fontId="69" fillId="0" borderId="12" xfId="1" applyFont="1" applyBorder="1"/>
    <xf numFmtId="0" fontId="69" fillId="0" borderId="23" xfId="1" applyFont="1" applyAlignment="1">
      <alignment vertical="top"/>
    </xf>
    <xf numFmtId="166" fontId="69" fillId="0" borderId="15" xfId="1" applyNumberFormat="1" applyFont="1" applyBorder="1" applyAlignment="1">
      <alignment horizontal="right"/>
    </xf>
    <xf numFmtId="0" fontId="69" fillId="0" borderId="32" xfId="1" applyFont="1" applyBorder="1"/>
    <xf numFmtId="166" fontId="69" fillId="0" borderId="31" xfId="1" applyNumberFormat="1" applyFont="1" applyBorder="1" applyAlignment="1">
      <alignment horizontal="right"/>
    </xf>
    <xf numFmtId="166" fontId="70" fillId="0" borderId="16" xfId="1" applyNumberFormat="1" applyFont="1" applyBorder="1" applyAlignment="1">
      <alignment horizontal="right"/>
    </xf>
    <xf numFmtId="0" fontId="70" fillId="27" borderId="16" xfId="1" applyFont="1" applyFill="1" applyBorder="1"/>
    <xf numFmtId="0" fontId="70" fillId="27" borderId="16" xfId="1" applyFont="1" applyFill="1" applyBorder="1" applyAlignment="1">
      <alignment horizontal="center"/>
    </xf>
    <xf numFmtId="0" fontId="39" fillId="27" borderId="16" xfId="1" applyFont="1" applyFill="1" applyBorder="1"/>
    <xf numFmtId="0" fontId="37" fillId="27" borderId="16" xfId="1" applyFont="1" applyFill="1" applyBorder="1" applyAlignment="1">
      <alignment horizontal="center"/>
    </xf>
    <xf numFmtId="0" fontId="39" fillId="31" borderId="64" xfId="1" applyFont="1" applyFill="1" applyBorder="1" applyAlignment="1">
      <alignment wrapText="1"/>
    </xf>
    <xf numFmtId="44" fontId="70" fillId="31" borderId="64" xfId="1" applyNumberFormat="1" applyFont="1" applyFill="1" applyBorder="1" applyAlignment="1">
      <alignment horizontal="center"/>
    </xf>
    <xf numFmtId="0" fontId="70" fillId="31" borderId="64" xfId="1" applyFont="1" applyFill="1" applyBorder="1"/>
    <xf numFmtId="0" fontId="39" fillId="31" borderId="64" xfId="1" applyFont="1" applyFill="1" applyBorder="1"/>
    <xf numFmtId="44" fontId="70" fillId="31" borderId="95" xfId="1" applyNumberFormat="1" applyFont="1" applyFill="1" applyBorder="1" applyAlignment="1">
      <alignment horizontal="center"/>
    </xf>
    <xf numFmtId="0" fontId="69" fillId="31" borderId="49" xfId="1" applyFont="1" applyFill="1" applyBorder="1"/>
    <xf numFmtId="0" fontId="69" fillId="31" borderId="48" xfId="1" applyFont="1" applyFill="1" applyBorder="1" applyAlignment="1">
      <alignment horizontal="left" vertical="center"/>
    </xf>
    <xf numFmtId="0" fontId="69" fillId="31" borderId="36" xfId="1" applyFont="1" applyFill="1" applyBorder="1" applyAlignment="1">
      <alignment horizontal="left" vertical="center"/>
    </xf>
    <xf numFmtId="166" fontId="69" fillId="0" borderId="64" xfId="1" applyNumberFormat="1" applyFont="1" applyBorder="1" applyAlignment="1">
      <alignment horizontal="right"/>
    </xf>
    <xf numFmtId="166" fontId="69" fillId="0" borderId="65" xfId="1" applyNumberFormat="1" applyFont="1" applyBorder="1" applyAlignment="1">
      <alignment horizontal="right"/>
    </xf>
    <xf numFmtId="0" fontId="70" fillId="30" borderId="138" xfId="0" applyFont="1" applyFill="1" applyBorder="1" applyAlignment="1">
      <alignment horizontal="center" vertical="center" wrapText="1"/>
    </xf>
    <xf numFmtId="0" fontId="70" fillId="30" borderId="151" xfId="0" applyFont="1" applyFill="1" applyBorder="1" applyAlignment="1">
      <alignment horizontal="center" vertical="center"/>
    </xf>
    <xf numFmtId="0" fontId="70" fillId="30" borderId="151" xfId="0" applyFont="1" applyFill="1" applyBorder="1" applyAlignment="1">
      <alignment horizontal="center" vertical="center" wrapText="1"/>
    </xf>
    <xf numFmtId="0" fontId="70" fillId="30" borderId="137" xfId="0" applyFont="1" applyFill="1" applyBorder="1" applyAlignment="1">
      <alignment horizontal="center" vertical="center"/>
    </xf>
    <xf numFmtId="14" fontId="69" fillId="30" borderId="135" xfId="0" applyNumberFormat="1" applyFont="1" applyFill="1" applyBorder="1" applyAlignment="1">
      <alignment horizontal="center"/>
    </xf>
    <xf numFmtId="14" fontId="69" fillId="30" borderId="134" xfId="0" applyNumberFormat="1" applyFont="1" applyFill="1" applyBorder="1" applyAlignment="1">
      <alignment horizontal="center"/>
    </xf>
    <xf numFmtId="166" fontId="69" fillId="0" borderId="16" xfId="0" applyNumberFormat="1" applyFont="1" applyBorder="1" applyAlignment="1">
      <alignment horizontal="right"/>
    </xf>
    <xf numFmtId="166" fontId="37" fillId="0" borderId="16" xfId="0" applyNumberFormat="1" applyFont="1" applyBorder="1" applyAlignment="1">
      <alignment horizontal="right"/>
    </xf>
    <xf numFmtId="166" fontId="69" fillId="0" borderId="16" xfId="0" applyNumberFormat="1" applyFont="1" applyBorder="1" applyAlignment="1">
      <alignment horizontal="right" vertical="center"/>
    </xf>
    <xf numFmtId="166" fontId="69" fillId="0" borderId="132" xfId="0" applyNumberFormat="1" applyFont="1" applyBorder="1" applyAlignment="1">
      <alignment horizontal="right"/>
    </xf>
    <xf numFmtId="166" fontId="69" fillId="0" borderId="152" xfId="0" applyNumberFormat="1" applyFont="1" applyBorder="1" applyAlignment="1">
      <alignment horizontal="right"/>
    </xf>
    <xf numFmtId="166" fontId="37" fillId="0" borderId="152" xfId="0" applyNumberFormat="1" applyFont="1" applyBorder="1" applyAlignment="1">
      <alignment horizontal="right"/>
    </xf>
    <xf numFmtId="166" fontId="69" fillId="0" borderId="152" xfId="0" applyNumberFormat="1" applyFont="1" applyBorder="1" applyAlignment="1">
      <alignment horizontal="right" vertical="center"/>
    </xf>
    <xf numFmtId="166" fontId="69" fillId="0" borderId="133" xfId="0" applyNumberFormat="1" applyFont="1" applyBorder="1" applyAlignment="1">
      <alignment horizontal="right"/>
    </xf>
    <xf numFmtId="0" fontId="70" fillId="32" borderId="78" xfId="1" applyFont="1" applyFill="1" applyBorder="1"/>
    <xf numFmtId="0" fontId="70" fillId="32" borderId="129" xfId="1" applyFont="1" applyFill="1" applyBorder="1" applyAlignment="1">
      <alignment horizontal="center"/>
    </xf>
    <xf numFmtId="0" fontId="70" fillId="32" borderId="79" xfId="1" applyFont="1" applyFill="1" applyBorder="1" applyAlignment="1">
      <alignment horizontal="center"/>
    </xf>
    <xf numFmtId="0" fontId="70" fillId="32" borderId="130" xfId="1" applyFont="1" applyFill="1" applyBorder="1" applyAlignment="1">
      <alignment horizontal="center"/>
    </xf>
    <xf numFmtId="0" fontId="70" fillId="32" borderId="80" xfId="1" applyFont="1" applyFill="1" applyBorder="1"/>
    <xf numFmtId="166" fontId="69" fillId="0" borderId="128" xfId="1" applyNumberFormat="1" applyFont="1" applyBorder="1" applyAlignment="1">
      <alignment horizontal="right"/>
    </xf>
    <xf numFmtId="166" fontId="69" fillId="0" borderId="129" xfId="1" applyNumberFormat="1" applyFont="1" applyBorder="1" applyAlignment="1">
      <alignment horizontal="right"/>
    </xf>
    <xf numFmtId="166" fontId="69" fillId="0" borderId="81" xfId="1" applyNumberFormat="1" applyFont="1" applyBorder="1" applyAlignment="1">
      <alignment horizontal="right"/>
    </xf>
    <xf numFmtId="166" fontId="69" fillId="0" borderId="78" xfId="1" applyNumberFormat="1" applyFont="1" applyBorder="1" applyAlignment="1">
      <alignment horizontal="right"/>
    </xf>
    <xf numFmtId="0" fontId="71" fillId="32" borderId="2" xfId="1" applyFont="1" applyFill="1" applyBorder="1" applyAlignment="1">
      <alignment horizontal="center"/>
    </xf>
    <xf numFmtId="0" fontId="70" fillId="33" borderId="16" xfId="3" applyFont="1" applyFill="1" applyBorder="1"/>
    <xf numFmtId="166" fontId="69" fillId="0" borderId="16" xfId="3" applyNumberFormat="1" applyFont="1" applyBorder="1" applyAlignment="1">
      <alignment horizontal="right"/>
    </xf>
    <xf numFmtId="166" fontId="69" fillId="0" borderId="16" xfId="3" applyNumberFormat="1" applyFont="1" applyBorder="1" applyAlignment="1">
      <alignment horizontal="right" vertical="center"/>
    </xf>
    <xf numFmtId="0" fontId="69" fillId="0" borderId="16" xfId="3" applyFont="1" applyBorder="1" applyAlignment="1">
      <alignment horizontal="right"/>
    </xf>
    <xf numFmtId="9" fontId="69" fillId="0" borderId="16" xfId="3" applyNumberFormat="1" applyFont="1" applyBorder="1" applyAlignment="1">
      <alignment horizontal="right"/>
    </xf>
    <xf numFmtId="0" fontId="56" fillId="30" borderId="97" xfId="3" applyFont="1" applyFill="1" applyBorder="1"/>
    <xf numFmtId="0" fontId="45" fillId="30" borderId="23" xfId="1" applyFill="1"/>
    <xf numFmtId="0" fontId="56" fillId="30" borderId="64" xfId="3" applyFont="1" applyFill="1" applyBorder="1"/>
    <xf numFmtId="44" fontId="3" fillId="0" borderId="64" xfId="3" applyNumberFormat="1" applyBorder="1" applyAlignment="1">
      <alignment horizontal="center"/>
    </xf>
    <xf numFmtId="166" fontId="3" fillId="0" borderId="131" xfId="3" applyNumberFormat="1" applyBorder="1" applyAlignment="1">
      <alignment horizontal="center"/>
    </xf>
    <xf numFmtId="1" fontId="3" fillId="0" borderId="64" xfId="3" applyNumberFormat="1" applyBorder="1" applyAlignment="1">
      <alignment horizontal="center"/>
    </xf>
    <xf numFmtId="1" fontId="3" fillId="0" borderId="131" xfId="3" applyNumberFormat="1" applyBorder="1" applyAlignment="1">
      <alignment horizontal="center"/>
    </xf>
    <xf numFmtId="0" fontId="3" fillId="0" borderId="173" xfId="1" applyFont="1" applyBorder="1"/>
    <xf numFmtId="169" fontId="70" fillId="27" borderId="16" xfId="1" applyNumberFormat="1" applyFont="1" applyFill="1" applyBorder="1"/>
    <xf numFmtId="14" fontId="70" fillId="27" borderId="16" xfId="1" applyNumberFormat="1" applyFont="1" applyFill="1" applyBorder="1" applyAlignment="1">
      <alignment horizontal="center"/>
    </xf>
    <xf numFmtId="0" fontId="70" fillId="27" borderId="16" xfId="1" applyFont="1" applyFill="1" applyBorder="1" applyAlignment="1">
      <alignment horizontal="right"/>
    </xf>
    <xf numFmtId="0" fontId="70" fillId="27" borderId="146" xfId="1" applyFont="1" applyFill="1" applyBorder="1"/>
    <xf numFmtId="0" fontId="70" fillId="27" borderId="144" xfId="1" applyFont="1" applyFill="1" applyBorder="1"/>
    <xf numFmtId="0" fontId="70" fillId="27" borderId="142" xfId="1" applyFont="1" applyFill="1" applyBorder="1"/>
    <xf numFmtId="0" fontId="70" fillId="27" borderId="140" xfId="1" applyFont="1" applyFill="1" applyBorder="1" applyAlignment="1">
      <alignment horizontal="center" vertical="center" readingOrder="1"/>
    </xf>
    <xf numFmtId="0" fontId="70" fillId="27" borderId="139" xfId="1" applyFont="1" applyFill="1" applyBorder="1" applyAlignment="1">
      <alignment horizontal="center" vertical="center" readingOrder="1"/>
    </xf>
    <xf numFmtId="168" fontId="69" fillId="27" borderId="16" xfId="1" applyNumberFormat="1" applyFont="1" applyFill="1" applyBorder="1"/>
    <xf numFmtId="166" fontId="69" fillId="0" borderId="145" xfId="1" applyNumberFormat="1" applyFont="1" applyBorder="1" applyAlignment="1">
      <alignment horizontal="right"/>
    </xf>
    <xf numFmtId="166" fontId="69" fillId="0" borderId="143" xfId="1" applyNumberFormat="1" applyFont="1" applyBorder="1" applyAlignment="1">
      <alignment horizontal="right"/>
    </xf>
    <xf numFmtId="10" fontId="69" fillId="0" borderId="143" xfId="4" applyNumberFormat="1" applyFont="1" applyFill="1" applyBorder="1" applyAlignment="1">
      <alignment horizontal="right"/>
    </xf>
    <xf numFmtId="10" fontId="69" fillId="0" borderId="141" xfId="1" applyNumberFormat="1" applyFont="1" applyBorder="1" applyAlignment="1">
      <alignment horizontal="right"/>
    </xf>
    <xf numFmtId="169" fontId="37" fillId="0" borderId="16" xfId="1" applyNumberFormat="1" applyFont="1" applyBorder="1"/>
    <xf numFmtId="14" fontId="69" fillId="0" borderId="16" xfId="1" applyNumberFormat="1" applyFont="1" applyBorder="1" applyAlignment="1">
      <alignment horizontal="center"/>
    </xf>
    <xf numFmtId="0" fontId="69" fillId="0" borderId="137" xfId="1" applyFont="1" applyBorder="1" applyAlignment="1">
      <alignment horizontal="left" vertical="center" wrapText="1"/>
    </xf>
    <xf numFmtId="0" fontId="69" fillId="0" borderId="132" xfId="1" applyFont="1" applyBorder="1" applyAlignment="1">
      <alignment horizontal="left" vertical="center"/>
    </xf>
    <xf numFmtId="0" fontId="69" fillId="0" borderId="132" xfId="1" applyFont="1" applyBorder="1" applyAlignment="1">
      <alignment horizontal="left"/>
    </xf>
    <xf numFmtId="0" fontId="69" fillId="0" borderId="133" xfId="1" applyFont="1" applyBorder="1" applyAlignment="1">
      <alignment horizontal="left"/>
    </xf>
    <xf numFmtId="0" fontId="70" fillId="27" borderId="138" xfId="1" applyFont="1" applyFill="1" applyBorder="1" applyAlignment="1">
      <alignment vertical="center"/>
    </xf>
    <xf numFmtId="0" fontId="70" fillId="27" borderId="135" xfId="1" applyFont="1" applyFill="1" applyBorder="1" applyAlignment="1">
      <alignment vertical="center"/>
    </xf>
    <xf numFmtId="0" fontId="70" fillId="27" borderId="135" xfId="1" applyFont="1" applyFill="1" applyBorder="1"/>
    <xf numFmtId="0" fontId="70" fillId="27" borderId="134" xfId="1" applyFont="1" applyFill="1" applyBorder="1" applyAlignment="1">
      <alignment vertical="center"/>
    </xf>
    <xf numFmtId="14" fontId="70" fillId="32" borderId="150" xfId="5" applyNumberFormat="1" applyFont="1" applyFill="1" applyBorder="1" applyAlignment="1">
      <alignment horizontal="center"/>
    </xf>
    <xf numFmtId="166" fontId="39" fillId="32" borderId="64" xfId="1" applyNumberFormat="1" applyFont="1" applyFill="1" applyBorder="1" applyAlignment="1">
      <alignment horizontal="right" vertical="center" wrapText="1" readingOrder="1"/>
    </xf>
    <xf numFmtId="166" fontId="35" fillId="32" borderId="64" xfId="1" applyNumberFormat="1" applyFont="1" applyFill="1" applyBorder="1" applyAlignment="1">
      <alignment vertical="top" wrapText="1"/>
    </xf>
    <xf numFmtId="166" fontId="39" fillId="32" borderId="132" xfId="1" applyNumberFormat="1" applyFont="1" applyFill="1" applyBorder="1" applyAlignment="1">
      <alignment horizontal="right" vertical="center" wrapText="1" readingOrder="1"/>
    </xf>
    <xf numFmtId="14" fontId="69" fillId="32" borderId="150" xfId="5" applyNumberFormat="1" applyFont="1" applyFill="1" applyBorder="1" applyAlignment="1">
      <alignment horizontal="center"/>
    </xf>
    <xf numFmtId="166" fontId="37" fillId="32" borderId="64" xfId="1" applyNumberFormat="1" applyFont="1" applyFill="1" applyBorder="1" applyAlignment="1">
      <alignment horizontal="right" vertical="center" wrapText="1" readingOrder="1"/>
    </xf>
    <xf numFmtId="166" fontId="31" fillId="32" borderId="64" xfId="1" applyNumberFormat="1" applyFont="1" applyFill="1" applyBorder="1" applyAlignment="1">
      <alignment vertical="top" wrapText="1"/>
    </xf>
    <xf numFmtId="166" fontId="37" fillId="32" borderId="136" xfId="1" applyNumberFormat="1" applyFont="1" applyFill="1" applyBorder="1" applyAlignment="1">
      <alignment horizontal="right" vertical="center" wrapText="1" readingOrder="1"/>
    </xf>
    <xf numFmtId="14" fontId="69" fillId="32" borderId="150" xfId="1" applyNumberFormat="1" applyFont="1" applyFill="1" applyBorder="1" applyAlignment="1">
      <alignment horizontal="center"/>
    </xf>
    <xf numFmtId="14" fontId="70" fillId="27" borderId="149" xfId="5" applyNumberFormat="1" applyFont="1" applyFill="1" applyBorder="1" applyAlignment="1">
      <alignment horizontal="center"/>
    </xf>
    <xf numFmtId="166" fontId="69" fillId="27" borderId="148" xfId="1" applyNumberFormat="1" applyFont="1" applyFill="1" applyBorder="1"/>
    <xf numFmtId="166" fontId="37" fillId="27" borderId="148" xfId="1" applyNumberFormat="1" applyFont="1" applyFill="1" applyBorder="1" applyAlignment="1">
      <alignment horizontal="right" vertical="center" wrapText="1" readingOrder="1"/>
    </xf>
    <xf numFmtId="166" fontId="69" fillId="27" borderId="147" xfId="1" applyNumberFormat="1" applyFont="1" applyFill="1" applyBorder="1"/>
    <xf numFmtId="14" fontId="69" fillId="0" borderId="19" xfId="1" applyNumberFormat="1" applyFont="1" applyBorder="1" applyAlignment="1">
      <alignment horizontal="center"/>
    </xf>
    <xf numFmtId="14" fontId="70" fillId="27" borderId="18" xfId="1" applyNumberFormat="1" applyFont="1" applyFill="1" applyBorder="1" applyAlignment="1">
      <alignment horizontal="center"/>
    </xf>
    <xf numFmtId="0" fontId="70" fillId="27" borderId="31" xfId="1" applyFont="1" applyFill="1" applyBorder="1" applyAlignment="1">
      <alignment horizontal="right"/>
    </xf>
    <xf numFmtId="14" fontId="69" fillId="0" borderId="18" xfId="1" applyNumberFormat="1" applyFont="1" applyBorder="1" applyAlignment="1">
      <alignment horizontal="center"/>
    </xf>
    <xf numFmtId="166" fontId="37" fillId="0" borderId="132" xfId="1" applyNumberFormat="1" applyFont="1" applyBorder="1" applyAlignment="1">
      <alignment horizontal="right" vertical="center" wrapText="1" readingOrder="1"/>
    </xf>
    <xf numFmtId="14" fontId="69" fillId="32" borderId="16" xfId="1" applyNumberFormat="1" applyFont="1" applyFill="1" applyBorder="1" applyAlignment="1">
      <alignment horizontal="center"/>
    </xf>
    <xf numFmtId="166" fontId="37" fillId="32" borderId="132" xfId="1" applyNumberFormat="1" applyFont="1" applyFill="1" applyBorder="1" applyAlignment="1">
      <alignment horizontal="right" vertical="center" wrapText="1" readingOrder="1"/>
    </xf>
    <xf numFmtId="14" fontId="70" fillId="32" borderId="16" xfId="1" applyNumberFormat="1" applyFont="1" applyFill="1" applyBorder="1" applyAlignment="1">
      <alignment horizontal="center"/>
    </xf>
    <xf numFmtId="0" fontId="69" fillId="27" borderId="78" xfId="1" applyFont="1" applyFill="1" applyBorder="1"/>
    <xf numFmtId="166" fontId="57" fillId="27" borderId="78" xfId="1" applyNumberFormat="1" applyFont="1" applyFill="1" applyBorder="1" applyAlignment="1">
      <alignment horizontal="right"/>
    </xf>
    <xf numFmtId="0" fontId="57" fillId="27" borderId="78" xfId="1" applyFont="1" applyFill="1" applyBorder="1"/>
    <xf numFmtId="0" fontId="81" fillId="27" borderId="78" xfId="1" applyFont="1" applyFill="1" applyBorder="1" applyAlignment="1">
      <alignment horizontal="center"/>
    </xf>
    <xf numFmtId="0" fontId="70" fillId="27" borderId="78" xfId="1" applyFont="1" applyFill="1" applyBorder="1" applyAlignment="1">
      <alignment horizontal="center"/>
    </xf>
    <xf numFmtId="166" fontId="57" fillId="0" borderId="78" xfId="1" applyNumberFormat="1" applyFont="1" applyBorder="1" applyAlignment="1">
      <alignment horizontal="right"/>
    </xf>
    <xf numFmtId="166" fontId="56" fillId="0" borderId="78" xfId="1" applyNumberFormat="1" applyFont="1" applyBorder="1" applyAlignment="1">
      <alignment horizontal="right"/>
    </xf>
    <xf numFmtId="0" fontId="70" fillId="29" borderId="16" xfId="3" applyFont="1" applyFill="1" applyBorder="1" applyAlignment="1">
      <alignment horizontal="center"/>
    </xf>
    <xf numFmtId="10" fontId="81" fillId="29" borderId="16" xfId="3" applyNumberFormat="1" applyFont="1" applyFill="1" applyBorder="1" applyAlignment="1">
      <alignment horizontal="center"/>
    </xf>
    <xf numFmtId="10" fontId="57" fillId="0" borderId="16" xfId="3" applyNumberFormat="1" applyFont="1" applyBorder="1" applyAlignment="1">
      <alignment horizontal="right"/>
    </xf>
    <xf numFmtId="10" fontId="57" fillId="0" borderId="16" xfId="3" applyNumberFormat="1" applyFont="1" applyBorder="1"/>
    <xf numFmtId="1" fontId="57" fillId="0" borderId="16" xfId="3" applyNumberFormat="1" applyFont="1" applyBorder="1"/>
    <xf numFmtId="166" fontId="81" fillId="0" borderId="16" xfId="3" applyNumberFormat="1" applyFont="1" applyBorder="1"/>
    <xf numFmtId="166" fontId="57" fillId="0" borderId="16" xfId="3" applyNumberFormat="1" applyFont="1" applyBorder="1"/>
    <xf numFmtId="166" fontId="82" fillId="0" borderId="16" xfId="3" applyNumberFormat="1" applyFont="1" applyBorder="1"/>
    <xf numFmtId="166" fontId="39" fillId="0" borderId="16" xfId="3" applyNumberFormat="1" applyFont="1" applyBorder="1"/>
    <xf numFmtId="166" fontId="57" fillId="0" borderId="16" xfId="3" applyNumberFormat="1" applyFont="1" applyBorder="1" applyAlignment="1">
      <alignment horizontal="right"/>
    </xf>
    <xf numFmtId="0" fontId="39" fillId="27" borderId="18" xfId="1" applyFont="1" applyFill="1" applyBorder="1" applyAlignment="1">
      <alignment horizontal="center" vertical="center"/>
    </xf>
    <xf numFmtId="0" fontId="39" fillId="27" borderId="16" xfId="1" applyFont="1" applyFill="1" applyBorder="1" applyAlignment="1">
      <alignment horizontal="center" vertical="center"/>
    </xf>
    <xf numFmtId="0" fontId="70" fillId="27" borderId="16" xfId="3" applyFont="1" applyFill="1" applyBorder="1" applyAlignment="1">
      <alignment horizontal="center"/>
    </xf>
    <xf numFmtId="0" fontId="70" fillId="27" borderId="19" xfId="3" applyFont="1" applyFill="1" applyBorder="1" applyAlignment="1">
      <alignment horizontal="center"/>
    </xf>
    <xf numFmtId="0" fontId="70" fillId="27" borderId="17" xfId="3" applyFont="1" applyFill="1" applyBorder="1" applyAlignment="1">
      <alignment horizontal="center" vertical="center"/>
    </xf>
    <xf numFmtId="173" fontId="39" fillId="27" borderId="16" xfId="3" applyNumberFormat="1" applyFont="1" applyFill="1" applyBorder="1"/>
    <xf numFmtId="173" fontId="70" fillId="27" borderId="16" xfId="3" applyNumberFormat="1" applyFont="1" applyFill="1" applyBorder="1" applyAlignment="1">
      <alignment horizontal="center"/>
    </xf>
    <xf numFmtId="0" fontId="70" fillId="27" borderId="16" xfId="3" applyFont="1" applyFill="1" applyBorder="1" applyAlignment="1">
      <alignment horizontal="center" vertical="center"/>
    </xf>
    <xf numFmtId="166" fontId="69" fillId="0" borderId="31" xfId="3" applyNumberFormat="1" applyFont="1" applyBorder="1"/>
    <xf numFmtId="1" fontId="69" fillId="0" borderId="16" xfId="3" applyNumberFormat="1" applyFont="1" applyBorder="1"/>
    <xf numFmtId="166" fontId="69" fillId="0" borderId="16" xfId="3" applyNumberFormat="1" applyFont="1" applyBorder="1"/>
    <xf numFmtId="166" fontId="70" fillId="0" borderId="16" xfId="3" applyNumberFormat="1" applyFont="1" applyBorder="1"/>
    <xf numFmtId="166" fontId="69" fillId="0" borderId="16" xfId="3" applyNumberFormat="1" applyFont="1" applyBorder="1" applyAlignment="1">
      <alignment vertical="center"/>
    </xf>
    <xf numFmtId="1" fontId="69" fillId="0" borderId="16" xfId="3" applyNumberFormat="1" applyFont="1" applyBorder="1" applyAlignment="1">
      <alignment vertical="center"/>
    </xf>
    <xf numFmtId="166" fontId="70" fillId="0" borderId="16" xfId="3" applyNumberFormat="1" applyFont="1" applyBorder="1" applyAlignment="1">
      <alignment vertical="center"/>
    </xf>
    <xf numFmtId="0" fontId="70" fillId="27" borderId="18" xfId="3" applyFont="1" applyFill="1" applyBorder="1" applyAlignment="1">
      <alignment vertical="center"/>
    </xf>
    <xf numFmtId="0" fontId="70" fillId="27" borderId="17" xfId="3" applyFont="1" applyFill="1" applyBorder="1" applyAlignment="1">
      <alignment vertical="center"/>
    </xf>
    <xf numFmtId="0" fontId="70" fillId="27" borderId="19" xfId="3" applyFont="1" applyFill="1" applyBorder="1" applyAlignment="1">
      <alignment vertical="center"/>
    </xf>
    <xf numFmtId="0" fontId="39" fillId="27" borderId="16" xfId="1" applyFont="1" applyFill="1" applyBorder="1" applyAlignment="1">
      <alignment horizontal="center"/>
    </xf>
    <xf numFmtId="0" fontId="39" fillId="27" borderId="16" xfId="1" applyFont="1" applyFill="1" applyBorder="1" applyAlignment="1">
      <alignment horizontal="center" vertical="center" wrapText="1"/>
    </xf>
    <xf numFmtId="44" fontId="37" fillId="0" borderId="16" xfId="1" applyNumberFormat="1" applyFont="1" applyBorder="1"/>
    <xf numFmtId="1" fontId="37" fillId="0" borderId="16" xfId="1" applyNumberFormat="1" applyFont="1" applyBorder="1"/>
    <xf numFmtId="44" fontId="39" fillId="0" borderId="16" xfId="1" applyNumberFormat="1" applyFont="1" applyBorder="1"/>
    <xf numFmtId="44" fontId="37" fillId="0" borderId="16" xfId="1" applyNumberFormat="1" applyFont="1" applyBorder="1" applyAlignment="1">
      <alignment vertical="center"/>
    </xf>
    <xf numFmtId="1" fontId="37" fillId="0" borderId="16" xfId="1" applyNumberFormat="1" applyFont="1" applyBorder="1" applyAlignment="1">
      <alignment vertical="center"/>
    </xf>
    <xf numFmtId="44" fontId="39" fillId="0" borderId="16" xfId="1" applyNumberFormat="1" applyFont="1" applyBorder="1" applyAlignment="1">
      <alignment vertical="center"/>
    </xf>
    <xf numFmtId="0" fontId="70" fillId="32" borderId="64" xfId="1" applyFont="1" applyFill="1" applyBorder="1" applyAlignment="1">
      <alignment horizontal="center" vertical="center" wrapText="1"/>
    </xf>
    <xf numFmtId="0" fontId="70" fillId="32" borderId="65" xfId="1" applyFont="1" applyFill="1" applyBorder="1" applyAlignment="1">
      <alignment horizontal="center" vertical="center" wrapText="1"/>
    </xf>
    <xf numFmtId="0" fontId="70" fillId="32" borderId="67" xfId="1" applyFont="1" applyFill="1" applyBorder="1" applyAlignment="1">
      <alignment horizontal="center" vertical="center" wrapText="1"/>
    </xf>
    <xf numFmtId="0" fontId="70" fillId="32" borderId="64" xfId="1" applyFont="1" applyFill="1" applyBorder="1"/>
    <xf numFmtId="0" fontId="69" fillId="0" borderId="64" xfId="1" applyFont="1" applyBorder="1" applyAlignment="1">
      <alignment horizontal="right"/>
    </xf>
    <xf numFmtId="172" fontId="69" fillId="0" borderId="64" xfId="1" applyNumberFormat="1" applyFont="1" applyBorder="1" applyAlignment="1">
      <alignment horizontal="right"/>
    </xf>
    <xf numFmtId="0" fontId="69" fillId="0" borderId="97" xfId="1" applyFont="1" applyBorder="1" applyAlignment="1">
      <alignment horizontal="right"/>
    </xf>
    <xf numFmtId="166" fontId="69" fillId="0" borderId="64" xfId="6" applyNumberFormat="1" applyFont="1" applyFill="1" applyBorder="1" applyAlignment="1">
      <alignment horizontal="right"/>
    </xf>
    <xf numFmtId="166" fontId="76" fillId="0" borderId="64" xfId="1" applyNumberFormat="1" applyFont="1" applyBorder="1" applyAlignment="1">
      <alignment horizontal="right"/>
    </xf>
    <xf numFmtId="171" fontId="69" fillId="0" borderId="64" xfId="1" applyNumberFormat="1" applyFont="1" applyBorder="1" applyAlignment="1">
      <alignment horizontal="right"/>
    </xf>
    <xf numFmtId="0" fontId="69" fillId="32" borderId="83" xfId="1" applyFont="1" applyFill="1" applyBorder="1" applyAlignment="1">
      <alignment vertical="center"/>
    </xf>
    <xf numFmtId="0" fontId="70" fillId="32" borderId="177" xfId="1" applyFont="1" applyFill="1" applyBorder="1" applyAlignment="1">
      <alignment horizontal="center" vertical="center" wrapText="1"/>
    </xf>
    <xf numFmtId="0" fontId="70" fillId="28" borderId="162" xfId="1" applyFont="1" applyFill="1" applyBorder="1" applyAlignment="1">
      <alignment horizontal="left"/>
    </xf>
    <xf numFmtId="0" fontId="70" fillId="28" borderId="161" xfId="1" applyFont="1" applyFill="1" applyBorder="1" applyAlignment="1">
      <alignment horizontal="center"/>
    </xf>
    <xf numFmtId="0" fontId="70" fillId="28" borderId="160" xfId="1" applyFont="1" applyFill="1" applyBorder="1" applyAlignment="1">
      <alignment horizontal="left"/>
    </xf>
    <xf numFmtId="0" fontId="70" fillId="28" borderId="159" xfId="1" applyFont="1" applyFill="1" applyBorder="1" applyAlignment="1">
      <alignment horizontal="center"/>
    </xf>
    <xf numFmtId="0" fontId="70" fillId="28" borderId="158" xfId="1" applyFont="1" applyFill="1" applyBorder="1" applyAlignment="1">
      <alignment horizontal="center"/>
    </xf>
    <xf numFmtId="0" fontId="69" fillId="0" borderId="157" xfId="1" applyFont="1" applyBorder="1"/>
    <xf numFmtId="0" fontId="69" fillId="0" borderId="156" xfId="1" applyFont="1" applyBorder="1" applyAlignment="1">
      <alignment horizontal="center"/>
    </xf>
    <xf numFmtId="0" fontId="69" fillId="0" borderId="155" xfId="1" applyFont="1" applyBorder="1"/>
    <xf numFmtId="0" fontId="69" fillId="0" borderId="154" xfId="1" applyFont="1" applyBorder="1"/>
    <xf numFmtId="166" fontId="69" fillId="0" borderId="153" xfId="1" applyNumberFormat="1" applyFont="1" applyBorder="1" applyAlignment="1">
      <alignment horizontal="right"/>
    </xf>
    <xf numFmtId="0" fontId="70" fillId="31" borderId="167" xfId="1" applyFont="1" applyFill="1" applyBorder="1"/>
    <xf numFmtId="0" fontId="70" fillId="31" borderId="166" xfId="1" applyFont="1" applyFill="1" applyBorder="1" applyAlignment="1">
      <alignment horizontal="center"/>
    </xf>
    <xf numFmtId="0" fontId="70" fillId="31" borderId="165" xfId="1" applyFont="1" applyFill="1" applyBorder="1"/>
    <xf numFmtId="0" fontId="70" fillId="31" borderId="164" xfId="1" applyFont="1" applyFill="1" applyBorder="1" applyAlignment="1">
      <alignment horizontal="center"/>
    </xf>
    <xf numFmtId="0" fontId="70" fillId="31" borderId="163" xfId="1" applyFont="1" applyFill="1" applyBorder="1" applyAlignment="1">
      <alignment horizontal="center"/>
    </xf>
    <xf numFmtId="0" fontId="70" fillId="32" borderId="162" xfId="1" applyFont="1" applyFill="1" applyBorder="1"/>
    <xf numFmtId="0" fontId="70" fillId="32" borderId="161" xfId="1" applyFont="1" applyFill="1" applyBorder="1" applyAlignment="1">
      <alignment horizontal="center"/>
    </xf>
    <xf numFmtId="0" fontId="70" fillId="32" borderId="158" xfId="1" applyFont="1" applyFill="1" applyBorder="1"/>
    <xf numFmtId="0" fontId="70" fillId="32" borderId="159" xfId="1" applyFont="1" applyFill="1" applyBorder="1" applyAlignment="1">
      <alignment horizontal="center"/>
    </xf>
    <xf numFmtId="0" fontId="70" fillId="32" borderId="158" xfId="1" applyFont="1" applyFill="1" applyBorder="1" applyAlignment="1">
      <alignment horizontal="center"/>
    </xf>
    <xf numFmtId="0" fontId="69" fillId="0" borderId="172" xfId="1" applyFont="1" applyBorder="1"/>
    <xf numFmtId="166" fontId="69" fillId="0" borderId="170" xfId="1" applyNumberFormat="1" applyFont="1" applyBorder="1" applyAlignment="1">
      <alignment horizontal="right"/>
    </xf>
    <xf numFmtId="166" fontId="69" fillId="0" borderId="169" xfId="1" applyNumberFormat="1" applyFont="1" applyBorder="1" applyAlignment="1">
      <alignment horizontal="right"/>
    </xf>
    <xf numFmtId="166" fontId="69" fillId="0" borderId="154" xfId="1" applyNumberFormat="1" applyFont="1" applyBorder="1" applyAlignment="1">
      <alignment horizontal="right"/>
    </xf>
    <xf numFmtId="0" fontId="70" fillId="27" borderId="162" xfId="1" applyFont="1" applyFill="1" applyBorder="1" applyAlignment="1">
      <alignment horizontal="left"/>
    </xf>
    <xf numFmtId="0" fontId="70" fillId="27" borderId="161" xfId="1" applyFont="1" applyFill="1" applyBorder="1" applyAlignment="1">
      <alignment horizontal="center"/>
    </xf>
    <xf numFmtId="0" fontId="70" fillId="27" borderId="160" xfId="1" applyFont="1" applyFill="1" applyBorder="1" applyAlignment="1">
      <alignment horizontal="left"/>
    </xf>
    <xf numFmtId="0" fontId="70" fillId="27" borderId="159" xfId="1" applyFont="1" applyFill="1" applyBorder="1" applyAlignment="1">
      <alignment horizontal="center"/>
    </xf>
    <xf numFmtId="0" fontId="70" fillId="27" borderId="158" xfId="1" applyFont="1" applyFill="1" applyBorder="1" applyAlignment="1">
      <alignment horizontal="center"/>
    </xf>
    <xf numFmtId="0" fontId="69" fillId="0" borderId="17" xfId="1" applyFont="1" applyBorder="1"/>
    <xf numFmtId="0" fontId="70" fillId="32" borderId="16" xfId="1" applyFont="1" applyFill="1" applyBorder="1"/>
    <xf numFmtId="0" fontId="70" fillId="32" borderId="16" xfId="1" applyFont="1" applyFill="1" applyBorder="1" applyAlignment="1">
      <alignment horizontal="center"/>
    </xf>
    <xf numFmtId="0" fontId="70" fillId="27" borderId="157" xfId="1" applyFont="1" applyFill="1" applyBorder="1" applyAlignment="1">
      <alignment horizontal="left"/>
    </xf>
    <xf numFmtId="14" fontId="57" fillId="19" borderId="16" xfId="1" applyNumberFormat="1" applyFont="1" applyFill="1" applyBorder="1" applyAlignment="1">
      <alignment horizontal="center"/>
    </xf>
    <xf numFmtId="14" fontId="57" fillId="19" borderId="16" xfId="1" quotePrefix="1" applyNumberFormat="1" applyFont="1" applyFill="1" applyBorder="1" applyAlignment="1">
      <alignment horizontal="center"/>
    </xf>
    <xf numFmtId="173" fontId="57" fillId="0" borderId="16" xfId="1" applyNumberFormat="1" applyFont="1" applyBorder="1" applyAlignment="1">
      <alignment horizontal="center"/>
    </xf>
    <xf numFmtId="173" fontId="78" fillId="0" borderId="16" xfId="1" applyNumberFormat="1" applyFont="1" applyBorder="1" applyAlignment="1">
      <alignment horizontal="center"/>
    </xf>
    <xf numFmtId="166" fontId="78" fillId="0" borderId="16" xfId="1" applyNumberFormat="1" applyFont="1" applyBorder="1" applyAlignment="1">
      <alignment horizontal="center"/>
    </xf>
    <xf numFmtId="166" fontId="57" fillId="0" borderId="16" xfId="1" applyNumberFormat="1" applyFont="1" applyBorder="1" applyAlignment="1">
      <alignment horizontal="center"/>
    </xf>
    <xf numFmtId="169" fontId="78" fillId="0" borderId="16" xfId="1" applyNumberFormat="1" applyFont="1" applyBorder="1" applyAlignment="1">
      <alignment horizontal="center"/>
    </xf>
    <xf numFmtId="0" fontId="37" fillId="0" borderId="16" xfId="1" applyFont="1" applyBorder="1"/>
    <xf numFmtId="166" fontId="37" fillId="0" borderId="16" xfId="1" applyNumberFormat="1" applyFont="1" applyBorder="1"/>
    <xf numFmtId="166" fontId="69" fillId="0" borderId="16" xfId="1" applyNumberFormat="1" applyFont="1" applyBorder="1"/>
    <xf numFmtId="0" fontId="57" fillId="0" borderId="16" xfId="1" applyFont="1" applyBorder="1"/>
    <xf numFmtId="174" fontId="57" fillId="0" borderId="16" xfId="1" applyNumberFormat="1" applyFont="1" applyBorder="1"/>
    <xf numFmtId="14" fontId="57" fillId="19" borderId="19" xfId="1" applyNumberFormat="1" applyFont="1" applyFill="1" applyBorder="1" applyAlignment="1">
      <alignment horizontal="center"/>
    </xf>
    <xf numFmtId="173" fontId="57" fillId="0" borderId="19" xfId="1" applyNumberFormat="1" applyFont="1" applyBorder="1" applyAlignment="1">
      <alignment horizontal="center"/>
    </xf>
    <xf numFmtId="173" fontId="78" fillId="0" borderId="19" xfId="1" applyNumberFormat="1" applyFont="1" applyBorder="1" applyAlignment="1">
      <alignment horizontal="center"/>
    </xf>
    <xf numFmtId="0" fontId="50" fillId="14" borderId="64" xfId="2" applyFont="1" applyFill="1" applyBorder="1"/>
    <xf numFmtId="0" fontId="49" fillId="0" borderId="64" xfId="2" applyFont="1" applyBorder="1" applyAlignment="1">
      <alignment horizontal="center"/>
    </xf>
    <xf numFmtId="0" fontId="46" fillId="13" borderId="65" xfId="1" applyFont="1" applyFill="1" applyBorder="1" applyAlignment="1">
      <alignment horizontal="center" wrapText="1"/>
    </xf>
    <xf numFmtId="0" fontId="46" fillId="13" borderId="66" xfId="1" applyFont="1" applyFill="1" applyBorder="1" applyAlignment="1">
      <alignment horizontal="center" wrapText="1"/>
    </xf>
    <xf numFmtId="0" fontId="46" fillId="13" borderId="67" xfId="1" applyFont="1" applyFill="1" applyBorder="1" applyAlignment="1">
      <alignment horizontal="center" wrapText="1"/>
    </xf>
    <xf numFmtId="0" fontId="52" fillId="13" borderId="65" xfId="1" applyFont="1" applyFill="1" applyBorder="1" applyAlignment="1">
      <alignment horizontal="center" wrapText="1"/>
    </xf>
    <xf numFmtId="0" fontId="52" fillId="13" borderId="66" xfId="1" applyFont="1" applyFill="1" applyBorder="1" applyAlignment="1">
      <alignment horizontal="center" wrapText="1"/>
    </xf>
    <xf numFmtId="0" fontId="52" fillId="13" borderId="67" xfId="1" applyFont="1" applyFill="1" applyBorder="1" applyAlignment="1">
      <alignment horizontal="center" wrapText="1"/>
    </xf>
    <xf numFmtId="166" fontId="66" fillId="19" borderId="90" xfId="0" applyNumberFormat="1" applyFont="1" applyFill="1" applyBorder="1" applyAlignment="1">
      <alignment horizontal="center"/>
    </xf>
    <xf numFmtId="166" fontId="66" fillId="19" borderId="91" xfId="0" applyNumberFormat="1" applyFont="1" applyFill="1" applyBorder="1" applyAlignment="1">
      <alignment horizontal="center"/>
    </xf>
    <xf numFmtId="166" fontId="66" fillId="19" borderId="92" xfId="0" applyNumberFormat="1" applyFont="1" applyFill="1" applyBorder="1" applyAlignment="1">
      <alignment horizontal="center"/>
    </xf>
    <xf numFmtId="166" fontId="66" fillId="19" borderId="93" xfId="0" applyNumberFormat="1" applyFont="1" applyFill="1" applyBorder="1" applyAlignment="1">
      <alignment horizontal="center"/>
    </xf>
    <xf numFmtId="166" fontId="66" fillId="19" borderId="74" xfId="0" applyNumberFormat="1" applyFont="1" applyFill="1" applyBorder="1" applyAlignment="1">
      <alignment horizontal="center"/>
    </xf>
    <xf numFmtId="166" fontId="66" fillId="19" borderId="94" xfId="0" applyNumberFormat="1" applyFont="1" applyFill="1" applyBorder="1" applyAlignment="1">
      <alignment horizontal="center"/>
    </xf>
    <xf numFmtId="166" fontId="0" fillId="0" borderId="96" xfId="0" applyNumberFormat="1" applyBorder="1" applyAlignment="1">
      <alignment horizontal="center" vertical="center"/>
    </xf>
    <xf numFmtId="166" fontId="0" fillId="0" borderId="113" xfId="0" applyNumberFormat="1" applyBorder="1" applyAlignment="1">
      <alignment horizontal="center" vertical="center"/>
    </xf>
    <xf numFmtId="0" fontId="41" fillId="0" borderId="85" xfId="0" applyFont="1" applyBorder="1" applyAlignment="1">
      <alignment horizontal="center"/>
    </xf>
    <xf numFmtId="0" fontId="41" fillId="0" borderId="23" xfId="0" applyFont="1" applyBorder="1" applyAlignment="1">
      <alignment horizontal="center"/>
    </xf>
    <xf numFmtId="0" fontId="41" fillId="0" borderId="86" xfId="0" applyFont="1" applyBorder="1" applyAlignment="1">
      <alignment horizontal="center"/>
    </xf>
    <xf numFmtId="166" fontId="0" fillId="0" borderId="86" xfId="0" applyNumberFormat="1" applyBorder="1" applyAlignment="1">
      <alignment horizontal="center" vertical="center"/>
    </xf>
    <xf numFmtId="0" fontId="41" fillId="0" borderId="91" xfId="0" applyFont="1" applyBorder="1" applyAlignment="1">
      <alignment horizontal="center" vertical="top"/>
    </xf>
    <xf numFmtId="0" fontId="41" fillId="0" borderId="23" xfId="0" applyFont="1" applyBorder="1" applyAlignment="1">
      <alignment horizontal="center" vertical="top"/>
    </xf>
    <xf numFmtId="0" fontId="0" fillId="0" borderId="23" xfId="0" applyBorder="1" applyAlignment="1">
      <alignment horizontal="center"/>
    </xf>
    <xf numFmtId="0" fontId="0" fillId="0" borderId="85" xfId="0" applyBorder="1" applyAlignment="1">
      <alignment horizontal="center"/>
    </xf>
    <xf numFmtId="0" fontId="0" fillId="0" borderId="86" xfId="0" applyBorder="1" applyAlignment="1">
      <alignment horizontal="center"/>
    </xf>
    <xf numFmtId="0" fontId="41" fillId="0" borderId="91" xfId="0" applyFont="1" applyBorder="1" applyAlignment="1">
      <alignment horizontal="center"/>
    </xf>
    <xf numFmtId="0" fontId="0" fillId="0" borderId="91" xfId="0" applyBorder="1" applyAlignment="1">
      <alignment horizontal="center"/>
    </xf>
    <xf numFmtId="0" fontId="0" fillId="0" borderId="105" xfId="0" applyBorder="1" applyAlignment="1">
      <alignment horizontal="center"/>
    </xf>
    <xf numFmtId="166" fontId="0" fillId="0" borderId="105" xfId="0" applyNumberFormat="1" applyBorder="1" applyAlignment="1">
      <alignment horizontal="center" vertical="center"/>
    </xf>
    <xf numFmtId="166" fontId="0" fillId="0" borderId="106" xfId="0" applyNumberFormat="1" applyBorder="1" applyAlignment="1">
      <alignment horizontal="center" vertical="center"/>
    </xf>
    <xf numFmtId="166" fontId="0" fillId="0" borderId="118" xfId="0" applyNumberFormat="1" applyBorder="1" applyAlignment="1">
      <alignment horizontal="center" vertical="center"/>
    </xf>
    <xf numFmtId="166" fontId="0" fillId="0" borderId="102" xfId="0" applyNumberFormat="1" applyBorder="1" applyAlignment="1">
      <alignment horizontal="center" vertical="center"/>
    </xf>
    <xf numFmtId="166" fontId="0" fillId="0" borderId="116" xfId="0" applyNumberFormat="1" applyBorder="1" applyAlignment="1">
      <alignment horizontal="center" vertical="center"/>
    </xf>
    <xf numFmtId="0" fontId="41" fillId="0" borderId="109" xfId="0" applyFont="1" applyBorder="1" applyAlignment="1">
      <alignment horizontal="center"/>
    </xf>
    <xf numFmtId="0" fontId="41" fillId="0" borderId="74" xfId="0" applyFont="1" applyBorder="1" applyAlignment="1">
      <alignment horizontal="center" vertical="top"/>
    </xf>
    <xf numFmtId="0" fontId="41" fillId="0" borderId="105" xfId="0" applyFont="1" applyBorder="1" applyAlignment="1">
      <alignment horizontal="center"/>
    </xf>
    <xf numFmtId="0" fontId="0" fillId="0" borderId="108" xfId="0" applyBorder="1" applyAlignment="1">
      <alignment horizontal="center"/>
    </xf>
    <xf numFmtId="0" fontId="0" fillId="0" borderId="74" xfId="0" applyBorder="1" applyAlignment="1">
      <alignment horizontal="center"/>
    </xf>
    <xf numFmtId="0" fontId="0" fillId="0" borderId="101" xfId="0" applyBorder="1" applyAlignment="1">
      <alignment horizontal="center"/>
    </xf>
    <xf numFmtId="166" fontId="0" fillId="0" borderId="101" xfId="0" applyNumberFormat="1" applyBorder="1" applyAlignment="1">
      <alignment horizontal="center" vertical="center"/>
    </xf>
    <xf numFmtId="0" fontId="0" fillId="0" borderId="119" xfId="0" applyBorder="1" applyAlignment="1">
      <alignment horizontal="center"/>
    </xf>
    <xf numFmtId="166" fontId="0" fillId="0" borderId="85" xfId="0" applyNumberFormat="1" applyBorder="1" applyAlignment="1">
      <alignment horizontal="center" vertical="center"/>
    </xf>
    <xf numFmtId="166" fontId="0" fillId="0" borderId="119" xfId="0" applyNumberFormat="1" applyBorder="1" applyAlignment="1">
      <alignment horizontal="center" vertical="center"/>
    </xf>
    <xf numFmtId="0" fontId="41" fillId="0" borderId="109" xfId="0" applyFont="1" applyBorder="1" applyAlignment="1">
      <alignment horizontal="center" vertical="top"/>
    </xf>
    <xf numFmtId="0" fontId="0" fillId="0" borderId="91" xfId="0" applyBorder="1" applyAlignment="1">
      <alignment horizontal="center" vertical="top"/>
    </xf>
    <xf numFmtId="0" fontId="0" fillId="0" borderId="108" xfId="0" applyBorder="1" applyAlignment="1">
      <alignment horizontal="center" vertical="top"/>
    </xf>
    <xf numFmtId="0" fontId="0" fillId="0" borderId="74" xfId="0" applyBorder="1" applyAlignment="1">
      <alignment horizontal="center" vertical="top"/>
    </xf>
    <xf numFmtId="0" fontId="0" fillId="0" borderId="109" xfId="0" applyBorder="1" applyAlignment="1">
      <alignment horizontal="center"/>
    </xf>
    <xf numFmtId="0" fontId="0" fillId="0" borderId="101" xfId="0" applyBorder="1" applyAlignment="1">
      <alignment horizontal="center" vertical="top"/>
    </xf>
    <xf numFmtId="0" fontId="13" fillId="2" borderId="91" xfId="0" applyFont="1" applyFill="1" applyBorder="1" applyAlignment="1">
      <alignment horizontal="center" vertical="center"/>
    </xf>
    <xf numFmtId="0" fontId="13" fillId="2" borderId="105" xfId="0" applyFont="1" applyFill="1" applyBorder="1" applyAlignment="1">
      <alignment horizontal="center" vertical="center"/>
    </xf>
    <xf numFmtId="0" fontId="13" fillId="2" borderId="74" xfId="0" applyFont="1" applyFill="1" applyBorder="1" applyAlignment="1">
      <alignment horizontal="center" vertical="center"/>
    </xf>
    <xf numFmtId="0" fontId="13" fillId="2" borderId="101" xfId="0" applyFont="1" applyFill="1" applyBorder="1" applyAlignment="1">
      <alignment horizontal="center" vertical="center"/>
    </xf>
    <xf numFmtId="0" fontId="68" fillId="19" borderId="83" xfId="0" applyFont="1" applyFill="1" applyBorder="1" applyAlignment="1">
      <alignment horizontal="center" vertical="center"/>
    </xf>
    <xf numFmtId="0" fontId="68" fillId="19" borderId="98" xfId="0" applyFont="1" applyFill="1" applyBorder="1" applyAlignment="1">
      <alignment horizontal="center" vertical="center"/>
    </xf>
    <xf numFmtId="0" fontId="68" fillId="19" borderId="84" xfId="0" applyFont="1" applyFill="1" applyBorder="1" applyAlignment="1">
      <alignment horizontal="center" vertical="center"/>
    </xf>
    <xf numFmtId="0" fontId="68" fillId="19" borderId="85" xfId="0" applyFont="1" applyFill="1" applyBorder="1" applyAlignment="1">
      <alignment horizontal="center" vertical="center"/>
    </xf>
    <xf numFmtId="0" fontId="68" fillId="19" borderId="23" xfId="0" applyFont="1" applyFill="1" applyBorder="1" applyAlignment="1">
      <alignment horizontal="center" vertical="center"/>
    </xf>
    <xf numFmtId="0" fontId="68" fillId="19" borderId="86" xfId="0" applyFont="1" applyFill="1" applyBorder="1" applyAlignment="1">
      <alignment horizontal="center" vertical="center"/>
    </xf>
    <xf numFmtId="0" fontId="68" fillId="19" borderId="88" xfId="0" applyFont="1" applyFill="1" applyBorder="1" applyAlignment="1">
      <alignment horizontal="center" vertical="center"/>
    </xf>
    <xf numFmtId="0" fontId="68" fillId="19" borderId="82" xfId="0" applyFont="1" applyFill="1" applyBorder="1" applyAlignment="1">
      <alignment horizontal="center" vertical="center"/>
    </xf>
    <xf numFmtId="0" fontId="68" fillId="19" borderId="89" xfId="0" applyFont="1" applyFill="1" applyBorder="1" applyAlignment="1">
      <alignment horizontal="center" vertical="center"/>
    </xf>
    <xf numFmtId="0" fontId="13" fillId="17" borderId="109" xfId="0" applyFont="1" applyFill="1" applyBorder="1" applyAlignment="1">
      <alignment horizontal="center" vertical="center"/>
    </xf>
    <xf numFmtId="0" fontId="13" fillId="17" borderId="105" xfId="0" applyFont="1" applyFill="1" applyBorder="1" applyAlignment="1">
      <alignment horizontal="center" vertical="center"/>
    </xf>
    <xf numFmtId="0" fontId="13" fillId="17" borderId="108" xfId="0" applyFont="1" applyFill="1" applyBorder="1" applyAlignment="1">
      <alignment horizontal="center" vertical="center"/>
    </xf>
    <xf numFmtId="0" fontId="13" fillId="17" borderId="101" xfId="0" applyFont="1" applyFill="1" applyBorder="1" applyAlignment="1">
      <alignment horizontal="center" vertical="center"/>
    </xf>
    <xf numFmtId="0" fontId="13" fillId="17" borderId="92" xfId="0" applyFont="1" applyFill="1" applyBorder="1" applyAlignment="1">
      <alignment horizontal="center" vertical="center"/>
    </xf>
    <xf numFmtId="0" fontId="13" fillId="17" borderId="94" xfId="0" applyFont="1" applyFill="1" applyBorder="1" applyAlignment="1">
      <alignment horizontal="center" vertical="center"/>
    </xf>
    <xf numFmtId="0" fontId="13" fillId="2" borderId="110" xfId="0" applyFont="1" applyFill="1" applyBorder="1" applyAlignment="1">
      <alignment horizontal="center" vertical="center"/>
    </xf>
    <xf numFmtId="0" fontId="13" fillId="2" borderId="111" xfId="0" applyFont="1" applyFill="1" applyBorder="1" applyAlignment="1">
      <alignment horizontal="center" vertical="center"/>
    </xf>
    <xf numFmtId="0" fontId="65" fillId="2" borderId="106" xfId="0" applyFont="1" applyFill="1" applyBorder="1" applyAlignment="1">
      <alignment horizontal="center" vertical="center"/>
    </xf>
    <xf numFmtId="0" fontId="65" fillId="2" borderId="102" xfId="0" applyFont="1" applyFill="1" applyBorder="1" applyAlignment="1">
      <alignment horizontal="center" vertical="center"/>
    </xf>
    <xf numFmtId="0" fontId="13" fillId="2" borderId="106" xfId="0" applyFont="1" applyFill="1" applyBorder="1" applyAlignment="1">
      <alignment horizontal="center" vertical="center"/>
    </xf>
    <xf numFmtId="0" fontId="13" fillId="2" borderId="102" xfId="0" applyFont="1" applyFill="1" applyBorder="1" applyAlignment="1">
      <alignment horizontal="center" vertical="center"/>
    </xf>
    <xf numFmtId="0" fontId="13" fillId="2" borderId="109" xfId="0" applyFont="1" applyFill="1" applyBorder="1" applyAlignment="1">
      <alignment horizontal="center" vertical="center"/>
    </xf>
    <xf numFmtId="0" fontId="13" fillId="2" borderId="108" xfId="0" applyFont="1" applyFill="1" applyBorder="1" applyAlignment="1">
      <alignment horizontal="center" vertical="center"/>
    </xf>
    <xf numFmtId="0" fontId="7" fillId="0" borderId="91" xfId="0" applyFont="1" applyBorder="1" applyAlignment="1">
      <alignment horizontal="center"/>
    </xf>
    <xf numFmtId="0" fontId="7" fillId="0" borderId="105" xfId="0" applyFont="1" applyBorder="1" applyAlignment="1">
      <alignment horizontal="center"/>
    </xf>
    <xf numFmtId="166" fontId="41" fillId="0" borderId="105" xfId="0" applyNumberFormat="1" applyFont="1" applyBorder="1" applyAlignment="1">
      <alignment horizontal="center" vertical="center"/>
    </xf>
    <xf numFmtId="166" fontId="41" fillId="0" borderId="106" xfId="0" applyNumberFormat="1" applyFont="1" applyBorder="1" applyAlignment="1">
      <alignment horizontal="center" vertical="center"/>
    </xf>
    <xf numFmtId="0" fontId="7" fillId="0" borderId="109" xfId="0" applyFont="1" applyBorder="1" applyAlignment="1">
      <alignment horizontal="center"/>
    </xf>
    <xf numFmtId="166" fontId="0" fillId="0" borderId="85" xfId="0" applyNumberFormat="1" applyBorder="1" applyAlignment="1">
      <alignment horizontal="center"/>
    </xf>
    <xf numFmtId="166" fontId="0" fillId="0" borderId="119" xfId="0" applyNumberFormat="1" applyBorder="1" applyAlignment="1">
      <alignment horizontal="center"/>
    </xf>
    <xf numFmtId="0" fontId="0" fillId="0" borderId="85" xfId="0" applyBorder="1" applyAlignment="1">
      <alignment horizontal="center" vertical="top"/>
    </xf>
    <xf numFmtId="0" fontId="0" fillId="0" borderId="23" xfId="0" applyBorder="1" applyAlignment="1">
      <alignment horizontal="center" vertical="top"/>
    </xf>
    <xf numFmtId="166" fontId="0" fillId="0" borderId="23" xfId="0" applyNumberFormat="1" applyBorder="1" applyAlignment="1">
      <alignment horizontal="center" vertical="center"/>
    </xf>
    <xf numFmtId="166" fontId="0" fillId="0" borderId="91" xfId="0" applyNumberFormat="1" applyBorder="1" applyAlignment="1">
      <alignment horizontal="center" vertical="center"/>
    </xf>
    <xf numFmtId="166" fontId="0" fillId="0" borderId="109" xfId="0" applyNumberFormat="1" applyBorder="1" applyAlignment="1">
      <alignment horizontal="center" vertical="center"/>
    </xf>
    <xf numFmtId="166" fontId="0" fillId="0" borderId="92" xfId="0" applyNumberFormat="1" applyBorder="1" applyAlignment="1">
      <alignment horizontal="center" vertical="center"/>
    </xf>
    <xf numFmtId="166" fontId="0" fillId="0" borderId="74" xfId="0" applyNumberFormat="1" applyBorder="1" applyAlignment="1">
      <alignment horizontal="center" vertical="center"/>
    </xf>
    <xf numFmtId="166" fontId="0" fillId="0" borderId="108" xfId="0" applyNumberFormat="1" applyBorder="1" applyAlignment="1">
      <alignment horizontal="center" vertical="center"/>
    </xf>
    <xf numFmtId="166" fontId="0" fillId="0" borderId="94" xfId="0" applyNumberFormat="1" applyBorder="1" applyAlignment="1">
      <alignment horizontal="center" vertical="center"/>
    </xf>
    <xf numFmtId="0" fontId="0" fillId="0" borderId="109" xfId="0" applyBorder="1" applyAlignment="1">
      <alignment horizontal="center" vertical="top"/>
    </xf>
    <xf numFmtId="0" fontId="56" fillId="27" borderId="16" xfId="0" applyFont="1" applyFill="1" applyBorder="1" applyAlignment="1">
      <alignment horizontal="center" vertical="center"/>
    </xf>
    <xf numFmtId="0" fontId="56" fillId="27" borderId="7" xfId="0" applyFont="1" applyFill="1" applyBorder="1" applyAlignment="1">
      <alignment horizontal="center"/>
    </xf>
    <xf numFmtId="0" fontId="56" fillId="27" borderId="8" xfId="0" applyFont="1" applyFill="1" applyBorder="1" applyAlignment="1">
      <alignment horizontal="center"/>
    </xf>
    <xf numFmtId="0" fontId="45" fillId="0" borderId="18" xfId="0" applyFont="1" applyBorder="1" applyAlignment="1">
      <alignment horizontal="center"/>
    </xf>
    <xf numFmtId="0" fontId="45" fillId="0" borderId="17" xfId="0" applyFont="1" applyBorder="1" applyAlignment="1">
      <alignment horizontal="center"/>
    </xf>
    <xf numFmtId="0" fontId="45" fillId="0" borderId="19" xfId="0" applyFont="1" applyBorder="1" applyAlignment="1">
      <alignment horizontal="center"/>
    </xf>
    <xf numFmtId="0" fontId="56" fillId="27" borderId="64" xfId="0" applyFont="1" applyFill="1" applyBorder="1" applyAlignment="1">
      <alignment horizontal="center" vertical="center"/>
    </xf>
    <xf numFmtId="0" fontId="60" fillId="27" borderId="64" xfId="0" applyFont="1" applyFill="1" applyBorder="1" applyAlignment="1">
      <alignment horizontal="center" vertical="center"/>
    </xf>
    <xf numFmtId="0" fontId="45" fillId="26" borderId="64" xfId="0" applyFont="1" applyFill="1" applyBorder="1" applyAlignment="1">
      <alignment horizontal="center" vertical="center"/>
    </xf>
    <xf numFmtId="0" fontId="45" fillId="0" borderId="98" xfId="0" applyFont="1" applyBorder="1" applyAlignment="1">
      <alignment horizontal="center" vertical="top"/>
    </xf>
    <xf numFmtId="0" fontId="45" fillId="0" borderId="23" xfId="0" applyFont="1" applyBorder="1" applyAlignment="1">
      <alignment horizontal="center" vertical="top"/>
    </xf>
    <xf numFmtId="0" fontId="45" fillId="0" borderId="82" xfId="0" applyFont="1" applyBorder="1" applyAlignment="1">
      <alignment horizontal="center" vertical="top"/>
    </xf>
    <xf numFmtId="0" fontId="56" fillId="0" borderId="23" xfId="0" applyFont="1" applyBorder="1" applyAlignment="1">
      <alignment horizontal="center" vertical="center" wrapText="1"/>
    </xf>
    <xf numFmtId="0" fontId="56" fillId="27" borderId="124" xfId="0" applyFont="1" applyFill="1" applyBorder="1" applyAlignment="1">
      <alignment horizontal="center" vertical="center"/>
    </xf>
    <xf numFmtId="0" fontId="56" fillId="27" borderId="16" xfId="1" applyFont="1" applyFill="1" applyBorder="1" applyAlignment="1">
      <alignment horizontal="center" vertical="center"/>
    </xf>
    <xf numFmtId="0" fontId="2" fillId="0" borderId="15" xfId="1" applyFont="1" applyBorder="1" applyAlignment="1">
      <alignment horizontal="left" vertical="top"/>
    </xf>
    <xf numFmtId="0" fontId="2" fillId="0" borderId="14" xfId="1" applyFont="1" applyBorder="1" applyAlignment="1">
      <alignment horizontal="left" vertical="top"/>
    </xf>
    <xf numFmtId="0" fontId="2" fillId="0" borderId="22" xfId="1" applyFont="1" applyBorder="1" applyAlignment="1">
      <alignment horizontal="left" vertical="top"/>
    </xf>
    <xf numFmtId="0" fontId="2" fillId="0" borderId="29" xfId="1" applyFont="1" applyBorder="1" applyAlignment="1">
      <alignment horizontal="center" vertical="top"/>
    </xf>
    <xf numFmtId="0" fontId="2" fillId="0" borderId="23" xfId="1" applyFont="1" applyAlignment="1">
      <alignment horizontal="center" vertical="top"/>
    </xf>
    <xf numFmtId="0" fontId="2" fillId="0" borderId="11" xfId="1" applyFont="1" applyBorder="1" applyAlignment="1">
      <alignment horizontal="center" vertical="top"/>
    </xf>
    <xf numFmtId="0" fontId="69" fillId="0" borderId="18" xfId="1" applyFont="1" applyBorder="1" applyAlignment="1">
      <alignment horizontal="center" vertical="top"/>
    </xf>
    <xf numFmtId="0" fontId="69" fillId="0" borderId="17" xfId="1" applyFont="1" applyBorder="1" applyAlignment="1">
      <alignment horizontal="center" vertical="top"/>
    </xf>
    <xf numFmtId="0" fontId="69" fillId="0" borderId="19" xfId="1" applyFont="1" applyBorder="1" applyAlignment="1">
      <alignment horizontal="center" vertical="top"/>
    </xf>
    <xf numFmtId="0" fontId="70" fillId="27" borderId="16" xfId="1" applyFont="1" applyFill="1" applyBorder="1" applyAlignment="1">
      <alignment horizontal="center" vertical="center"/>
    </xf>
    <xf numFmtId="166" fontId="69" fillId="25" borderId="13" xfId="0" applyNumberFormat="1" applyFont="1" applyFill="1" applyBorder="1" applyAlignment="1">
      <alignment horizontal="center"/>
    </xf>
    <xf numFmtId="166" fontId="69" fillId="25" borderId="23" xfId="0" applyNumberFormat="1" applyFont="1" applyFill="1" applyBorder="1" applyAlignment="1">
      <alignment horizontal="center"/>
    </xf>
    <xf numFmtId="10" fontId="69" fillId="25" borderId="13" xfId="0" applyNumberFormat="1" applyFont="1" applyFill="1" applyBorder="1" applyAlignment="1">
      <alignment horizontal="center"/>
    </xf>
    <xf numFmtId="10" fontId="69" fillId="25" borderId="23" xfId="0" applyNumberFormat="1" applyFont="1" applyFill="1" applyBorder="1" applyAlignment="1">
      <alignment horizontal="center"/>
    </xf>
    <xf numFmtId="0" fontId="72" fillId="21" borderId="7" xfId="0" applyFont="1" applyFill="1" applyBorder="1" applyAlignment="1">
      <alignment horizontal="center"/>
    </xf>
    <xf numFmtId="0" fontId="72" fillId="21" borderId="45" xfId="0" applyFont="1" applyFill="1" applyBorder="1" applyAlignment="1">
      <alignment horizontal="center"/>
    </xf>
    <xf numFmtId="0" fontId="72" fillId="21" borderId="8" xfId="0" applyFont="1" applyFill="1" applyBorder="1" applyAlignment="1">
      <alignment horizontal="center"/>
    </xf>
    <xf numFmtId="0" fontId="64" fillId="21" borderId="7" xfId="1" applyFont="1" applyFill="1" applyBorder="1" applyAlignment="1">
      <alignment horizontal="center"/>
    </xf>
    <xf numFmtId="0" fontId="64" fillId="21" borderId="45" xfId="1" applyFont="1" applyFill="1" applyBorder="1" applyAlignment="1">
      <alignment horizontal="center"/>
    </xf>
    <xf numFmtId="0" fontId="64" fillId="21" borderId="8" xfId="1" applyFont="1" applyFill="1" applyBorder="1" applyAlignment="1">
      <alignment horizontal="center"/>
    </xf>
    <xf numFmtId="0" fontId="71" fillId="22" borderId="7" xfId="1" applyFont="1" applyFill="1" applyBorder="1" applyAlignment="1">
      <alignment horizontal="center"/>
    </xf>
    <xf numFmtId="0" fontId="71" fillId="22" borderId="45" xfId="1" applyFont="1" applyFill="1" applyBorder="1" applyAlignment="1">
      <alignment horizontal="center"/>
    </xf>
    <xf numFmtId="0" fontId="71" fillId="22" borderId="8" xfId="1" applyFont="1" applyFill="1" applyBorder="1" applyAlignment="1">
      <alignment horizontal="center"/>
    </xf>
    <xf numFmtId="0" fontId="72" fillId="21" borderId="7" xfId="1" applyFont="1" applyFill="1" applyBorder="1" applyAlignment="1">
      <alignment horizontal="center"/>
    </xf>
    <xf numFmtId="0" fontId="72" fillId="21" borderId="45" xfId="1" applyFont="1" applyFill="1" applyBorder="1" applyAlignment="1">
      <alignment horizontal="center"/>
    </xf>
    <xf numFmtId="0" fontId="72" fillId="21" borderId="8" xfId="1" applyFont="1" applyFill="1" applyBorder="1" applyAlignment="1">
      <alignment horizontal="center"/>
    </xf>
    <xf numFmtId="0" fontId="71" fillId="31" borderId="7" xfId="1" applyFont="1" applyFill="1" applyBorder="1" applyAlignment="1">
      <alignment horizontal="center"/>
    </xf>
    <xf numFmtId="0" fontId="71" fillId="31" borderId="45" xfId="1" applyFont="1" applyFill="1" applyBorder="1" applyAlignment="1">
      <alignment horizontal="center"/>
    </xf>
    <xf numFmtId="0" fontId="71" fillId="31" borderId="8" xfId="1" applyFont="1" applyFill="1" applyBorder="1" applyAlignment="1">
      <alignment horizontal="center"/>
    </xf>
    <xf numFmtId="0" fontId="45" fillId="0" borderId="13" xfId="1" applyBorder="1" applyAlignment="1">
      <alignment horizontal="center"/>
    </xf>
    <xf numFmtId="0" fontId="45" fillId="0" borderId="23" xfId="1" applyAlignment="1">
      <alignment horizontal="center"/>
    </xf>
    <xf numFmtId="0" fontId="56" fillId="30" borderId="12" xfId="1" applyFont="1" applyFill="1" applyBorder="1" applyAlignment="1">
      <alignment horizontal="center"/>
    </xf>
    <xf numFmtId="0" fontId="56" fillId="30" borderId="15" xfId="1" applyFont="1" applyFill="1" applyBorder="1" applyAlignment="1">
      <alignment horizontal="center"/>
    </xf>
    <xf numFmtId="0" fontId="69" fillId="30" borderId="7" xfId="1" applyFont="1" applyFill="1" applyBorder="1" applyAlignment="1">
      <alignment horizontal="center"/>
    </xf>
    <xf numFmtId="0" fontId="69" fillId="30" borderId="45" xfId="1" applyFont="1" applyFill="1" applyBorder="1" applyAlignment="1">
      <alignment horizontal="center"/>
    </xf>
    <xf numFmtId="0" fontId="69" fillId="30" borderId="8" xfId="1" applyFont="1" applyFill="1" applyBorder="1" applyAlignment="1">
      <alignment horizontal="center"/>
    </xf>
    <xf numFmtId="0" fontId="70" fillId="33" borderId="32" xfId="3" applyFont="1" applyFill="1" applyBorder="1" applyAlignment="1">
      <alignment horizontal="center"/>
    </xf>
    <xf numFmtId="0" fontId="70" fillId="33" borderId="30" xfId="3" applyFont="1" applyFill="1" applyBorder="1" applyAlignment="1">
      <alignment horizontal="center"/>
    </xf>
    <xf numFmtId="0" fontId="56" fillId="30" borderId="32" xfId="1" applyFont="1" applyFill="1" applyBorder="1" applyAlignment="1">
      <alignment horizontal="center"/>
    </xf>
    <xf numFmtId="0" fontId="56" fillId="30" borderId="31" xfId="1" applyFont="1" applyFill="1" applyBorder="1" applyAlignment="1">
      <alignment horizontal="center"/>
    </xf>
    <xf numFmtId="0" fontId="56" fillId="30" borderId="64" xfId="3" applyFont="1" applyFill="1" applyBorder="1" applyAlignment="1">
      <alignment horizontal="left"/>
    </xf>
    <xf numFmtId="0" fontId="56" fillId="30" borderId="65" xfId="3" applyFont="1" applyFill="1" applyBorder="1" applyAlignment="1">
      <alignment horizontal="left"/>
    </xf>
    <xf numFmtId="0" fontId="56" fillId="30" borderId="67" xfId="3" applyFont="1" applyFill="1" applyBorder="1" applyAlignment="1">
      <alignment horizontal="left"/>
    </xf>
    <xf numFmtId="0" fontId="39" fillId="19" borderId="65" xfId="1" applyFont="1" applyFill="1" applyBorder="1" applyAlignment="1">
      <alignment horizontal="center" vertical="center"/>
    </xf>
    <xf numFmtId="0" fontId="39" fillId="19" borderId="66" xfId="1" applyFont="1" applyFill="1" applyBorder="1" applyAlignment="1">
      <alignment horizontal="center" vertical="center"/>
    </xf>
    <xf numFmtId="0" fontId="39" fillId="19" borderId="67" xfId="1" applyFont="1" applyFill="1" applyBorder="1" applyAlignment="1">
      <alignment horizontal="center" vertical="center"/>
    </xf>
    <xf numFmtId="0" fontId="69" fillId="0" borderId="178" xfId="1" applyFont="1" applyBorder="1" applyAlignment="1">
      <alignment horizontal="center" vertical="top"/>
    </xf>
    <xf numFmtId="0" fontId="69" fillId="0" borderId="171" xfId="1" applyFont="1" applyBorder="1" applyAlignment="1">
      <alignment horizontal="center" vertical="top"/>
    </xf>
    <xf numFmtId="0" fontId="69" fillId="0" borderId="156" xfId="1" applyFont="1" applyBorder="1" applyAlignment="1">
      <alignment horizontal="center" vertical="top"/>
    </xf>
    <xf numFmtId="0" fontId="70" fillId="0" borderId="21" xfId="1" applyFont="1" applyBorder="1" applyAlignment="1">
      <alignment horizontal="center"/>
    </xf>
    <xf numFmtId="0" fontId="70" fillId="0" borderId="22" xfId="1" applyFont="1" applyBorder="1" applyAlignment="1">
      <alignment horizontal="center"/>
    </xf>
    <xf numFmtId="0" fontId="70" fillId="0" borderId="21" xfId="1" applyFont="1" applyBorder="1" applyAlignment="1">
      <alignment horizontal="center" vertical="center"/>
    </xf>
    <xf numFmtId="0" fontId="70" fillId="0" borderId="22" xfId="1" applyFont="1" applyBorder="1" applyAlignment="1">
      <alignment horizontal="center" vertical="center"/>
    </xf>
    <xf numFmtId="0" fontId="71" fillId="32" borderId="32" xfId="1" applyFont="1" applyFill="1" applyBorder="1" applyAlignment="1">
      <alignment horizontal="left"/>
    </xf>
    <xf numFmtId="0" fontId="71" fillId="32" borderId="30" xfId="1" applyFont="1" applyFill="1" applyBorder="1" applyAlignment="1">
      <alignment horizontal="left"/>
    </xf>
    <xf numFmtId="0" fontId="71" fillId="32" borderId="31" xfId="1" applyFont="1" applyFill="1" applyBorder="1" applyAlignment="1">
      <alignment horizontal="left"/>
    </xf>
    <xf numFmtId="0" fontId="70" fillId="28" borderId="168" xfId="1" applyFont="1" applyFill="1" applyBorder="1" applyAlignment="1">
      <alignment horizontal="center"/>
    </xf>
    <xf numFmtId="0" fontId="70" fillId="28" borderId="155" xfId="1" applyFont="1" applyFill="1" applyBorder="1" applyAlignment="1">
      <alignment horizontal="center"/>
    </xf>
    <xf numFmtId="0" fontId="70" fillId="31" borderId="168" xfId="1" applyFont="1" applyFill="1" applyBorder="1" applyAlignment="1">
      <alignment horizontal="center"/>
    </xf>
    <xf numFmtId="0" fontId="70" fillId="31" borderId="155" xfId="1" applyFont="1" applyFill="1" applyBorder="1" applyAlignment="1">
      <alignment horizontal="center"/>
    </xf>
    <xf numFmtId="0" fontId="70" fillId="31" borderId="176" xfId="1" applyFont="1" applyFill="1" applyBorder="1" applyAlignment="1">
      <alignment horizontal="center"/>
    </xf>
    <xf numFmtId="0" fontId="70" fillId="31" borderId="11" xfId="1" applyFont="1" applyFill="1" applyBorder="1" applyAlignment="1">
      <alignment horizontal="center"/>
    </xf>
    <xf numFmtId="0" fontId="80" fillId="27" borderId="46" xfId="1" applyFont="1" applyFill="1" applyBorder="1" applyAlignment="1">
      <alignment horizontal="center" vertical="center" wrapText="1"/>
    </xf>
    <xf numFmtId="0" fontId="80" fillId="27" borderId="27" xfId="1" applyFont="1" applyFill="1" applyBorder="1" applyAlignment="1">
      <alignment horizontal="center" vertical="center" wrapText="1"/>
    </xf>
    <xf numFmtId="0" fontId="80" fillId="27" borderId="37" xfId="1" applyFont="1" applyFill="1" applyBorder="1" applyAlignment="1">
      <alignment horizontal="center" vertical="center" wrapText="1"/>
    </xf>
    <xf numFmtId="0" fontId="80" fillId="27" borderId="41" xfId="1" applyFont="1" applyFill="1" applyBorder="1" applyAlignment="1">
      <alignment horizontal="center" vertical="center" wrapText="1"/>
    </xf>
    <xf numFmtId="0" fontId="80" fillId="27" borderId="23" xfId="1" applyFont="1" applyFill="1" applyAlignment="1">
      <alignment horizontal="center" vertical="center" wrapText="1"/>
    </xf>
    <xf numFmtId="0" fontId="80" fillId="27" borderId="6" xfId="1" applyFont="1" applyFill="1" applyBorder="1" applyAlignment="1">
      <alignment horizontal="center" vertical="center" wrapText="1"/>
    </xf>
    <xf numFmtId="0" fontId="80" fillId="27" borderId="39" xfId="1" applyFont="1" applyFill="1" applyBorder="1" applyAlignment="1">
      <alignment horizontal="center" vertical="center" wrapText="1"/>
    </xf>
    <xf numFmtId="0" fontId="80" fillId="27" borderId="28" xfId="1" applyFont="1" applyFill="1" applyBorder="1" applyAlignment="1">
      <alignment horizontal="center" vertical="center" wrapText="1"/>
    </xf>
    <xf numFmtId="0" fontId="80" fillId="27" borderId="10" xfId="1" applyFont="1" applyFill="1" applyBorder="1" applyAlignment="1">
      <alignment horizontal="center" vertical="center" wrapText="1"/>
    </xf>
    <xf numFmtId="0" fontId="80" fillId="27" borderId="46" xfId="1" applyFont="1" applyFill="1" applyBorder="1" applyAlignment="1">
      <alignment horizontal="center" vertical="top" wrapText="1"/>
    </xf>
    <xf numFmtId="0" fontId="80" fillId="27" borderId="27" xfId="1" applyFont="1" applyFill="1" applyBorder="1" applyAlignment="1">
      <alignment horizontal="center" vertical="top" wrapText="1"/>
    </xf>
    <xf numFmtId="0" fontId="80" fillId="27" borderId="37" xfId="1" applyFont="1" applyFill="1" applyBorder="1" applyAlignment="1">
      <alignment horizontal="center" vertical="top" wrapText="1"/>
    </xf>
    <xf numFmtId="0" fontId="80" fillId="27" borderId="41" xfId="1" applyFont="1" applyFill="1" applyBorder="1" applyAlignment="1">
      <alignment horizontal="center" vertical="top" wrapText="1"/>
    </xf>
    <xf numFmtId="0" fontId="80" fillId="27" borderId="23" xfId="1" applyFont="1" applyFill="1" applyAlignment="1">
      <alignment horizontal="center" vertical="top" wrapText="1"/>
    </xf>
    <xf numFmtId="0" fontId="80" fillId="27" borderId="6" xfId="1" applyFont="1" applyFill="1" applyBorder="1" applyAlignment="1">
      <alignment horizontal="center" vertical="top" wrapText="1"/>
    </xf>
    <xf numFmtId="0" fontId="80" fillId="27" borderId="39" xfId="1" applyFont="1" applyFill="1" applyBorder="1" applyAlignment="1">
      <alignment horizontal="center" vertical="top" wrapText="1"/>
    </xf>
    <xf numFmtId="0" fontId="80" fillId="27" borderId="28" xfId="1" applyFont="1" applyFill="1" applyBorder="1" applyAlignment="1">
      <alignment horizontal="center" vertical="top" wrapText="1"/>
    </xf>
    <xf numFmtId="0" fontId="80" fillId="27" borderId="10" xfId="1" applyFont="1" applyFill="1" applyBorder="1" applyAlignment="1">
      <alignment horizontal="center" vertical="top" wrapText="1"/>
    </xf>
    <xf numFmtId="0" fontId="70" fillId="27" borderId="18" xfId="3" applyFont="1" applyFill="1" applyBorder="1" applyAlignment="1">
      <alignment horizontal="center" vertical="center"/>
    </xf>
    <xf numFmtId="0" fontId="70" fillId="27" borderId="17" xfId="3" applyFont="1" applyFill="1" applyBorder="1" applyAlignment="1">
      <alignment horizontal="center" vertical="center"/>
    </xf>
    <xf numFmtId="0" fontId="70" fillId="27" borderId="19" xfId="3" applyFont="1" applyFill="1" applyBorder="1" applyAlignment="1">
      <alignment horizontal="center" vertical="center"/>
    </xf>
    <xf numFmtId="0" fontId="71" fillId="29" borderId="46" xfId="3" applyFont="1" applyFill="1" applyBorder="1" applyAlignment="1">
      <alignment horizontal="center" vertical="center" wrapText="1"/>
    </xf>
    <xf numFmtId="0" fontId="71" fillId="29" borderId="27" xfId="3" applyFont="1" applyFill="1" applyBorder="1" applyAlignment="1">
      <alignment horizontal="center" vertical="center" wrapText="1"/>
    </xf>
    <xf numFmtId="0" fontId="71" fillId="29" borderId="37" xfId="3" applyFont="1" applyFill="1" applyBorder="1" applyAlignment="1">
      <alignment horizontal="center" vertical="center" wrapText="1"/>
    </xf>
    <xf numFmtId="0" fontId="71" fillId="29" borderId="41" xfId="3" applyFont="1" applyFill="1" applyBorder="1" applyAlignment="1">
      <alignment horizontal="center" vertical="center" wrapText="1"/>
    </xf>
    <xf numFmtId="0" fontId="71" fillId="29" borderId="23" xfId="3" applyFont="1" applyFill="1" applyAlignment="1">
      <alignment horizontal="center" vertical="center" wrapText="1"/>
    </xf>
    <xf numFmtId="0" fontId="71" fillId="29" borderId="6" xfId="3" applyFont="1" applyFill="1" applyBorder="1" applyAlignment="1">
      <alignment horizontal="center" vertical="center" wrapText="1"/>
    </xf>
    <xf numFmtId="0" fontId="71" fillId="29" borderId="39" xfId="3" applyFont="1" applyFill="1" applyBorder="1" applyAlignment="1">
      <alignment horizontal="center" vertical="center" wrapText="1"/>
    </xf>
    <xf numFmtId="0" fontId="71" fillId="29" borderId="28" xfId="3" applyFont="1" applyFill="1" applyBorder="1" applyAlignment="1">
      <alignment horizontal="center" vertical="center" wrapText="1"/>
    </xf>
    <xf numFmtId="0" fontId="71" fillId="29" borderId="10" xfId="3" applyFont="1" applyFill="1" applyBorder="1" applyAlignment="1">
      <alignment horizontal="center" vertical="center" wrapText="1"/>
    </xf>
    <xf numFmtId="0" fontId="70" fillId="29" borderId="18" xfId="3" applyFont="1" applyFill="1" applyBorder="1" applyAlignment="1">
      <alignment horizontal="center" vertical="center"/>
    </xf>
    <xf numFmtId="0" fontId="70" fillId="29" borderId="17" xfId="3" applyFont="1" applyFill="1" applyBorder="1" applyAlignment="1">
      <alignment horizontal="center" vertical="center"/>
    </xf>
    <xf numFmtId="0" fontId="70" fillId="29" borderId="19" xfId="3" applyFont="1" applyFill="1" applyBorder="1" applyAlignment="1">
      <alignment horizontal="center" vertical="center"/>
    </xf>
    <xf numFmtId="0" fontId="70" fillId="29" borderId="16" xfId="3" applyFont="1" applyFill="1" applyBorder="1" applyAlignment="1">
      <alignment horizontal="center" vertical="center"/>
    </xf>
    <xf numFmtId="0" fontId="85" fillId="27" borderId="46" xfId="1" applyFont="1" applyFill="1" applyBorder="1" applyAlignment="1">
      <alignment horizontal="center" vertical="center" wrapText="1"/>
    </xf>
    <xf numFmtId="0" fontId="84" fillId="27" borderId="27" xfId="1" applyFont="1" applyFill="1" applyBorder="1" applyAlignment="1">
      <alignment horizontal="center" vertical="center" wrapText="1"/>
    </xf>
    <xf numFmtId="0" fontId="84" fillId="27" borderId="37" xfId="1" applyFont="1" applyFill="1" applyBorder="1" applyAlignment="1">
      <alignment horizontal="center" vertical="center" wrapText="1"/>
    </xf>
    <xf numFmtId="0" fontId="84" fillId="27" borderId="41" xfId="1" applyFont="1" applyFill="1" applyBorder="1" applyAlignment="1">
      <alignment horizontal="center" vertical="center" wrapText="1"/>
    </xf>
    <xf numFmtId="0" fontId="84" fillId="27" borderId="23" xfId="1" applyFont="1" applyFill="1" applyAlignment="1">
      <alignment horizontal="center" vertical="center" wrapText="1"/>
    </xf>
    <xf numFmtId="0" fontId="84" fillId="27" borderId="6" xfId="1" applyFont="1" applyFill="1" applyBorder="1" applyAlignment="1">
      <alignment horizontal="center" vertical="center" wrapText="1"/>
    </xf>
    <xf numFmtId="0" fontId="84" fillId="27" borderId="39" xfId="1" applyFont="1" applyFill="1" applyBorder="1" applyAlignment="1">
      <alignment horizontal="center" vertical="center" wrapText="1"/>
    </xf>
    <xf numFmtId="0" fontId="84" fillId="27" borderId="28" xfId="1" applyFont="1" applyFill="1" applyBorder="1" applyAlignment="1">
      <alignment horizontal="center" vertical="center" wrapText="1"/>
    </xf>
    <xf numFmtId="0" fontId="84" fillId="27" borderId="10" xfId="1" applyFont="1" applyFill="1" applyBorder="1" applyAlignment="1">
      <alignment horizontal="center" vertical="center" wrapText="1"/>
    </xf>
    <xf numFmtId="0" fontId="83" fillId="27" borderId="78" xfId="1" applyFont="1" applyFill="1" applyBorder="1" applyAlignment="1">
      <alignment horizontal="center"/>
    </xf>
    <xf numFmtId="0" fontId="39" fillId="27" borderId="78" xfId="1" applyFont="1" applyFill="1" applyBorder="1" applyAlignment="1">
      <alignment horizontal="center"/>
    </xf>
    <xf numFmtId="0" fontId="39" fillId="27" borderId="174" xfId="1" applyFont="1" applyFill="1" applyBorder="1" applyAlignment="1">
      <alignment horizontal="left"/>
    </xf>
    <xf numFmtId="0" fontId="39" fillId="27" borderId="175" xfId="1" applyFont="1" applyFill="1" applyBorder="1" applyAlignment="1">
      <alignment horizontal="left"/>
    </xf>
    <xf numFmtId="0" fontId="18" fillId="10" borderId="45" xfId="0" applyFont="1" applyFill="1" applyBorder="1" applyAlignment="1">
      <alignment horizontal="right" vertical="center" wrapText="1" readingOrder="1"/>
    </xf>
    <xf numFmtId="0" fontId="17" fillId="11" borderId="7" xfId="0" applyFont="1" applyFill="1" applyBorder="1" applyAlignment="1">
      <alignment horizontal="left" vertical="center" wrapText="1" readingOrder="1"/>
    </xf>
    <xf numFmtId="0" fontId="17" fillId="11" borderId="45" xfId="0" applyFont="1" applyFill="1" applyBorder="1" applyAlignment="1">
      <alignment horizontal="left" vertical="center" wrapText="1" readingOrder="1"/>
    </xf>
    <xf numFmtId="0" fontId="17" fillId="11" borderId="8" xfId="0" applyFont="1" applyFill="1" applyBorder="1" applyAlignment="1">
      <alignment horizontal="left" vertical="center" wrapText="1" readingOrder="1"/>
    </xf>
    <xf numFmtId="0" fontId="17" fillId="9" borderId="7" xfId="0" applyFont="1" applyFill="1" applyBorder="1" applyAlignment="1">
      <alignment horizontal="left" vertical="center" wrapText="1" readingOrder="1"/>
    </xf>
    <xf numFmtId="0" fontId="17" fillId="9" borderId="45" xfId="0" applyFont="1" applyFill="1" applyBorder="1" applyAlignment="1">
      <alignment horizontal="left" vertical="center" wrapText="1" readingOrder="1"/>
    </xf>
    <xf numFmtId="0" fontId="17" fillId="9" borderId="8" xfId="0" applyFont="1" applyFill="1" applyBorder="1" applyAlignment="1">
      <alignment horizontal="left" vertical="center" wrapText="1" readingOrder="1"/>
    </xf>
    <xf numFmtId="0" fontId="18" fillId="10" borderId="46" xfId="0" applyFont="1" applyFill="1" applyBorder="1" applyAlignment="1">
      <alignment horizontal="left" vertical="center" wrapText="1" readingOrder="1"/>
    </xf>
    <xf numFmtId="0" fontId="18" fillId="10" borderId="37" xfId="0" applyFont="1" applyFill="1" applyBorder="1" applyAlignment="1">
      <alignment horizontal="left" vertical="center" wrapText="1" readingOrder="1"/>
    </xf>
    <xf numFmtId="0" fontId="21" fillId="10" borderId="41" xfId="0" applyFont="1" applyFill="1" applyBorder="1" applyAlignment="1">
      <alignment horizontal="left" vertical="center" wrapText="1" readingOrder="1"/>
    </xf>
    <xf numFmtId="0" fontId="21" fillId="10" borderId="6" xfId="0" applyFont="1" applyFill="1" applyBorder="1" applyAlignment="1">
      <alignment horizontal="left" vertical="center" wrapText="1" readingOrder="1"/>
    </xf>
    <xf numFmtId="0" fontId="21" fillId="10" borderId="41" xfId="0" applyFont="1" applyFill="1" applyBorder="1" applyAlignment="1">
      <alignment vertical="center" wrapText="1" readingOrder="1"/>
    </xf>
    <xf numFmtId="0" fontId="21" fillId="10" borderId="6" xfId="0" applyFont="1" applyFill="1" applyBorder="1" applyAlignment="1">
      <alignment vertical="center" wrapText="1" readingOrder="1"/>
    </xf>
    <xf numFmtId="0" fontId="21" fillId="10" borderId="39" xfId="0" applyFont="1" applyFill="1" applyBorder="1" applyAlignment="1">
      <alignment vertical="center" wrapText="1" readingOrder="1"/>
    </xf>
    <xf numFmtId="0" fontId="21" fillId="10" borderId="10" xfId="0" applyFont="1" applyFill="1" applyBorder="1" applyAlignment="1">
      <alignment vertical="center" wrapText="1" readingOrder="1"/>
    </xf>
    <xf numFmtId="0" fontId="18" fillId="10" borderId="46" xfId="0" applyFont="1" applyFill="1" applyBorder="1" applyAlignment="1">
      <alignment vertical="center" wrapText="1" readingOrder="1"/>
    </xf>
    <xf numFmtId="0" fontId="18" fillId="10" borderId="37" xfId="0" applyFont="1" applyFill="1" applyBorder="1" applyAlignment="1">
      <alignment vertical="center" wrapText="1" readingOrder="1"/>
    </xf>
    <xf numFmtId="0" fontId="21" fillId="9" borderId="7" xfId="0" applyFont="1" applyFill="1" applyBorder="1" applyAlignment="1">
      <alignment horizontal="left" vertical="center" wrapText="1" readingOrder="1"/>
    </xf>
    <xf numFmtId="0" fontId="21" fillId="9" borderId="8" xfId="0" applyFont="1" applyFill="1" applyBorder="1" applyAlignment="1">
      <alignment horizontal="left" vertical="center" wrapText="1" readingOrder="1"/>
    </xf>
    <xf numFmtId="0" fontId="18" fillId="12" borderId="7" xfId="0" applyFont="1" applyFill="1" applyBorder="1" applyAlignment="1">
      <alignment horizontal="left" vertical="center" wrapText="1" readingOrder="1"/>
    </xf>
    <xf numFmtId="0" fontId="18" fillId="12" borderId="45" xfId="0" applyFont="1" applyFill="1" applyBorder="1" applyAlignment="1">
      <alignment horizontal="left" vertical="center" wrapText="1" readingOrder="1"/>
    </xf>
    <xf numFmtId="0" fontId="18" fillId="12" borderId="37" xfId="0" applyFont="1" applyFill="1" applyBorder="1" applyAlignment="1">
      <alignment horizontal="left" vertical="center" wrapText="1" readingOrder="1"/>
    </xf>
    <xf numFmtId="0" fontId="18" fillId="10" borderId="27" xfId="0" applyFont="1" applyFill="1" applyBorder="1" applyAlignment="1">
      <alignment horizontal="left" vertical="center" wrapText="1" readingOrder="1"/>
    </xf>
    <xf numFmtId="0" fontId="22" fillId="10" borderId="23" xfId="0" quotePrefix="1" applyFont="1" applyFill="1" applyBorder="1" applyAlignment="1">
      <alignment horizontal="left" vertical="center" wrapText="1" readingOrder="1"/>
    </xf>
    <xf numFmtId="0" fontId="22" fillId="10" borderId="74" xfId="0" quotePrefix="1" applyFont="1" applyFill="1" applyBorder="1" applyAlignment="1">
      <alignment horizontal="left" vertical="center" wrapText="1" readingOrder="1"/>
    </xf>
    <xf numFmtId="0" fontId="18" fillId="10" borderId="41" xfId="0" applyFont="1" applyFill="1" applyBorder="1" applyAlignment="1">
      <alignment horizontal="left" vertical="center" wrapText="1" readingOrder="1"/>
    </xf>
    <xf numFmtId="0" fontId="18" fillId="10" borderId="6" xfId="0" applyFont="1" applyFill="1" applyBorder="1" applyAlignment="1">
      <alignment horizontal="left" vertical="center" wrapText="1" readingOrder="1"/>
    </xf>
    <xf numFmtId="0" fontId="22" fillId="10" borderId="41" xfId="0" applyFont="1" applyFill="1" applyBorder="1" applyAlignment="1">
      <alignment horizontal="left" vertical="center" wrapText="1" readingOrder="1"/>
    </xf>
    <xf numFmtId="0" fontId="22" fillId="10" borderId="6" xfId="0" applyFont="1" applyFill="1" applyBorder="1" applyAlignment="1">
      <alignment horizontal="left" vertical="center" wrapText="1" readingOrder="1"/>
    </xf>
    <xf numFmtId="0" fontId="22" fillId="10" borderId="39" xfId="0" applyFont="1" applyFill="1" applyBorder="1" applyAlignment="1">
      <alignment horizontal="left" vertical="center" wrapText="1" readingOrder="1"/>
    </xf>
    <xf numFmtId="0" fontId="22" fillId="10" borderId="10" xfId="0" applyFont="1" applyFill="1" applyBorder="1" applyAlignment="1">
      <alignment horizontal="left" vertical="center" wrapText="1" readingOrder="1"/>
    </xf>
    <xf numFmtId="0" fontId="22" fillId="10" borderId="72" xfId="0" applyFont="1" applyFill="1" applyBorder="1" applyAlignment="1">
      <alignment horizontal="left" vertical="center" wrapText="1" readingOrder="1"/>
    </xf>
    <xf numFmtId="0" fontId="22" fillId="10" borderId="73" xfId="0" applyFont="1" applyFill="1" applyBorder="1" applyAlignment="1">
      <alignment horizontal="left" vertical="center" wrapText="1" readingOrder="1"/>
    </xf>
    <xf numFmtId="0" fontId="18" fillId="10" borderId="39" xfId="0" applyFont="1" applyFill="1" applyBorder="1" applyAlignment="1">
      <alignment horizontal="left" vertical="center" wrapText="1" readingOrder="1"/>
    </xf>
    <xf numFmtId="0" fontId="18" fillId="10" borderId="10" xfId="0" applyFont="1" applyFill="1" applyBorder="1" applyAlignment="1">
      <alignment horizontal="left" vertical="center" wrapText="1" readingOrder="1"/>
    </xf>
    <xf numFmtId="0" fontId="21" fillId="10" borderId="46" xfId="0" applyFont="1" applyFill="1" applyBorder="1" applyAlignment="1">
      <alignment horizontal="center" vertical="center" wrapText="1" readingOrder="1"/>
    </xf>
    <xf numFmtId="0" fontId="21" fillId="10" borderId="37" xfId="0" applyFont="1" applyFill="1" applyBorder="1" applyAlignment="1">
      <alignment horizontal="center" vertical="center" wrapText="1" readingOrder="1"/>
    </xf>
    <xf numFmtId="0" fontId="25" fillId="10" borderId="39" xfId="0" applyFont="1" applyFill="1" applyBorder="1" applyAlignment="1">
      <alignment vertical="center" wrapText="1" readingOrder="1"/>
    </xf>
    <xf numFmtId="0" fontId="25" fillId="10" borderId="10" xfId="0" applyFont="1" applyFill="1" applyBorder="1" applyAlignment="1">
      <alignment vertical="center" wrapText="1" readingOrder="1"/>
    </xf>
    <xf numFmtId="0" fontId="21" fillId="10" borderId="72" xfId="0" applyFont="1" applyFill="1" applyBorder="1" applyAlignment="1">
      <alignment vertical="center" wrapText="1" readingOrder="1"/>
    </xf>
    <xf numFmtId="0" fontId="21" fillId="10" borderId="73" xfId="0" applyFont="1" applyFill="1" applyBorder="1" applyAlignment="1">
      <alignment vertical="center" wrapText="1" readingOrder="1"/>
    </xf>
    <xf numFmtId="0" fontId="18" fillId="10" borderId="8" xfId="0" applyFont="1" applyFill="1" applyBorder="1" applyAlignment="1">
      <alignment horizontal="right" vertical="center" wrapText="1" readingOrder="1"/>
    </xf>
    <xf numFmtId="0" fontId="21" fillId="10" borderId="39" xfId="0" applyFont="1" applyFill="1" applyBorder="1" applyAlignment="1">
      <alignment horizontal="left" vertical="center" wrapText="1" readingOrder="1"/>
    </xf>
    <xf numFmtId="0" fontId="21" fillId="10" borderId="10" xfId="0" applyFont="1" applyFill="1" applyBorder="1" applyAlignment="1">
      <alignment horizontal="left" vertical="center" wrapText="1" readingOrder="1"/>
    </xf>
    <xf numFmtId="0" fontId="18" fillId="12" borderId="68" xfId="0" applyFont="1" applyFill="1" applyBorder="1" applyAlignment="1">
      <alignment horizontal="left" vertical="center" wrapText="1" readingOrder="1"/>
    </xf>
    <xf numFmtId="0" fontId="18" fillId="12" borderId="69" xfId="0" applyFont="1" applyFill="1" applyBorder="1" applyAlignment="1">
      <alignment horizontal="left" vertical="center" wrapText="1" readingOrder="1"/>
    </xf>
    <xf numFmtId="0" fontId="18" fillId="12" borderId="70" xfId="0" applyFont="1" applyFill="1" applyBorder="1" applyAlignment="1">
      <alignment horizontal="left" vertical="center" wrapText="1" readingOrder="1"/>
    </xf>
    <xf numFmtId="0" fontId="26" fillId="9" borderId="7" xfId="0" applyFont="1" applyFill="1" applyBorder="1" applyAlignment="1">
      <alignment horizontal="left" vertical="center" wrapText="1" readingOrder="1"/>
    </xf>
    <xf numFmtId="0" fontId="26" fillId="9" borderId="8" xfId="0" applyFont="1" applyFill="1" applyBorder="1" applyAlignment="1">
      <alignment horizontal="left" vertical="center" wrapText="1" readingOrder="1"/>
    </xf>
    <xf numFmtId="0" fontId="21" fillId="10" borderId="46" xfId="0" applyFont="1" applyFill="1" applyBorder="1" applyAlignment="1">
      <alignment vertical="center" wrapText="1" readingOrder="1"/>
    </xf>
    <xf numFmtId="0" fontId="21" fillId="10" borderId="37" xfId="0" applyFont="1" applyFill="1" applyBorder="1" applyAlignment="1">
      <alignment vertical="center" wrapText="1" readingOrder="1"/>
    </xf>
    <xf numFmtId="0" fontId="25" fillId="10" borderId="41" xfId="0" applyFont="1" applyFill="1" applyBorder="1" applyAlignment="1">
      <alignment horizontal="left" vertical="center" wrapText="1" readingOrder="1"/>
    </xf>
    <xf numFmtId="0" fontId="25" fillId="10" borderId="6" xfId="0" applyFont="1" applyFill="1" applyBorder="1" applyAlignment="1">
      <alignment horizontal="left" vertical="center" wrapText="1" readingOrder="1"/>
    </xf>
    <xf numFmtId="0" fontId="27" fillId="0" borderId="0" xfId="0" applyFont="1" applyAlignment="1">
      <alignment horizontal="center" vertical="center"/>
    </xf>
    <xf numFmtId="0" fontId="0" fillId="0" borderId="0" xfId="0"/>
    <xf numFmtId="0" fontId="64" fillId="27" borderId="7" xfId="1" applyFont="1" applyFill="1" applyBorder="1" applyAlignment="1">
      <alignment horizontal="center"/>
    </xf>
    <xf numFmtId="0" fontId="64" fillId="27" borderId="45" xfId="1" applyFont="1" applyFill="1" applyBorder="1" applyAlignment="1">
      <alignment horizontal="center"/>
    </xf>
    <xf numFmtId="0" fontId="64" fillId="27" borderId="8" xfId="1" applyFont="1" applyFill="1" applyBorder="1" applyAlignment="1">
      <alignment horizontal="center"/>
    </xf>
    <xf numFmtId="0" fontId="73" fillId="27" borderId="19" xfId="1" applyFont="1" applyFill="1" applyBorder="1"/>
    <xf numFmtId="0" fontId="73" fillId="27" borderId="16" xfId="1" applyFont="1" applyFill="1" applyBorder="1"/>
    <xf numFmtId="0" fontId="0" fillId="0" borderId="23" xfId="0" applyFill="1" applyBorder="1"/>
    <xf numFmtId="0" fontId="41" fillId="0" borderId="14" xfId="0" applyFont="1" applyBorder="1" applyAlignment="1">
      <alignment horizontal="right"/>
    </xf>
    <xf numFmtId="0" fontId="69" fillId="0" borderId="85" xfId="1" applyFont="1" applyBorder="1"/>
    <xf numFmtId="0" fontId="45" fillId="0" borderId="23" xfId="1" applyBorder="1"/>
    <xf numFmtId="0" fontId="18" fillId="10" borderId="7" xfId="0" applyFont="1" applyFill="1" applyBorder="1" applyAlignment="1">
      <alignment horizontal="left" vertical="center" wrapText="1" readingOrder="1"/>
    </xf>
    <xf numFmtId="0" fontId="18" fillId="10" borderId="8" xfId="0" applyFont="1" applyFill="1" applyBorder="1" applyAlignment="1">
      <alignment horizontal="left" vertical="center" wrapText="1" readingOrder="1"/>
    </xf>
    <xf numFmtId="0" fontId="18" fillId="10" borderId="77" xfId="0" applyFont="1" applyFill="1" applyBorder="1" applyAlignment="1">
      <alignment horizontal="center" vertical="center" wrapText="1" readingOrder="1"/>
    </xf>
    <xf numFmtId="0" fontId="18" fillId="10" borderId="76" xfId="0" applyFont="1" applyFill="1" applyBorder="1" applyAlignment="1">
      <alignment horizontal="center" vertical="center" wrapText="1" readingOrder="1"/>
    </xf>
    <xf numFmtId="166" fontId="19" fillId="10" borderId="36" xfId="0" quotePrefix="1" applyNumberFormat="1" applyFont="1" applyFill="1" applyBorder="1" applyAlignment="1">
      <alignment horizontal="right" vertical="center"/>
    </xf>
    <xf numFmtId="166" fontId="19" fillId="10" borderId="76" xfId="0" applyNumberFormat="1" applyFont="1" applyFill="1" applyBorder="1" applyAlignment="1">
      <alignment vertical="center"/>
    </xf>
    <xf numFmtId="3" fontId="19" fillId="10" borderId="3" xfId="0" applyNumberFormat="1" applyFont="1" applyFill="1" applyBorder="1" applyAlignment="1">
      <alignment vertical="center"/>
    </xf>
    <xf numFmtId="166" fontId="19" fillId="10" borderId="2" xfId="0" applyNumberFormat="1" applyFont="1" applyFill="1" applyBorder="1" applyAlignment="1">
      <alignment vertical="center"/>
    </xf>
    <xf numFmtId="166" fontId="19" fillId="10" borderId="42" xfId="0" applyNumberFormat="1" applyFont="1" applyFill="1" applyBorder="1" applyAlignment="1">
      <alignment vertical="center"/>
    </xf>
    <xf numFmtId="166" fontId="19" fillId="10" borderId="43" xfId="0" applyNumberFormat="1" applyFont="1" applyFill="1" applyBorder="1" applyAlignment="1">
      <alignment vertical="center"/>
    </xf>
    <xf numFmtId="166" fontId="19" fillId="10" borderId="36" xfId="0" applyNumberFormat="1" applyFont="1" applyFill="1" applyBorder="1" applyAlignment="1">
      <alignment vertical="center"/>
    </xf>
    <xf numFmtId="0" fontId="5" fillId="0" borderId="8" xfId="0" applyFont="1" applyBorder="1" applyAlignment="1">
      <alignment vertical="center"/>
    </xf>
    <xf numFmtId="0" fontId="14" fillId="0" borderId="9" xfId="0" applyFont="1" applyBorder="1" applyAlignment="1">
      <alignment vertical="center"/>
    </xf>
    <xf numFmtId="0" fontId="0" fillId="0" borderId="75" xfId="0" applyBorder="1" applyAlignment="1">
      <alignment vertical="center"/>
    </xf>
    <xf numFmtId="166" fontId="19" fillId="10" borderId="77" xfId="0" applyNumberFormat="1" applyFont="1" applyFill="1" applyBorder="1" applyAlignment="1">
      <alignment vertical="center"/>
    </xf>
    <xf numFmtId="166" fontId="19" fillId="10" borderId="48" xfId="0" applyNumberFormat="1" applyFont="1" applyFill="1" applyBorder="1" applyAlignment="1">
      <alignment vertical="center"/>
    </xf>
    <xf numFmtId="0" fontId="23" fillId="10" borderId="41" xfId="0" applyFont="1" applyFill="1" applyBorder="1" applyAlignment="1">
      <alignment vertical="center" wrapText="1"/>
    </xf>
    <xf numFmtId="0" fontId="23" fillId="10" borderId="39" xfId="0" applyFont="1" applyFill="1" applyBorder="1" applyAlignment="1">
      <alignment vertical="center" wrapText="1"/>
    </xf>
    <xf numFmtId="0" fontId="18" fillId="10" borderId="39" xfId="0" applyFont="1" applyFill="1" applyBorder="1" applyAlignment="1">
      <alignment horizontal="center" vertical="center" wrapText="1" readingOrder="1"/>
    </xf>
    <xf numFmtId="166" fontId="11" fillId="0" borderId="9" xfId="0" applyNumberFormat="1" applyFont="1" applyBorder="1" applyAlignment="1">
      <alignment vertical="center"/>
    </xf>
    <xf numFmtId="0" fontId="11" fillId="10" borderId="23" xfId="0" applyFont="1" applyFill="1" applyBorder="1" applyAlignment="1">
      <alignment vertical="center"/>
    </xf>
    <xf numFmtId="4" fontId="19" fillId="10" borderId="43" xfId="0" applyNumberFormat="1" applyFont="1" applyFill="1" applyBorder="1" applyAlignment="1">
      <alignment vertical="center"/>
    </xf>
    <xf numFmtId="0" fontId="18" fillId="10" borderId="47" xfId="0" applyFont="1" applyFill="1" applyBorder="1" applyAlignment="1">
      <alignment horizontal="left" vertical="center" wrapText="1" readingOrder="1"/>
    </xf>
    <xf numFmtId="0" fontId="5" fillId="0" borderId="5" xfId="0" applyFont="1" applyBorder="1" applyAlignment="1">
      <alignment vertical="center"/>
    </xf>
    <xf numFmtId="0" fontId="5" fillId="0" borderId="48" xfId="0" applyFont="1" applyBorder="1" applyAlignment="1">
      <alignment vertical="center"/>
    </xf>
    <xf numFmtId="166" fontId="19" fillId="10" borderId="71" xfId="0" applyNumberFormat="1" applyFont="1" applyFill="1" applyBorder="1" applyAlignment="1">
      <alignment vertical="center"/>
    </xf>
    <xf numFmtId="0" fontId="11" fillId="0" borderId="0" xfId="0" applyFont="1" applyAlignment="1">
      <alignment vertical="center"/>
    </xf>
    <xf numFmtId="0" fontId="24" fillId="10" borderId="42" xfId="0" applyFont="1" applyFill="1" applyBorder="1" applyAlignment="1">
      <alignment horizontal="left" vertical="center" wrapText="1" readingOrder="1"/>
    </xf>
    <xf numFmtId="166" fontId="0" fillId="0" borderId="49" xfId="0" applyNumberFormat="1" applyBorder="1" applyAlignment="1">
      <alignment vertical="center"/>
    </xf>
    <xf numFmtId="0" fontId="24" fillId="10" borderId="43" xfId="0" applyFont="1" applyFill="1" applyBorder="1" applyAlignment="1">
      <alignment horizontal="left" vertical="center" wrapText="1" readingOrder="1"/>
    </xf>
    <xf numFmtId="0" fontId="1" fillId="0" borderId="23" xfId="1" applyFont="1"/>
    <xf numFmtId="44" fontId="3" fillId="0" borderId="23" xfId="7" applyFont="1" applyBorder="1"/>
    <xf numFmtId="0" fontId="38" fillId="0" borderId="179" xfId="0" applyFont="1" applyBorder="1"/>
    <xf numFmtId="0" fontId="87" fillId="0" borderId="87" xfId="0" applyFont="1" applyBorder="1" applyAlignment="1">
      <alignment horizontal="center" vertical="center"/>
    </xf>
    <xf numFmtId="0" fontId="29" fillId="0" borderId="53" xfId="0" applyFont="1" applyBorder="1" applyAlignment="1">
      <alignment horizontal="left" vertical="center"/>
    </xf>
    <xf numFmtId="0" fontId="29" fillId="0" borderId="56" xfId="0" applyFont="1" applyBorder="1" applyAlignment="1">
      <alignment horizontal="left" vertical="center"/>
    </xf>
    <xf numFmtId="0" fontId="29" fillId="0" borderId="41" xfId="0" applyFont="1" applyBorder="1" applyAlignment="1">
      <alignment horizontal="left" vertical="center"/>
    </xf>
    <xf numFmtId="0" fontId="0" fillId="0" borderId="41" xfId="0" applyBorder="1"/>
    <xf numFmtId="3" fontId="29" fillId="0" borderId="56" xfId="0" applyNumberFormat="1" applyFont="1" applyBorder="1" applyAlignment="1">
      <alignment horizontal="left" vertical="center"/>
    </xf>
    <xf numFmtId="4" fontId="29" fillId="0" borderId="41" xfId="0" applyNumberFormat="1" applyFont="1" applyBorder="1" applyAlignment="1">
      <alignment horizontal="left" vertical="center"/>
    </xf>
    <xf numFmtId="0" fontId="29" fillId="0" borderId="59" xfId="0" applyFont="1" applyBorder="1" applyAlignment="1">
      <alignment horizontal="left" vertical="center"/>
    </xf>
    <xf numFmtId="0" fontId="29" fillId="0" borderId="41" xfId="0" applyFont="1" applyBorder="1"/>
    <xf numFmtId="0" fontId="29" fillId="0" borderId="23" xfId="0" applyFont="1" applyBorder="1" applyAlignment="1">
      <alignment horizontal="left" vertical="center"/>
    </xf>
    <xf numFmtId="0" fontId="33" fillId="0" borderId="179" xfId="0" applyFont="1" applyBorder="1" applyAlignment="1">
      <alignment horizontal="left" vertical="center"/>
    </xf>
    <xf numFmtId="0" fontId="34" fillId="0" borderId="180" xfId="0" applyFont="1" applyBorder="1" applyAlignment="1">
      <alignment horizontal="left" vertical="center"/>
    </xf>
    <xf numFmtId="0" fontId="29" fillId="0" borderId="182" xfId="0" applyFont="1" applyBorder="1" applyAlignment="1">
      <alignment horizontal="left" vertical="center"/>
    </xf>
    <xf numFmtId="0" fontId="36" fillId="0" borderId="183" xfId="0" applyFont="1" applyBorder="1" applyAlignment="1">
      <alignment horizontal="left" vertical="center"/>
    </xf>
    <xf numFmtId="0" fontId="88" fillId="0" borderId="77" xfId="0" applyFont="1" applyBorder="1" applyAlignment="1">
      <alignment horizontal="left" vertical="center"/>
    </xf>
    <xf numFmtId="0" fontId="30" fillId="0" borderId="75" xfId="0" applyFont="1" applyBorder="1" applyAlignment="1">
      <alignment horizontal="left" vertical="center"/>
    </xf>
    <xf numFmtId="0" fontId="88" fillId="0" borderId="58" xfId="0" applyFont="1" applyBorder="1"/>
    <xf numFmtId="0" fontId="88" fillId="0" borderId="62" xfId="0" applyFont="1" applyBorder="1"/>
    <xf numFmtId="0" fontId="29" fillId="0" borderId="23" xfId="0" applyFont="1" applyBorder="1"/>
    <xf numFmtId="0" fontId="35" fillId="0" borderId="90" xfId="0" applyFont="1" applyBorder="1"/>
    <xf numFmtId="0" fontId="40" fillId="0" borderId="93" xfId="0" applyFont="1" applyBorder="1"/>
    <xf numFmtId="167" fontId="39" fillId="0" borderId="187" xfId="0" applyNumberFormat="1" applyFont="1" applyBorder="1"/>
    <xf numFmtId="167" fontId="37" fillId="0" borderId="5" xfId="0" applyNumberFormat="1" applyFont="1" applyBorder="1"/>
    <xf numFmtId="167" fontId="37" fillId="0" borderId="54" xfId="0" applyNumberFormat="1" applyFont="1" applyBorder="1"/>
    <xf numFmtId="167" fontId="37" fillId="0" borderId="57" xfId="0" applyNumberFormat="1" applyFont="1" applyBorder="1"/>
    <xf numFmtId="167" fontId="39" fillId="0" borderId="60" xfId="0" applyNumberFormat="1" applyFont="1" applyBorder="1"/>
    <xf numFmtId="167" fontId="37" fillId="0" borderId="37" xfId="0" applyNumberFormat="1" applyFont="1" applyBorder="1"/>
    <xf numFmtId="167" fontId="37" fillId="0" borderId="49" xfId="0" applyNumberFormat="1" applyFont="1" applyBorder="1"/>
    <xf numFmtId="167" fontId="39" fillId="0" borderId="9" xfId="0" applyNumberFormat="1" applyFont="1" applyBorder="1"/>
    <xf numFmtId="167" fontId="0" fillId="0" borderId="0" xfId="0" applyNumberFormat="1"/>
    <xf numFmtId="167" fontId="39" fillId="0" borderId="5" xfId="0" applyNumberFormat="1" applyFont="1" applyBorder="1"/>
    <xf numFmtId="167" fontId="37" fillId="0" borderId="26" xfId="0" applyNumberFormat="1" applyFont="1" applyBorder="1"/>
    <xf numFmtId="167" fontId="39" fillId="0" borderId="4" xfId="0" applyNumberFormat="1" applyFont="1" applyBorder="1"/>
    <xf numFmtId="167" fontId="37" fillId="0" borderId="59" xfId="0" applyNumberFormat="1" applyFont="1" applyBorder="1"/>
    <xf numFmtId="167" fontId="31" fillId="0" borderId="4" xfId="7" applyNumberFormat="1" applyFont="1" applyBorder="1"/>
    <xf numFmtId="167" fontId="39" fillId="0" borderId="41" xfId="0" applyNumberFormat="1" applyFont="1" applyBorder="1"/>
    <xf numFmtId="167" fontId="37" fillId="0" borderId="186" xfId="0" applyNumberFormat="1" applyFont="1" applyBorder="1"/>
    <xf numFmtId="167" fontId="31" fillId="0" borderId="56" xfId="0" applyNumberFormat="1" applyFont="1" applyBorder="1" applyAlignment="1">
      <alignment horizontal="right" vertical="center"/>
    </xf>
    <xf numFmtId="167" fontId="31" fillId="0" borderId="53" xfId="0" applyNumberFormat="1" applyFont="1" applyBorder="1" applyAlignment="1">
      <alignment horizontal="right" vertical="center"/>
    </xf>
    <xf numFmtId="167" fontId="31" fillId="0" borderId="4" xfId="0" applyNumberFormat="1" applyFont="1" applyBorder="1" applyAlignment="1">
      <alignment horizontal="right" vertical="center"/>
    </xf>
    <xf numFmtId="167" fontId="31" fillId="0" borderId="59" xfId="0" applyNumberFormat="1" applyFont="1" applyBorder="1" applyAlignment="1">
      <alignment horizontal="right" vertical="center"/>
    </xf>
    <xf numFmtId="167" fontId="35" fillId="0" borderId="181" xfId="0" applyNumberFormat="1" applyFont="1" applyBorder="1" applyAlignment="1">
      <alignment horizontal="right" vertical="center"/>
    </xf>
    <xf numFmtId="167" fontId="31" fillId="0" borderId="41" xfId="0" applyNumberFormat="1" applyFont="1" applyBorder="1" applyAlignment="1">
      <alignment horizontal="right" vertical="center"/>
    </xf>
    <xf numFmtId="167" fontId="35" fillId="0" borderId="184" xfId="0" applyNumberFormat="1" applyFont="1" applyBorder="1" applyAlignment="1">
      <alignment horizontal="right" vertical="center"/>
    </xf>
    <xf numFmtId="167" fontId="35" fillId="0" borderId="185" xfId="0" applyNumberFormat="1" applyFont="1" applyBorder="1" applyAlignment="1">
      <alignment horizontal="right" vertical="center"/>
    </xf>
    <xf numFmtId="167" fontId="35" fillId="0" borderId="61" xfId="0" applyNumberFormat="1" applyFont="1" applyBorder="1" applyAlignment="1">
      <alignment horizontal="right" vertical="center"/>
    </xf>
    <xf numFmtId="44" fontId="41" fillId="0" borderId="0" xfId="7" applyFont="1"/>
    <xf numFmtId="0" fontId="0" fillId="0" borderId="0" xfId="0" applyFill="1"/>
    <xf numFmtId="166" fontId="0" fillId="0" borderId="11" xfId="0" applyNumberFormat="1" applyFill="1" applyBorder="1" applyAlignment="1">
      <alignment horizontal="center"/>
    </xf>
    <xf numFmtId="166" fontId="0" fillId="0" borderId="0" xfId="0" applyNumberFormat="1" applyFill="1"/>
    <xf numFmtId="166" fontId="41" fillId="0" borderId="11" xfId="0" applyNumberFormat="1" applyFont="1" applyFill="1" applyBorder="1" applyAlignment="1">
      <alignment horizontal="center"/>
    </xf>
    <xf numFmtId="166" fontId="7" fillId="0" borderId="11" xfId="0" applyNumberFormat="1" applyFont="1" applyFill="1" applyBorder="1" applyAlignment="1">
      <alignment horizontal="center"/>
    </xf>
    <xf numFmtId="166" fontId="61" fillId="0" borderId="0" xfId="0" applyNumberFormat="1" applyFont="1" applyFill="1"/>
    <xf numFmtId="166" fontId="62" fillId="0" borderId="13" xfId="0" applyNumberFormat="1" applyFont="1" applyFill="1" applyBorder="1"/>
    <xf numFmtId="166" fontId="62" fillId="0" borderId="0" xfId="0" applyNumberFormat="1" applyFont="1" applyFill="1"/>
    <xf numFmtId="166" fontId="0" fillId="0" borderId="12" xfId="0" applyNumberFormat="1" applyFill="1" applyBorder="1"/>
    <xf numFmtId="166" fontId="9" fillId="0" borderId="12" xfId="0" applyNumberFormat="1" applyFont="1" applyFill="1" applyBorder="1"/>
    <xf numFmtId="166" fontId="0" fillId="0" borderId="15" xfId="0" applyNumberFormat="1" applyFill="1" applyBorder="1"/>
    <xf numFmtId="166" fontId="62" fillId="0" borderId="15" xfId="0" applyNumberFormat="1" applyFont="1" applyFill="1" applyBorder="1"/>
    <xf numFmtId="166" fontId="44" fillId="0" borderId="0" xfId="0" applyNumberFormat="1" applyFont="1" applyFill="1"/>
    <xf numFmtId="166" fontId="63" fillId="0" borderId="13" xfId="0" applyNumberFormat="1" applyFont="1" applyFill="1" applyBorder="1"/>
    <xf numFmtId="166" fontId="0" fillId="0" borderId="13" xfId="0" applyNumberFormat="1" applyFill="1" applyBorder="1"/>
    <xf numFmtId="166" fontId="0" fillId="0" borderId="14" xfId="0" applyNumberFormat="1" applyFill="1" applyBorder="1"/>
    <xf numFmtId="166" fontId="9" fillId="0" borderId="0" xfId="0" applyNumberFormat="1" applyFont="1" applyFill="1"/>
    <xf numFmtId="166" fontId="9" fillId="0" borderId="13" xfId="0" applyNumberFormat="1" applyFont="1" applyFill="1" applyBorder="1"/>
    <xf numFmtId="166" fontId="8" fillId="0" borderId="11" xfId="0" applyNumberFormat="1" applyFont="1" applyFill="1" applyBorder="1" applyAlignment="1">
      <alignment horizontal="center"/>
    </xf>
    <xf numFmtId="166" fontId="51" fillId="0" borderId="11" xfId="0" applyNumberFormat="1" applyFont="1" applyFill="1" applyBorder="1" applyAlignment="1">
      <alignment horizontal="center"/>
    </xf>
    <xf numFmtId="166" fontId="44" fillId="0" borderId="13" xfId="0" applyNumberFormat="1" applyFont="1" applyFill="1" applyBorder="1"/>
    <xf numFmtId="166" fontId="63" fillId="0" borderId="12" xfId="0" applyNumberFormat="1" applyFont="1" applyFill="1" applyBorder="1"/>
    <xf numFmtId="166" fontId="63" fillId="0" borderId="0" xfId="0" applyNumberFormat="1" applyFont="1" applyFill="1"/>
    <xf numFmtId="166" fontId="62" fillId="0" borderId="12" xfId="0" applyNumberFormat="1" applyFont="1" applyFill="1" applyBorder="1"/>
    <xf numFmtId="166" fontId="61" fillId="0" borderId="23" xfId="0" applyNumberFormat="1" applyFont="1" applyFill="1" applyBorder="1"/>
    <xf numFmtId="166" fontId="44" fillId="0" borderId="23" xfId="0" applyNumberFormat="1" applyFont="1" applyFill="1" applyBorder="1"/>
    <xf numFmtId="166" fontId="41" fillId="0" borderId="23" xfId="0" applyNumberFormat="1" applyFont="1" applyFill="1" applyBorder="1"/>
    <xf numFmtId="166" fontId="63" fillId="0" borderId="14" xfId="0" applyNumberFormat="1" applyFont="1" applyFill="1" applyBorder="1"/>
    <xf numFmtId="166" fontId="61" fillId="0" borderId="15" xfId="0" applyNumberFormat="1" applyFont="1" applyFill="1" applyBorder="1"/>
    <xf numFmtId="166" fontId="10" fillId="0" borderId="11" xfId="0" applyNumberFormat="1" applyFont="1" applyFill="1" applyBorder="1" applyAlignment="1">
      <alignment horizontal="center"/>
    </xf>
    <xf numFmtId="0" fontId="8" fillId="0" borderId="82" xfId="0" applyFont="1" applyFill="1" applyBorder="1" applyAlignment="1">
      <alignment horizontal="center"/>
    </xf>
    <xf numFmtId="166" fontId="44" fillId="0" borderId="15" xfId="0" applyNumberFormat="1" applyFont="1" applyFill="1" applyBorder="1"/>
    <xf numFmtId="166" fontId="63" fillId="0" borderId="15" xfId="0" applyNumberFormat="1" applyFont="1" applyFill="1" applyBorder="1"/>
    <xf numFmtId="166" fontId="62" fillId="0" borderId="84" xfId="0" applyNumberFormat="1" applyFont="1" applyFill="1" applyBorder="1"/>
    <xf numFmtId="166" fontId="61" fillId="0" borderId="14" xfId="0" applyNumberFormat="1" applyFont="1" applyFill="1" applyBorder="1"/>
    <xf numFmtId="166" fontId="62" fillId="0" borderId="14" xfId="0" applyNumberFormat="1" applyFont="1" applyFill="1" applyBorder="1"/>
    <xf numFmtId="166" fontId="61" fillId="0" borderId="12" xfId="0" applyNumberFormat="1" applyFont="1" applyFill="1" applyBorder="1"/>
    <xf numFmtId="166" fontId="61" fillId="0" borderId="13" xfId="0" applyNumberFormat="1" applyFont="1" applyFill="1" applyBorder="1"/>
    <xf numFmtId="166" fontId="9" fillId="0" borderId="15" xfId="0" applyNumberFormat="1" applyFont="1" applyFill="1" applyBorder="1"/>
    <xf numFmtId="166" fontId="9" fillId="0" borderId="14" xfId="0" applyNumberFormat="1" applyFont="1" applyFill="1" applyBorder="1"/>
    <xf numFmtId="166" fontId="55" fillId="0" borderId="11" xfId="0" applyNumberFormat="1" applyFont="1" applyFill="1" applyBorder="1" applyAlignment="1">
      <alignment horizontal="center"/>
    </xf>
    <xf numFmtId="166" fontId="0" fillId="0" borderId="23" xfId="0" applyNumberFormat="1" applyFill="1" applyBorder="1"/>
    <xf numFmtId="166" fontId="44" fillId="0" borderId="11" xfId="0" applyNumberFormat="1" applyFont="1" applyFill="1" applyBorder="1" applyAlignment="1">
      <alignment horizontal="center"/>
    </xf>
    <xf numFmtId="166" fontId="44" fillId="0" borderId="14" xfId="0" applyNumberFormat="1" applyFont="1" applyFill="1" applyBorder="1"/>
    <xf numFmtId="166" fontId="67" fillId="0" borderId="11" xfId="0" applyNumberFormat="1" applyFont="1" applyFill="1" applyBorder="1" applyAlignment="1">
      <alignment horizontal="center"/>
    </xf>
    <xf numFmtId="166" fontId="0" fillId="0" borderId="23" xfId="0" applyNumberFormat="1" applyFill="1" applyBorder="1" applyAlignment="1">
      <alignment horizontal="center"/>
    </xf>
    <xf numFmtId="166" fontId="44" fillId="0" borderId="12" xfId="0" applyNumberFormat="1" applyFont="1" applyFill="1" applyBorder="1"/>
    <xf numFmtId="166" fontId="9" fillId="0" borderId="23" xfId="0" applyNumberFormat="1" applyFont="1" applyFill="1" applyBorder="1"/>
    <xf numFmtId="166" fontId="62" fillId="0" borderId="23" xfId="0" applyNumberFormat="1" applyFont="1" applyFill="1" applyBorder="1"/>
    <xf numFmtId="166" fontId="11" fillId="0" borderId="11" xfId="0" applyNumberFormat="1" applyFont="1" applyFill="1" applyBorder="1" applyAlignment="1">
      <alignment horizontal="center"/>
    </xf>
    <xf numFmtId="167" fontId="72" fillId="0" borderId="64" xfId="0" applyNumberFormat="1" applyFont="1" applyBorder="1" applyAlignment="1">
      <alignment horizontal="center" vertical="center"/>
    </xf>
    <xf numFmtId="167" fontId="89" fillId="0" borderId="64" xfId="0" applyNumberFormat="1" applyFont="1" applyBorder="1" applyAlignment="1">
      <alignment horizontal="center" vertical="center"/>
    </xf>
    <xf numFmtId="167" fontId="90" fillId="0" borderId="64" xfId="0" applyNumberFormat="1" applyFont="1" applyBorder="1" applyAlignment="1">
      <alignment vertical="center"/>
    </xf>
    <xf numFmtId="0" fontId="58" fillId="0" borderId="64" xfId="0" applyFont="1" applyBorder="1"/>
    <xf numFmtId="167" fontId="91" fillId="0" borderId="64" xfId="0" applyNumberFormat="1" applyFont="1" applyBorder="1" applyAlignment="1">
      <alignment vertical="center"/>
    </xf>
    <xf numFmtId="167" fontId="92" fillId="0" borderId="64" xfId="0" applyNumberFormat="1" applyFont="1" applyBorder="1" applyAlignment="1">
      <alignment horizontal="center" vertical="center"/>
    </xf>
    <xf numFmtId="167" fontId="93" fillId="0" borderId="64" xfId="0" applyNumberFormat="1" applyFont="1" applyBorder="1" applyAlignment="1">
      <alignment horizontal="center" vertical="center"/>
    </xf>
    <xf numFmtId="0" fontId="94" fillId="0" borderId="88" xfId="0" applyFont="1" applyBorder="1"/>
    <xf numFmtId="0" fontId="95" fillId="0" borderId="91" xfId="0" applyFont="1" applyBorder="1" applyAlignment="1">
      <alignment horizontal="center"/>
    </xf>
  </cellXfs>
  <cellStyles count="8">
    <cellStyle name="40% - Colore 1 2" xfId="5" xr:uid="{712CF3B6-D119-054D-A261-5F8B55B4D967}"/>
    <cellStyle name="Normale" xfId="0" builtinId="0"/>
    <cellStyle name="Normale 2" xfId="1" xr:uid="{CF7B790D-F29C-1C48-8FBF-7D7B52755AC7}"/>
    <cellStyle name="Normale 2 2" xfId="3" xr:uid="{47FE1AA6-5CBA-4347-AA9E-4DEE0F91D843}"/>
    <cellStyle name="Normale 3" xfId="2" xr:uid="{E6FC3B6B-1EAF-4D44-9DCE-B4788BED38FD}"/>
    <cellStyle name="Percentuale 2" xfId="4" xr:uid="{E35E6DF7-6460-A349-9558-72967BC27123}"/>
    <cellStyle name="Valuta" xfId="7" builtinId="4"/>
    <cellStyle name="Valuta 2" xfId="6" xr:uid="{E7834235-515D-2C4F-A735-216F35653101}"/>
  </cellStyles>
  <dxfs count="18">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D8D8D8"/>
          <bgColor rgb="FFD8D8D8"/>
        </patternFill>
      </fill>
    </dxf>
    <dxf>
      <fill>
        <patternFill patternType="solid">
          <fgColor rgb="FFFFFFFF"/>
          <bgColor rgb="FFFFFFFF"/>
        </patternFill>
      </fill>
    </dxf>
    <dxf>
      <fill>
        <patternFill patternType="solid">
          <fgColor rgb="FFD9E2F3"/>
          <bgColor rgb="FFD9E2F3"/>
        </patternFill>
      </fill>
    </dxf>
    <dxf>
      <fill>
        <patternFill patternType="solid">
          <fgColor rgb="FFD9E2F3"/>
          <bgColor rgb="FFD9E2F3"/>
        </patternFill>
      </fill>
    </dxf>
    <dxf>
      <fill>
        <patternFill patternType="solid">
          <fgColor rgb="FFFFFFFF"/>
          <bgColor rgb="FFFFFFFF"/>
        </patternFill>
      </fill>
    </dxf>
    <dxf>
      <fill>
        <patternFill patternType="solid">
          <fgColor rgb="FFD9E2F3"/>
          <bgColor rgb="FFD9E2F3"/>
        </patternFill>
      </fill>
    </dxf>
    <dxf>
      <fill>
        <patternFill patternType="solid">
          <fgColor rgb="FFD9E2F3"/>
          <bgColor rgb="FFD9E2F3"/>
        </patternFill>
      </fill>
    </dxf>
    <dxf>
      <fill>
        <patternFill patternType="solid">
          <fgColor rgb="FFFFFFFF"/>
          <bgColor rgb="FFFFFFFF"/>
        </patternFill>
      </fill>
    </dxf>
    <dxf>
      <fill>
        <patternFill patternType="solid">
          <fgColor rgb="FFD9E2F3"/>
          <bgColor rgb="FFD9E2F3"/>
        </patternFill>
      </fill>
    </dxf>
    <dxf>
      <fill>
        <patternFill patternType="solid">
          <fgColor rgb="FFD9E2F3"/>
          <bgColor rgb="FFD9E2F3"/>
        </patternFill>
      </fill>
    </dxf>
    <dxf>
      <fill>
        <patternFill patternType="solid">
          <fgColor rgb="FFFFFFFF"/>
          <bgColor rgb="FFFFFFFF"/>
        </patternFill>
      </fill>
    </dxf>
    <dxf>
      <fill>
        <patternFill patternType="solid">
          <fgColor rgb="FFD9E2F3"/>
          <bgColor rgb="FFD9E2F3"/>
        </patternFill>
      </fill>
    </dxf>
    <dxf>
      <fill>
        <patternFill patternType="solid">
          <fgColor rgb="FFD9E2F3"/>
          <bgColor rgb="FFD9E2F3"/>
        </patternFill>
      </fill>
    </dxf>
    <dxf>
      <fill>
        <patternFill patternType="solid">
          <fgColor rgb="FFFFFFFF"/>
          <bgColor rgb="FFFFFFFF"/>
        </patternFill>
      </fill>
    </dxf>
  </dxfs>
  <tableStyles count="6">
    <tableStyle name="Rata-style" pivot="0" count="3" xr9:uid="{00000000-0011-0000-FFFF-FFFF00000000}">
      <tableStyleElement type="headerRow" dxfId="17"/>
      <tableStyleElement type="firstRowStripe" dxfId="16"/>
      <tableStyleElement type="secondRowStripe" dxfId="15"/>
    </tableStyle>
    <tableStyle name="Rata-style 2" pivot="0" count="3" xr9:uid="{00000000-0011-0000-FFFF-FFFF01000000}">
      <tableStyleElement type="headerRow" dxfId="14"/>
      <tableStyleElement type="firstRowStripe" dxfId="13"/>
      <tableStyleElement type="secondRowStripe" dxfId="12"/>
    </tableStyle>
    <tableStyle name="Rata-style 3" pivot="0" count="3" xr9:uid="{00000000-0011-0000-FFFF-FFFF02000000}">
      <tableStyleElement type="headerRow" dxfId="11"/>
      <tableStyleElement type="firstRowStripe" dxfId="10"/>
      <tableStyleElement type="secondRowStripe" dxfId="9"/>
    </tableStyle>
    <tableStyle name="Rata-style 4" pivot="0" count="3" xr9:uid="{00000000-0011-0000-FFFF-FFFF03000000}">
      <tableStyleElement type="headerRow" dxfId="8"/>
      <tableStyleElement type="firstRowStripe" dxfId="7"/>
      <tableStyleElement type="secondRowStripe" dxfId="6"/>
    </tableStyle>
    <tableStyle name="Costo ammortizzato-style" pivot="0" count="3" xr9:uid="{00000000-0011-0000-FFFF-FFFF04000000}">
      <tableStyleElement type="headerRow" dxfId="5"/>
      <tableStyleElement type="firstRowStripe" dxfId="4"/>
      <tableStyleElement type="secondRowStripe" dxfId="3"/>
    </tableStyle>
    <tableStyle name="Costo ammortizzato-style 2" pivot="0" count="3" xr9:uid="{00000000-0011-0000-FFFF-FFFF05000000}">
      <tableStyleElement type="headerRow" dxfId="2"/>
      <tableStyleElement type="firstRowStripe" dxfId="1"/>
      <tableStyleElement type="secondRowStripe" dxfId="0"/>
    </tableStyle>
  </tableStyles>
  <colors>
    <mruColors>
      <color rgb="FFFFD298"/>
      <color rgb="FFFF7678"/>
      <color rgb="FFC8C2FF"/>
      <color rgb="FFFFC6CD"/>
      <color rgb="FFFFBFF6"/>
      <color rgb="FF9CC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3175</xdr:colOff>
      <xdr:row>42</xdr:row>
      <xdr:rowOff>12700</xdr:rowOff>
    </xdr:from>
    <xdr:to>
      <xdr:col>6</xdr:col>
      <xdr:colOff>0</xdr:colOff>
      <xdr:row>44</xdr:row>
      <xdr:rowOff>88900</xdr:rowOff>
    </xdr:to>
    <xdr:sp macro="" textlink="">
      <xdr:nvSpPr>
        <xdr:cNvPr id="2" name="CasellaDiTesto 1">
          <a:extLst>
            <a:ext uri="{FF2B5EF4-FFF2-40B4-BE49-F238E27FC236}">
              <a16:creationId xmlns:a16="http://schemas.microsoft.com/office/drawing/2014/main" id="{2979316C-3504-334E-B17C-3B21883A6FCF}"/>
            </a:ext>
          </a:extLst>
        </xdr:cNvPr>
        <xdr:cNvSpPr txBox="1"/>
      </xdr:nvSpPr>
      <xdr:spPr>
        <a:xfrm>
          <a:off x="701675" y="8826500"/>
          <a:ext cx="9026525" cy="482600"/>
        </a:xfrm>
        <a:prstGeom prst="rect">
          <a:avLst/>
        </a:prstGeom>
        <a:solidFill>
          <a:srgbClr val="FF7678">
            <a:alpha val="58824"/>
          </a:srgbClr>
        </a:solidFill>
        <a:ln w="28575" cmpd="sng">
          <a:solidFill>
            <a:srgbClr val="000000"/>
          </a:solidFill>
          <a:prstDash val="sysDash"/>
        </a:ln>
      </xdr:spPr>
      <xdr:txBody>
        <a:bodyPr vertOverflow="clip" horzOverflow="clip" wrap="square" lIns="91440" tIns="45720" rIns="91440" bIns="45720" rtlCol="0" anchor="t">
          <a:noAutofit/>
        </a:bodyPr>
        <a:lstStyle/>
        <a:p>
          <a:pPr marL="0" indent="0" algn="ctr"/>
          <a:r>
            <a:rPr lang="en-US" sz="1100">
              <a:latin typeface="+mn-lt"/>
              <a:ea typeface="+mn-lt"/>
              <a:cs typeface="+mn-lt"/>
            </a:rPr>
            <a:t> </a:t>
          </a:r>
          <a:r>
            <a:rPr lang="en-US" sz="1200" i="1">
              <a:latin typeface="Arial" panose="020B0604020202020204" pitchFamily="34" charset="0"/>
              <a:cs typeface="Arial" panose="020B0604020202020204" pitchFamily="34" charset="0"/>
            </a:rPr>
            <a:t>Per quanto concerne l'ammortamento delle immobilizzazioni immateriali, in ottemeperanza al Decreto Lgs. 139/2015 si è provvveduto ad ammortizzzare il valore del bene senza la costituzione di un fondo ammortamento. 	</a:t>
          </a:r>
          <a:r>
            <a:rPr lang="en-US" sz="1100">
              <a:latin typeface="+mn-lt"/>
              <a:ea typeface="+mn-lt"/>
              <a:cs typeface="+mn-lt"/>
            </a:rPr>
            <a:t>  	  	  	  	  	  	  </a:t>
          </a:r>
        </a:p>
        <a:p>
          <a:pPr marL="0" indent="0" algn="l"/>
          <a:r>
            <a:rPr lang="en-US" sz="1100">
              <a:latin typeface="+mn-lt"/>
              <a:ea typeface="+mn-lt"/>
              <a:cs typeface="+mn-lt"/>
            </a:rPr>
            <a:t>  	  	  	  	  	  	  	  </a:t>
          </a:r>
        </a:p>
        <a:p>
          <a:pPr marL="0" indent="0" algn="l"/>
          <a:r>
            <a:rPr lang="en-US" sz="1100">
              <a:latin typeface="+mn-lt"/>
              <a:ea typeface="+mn-lt"/>
              <a:cs typeface="+mn-lt"/>
            </a:rPr>
            <a:t>  	  	  	  	  	  	  	  </a:t>
          </a:r>
        </a:p>
        <a:p>
          <a:pPr marL="0" indent="0" algn="l"/>
          <a:endParaRPr lang="en-US" sz="1100">
            <a:latin typeface="+mn-lt"/>
            <a:ea typeface="+mn-lt"/>
            <a:cs typeface="+mn-lt"/>
          </a:endParaRPr>
        </a:p>
      </xdr:txBody>
    </xdr:sp>
    <xdr:clientData/>
  </xdr:twoCellAnchor>
  <xdr:twoCellAnchor>
    <xdr:from>
      <xdr:col>13</xdr:col>
      <xdr:colOff>342900</xdr:colOff>
      <xdr:row>51</xdr:row>
      <xdr:rowOff>104775</xdr:rowOff>
    </xdr:from>
    <xdr:to>
      <xdr:col>14</xdr:col>
      <xdr:colOff>561975</xdr:colOff>
      <xdr:row>54</xdr:row>
      <xdr:rowOff>171450</xdr:rowOff>
    </xdr:to>
    <xdr:sp macro="" textlink="">
      <xdr:nvSpPr>
        <xdr:cNvPr id="3" name="CasellaDiTesto 2">
          <a:extLst>
            <a:ext uri="{FF2B5EF4-FFF2-40B4-BE49-F238E27FC236}">
              <a16:creationId xmlns:a16="http://schemas.microsoft.com/office/drawing/2014/main" id="{D689881E-A94D-CD45-B4DB-3B09885D1441}"/>
            </a:ext>
            <a:ext uri="{147F2762-F138-4A5C-976F-8EAC2B608ADB}">
              <a16:predDERef xmlns:a16="http://schemas.microsoft.com/office/drawing/2014/main" pred="{AE1A6F29-C214-E598-D36C-BDDD09065A78}"/>
            </a:ext>
          </a:extLst>
        </xdr:cNvPr>
        <xdr:cNvSpPr txBox="1"/>
      </xdr:nvSpPr>
      <xdr:spPr>
        <a:xfrm>
          <a:off x="9423400" y="9820275"/>
          <a:ext cx="917575" cy="638175"/>
        </a:xfrm>
        <a:prstGeom prst="rect">
          <a:avLst/>
        </a:prstGeom>
        <a:solidFill>
          <a:srgbClr val="FF7678"/>
        </a:solidFill>
        <a:ln w="19050" cmpd="sng">
          <a:solidFill>
            <a:srgbClr val="000000"/>
          </a:solidFill>
          <a:prstDash val="solid"/>
        </a:ln>
      </xdr:spPr>
      <xdr:txBody>
        <a:bodyPr vertOverflow="clip" horzOverflow="clip" wrap="square" lIns="91440" tIns="45720" rIns="91440" bIns="45720" rtlCol="0" anchor="t">
          <a:noAutofit/>
        </a:bodyPr>
        <a:lstStyle/>
        <a:p>
          <a:pPr marL="0" indent="0" algn="l"/>
          <a:r>
            <a:rPr lang="en-US" sz="1200">
              <a:latin typeface="Arial" panose="020B0604020202020204" pitchFamily="34" charset="0"/>
              <a:cs typeface="Arial" panose="020B0604020202020204" pitchFamily="34" charset="0"/>
            </a:rPr>
            <a:t>Valore netto contabile al 31/12/2020 = 15750</a:t>
          </a:r>
        </a:p>
        <a:p>
          <a:pPr marL="0" indent="0" algn="l"/>
          <a:r>
            <a:rPr lang="en-US" sz="1200">
              <a:latin typeface="Arial" panose="020B0604020202020204" pitchFamily="34" charset="0"/>
              <a:cs typeface="Arial" panose="020B0604020202020204" pitchFamily="34" charset="0"/>
            </a:rPr>
            <a:t>Quota ammortamento = VNC/ residua possibilità di utilizzo = 15750/11 = 1431,82</a:t>
          </a:r>
        </a:p>
        <a:p>
          <a:pPr marL="0" indent="0" algn="l"/>
          <a:r>
            <a:rPr lang="en-US" sz="1200">
              <a:latin typeface="Arial" panose="020B0604020202020204" pitchFamily="34" charset="0"/>
              <a:cs typeface="Arial" panose="020B0604020202020204" pitchFamily="34" charset="0"/>
            </a:rPr>
            <a:t>VNC = VNC del periodo precedente - QA</a:t>
          </a:r>
        </a:p>
      </xdr:txBody>
    </xdr:sp>
    <xdr:clientData/>
  </xdr:twoCellAnchor>
  <xdr:twoCellAnchor>
    <xdr:from>
      <xdr:col>8</xdr:col>
      <xdr:colOff>0</xdr:colOff>
      <xdr:row>66</xdr:row>
      <xdr:rowOff>114300</xdr:rowOff>
    </xdr:from>
    <xdr:to>
      <xdr:col>13</xdr:col>
      <xdr:colOff>1438275</xdr:colOff>
      <xdr:row>73</xdr:row>
      <xdr:rowOff>19050</xdr:rowOff>
    </xdr:to>
    <xdr:sp macro="" textlink="">
      <xdr:nvSpPr>
        <xdr:cNvPr id="4" name="CasellaDiTesto 3">
          <a:extLst>
            <a:ext uri="{FF2B5EF4-FFF2-40B4-BE49-F238E27FC236}">
              <a16:creationId xmlns:a16="http://schemas.microsoft.com/office/drawing/2014/main" id="{21DE301F-EDEF-F84D-83E9-EAA67E68223D}"/>
            </a:ext>
            <a:ext uri="{147F2762-F138-4A5C-976F-8EAC2B608ADB}">
              <a16:predDERef xmlns:a16="http://schemas.microsoft.com/office/drawing/2014/main" pred="{61CC92ED-C9C5-D8FC-95A9-CF62AD7641BB}"/>
            </a:ext>
          </a:extLst>
        </xdr:cNvPr>
        <xdr:cNvSpPr txBox="1"/>
      </xdr:nvSpPr>
      <xdr:spPr>
        <a:xfrm>
          <a:off x="5588000" y="12687300"/>
          <a:ext cx="4194175" cy="1238250"/>
        </a:xfrm>
        <a:prstGeom prst="rect">
          <a:avLst/>
        </a:prstGeom>
        <a:solidFill>
          <a:schemeClr val="accent6">
            <a:lumMod val="40000"/>
            <a:lumOff val="60000"/>
          </a:schemeClr>
        </a:solidFill>
        <a:ln w="28575" cmpd="sng">
          <a:solidFill>
            <a:srgbClr val="000000"/>
          </a:solidFill>
          <a:prstDash val="sysDash"/>
        </a:ln>
      </xdr:spPr>
      <xdr:txBody>
        <a:bodyPr vertOverflow="clip" horzOverflow="clip" wrap="square" lIns="91440" tIns="45720" rIns="91440" bIns="45720" rtlCol="0" anchor="t">
          <a:noAutofit/>
        </a:bodyPr>
        <a:lstStyle/>
        <a:p>
          <a:pPr marL="0" indent="0" algn="l"/>
          <a:r>
            <a:rPr lang="en-US" sz="1100" i="1">
              <a:latin typeface="Arial" panose="020B0604020202020204" pitchFamily="34" charset="0"/>
              <a:cs typeface="Arial" panose="020B0604020202020204" pitchFamily="34" charset="0"/>
            </a:rPr>
            <a:t>I costi di sviluppo capitalizzati, a norma dell’art.2426 del Codice civile, sono ammortizzati secondo la loro vita utile. Nei casi eccezionali nei quali non è possibile stimarne la vita utile, sono ammortizzati entro un periodo non superiore a 5 anni.</a:t>
          </a:r>
        </a:p>
        <a:p>
          <a:pPr marL="0" indent="0" algn="l"/>
          <a:r>
            <a:rPr lang="en-US" sz="1100" i="1">
              <a:latin typeface="Arial" panose="020B0604020202020204" pitchFamily="34" charset="0"/>
              <a:cs typeface="Arial" panose="020B0604020202020204" pitchFamily="34" charset="0"/>
            </a:rPr>
            <a:t>L’OIC 24 dà preferenza al calcolo di quote di ammortamento costanti. Ciò nonostante, ammette la possibilità di ricorrere ad altri criteri di ammortamento [...].</a:t>
          </a:r>
        </a:p>
        <a:p>
          <a:pPr marL="0" indent="0" algn="l"/>
          <a:r>
            <a:rPr lang="en-US" sz="1100" i="1">
              <a:latin typeface="Arial" panose="020B0604020202020204" pitchFamily="34" charset="0"/>
              <a:cs typeface="Arial" panose="020B0604020202020204" pitchFamily="34" charset="0"/>
            </a:rPr>
            <a:t>I costi sviluppo devono essere ammortizzati a partire dal momento in cui il bene o il processo risultante è disponibile per essere utilizzato.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523875</xdr:colOff>
      <xdr:row>14</xdr:row>
      <xdr:rowOff>161925</xdr:rowOff>
    </xdr:from>
    <xdr:to>
      <xdr:col>12</xdr:col>
      <xdr:colOff>485775</xdr:colOff>
      <xdr:row>19</xdr:row>
      <xdr:rowOff>85725</xdr:rowOff>
    </xdr:to>
    <xdr:sp macro="" textlink="">
      <xdr:nvSpPr>
        <xdr:cNvPr id="2" name="CasellaDiTesto 1">
          <a:extLst>
            <a:ext uri="{FF2B5EF4-FFF2-40B4-BE49-F238E27FC236}">
              <a16:creationId xmlns:a16="http://schemas.microsoft.com/office/drawing/2014/main" id="{473740BC-0F9D-3745-9622-5858BF461C23}"/>
            </a:ext>
            <a:ext uri="{147F2762-F138-4A5C-976F-8EAC2B608ADB}">
              <a16:predDERef xmlns:a16="http://schemas.microsoft.com/office/drawing/2014/main" pred="{61CC92ED-C9C5-D8FC-95A9-CF62AD7641BB}"/>
            </a:ext>
          </a:extLst>
        </xdr:cNvPr>
        <xdr:cNvSpPr txBox="1"/>
      </xdr:nvSpPr>
      <xdr:spPr>
        <a:xfrm>
          <a:off x="2543175" y="2828925"/>
          <a:ext cx="6019800" cy="876300"/>
        </a:xfrm>
        <a:prstGeom prst="rect">
          <a:avLst/>
        </a:prstGeom>
        <a:solidFill>
          <a:srgbClr val="FFD298"/>
        </a:solidFill>
        <a:ln w="28575" cmpd="sng">
          <a:solidFill>
            <a:srgbClr val="000000"/>
          </a:solidFill>
          <a:prstDash val="sysDash"/>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1100" i="1">
              <a:latin typeface="Arial" panose="020B0604020202020204" pitchFamily="34" charset="0"/>
              <a:cs typeface="Arial" panose="020B0604020202020204" pitchFamily="34" charset="0"/>
            </a:rPr>
            <a:t>In facoltà dell ' Art. 2426 punto 11 c.c la valutazione dei lavori in corso su ordinazione è stata effettuata applicando il metodo della percentuale di completamento, in quanto possiamo considerare che il corrispettivo sia ragionevolmente certo, poiché previsto dal contratto. Inoltre l'applicazione di tale criterio rende possibile considerare l'utile derivante della commessa. </a:t>
          </a:r>
        </a:p>
      </xdr:txBody>
    </xdr:sp>
    <xdr:clientData/>
  </xdr:twoCellAnchor>
  <xdr:twoCellAnchor>
    <xdr:from>
      <xdr:col>3</xdr:col>
      <xdr:colOff>533400</xdr:colOff>
      <xdr:row>33</xdr:row>
      <xdr:rowOff>66675</xdr:rowOff>
    </xdr:from>
    <xdr:to>
      <xdr:col>11</xdr:col>
      <xdr:colOff>266700</xdr:colOff>
      <xdr:row>37</xdr:row>
      <xdr:rowOff>38100</xdr:rowOff>
    </xdr:to>
    <xdr:sp macro="" textlink="">
      <xdr:nvSpPr>
        <xdr:cNvPr id="3" name="CasellaDiTesto 2">
          <a:extLst>
            <a:ext uri="{FF2B5EF4-FFF2-40B4-BE49-F238E27FC236}">
              <a16:creationId xmlns:a16="http://schemas.microsoft.com/office/drawing/2014/main" id="{445BACE4-F88D-F048-AB04-DE899F965D96}"/>
            </a:ext>
            <a:ext uri="{147F2762-F138-4A5C-976F-8EAC2B608ADB}">
              <a16:predDERef xmlns:a16="http://schemas.microsoft.com/office/drawing/2014/main" pred="{6EBEE0A7-C8E6-44FD-B072-4905716E681E}"/>
            </a:ext>
          </a:extLst>
        </xdr:cNvPr>
        <xdr:cNvSpPr txBox="1"/>
      </xdr:nvSpPr>
      <xdr:spPr>
        <a:xfrm>
          <a:off x="2552700" y="6353175"/>
          <a:ext cx="5118100" cy="733425"/>
        </a:xfrm>
        <a:prstGeom prst="rect">
          <a:avLst/>
        </a:prstGeom>
        <a:solidFill>
          <a:srgbClr val="FFD298"/>
        </a:solidFill>
        <a:ln w="28575" cmpd="sng">
          <a:solidFill>
            <a:srgbClr val="000000"/>
          </a:solidFill>
          <a:prstDash val="sysDash"/>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1100" i="1">
              <a:latin typeface="Arial" panose="020B0604020202020204" pitchFamily="34" charset="0"/>
              <a:cs typeface="Arial" panose="020B0604020202020204" pitchFamily="34" charset="0"/>
            </a:rPr>
            <a:t>Nell'ipotesi in cui la valutazione dei lavori in corso su ordinazione avvenga in base al criterio della commessa completata, gli effetti sul risultato di periodo si concretizzerebbero in un aumento dell'entità dell'utile riportato in questo esercizio che risulterebbe essere: XXXXX</a:t>
          </a:r>
        </a:p>
      </xdr:txBody>
    </xdr:sp>
    <xdr:clientData/>
  </xdr:twoCellAnchor>
  <xdr:twoCellAnchor>
    <xdr:from>
      <xdr:col>8</xdr:col>
      <xdr:colOff>0</xdr:colOff>
      <xdr:row>23</xdr:row>
      <xdr:rowOff>38100</xdr:rowOff>
    </xdr:from>
    <xdr:to>
      <xdr:col>13</xdr:col>
      <xdr:colOff>647700</xdr:colOff>
      <xdr:row>30</xdr:row>
      <xdr:rowOff>101600</xdr:rowOff>
    </xdr:to>
    <xdr:sp macro="" textlink="">
      <xdr:nvSpPr>
        <xdr:cNvPr id="4" name="CasellaDiTesto 3">
          <a:extLst>
            <a:ext uri="{FF2B5EF4-FFF2-40B4-BE49-F238E27FC236}">
              <a16:creationId xmlns:a16="http://schemas.microsoft.com/office/drawing/2014/main" id="{6F6E51EE-FD1F-AFA7-6A80-EBD33B1811A2}"/>
            </a:ext>
          </a:extLst>
        </xdr:cNvPr>
        <xdr:cNvSpPr txBox="1"/>
      </xdr:nvSpPr>
      <xdr:spPr>
        <a:xfrm>
          <a:off x="9944100" y="4686300"/>
          <a:ext cx="4013200" cy="1485900"/>
        </a:xfrm>
        <a:prstGeom prst="rect">
          <a:avLst/>
        </a:prstGeom>
        <a:solidFill>
          <a:srgbClr val="FFD29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it-IT" sz="1100"/>
            <a:t>Applicando il criterio della commessa completata per la valutazione dei lavori in corso su ordinazione l’utile sarà “realizzato” solo quando i ricavi saranno iscritti nel conto economico, l'utile  figurerà solo al termine della commessa e quindi nel 2° anno, differentemente da quanto accade applicando  il criterio della percentuale di completamento, dove l'utile della commessa viene “spalmato” sugli esercizi in funzione della % di completamento della commessa.</a:t>
          </a:r>
        </a:p>
        <a:p>
          <a:endParaRPr lang="it-IT"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447675</xdr:colOff>
      <xdr:row>57</xdr:row>
      <xdr:rowOff>9525</xdr:rowOff>
    </xdr:from>
    <xdr:to>
      <xdr:col>4</xdr:col>
      <xdr:colOff>1314450</xdr:colOff>
      <xdr:row>63</xdr:row>
      <xdr:rowOff>19050</xdr:rowOff>
    </xdr:to>
    <xdr:sp macro="" textlink="">
      <xdr:nvSpPr>
        <xdr:cNvPr id="2" name="CasellaDiTesto 1">
          <a:extLst>
            <a:ext uri="{FF2B5EF4-FFF2-40B4-BE49-F238E27FC236}">
              <a16:creationId xmlns:a16="http://schemas.microsoft.com/office/drawing/2014/main" id="{EFA6AB33-FD91-4143-91F4-470997309C77}"/>
            </a:ext>
          </a:extLst>
        </xdr:cNvPr>
        <xdr:cNvSpPr txBox="1"/>
      </xdr:nvSpPr>
      <xdr:spPr>
        <a:xfrm>
          <a:off x="1146175" y="10868025"/>
          <a:ext cx="2339975" cy="1152525"/>
        </a:xfrm>
        <a:prstGeom prst="rect">
          <a:avLst/>
        </a:prstGeom>
        <a:solidFill>
          <a:schemeClr val="accent5">
            <a:lumMod val="40000"/>
            <a:lumOff val="60000"/>
          </a:schemeClr>
        </a:solidFill>
        <a:ln w="28575" cmpd="sng">
          <a:solidFill>
            <a:srgbClr val="000000"/>
          </a:solidFill>
          <a:prstDash val="sysDash"/>
        </a:ln>
      </xdr:spPr>
      <xdr:txBody>
        <a:bodyPr vertOverflow="clip" horzOverflow="clip" wrap="square" lIns="91440" tIns="45720" rIns="91440" bIns="45720" rtlCol="0" anchor="t">
          <a:noAutofit/>
        </a:bodyPr>
        <a:lstStyle/>
        <a:p>
          <a:pPr marL="0" indent="0" algn="l"/>
          <a:r>
            <a:rPr lang="en-US" sz="1200" i="0">
              <a:latin typeface="Arial" panose="020B0604020202020204" pitchFamily="34" charset="0"/>
              <a:cs typeface="Arial" panose="020B0604020202020204" pitchFamily="34" charset="0"/>
            </a:rPr>
            <a:t>Costo medio ponderato (CMP): media ponderata tra il costo unitario di produzione e le unità di ogni lotto, relative agli acquisti e alle giacenze iniziali.</a:t>
          </a:r>
        </a:p>
        <a:p>
          <a:pPr marL="0" indent="0" algn="l"/>
          <a:r>
            <a:rPr lang="en-US" sz="1200" i="0">
              <a:latin typeface="Arial" panose="020B0604020202020204" pitchFamily="34" charset="0"/>
              <a:cs typeface="Arial" panose="020B0604020202020204" pitchFamily="34" charset="0"/>
            </a:rPr>
            <a:t>FIFO (first in first out): le rimanenze degli anni passati sono le prime ad essere escluse.</a:t>
          </a:r>
        </a:p>
        <a:p>
          <a:pPr marL="0" indent="0" algn="l"/>
          <a:r>
            <a:rPr lang="en-US" sz="1200" i="0">
              <a:latin typeface="Arial" panose="020B0604020202020204" pitchFamily="34" charset="0"/>
              <a:cs typeface="Arial" panose="020B0604020202020204" pitchFamily="34" charset="0"/>
            </a:rPr>
            <a:t>FIFO (first in first out): le rimanenze degli anni passati sono le prime ad essere escluse.</a:t>
          </a:r>
        </a:p>
        <a:p>
          <a:pPr marL="0" indent="0" algn="l"/>
          <a:r>
            <a:rPr lang="en-US" sz="1200" i="0">
              <a:latin typeface="Arial" panose="020B0604020202020204" pitchFamily="34" charset="0"/>
              <a:cs typeface="Arial" panose="020B0604020202020204" pitchFamily="34" charset="0"/>
            </a:rPr>
            <a:t>LIFO a scatti: a differenza del LIFO continuo le rimanenza iniziali sono valutate al rispettivo costo di produzione unitario e gli incrementi del periodo sono valutati al CMP.</a:t>
          </a:r>
        </a:p>
      </xdr:txBody>
    </xdr:sp>
    <xdr:clientData/>
  </xdr:twoCellAnchor>
  <xdr:twoCellAnchor>
    <xdr:from>
      <xdr:col>8</xdr:col>
      <xdr:colOff>171450</xdr:colOff>
      <xdr:row>28</xdr:row>
      <xdr:rowOff>152400</xdr:rowOff>
    </xdr:from>
    <xdr:to>
      <xdr:col>11</xdr:col>
      <xdr:colOff>2085975</xdr:colOff>
      <xdr:row>33</xdr:row>
      <xdr:rowOff>28575</xdr:rowOff>
    </xdr:to>
    <xdr:sp macro="" textlink="">
      <xdr:nvSpPr>
        <xdr:cNvPr id="3" name="CasellaDiTesto 2">
          <a:extLst>
            <a:ext uri="{FF2B5EF4-FFF2-40B4-BE49-F238E27FC236}">
              <a16:creationId xmlns:a16="http://schemas.microsoft.com/office/drawing/2014/main" id="{AE855D92-FBC9-AB4F-8D6E-400D3E6E2298}"/>
            </a:ext>
            <a:ext uri="{147F2762-F138-4A5C-976F-8EAC2B608ADB}">
              <a16:predDERef xmlns:a16="http://schemas.microsoft.com/office/drawing/2014/main" pred="{02821B9D-A923-C59D-61F8-FA2F48DAE486}"/>
            </a:ext>
          </a:extLst>
        </xdr:cNvPr>
        <xdr:cNvSpPr txBox="1"/>
      </xdr:nvSpPr>
      <xdr:spPr>
        <a:xfrm>
          <a:off x="5759450" y="5486400"/>
          <a:ext cx="2625725" cy="828675"/>
        </a:xfrm>
        <a:prstGeom prst="rect">
          <a:avLst/>
        </a:prstGeom>
        <a:solidFill>
          <a:schemeClr val="accent5">
            <a:lumMod val="40000"/>
            <a:lumOff val="60000"/>
          </a:schemeClr>
        </a:solidFill>
        <a:ln w="19050" cmpd="sng">
          <a:solidFill>
            <a:srgbClr val="000000"/>
          </a:solidFill>
        </a:ln>
      </xdr:spPr>
      <xdr:txBody>
        <a:bodyPr vertOverflow="clip" horzOverflow="clip" wrap="square" lIns="91440" tIns="45720" rIns="91440" bIns="45720" rtlCol="0" anchor="t">
          <a:noAutofit/>
        </a:bodyPr>
        <a:lstStyle/>
        <a:p>
          <a:pPr marL="0" indent="0" algn="ctr"/>
          <a:r>
            <a:rPr lang="en-US" sz="1200" i="1">
              <a:latin typeface="Arial" panose="020B0604020202020204" pitchFamily="34" charset="0"/>
              <a:cs typeface="Arial" panose="020B0604020202020204" pitchFamily="34" charset="0"/>
            </a:rPr>
            <a:t>Usando i principi contabili internazionali, non è consentito utilizzare il criterio del LIFO in quanto il valore che si determina si allontana dai valori correnti. Dunque, scegliamo di utilizzare il FIFO in quanto è il valore minimo tra quelli considerabili. Pertanto gli effetti sul reddito di periodo sono nulli rispetto al metodo civilistico.</a:t>
          </a:r>
        </a:p>
      </xdr:txBody>
    </xdr:sp>
    <xdr:clientData/>
  </xdr:twoCellAnchor>
  <xdr:twoCellAnchor>
    <xdr:from>
      <xdr:col>8</xdr:col>
      <xdr:colOff>200025</xdr:colOff>
      <xdr:row>47</xdr:row>
      <xdr:rowOff>95250</xdr:rowOff>
    </xdr:from>
    <xdr:to>
      <xdr:col>11</xdr:col>
      <xdr:colOff>2114550</xdr:colOff>
      <xdr:row>51</xdr:row>
      <xdr:rowOff>161925</xdr:rowOff>
    </xdr:to>
    <xdr:sp macro="" textlink="">
      <xdr:nvSpPr>
        <xdr:cNvPr id="4" name="CasellaDiTesto 3">
          <a:extLst>
            <a:ext uri="{FF2B5EF4-FFF2-40B4-BE49-F238E27FC236}">
              <a16:creationId xmlns:a16="http://schemas.microsoft.com/office/drawing/2014/main" id="{36B58423-639B-544E-9D4B-4CF9E2D410E7}"/>
            </a:ext>
            <a:ext uri="{147F2762-F138-4A5C-976F-8EAC2B608ADB}">
              <a16:predDERef xmlns:a16="http://schemas.microsoft.com/office/drawing/2014/main" pred="{32283191-B3D3-945D-674A-33D8453F1A3B}"/>
            </a:ext>
          </a:extLst>
        </xdr:cNvPr>
        <xdr:cNvSpPr txBox="1"/>
      </xdr:nvSpPr>
      <xdr:spPr>
        <a:xfrm>
          <a:off x="5788025" y="9048750"/>
          <a:ext cx="2587625" cy="828675"/>
        </a:xfrm>
        <a:prstGeom prst="rect">
          <a:avLst/>
        </a:prstGeom>
        <a:solidFill>
          <a:schemeClr val="accent5">
            <a:lumMod val="40000"/>
            <a:lumOff val="60000"/>
          </a:schemeClr>
        </a:solidFill>
        <a:ln w="19050"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1200" i="1">
              <a:latin typeface="Arial" panose="020B0604020202020204" pitchFamily="34" charset="0"/>
              <a:cs typeface="Arial" panose="020B0604020202020204" pitchFamily="34" charset="0"/>
            </a:rPr>
            <a:t>Usando i principi contabili internazionali, non è consentito utilizzare il criterio del LIFO in quanto il valore che si determina si allontana dai valori correnti. Dunque, scegliamo di utilizzare indifferentemento il CMP o il FIFO in quanto è il valore minimo tra quelli considerabili. Pertanto gli effetti sul reddito di periodo sono nulli rispetto al metodo civilistico.</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409575</xdr:colOff>
      <xdr:row>9</xdr:row>
      <xdr:rowOff>57150</xdr:rowOff>
    </xdr:from>
    <xdr:to>
      <xdr:col>12</xdr:col>
      <xdr:colOff>257175</xdr:colOff>
      <xdr:row>13</xdr:row>
      <xdr:rowOff>152400</xdr:rowOff>
    </xdr:to>
    <xdr:sp macro="" textlink="">
      <xdr:nvSpPr>
        <xdr:cNvPr id="2" name="CasellaDiTesto 1">
          <a:extLst>
            <a:ext uri="{FF2B5EF4-FFF2-40B4-BE49-F238E27FC236}">
              <a16:creationId xmlns:a16="http://schemas.microsoft.com/office/drawing/2014/main" id="{D4B0A621-3D52-7F49-AD21-561A5FAA316A}"/>
            </a:ext>
          </a:extLst>
        </xdr:cNvPr>
        <xdr:cNvSpPr txBox="1"/>
      </xdr:nvSpPr>
      <xdr:spPr>
        <a:xfrm>
          <a:off x="5121275" y="1771650"/>
          <a:ext cx="3213100" cy="857250"/>
        </a:xfrm>
        <a:prstGeom prst="rect">
          <a:avLst/>
        </a:prstGeom>
        <a:solidFill>
          <a:srgbClr val="FFC6CD"/>
        </a:solidFill>
        <a:ln w="19050" cmpd="sng">
          <a:solidFill>
            <a:srgbClr val="000000"/>
          </a:solidFill>
        </a:ln>
      </xdr:spPr>
      <xdr:txBody>
        <a:bodyPr vertOverflow="clip" horzOverflow="clip" wrap="square" lIns="91440" tIns="45720" rIns="91440" bIns="45720" rtlCol="0" anchor="ctr">
          <a:noAutofit/>
        </a:bodyPr>
        <a:lstStyle/>
        <a:p>
          <a:pPr marL="0" indent="0" algn="ctr"/>
          <a:r>
            <a:rPr lang="en-US" sz="1200" i="1">
              <a:latin typeface="Arial" panose="020B0604020202020204" pitchFamily="34" charset="0"/>
              <a:cs typeface="Arial" panose="020B0604020202020204" pitchFamily="34" charset="0"/>
            </a:rPr>
            <a:t>Il titolo presenta un valore di borsa maggiore rispetto alla valutazione al costo  quindi occorre rivalutarlo. La valutazione al Fair Value determina il formarsi di utili non effettivamente realizzati; l'importo proveniente dagli utili da negoziazione non effettivamente realizzati viene iscritto direttamente nel Conto Economico. Andando così ad accrescere, per lo stesso importo, il Capitale Netto.</a:t>
          </a:r>
        </a:p>
      </xdr:txBody>
    </xdr:sp>
    <xdr:clientData/>
  </xdr:twoCellAnchor>
  <xdr:twoCellAnchor>
    <xdr:from>
      <xdr:col>7</xdr:col>
      <xdr:colOff>257175</xdr:colOff>
      <xdr:row>30</xdr:row>
      <xdr:rowOff>47625</xdr:rowOff>
    </xdr:from>
    <xdr:to>
      <xdr:col>12</xdr:col>
      <xdr:colOff>104775</xdr:colOff>
      <xdr:row>34</xdr:row>
      <xdr:rowOff>180975</xdr:rowOff>
    </xdr:to>
    <xdr:sp macro="" textlink="">
      <xdr:nvSpPr>
        <xdr:cNvPr id="3" name="CasellaDiTesto 2">
          <a:extLst>
            <a:ext uri="{FF2B5EF4-FFF2-40B4-BE49-F238E27FC236}">
              <a16:creationId xmlns:a16="http://schemas.microsoft.com/office/drawing/2014/main" id="{3958A8CF-4FE1-6B4F-9436-34DB255923A6}"/>
            </a:ext>
            <a:ext uri="{147F2762-F138-4A5C-976F-8EAC2B608ADB}">
              <a16:predDERef xmlns:a16="http://schemas.microsoft.com/office/drawing/2014/main" pred="{DDEAC395-5D22-117F-825E-120B63CEC373}"/>
            </a:ext>
          </a:extLst>
        </xdr:cNvPr>
        <xdr:cNvSpPr txBox="1"/>
      </xdr:nvSpPr>
      <xdr:spPr>
        <a:xfrm>
          <a:off x="4968875" y="5762625"/>
          <a:ext cx="3213100" cy="895350"/>
        </a:xfrm>
        <a:prstGeom prst="rect">
          <a:avLst/>
        </a:prstGeom>
        <a:solidFill>
          <a:srgbClr val="FFC6CD"/>
        </a:solidFill>
        <a:ln w="19050" cmpd="sng">
          <a:solidFill>
            <a:srgbClr val="000000"/>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1200" i="1">
              <a:latin typeface="Arial" panose="020B0604020202020204" pitchFamily="34" charset="0"/>
              <a:cs typeface="Arial" panose="020B0604020202020204" pitchFamily="34" charset="0"/>
            </a:rPr>
            <a:t>Il titolo presenta un valore di borsa maggiore rispetto alla valutazione al costo  quindi occorre rivalutarlo. La valutazione al Fair Value determina il formarsi di utili non effettivamente realizzati; l'importo proveniente dagli utili da negoziazione non effettivamente realizzati viene iscritto direttamente nel Conto Economico. Andando così ad accrescere, per lo stesso importo, il Capitale Netto.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soTetaDaMettereAPos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ancio di verifica"/>
      <sheetName val="Libro giornale"/>
      <sheetName val="Libro mastro"/>
      <sheetName val="Scritture di riclassificazione"/>
      <sheetName val="Scritture di riepilogo"/>
      <sheetName val="Scritture finali"/>
      <sheetName val="Scritture di apertura"/>
      <sheetName val="CE"/>
      <sheetName val="SP"/>
      <sheetName val="Ammortamenti"/>
      <sheetName val="Calcolo TFR"/>
      <sheetName val="LIC"/>
      <sheetName val="Costo ammortizzato"/>
      <sheetName val="Operazione in valuta"/>
      <sheetName val="Piano ammortamento"/>
      <sheetName val="Leasing"/>
      <sheetName val="Rimanenze"/>
      <sheetName val="Titoli"/>
      <sheetName val="Riparto utile"/>
    </sheetNames>
    <sheetDataSet>
      <sheetData sheetId="0">
        <row r="5">
          <cell r="C5">
            <v>25117.7</v>
          </cell>
        </row>
        <row r="8">
          <cell r="C8">
            <v>20000</v>
          </cell>
        </row>
        <row r="9">
          <cell r="C9">
            <v>4000</v>
          </cell>
        </row>
        <row r="12">
          <cell r="C12">
            <v>5100</v>
          </cell>
        </row>
        <row r="13">
          <cell r="C13">
            <v>16000</v>
          </cell>
        </row>
        <row r="14">
          <cell r="C14">
            <v>4000</v>
          </cell>
        </row>
        <row r="24">
          <cell r="B24" t="str">
            <v>Partecipazioni in imprese collegate</v>
          </cell>
          <cell r="C24">
            <v>135000</v>
          </cell>
        </row>
        <row r="25">
          <cell r="C25">
            <v>382000</v>
          </cell>
        </row>
        <row r="26">
          <cell r="C26">
            <v>6000</v>
          </cell>
        </row>
        <row r="31">
          <cell r="C31">
            <v>32500</v>
          </cell>
        </row>
        <row r="33">
          <cell r="C33">
            <v>5500</v>
          </cell>
        </row>
        <row r="34">
          <cell r="C34">
            <v>15000</v>
          </cell>
        </row>
        <row r="40">
          <cell r="D40">
            <v>155000</v>
          </cell>
        </row>
        <row r="41">
          <cell r="D41">
            <v>65700</v>
          </cell>
        </row>
        <row r="42">
          <cell r="D42">
            <v>60200</v>
          </cell>
        </row>
        <row r="43">
          <cell r="D43">
            <v>10850</v>
          </cell>
        </row>
        <row r="44">
          <cell r="D44">
            <v>40270</v>
          </cell>
        </row>
        <row r="46">
          <cell r="D46">
            <v>23500</v>
          </cell>
        </row>
        <row r="54">
          <cell r="D54">
            <v>19500</v>
          </cell>
        </row>
        <row r="55">
          <cell r="D55">
            <v>38370</v>
          </cell>
        </row>
        <row r="56">
          <cell r="D56">
            <v>25740</v>
          </cell>
        </row>
        <row r="57">
          <cell r="D57">
            <v>12000</v>
          </cell>
        </row>
        <row r="59">
          <cell r="D59">
            <v>127000</v>
          </cell>
        </row>
        <row r="60">
          <cell r="D60">
            <v>12670</v>
          </cell>
        </row>
        <row r="61">
          <cell r="D61">
            <v>11800</v>
          </cell>
        </row>
        <row r="62">
          <cell r="D62">
            <v>16253</v>
          </cell>
        </row>
        <row r="65">
          <cell r="D65">
            <v>18320</v>
          </cell>
        </row>
        <row r="66">
          <cell r="D66">
            <v>15000</v>
          </cell>
        </row>
        <row r="68">
          <cell r="D68">
            <v>5530</v>
          </cell>
        </row>
        <row r="69">
          <cell r="D69">
            <v>4560</v>
          </cell>
        </row>
      </sheetData>
      <sheetData sheetId="1">
        <row r="5">
          <cell r="H5">
            <v>5000</v>
          </cell>
        </row>
      </sheetData>
      <sheetData sheetId="2">
        <row r="4">
          <cell r="G4">
            <v>6100</v>
          </cell>
        </row>
        <row r="15">
          <cell r="J15" t="str">
            <v>Risconti passivi</v>
          </cell>
        </row>
        <row r="16">
          <cell r="B16">
            <v>511527</v>
          </cell>
          <cell r="J16">
            <v>8000</v>
          </cell>
        </row>
        <row r="17">
          <cell r="F17">
            <v>43801.3</v>
          </cell>
        </row>
        <row r="28">
          <cell r="C28">
            <v>11000</v>
          </cell>
          <cell r="F28">
            <v>11000</v>
          </cell>
          <cell r="J28">
            <v>4185</v>
          </cell>
        </row>
        <row r="40">
          <cell r="C40">
            <v>4851</v>
          </cell>
          <cell r="G40">
            <v>70999</v>
          </cell>
          <cell r="K40">
            <v>16766.669999999998</v>
          </cell>
        </row>
        <row r="52">
          <cell r="B52">
            <v>96409.67</v>
          </cell>
          <cell r="F52">
            <v>22817</v>
          </cell>
          <cell r="K52">
            <v>14400</v>
          </cell>
        </row>
        <row r="64">
          <cell r="B64">
            <v>8300</v>
          </cell>
          <cell r="G64">
            <v>5100</v>
          </cell>
        </row>
        <row r="75">
          <cell r="B75" t="str">
            <v>Risconti attivi</v>
          </cell>
        </row>
        <row r="76">
          <cell r="C76">
            <v>21797.661666666667</v>
          </cell>
          <cell r="G76">
            <v>24333.33</v>
          </cell>
        </row>
        <row r="88">
          <cell r="F88">
            <v>8250</v>
          </cell>
          <cell r="K88">
            <v>4940</v>
          </cell>
        </row>
        <row r="89">
          <cell r="B89">
            <v>17320</v>
          </cell>
        </row>
        <row r="100">
          <cell r="G100">
            <v>16516.666666666668</v>
          </cell>
        </row>
        <row r="112">
          <cell r="C112">
            <v>10226.666666666666</v>
          </cell>
          <cell r="K112">
            <v>3666.6666666666665</v>
          </cell>
        </row>
        <row r="124">
          <cell r="G124">
            <v>27330</v>
          </cell>
          <cell r="J124">
            <v>24000</v>
          </cell>
        </row>
        <row r="136">
          <cell r="C136">
            <v>2333.3333333333335</v>
          </cell>
          <cell r="K136">
            <v>1431.8181818181818</v>
          </cell>
        </row>
        <row r="137">
          <cell r="G137">
            <v>4666.6666666666661</v>
          </cell>
        </row>
        <row r="148">
          <cell r="G148">
            <v>10000</v>
          </cell>
        </row>
        <row r="149">
          <cell r="C149">
            <v>14318.181818181818</v>
          </cell>
          <cell r="K149">
            <v>30000</v>
          </cell>
        </row>
        <row r="160">
          <cell r="C160">
            <v>33250</v>
          </cell>
          <cell r="F160">
            <v>33250</v>
          </cell>
          <cell r="K160">
            <v>12000</v>
          </cell>
        </row>
        <row r="172">
          <cell r="B172">
            <v>12000</v>
          </cell>
          <cell r="J172">
            <v>5036.5709795833336</v>
          </cell>
        </row>
        <row r="173">
          <cell r="G173">
            <v>33033.333333333328</v>
          </cell>
        </row>
        <row r="184">
          <cell r="C184">
            <v>2948.0047112149309</v>
          </cell>
          <cell r="G184">
            <v>553.39673663527174</v>
          </cell>
        </row>
        <row r="185">
          <cell r="K185">
            <v>24446.603263364726</v>
          </cell>
        </row>
        <row r="195">
          <cell r="J195" t="str">
            <v>Costi di sviluppo</v>
          </cell>
        </row>
        <row r="196">
          <cell r="G196">
            <v>22460</v>
          </cell>
          <cell r="K196">
            <v>30000</v>
          </cell>
        </row>
        <row r="198">
          <cell r="C198">
            <v>5721.4083333333328</v>
          </cell>
        </row>
        <row r="208">
          <cell r="C208">
            <v>1570</v>
          </cell>
          <cell r="F208">
            <v>19690</v>
          </cell>
          <cell r="K208">
            <v>35666.368593379397</v>
          </cell>
        </row>
        <row r="219">
          <cell r="G219">
            <v>33616.9014084507</v>
          </cell>
        </row>
        <row r="220">
          <cell r="B220">
            <v>4078.8685933793968</v>
          </cell>
          <cell r="J220">
            <v>4816.9014084506998</v>
          </cell>
        </row>
        <row r="230">
          <cell r="C230">
            <v>52480</v>
          </cell>
          <cell r="K230">
            <v>19448.336111111112</v>
          </cell>
        </row>
        <row r="231">
          <cell r="F231">
            <v>7730</v>
          </cell>
        </row>
        <row r="241">
          <cell r="B241">
            <v>235.33611111111168</v>
          </cell>
          <cell r="F241">
            <v>22</v>
          </cell>
          <cell r="J241">
            <v>15000</v>
          </cell>
        </row>
        <row r="253">
          <cell r="G253">
            <v>44460</v>
          </cell>
          <cell r="K253">
            <v>35793.333333333336</v>
          </cell>
        </row>
        <row r="264">
          <cell r="F264">
            <v>23826.074348050221</v>
          </cell>
          <cell r="J264">
            <v>203539.6593835814</v>
          </cell>
        </row>
        <row r="265">
          <cell r="C265">
            <v>1833.3333333333321</v>
          </cell>
        </row>
        <row r="276">
          <cell r="C276">
            <v>154322</v>
          </cell>
        </row>
      </sheetData>
      <sheetData sheetId="3"/>
      <sheetData sheetId="4"/>
      <sheetData sheetId="5">
        <row r="5">
          <cell r="D5" t="str">
            <v>Partecipazioni in imprese collegate</v>
          </cell>
        </row>
        <row r="23">
          <cell r="D23" t="str">
            <v>Costi di sviluppo</v>
          </cell>
        </row>
        <row r="32">
          <cell r="D32" t="str">
            <v>Risconti attivi</v>
          </cell>
        </row>
        <row r="56">
          <cell r="B56" t="str">
            <v>Risconti passivi</v>
          </cell>
        </row>
      </sheetData>
      <sheetData sheetId="6"/>
      <sheetData sheetId="7"/>
      <sheetData sheetId="8">
        <row r="6">
          <cell r="D6">
            <v>11800</v>
          </cell>
        </row>
        <row r="10">
          <cell r="D10">
            <v>16253</v>
          </cell>
        </row>
      </sheetData>
      <sheetData sheetId="9"/>
      <sheetData sheetId="10"/>
      <sheetData sheetId="11"/>
      <sheetData sheetId="12"/>
      <sheetData sheetId="13"/>
      <sheetData sheetId="14">
        <row r="12">
          <cell r="E12">
            <v>6486.860381169945</v>
          </cell>
          <cell r="F12">
            <v>2250</v>
          </cell>
        </row>
        <row r="13">
          <cell r="E13">
            <v>6584.163286887494</v>
          </cell>
          <cell r="F13">
            <v>2152.697094282451</v>
          </cell>
        </row>
        <row r="14">
          <cell r="E14">
            <v>6682.9257361908067</v>
          </cell>
          <cell r="F14">
            <v>2053.9346449791383</v>
          </cell>
        </row>
        <row r="15">
          <cell r="E15">
            <v>6783.1696222336686</v>
          </cell>
          <cell r="F15">
            <v>1953.6907589362763</v>
          </cell>
        </row>
        <row r="16">
          <cell r="E16">
            <v>6884.9171665671738</v>
          </cell>
          <cell r="F16">
            <v>1851.9432146027714</v>
          </cell>
        </row>
        <row r="17">
          <cell r="E17">
            <v>6988.1909240656814</v>
          </cell>
          <cell r="F17">
            <v>1748.6694571042638</v>
          </cell>
        </row>
        <row r="18">
          <cell r="E18">
            <v>7093.0137879266667</v>
          </cell>
          <cell r="F18">
            <v>1643.8465932432784</v>
          </cell>
        </row>
        <row r="19">
          <cell r="E19">
            <v>7199.4089947455668</v>
          </cell>
          <cell r="F19">
            <v>1537.4513864243786</v>
          </cell>
        </row>
        <row r="20">
          <cell r="E20">
            <v>7307.4001296667502</v>
          </cell>
          <cell r="F20">
            <v>1429.460251503195</v>
          </cell>
        </row>
        <row r="21">
          <cell r="E21">
            <v>7417.0111316117509</v>
          </cell>
          <cell r="F21">
            <v>1319.8492495581938</v>
          </cell>
        </row>
        <row r="22">
          <cell r="E22">
            <v>7528.2662985859279</v>
          </cell>
          <cell r="F22">
            <v>1208.5940825840173</v>
          </cell>
        </row>
        <row r="23">
          <cell r="E23">
            <v>7641.1902930647166</v>
          </cell>
          <cell r="F23">
            <v>1095.6700881052286</v>
          </cell>
        </row>
        <row r="24">
          <cell r="E24">
            <v>7755.808147460687</v>
          </cell>
          <cell r="F24">
            <v>981.05223370925785</v>
          </cell>
        </row>
        <row r="25">
          <cell r="E25">
            <v>7872.1452696725974</v>
          </cell>
          <cell r="F25">
            <v>864.71511149734749</v>
          </cell>
        </row>
        <row r="26">
          <cell r="E26">
            <v>7990.2274487176865</v>
          </cell>
          <cell r="F26">
            <v>746.6329324522585</v>
          </cell>
        </row>
        <row r="27">
          <cell r="E27">
            <v>8110.0808604484519</v>
          </cell>
          <cell r="F27">
            <v>626.77952072149333</v>
          </cell>
        </row>
        <row r="28">
          <cell r="E28">
            <v>8231.7320733551787</v>
          </cell>
          <cell r="F28">
            <v>505.12830781476657</v>
          </cell>
        </row>
        <row r="29">
          <cell r="E29">
            <v>8355.2080544555065</v>
          </cell>
          <cell r="F29">
            <v>381.65232671443891</v>
          </cell>
        </row>
        <row r="30">
          <cell r="E30">
            <v>8480.5361752723384</v>
          </cell>
          <cell r="F30">
            <v>256.3242058976063</v>
          </cell>
        </row>
        <row r="31">
          <cell r="E31">
            <v>8607.7442179014233</v>
          </cell>
          <cell r="F31">
            <v>129.11616326852123</v>
          </cell>
        </row>
      </sheetData>
      <sheetData sheetId="15"/>
      <sheetData sheetId="16"/>
      <sheetData sheetId="17"/>
      <sheetData sheetId="18"/>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2D3E8-4528-CC46-90BF-D5749B5B434B}">
  <dimension ref="A1:D73"/>
  <sheetViews>
    <sheetView zoomScale="150" workbookViewId="0">
      <selection sqref="A1:C1"/>
    </sheetView>
  </sheetViews>
  <sheetFormatPr baseColWidth="10" defaultRowHeight="16"/>
  <cols>
    <col min="1" max="1" width="39.83203125" style="63" bestFit="1" customWidth="1"/>
    <col min="2" max="2" width="18.1640625" style="63" customWidth="1"/>
    <col min="3" max="3" width="18.33203125" style="63" customWidth="1"/>
    <col min="4" max="16384" width="10.83203125" style="63"/>
  </cols>
  <sheetData>
    <row r="1" spans="1:4" ht="19">
      <c r="A1" s="459" t="s">
        <v>771</v>
      </c>
      <c r="B1" s="459"/>
      <c r="C1" s="459"/>
      <c r="D1" s="77"/>
    </row>
    <row r="2" spans="1:4">
      <c r="A2" s="76" t="s">
        <v>0</v>
      </c>
      <c r="B2" s="75" t="s">
        <v>1</v>
      </c>
      <c r="C2" s="75" t="s">
        <v>2</v>
      </c>
      <c r="D2" s="74"/>
    </row>
    <row r="3" spans="1:4">
      <c r="A3" s="67" t="s">
        <v>65</v>
      </c>
      <c r="B3" s="66">
        <v>70000</v>
      </c>
      <c r="C3" s="71" t="s">
        <v>741</v>
      </c>
      <c r="D3" s="73"/>
    </row>
    <row r="4" spans="1:4">
      <c r="A4" s="67" t="s">
        <v>66</v>
      </c>
      <c r="B4" s="66">
        <v>25117.7</v>
      </c>
      <c r="C4" s="71" t="s">
        <v>741</v>
      </c>
      <c r="D4" s="73"/>
    </row>
    <row r="5" spans="1:4">
      <c r="A5" s="67" t="s">
        <v>770</v>
      </c>
      <c r="B5" s="66">
        <v>170000</v>
      </c>
      <c r="C5" s="71" t="s">
        <v>741</v>
      </c>
      <c r="D5" s="68"/>
    </row>
    <row r="6" spans="1:4">
      <c r="A6" s="67" t="s">
        <v>769</v>
      </c>
      <c r="B6" s="66">
        <v>25000</v>
      </c>
      <c r="C6" s="71" t="s">
        <v>741</v>
      </c>
      <c r="D6" s="68"/>
    </row>
    <row r="7" spans="1:4">
      <c r="A7" s="67" t="s">
        <v>768</v>
      </c>
      <c r="B7" s="66">
        <v>20000</v>
      </c>
      <c r="C7" s="71" t="s">
        <v>741</v>
      </c>
      <c r="D7" s="68"/>
    </row>
    <row r="8" spans="1:4">
      <c r="A8" s="67" t="s">
        <v>59</v>
      </c>
      <c r="B8" s="66">
        <v>4000</v>
      </c>
      <c r="C8" s="71" t="s">
        <v>741</v>
      </c>
      <c r="D8" s="68"/>
    </row>
    <row r="9" spans="1:4">
      <c r="A9" s="67" t="s">
        <v>767</v>
      </c>
      <c r="B9" s="66">
        <v>20400</v>
      </c>
      <c r="C9" s="71" t="s">
        <v>741</v>
      </c>
      <c r="D9" s="68"/>
    </row>
    <row r="10" spans="1:4">
      <c r="A10" s="67" t="s">
        <v>61</v>
      </c>
      <c r="B10" s="66">
        <v>4500</v>
      </c>
      <c r="C10" s="71" t="s">
        <v>741</v>
      </c>
      <c r="D10" s="68"/>
    </row>
    <row r="11" spans="1:4">
      <c r="A11" s="67" t="s">
        <v>766</v>
      </c>
      <c r="B11" s="66">
        <v>5100</v>
      </c>
      <c r="C11" s="71" t="s">
        <v>741</v>
      </c>
      <c r="D11" s="68"/>
    </row>
    <row r="12" spans="1:4">
      <c r="A12" s="67" t="s">
        <v>765</v>
      </c>
      <c r="B12" s="66">
        <v>16000</v>
      </c>
      <c r="C12" s="71" t="s">
        <v>741</v>
      </c>
      <c r="D12" s="68"/>
    </row>
    <row r="13" spans="1:4">
      <c r="A13" s="67" t="s">
        <v>764</v>
      </c>
      <c r="B13" s="66">
        <v>4000</v>
      </c>
      <c r="C13" s="71" t="s">
        <v>741</v>
      </c>
      <c r="D13" s="68"/>
    </row>
    <row r="14" spans="1:4">
      <c r="A14" s="67" t="s">
        <v>64</v>
      </c>
      <c r="B14" s="66">
        <v>19191</v>
      </c>
      <c r="C14" s="71" t="s">
        <v>741</v>
      </c>
      <c r="D14" s="68"/>
    </row>
    <row r="15" spans="1:4">
      <c r="A15" s="67" t="s">
        <v>763</v>
      </c>
      <c r="B15" s="66">
        <v>98500</v>
      </c>
      <c r="C15" s="71" t="s">
        <v>741</v>
      </c>
      <c r="D15" s="68"/>
    </row>
    <row r="16" spans="1:4">
      <c r="A16" s="67" t="s">
        <v>52</v>
      </c>
      <c r="B16" s="66">
        <v>67000</v>
      </c>
      <c r="C16" s="71" t="s">
        <v>741</v>
      </c>
      <c r="D16" s="68"/>
    </row>
    <row r="17" spans="1:4">
      <c r="A17" s="67" t="s">
        <v>53</v>
      </c>
      <c r="B17" s="66">
        <v>76700</v>
      </c>
      <c r="C17" s="71" t="s">
        <v>741</v>
      </c>
      <c r="D17" s="68"/>
    </row>
    <row r="18" spans="1:4">
      <c r="A18" s="67" t="s">
        <v>54</v>
      </c>
      <c r="B18" s="66">
        <v>27500</v>
      </c>
      <c r="C18" s="71" t="s">
        <v>741</v>
      </c>
      <c r="D18" s="68"/>
    </row>
    <row r="19" spans="1:4">
      <c r="A19" s="67" t="s">
        <v>55</v>
      </c>
      <c r="B19" s="66">
        <v>9330</v>
      </c>
      <c r="C19" s="71" t="s">
        <v>741</v>
      </c>
      <c r="D19" s="68"/>
    </row>
    <row r="20" spans="1:4">
      <c r="A20" s="67" t="s">
        <v>48</v>
      </c>
      <c r="B20" s="66">
        <v>7000</v>
      </c>
      <c r="C20" s="71" t="s">
        <v>741</v>
      </c>
      <c r="D20" s="68"/>
    </row>
    <row r="21" spans="1:4">
      <c r="A21" s="67" t="s">
        <v>762</v>
      </c>
      <c r="B21" s="66">
        <v>15750</v>
      </c>
      <c r="C21" s="71" t="s">
        <v>741</v>
      </c>
      <c r="D21" s="68"/>
    </row>
    <row r="22" spans="1:4">
      <c r="A22" s="67" t="s">
        <v>49</v>
      </c>
      <c r="B22" s="66">
        <v>40000</v>
      </c>
      <c r="C22" s="71" t="s">
        <v>741</v>
      </c>
      <c r="D22" s="68"/>
    </row>
    <row r="23" spans="1:4">
      <c r="A23" s="67" t="s">
        <v>62</v>
      </c>
      <c r="B23" s="66">
        <v>135000</v>
      </c>
      <c r="C23" s="71" t="s">
        <v>741</v>
      </c>
      <c r="D23" s="68"/>
    </row>
    <row r="24" spans="1:4">
      <c r="A24" s="67" t="s">
        <v>83</v>
      </c>
      <c r="B24" s="66">
        <v>382000</v>
      </c>
      <c r="C24" s="71" t="s">
        <v>741</v>
      </c>
      <c r="D24" s="68"/>
    </row>
    <row r="25" spans="1:4">
      <c r="A25" s="67" t="s">
        <v>80</v>
      </c>
      <c r="B25" s="66">
        <v>6000</v>
      </c>
      <c r="C25" s="71" t="s">
        <v>741</v>
      </c>
      <c r="D25" s="68"/>
    </row>
    <row r="26" spans="1:4">
      <c r="A26" s="67" t="s">
        <v>761</v>
      </c>
      <c r="B26" s="66">
        <v>31587.5</v>
      </c>
      <c r="C26" s="71" t="s">
        <v>741</v>
      </c>
      <c r="D26" s="68"/>
    </row>
    <row r="27" spans="1:4">
      <c r="A27" s="67" t="s">
        <v>760</v>
      </c>
      <c r="B27" s="66">
        <v>28800</v>
      </c>
      <c r="C27" s="71" t="s">
        <v>741</v>
      </c>
      <c r="D27" s="68"/>
    </row>
    <row r="28" spans="1:4">
      <c r="A28" s="67" t="s">
        <v>759</v>
      </c>
      <c r="B28" s="66">
        <v>44750</v>
      </c>
      <c r="C28" s="71" t="s">
        <v>741</v>
      </c>
      <c r="D28" s="68"/>
    </row>
    <row r="29" spans="1:4">
      <c r="A29" s="67" t="s">
        <v>758</v>
      </c>
      <c r="B29" s="66">
        <v>24500</v>
      </c>
      <c r="C29" s="71" t="s">
        <v>741</v>
      </c>
      <c r="D29" s="68"/>
    </row>
    <row r="30" spans="1:4">
      <c r="A30" s="67" t="s">
        <v>84</v>
      </c>
      <c r="B30" s="66">
        <v>32500</v>
      </c>
      <c r="C30" s="71" t="s">
        <v>741</v>
      </c>
      <c r="D30" s="68"/>
    </row>
    <row r="31" spans="1:4">
      <c r="A31" s="67" t="s">
        <v>47</v>
      </c>
      <c r="B31" s="66">
        <v>15000</v>
      </c>
      <c r="C31" s="71" t="s">
        <v>741</v>
      </c>
      <c r="D31" s="68"/>
    </row>
    <row r="32" spans="1:4">
      <c r="A32" s="67" t="s">
        <v>50</v>
      </c>
      <c r="B32" s="66">
        <v>5500</v>
      </c>
      <c r="C32" s="71" t="s">
        <v>741</v>
      </c>
      <c r="D32" s="68"/>
    </row>
    <row r="33" spans="1:4">
      <c r="A33" s="67" t="s">
        <v>85</v>
      </c>
      <c r="B33" s="66">
        <v>15000</v>
      </c>
      <c r="C33" s="71" t="s">
        <v>741</v>
      </c>
      <c r="D33" s="68"/>
    </row>
    <row r="34" spans="1:4">
      <c r="A34" s="67" t="s">
        <v>757</v>
      </c>
      <c r="B34" s="66">
        <v>14602.4</v>
      </c>
      <c r="C34" s="71" t="s">
        <v>741</v>
      </c>
      <c r="D34" s="68"/>
    </row>
    <row r="35" spans="1:4">
      <c r="A35" s="67" t="s">
        <v>756</v>
      </c>
      <c r="B35" s="66">
        <v>6100</v>
      </c>
      <c r="C35" s="71" t="s">
        <v>741</v>
      </c>
      <c r="D35" s="68"/>
    </row>
    <row r="36" spans="1:4">
      <c r="A36" s="67" t="s">
        <v>86</v>
      </c>
      <c r="B36" s="66">
        <v>198000</v>
      </c>
      <c r="C36" s="71" t="s">
        <v>741</v>
      </c>
      <c r="D36" s="68"/>
    </row>
    <row r="37" spans="1:4">
      <c r="A37" s="67" t="s">
        <v>87</v>
      </c>
      <c r="B37" s="66">
        <v>54500</v>
      </c>
      <c r="C37" s="71" t="s">
        <v>741</v>
      </c>
      <c r="D37" s="68"/>
    </row>
    <row r="38" spans="1:4">
      <c r="A38" s="67" t="s">
        <v>89</v>
      </c>
      <c r="B38" s="66">
        <v>2326.59</v>
      </c>
      <c r="C38" s="71" t="s">
        <v>741</v>
      </c>
      <c r="D38" s="68"/>
    </row>
    <row r="39" spans="1:4">
      <c r="A39" s="67" t="s">
        <v>73</v>
      </c>
      <c r="B39" s="71" t="s">
        <v>741</v>
      </c>
      <c r="C39" s="66">
        <v>155000</v>
      </c>
      <c r="D39" s="68"/>
    </row>
    <row r="40" spans="1:4">
      <c r="A40" s="67" t="s">
        <v>74</v>
      </c>
      <c r="B40" s="71" t="s">
        <v>741</v>
      </c>
      <c r="C40" s="66">
        <v>65700</v>
      </c>
      <c r="D40" s="68"/>
    </row>
    <row r="41" spans="1:4">
      <c r="A41" s="67" t="s">
        <v>78</v>
      </c>
      <c r="B41" s="71" t="s">
        <v>741</v>
      </c>
      <c r="C41" s="66">
        <v>60200</v>
      </c>
      <c r="D41" s="68"/>
    </row>
    <row r="42" spans="1:4">
      <c r="A42" s="67" t="s">
        <v>77</v>
      </c>
      <c r="B42" s="71" t="s">
        <v>741</v>
      </c>
      <c r="C42" s="66">
        <v>10850</v>
      </c>
      <c r="D42" s="68"/>
    </row>
    <row r="43" spans="1:4">
      <c r="A43" s="67" t="s">
        <v>76</v>
      </c>
      <c r="B43" s="71" t="s">
        <v>741</v>
      </c>
      <c r="C43" s="66">
        <v>40270</v>
      </c>
      <c r="D43" s="68"/>
    </row>
    <row r="44" spans="1:4">
      <c r="A44" s="67" t="s">
        <v>755</v>
      </c>
      <c r="B44" s="71" t="s">
        <v>741</v>
      </c>
      <c r="C44" s="66">
        <v>36620</v>
      </c>
      <c r="D44" s="68"/>
    </row>
    <row r="45" spans="1:4">
      <c r="A45" s="67" t="s">
        <v>75</v>
      </c>
      <c r="B45" s="71" t="s">
        <v>741</v>
      </c>
      <c r="C45" s="66">
        <v>23500</v>
      </c>
      <c r="D45" s="68"/>
    </row>
    <row r="46" spans="1:4">
      <c r="A46" s="67" t="s">
        <v>754</v>
      </c>
      <c r="B46" s="71" t="s">
        <v>741</v>
      </c>
      <c r="C46" s="66">
        <v>227280.89</v>
      </c>
      <c r="D46" s="68"/>
    </row>
    <row r="47" spans="1:4">
      <c r="A47" s="67" t="s">
        <v>753</v>
      </c>
      <c r="B47" s="71" t="s">
        <v>741</v>
      </c>
      <c r="C47" s="66">
        <v>80000</v>
      </c>
      <c r="D47" s="68"/>
    </row>
    <row r="48" spans="1:4">
      <c r="A48" s="67" t="s">
        <v>752</v>
      </c>
      <c r="B48" s="71" t="s">
        <v>741</v>
      </c>
      <c r="C48" s="66">
        <v>49100</v>
      </c>
      <c r="D48" s="68"/>
    </row>
    <row r="49" spans="1:4">
      <c r="A49" s="67" t="s">
        <v>751</v>
      </c>
      <c r="B49" s="71" t="s">
        <v>741</v>
      </c>
      <c r="C49" s="66">
        <v>23450</v>
      </c>
      <c r="D49" s="68"/>
    </row>
    <row r="50" spans="1:4">
      <c r="A50" s="67" t="s">
        <v>750</v>
      </c>
      <c r="B50" s="71" t="s">
        <v>741</v>
      </c>
      <c r="C50" s="66">
        <v>30680</v>
      </c>
      <c r="D50" s="68"/>
    </row>
    <row r="51" spans="1:4" ht="34">
      <c r="A51" s="72" t="s">
        <v>749</v>
      </c>
      <c r="B51" s="71" t="s">
        <v>741</v>
      </c>
      <c r="C51" s="66">
        <v>22000</v>
      </c>
      <c r="D51" s="68"/>
    </row>
    <row r="52" spans="1:4">
      <c r="A52" s="67" t="s">
        <v>70</v>
      </c>
      <c r="B52" s="71" t="s">
        <v>741</v>
      </c>
      <c r="C52" s="66">
        <v>10578</v>
      </c>
      <c r="D52" s="68"/>
    </row>
    <row r="53" spans="1:4">
      <c r="A53" s="67" t="s">
        <v>748</v>
      </c>
      <c r="B53" s="71" t="s">
        <v>741</v>
      </c>
      <c r="C53" s="66">
        <v>19500</v>
      </c>
      <c r="D53" s="68"/>
    </row>
    <row r="54" spans="1:4">
      <c r="A54" s="67" t="s">
        <v>747</v>
      </c>
      <c r="B54" s="71" t="s">
        <v>741</v>
      </c>
      <c r="C54" s="66">
        <v>38370</v>
      </c>
      <c r="D54" s="68"/>
    </row>
    <row r="55" spans="1:4">
      <c r="A55" s="67" t="s">
        <v>71</v>
      </c>
      <c r="B55" s="71" t="s">
        <v>741</v>
      </c>
      <c r="C55" s="66">
        <v>25740</v>
      </c>
      <c r="D55" s="68"/>
    </row>
    <row r="56" spans="1:4">
      <c r="A56" s="67" t="s">
        <v>72</v>
      </c>
      <c r="B56" s="71" t="s">
        <v>741</v>
      </c>
      <c r="C56" s="66">
        <v>12000</v>
      </c>
      <c r="D56" s="68"/>
    </row>
    <row r="57" spans="1:4">
      <c r="A57" s="67" t="s">
        <v>746</v>
      </c>
      <c r="B57" s="71" t="s">
        <v>741</v>
      </c>
      <c r="C57" s="66">
        <v>18120</v>
      </c>
      <c r="D57" s="68"/>
    </row>
    <row r="58" spans="1:4">
      <c r="A58" s="67" t="s">
        <v>67</v>
      </c>
      <c r="B58" s="71" t="s">
        <v>741</v>
      </c>
      <c r="C58" s="66">
        <v>127000</v>
      </c>
      <c r="D58" s="68"/>
    </row>
    <row r="59" spans="1:4">
      <c r="A59" s="67" t="s">
        <v>68</v>
      </c>
      <c r="B59" s="71" t="s">
        <v>741</v>
      </c>
      <c r="C59" s="66">
        <v>12670</v>
      </c>
      <c r="D59" s="68"/>
    </row>
    <row r="60" spans="1:4">
      <c r="A60" s="67" t="s">
        <v>745</v>
      </c>
      <c r="B60" s="71" t="s">
        <v>741</v>
      </c>
      <c r="C60" s="66">
        <v>11800</v>
      </c>
      <c r="D60" s="68"/>
    </row>
    <row r="61" spans="1:4">
      <c r="A61" s="67" t="s">
        <v>69</v>
      </c>
      <c r="B61" s="71" t="s">
        <v>741</v>
      </c>
      <c r="C61" s="66">
        <v>16253</v>
      </c>
      <c r="D61" s="68"/>
    </row>
    <row r="62" spans="1:4">
      <c r="A62" s="67" t="s">
        <v>79</v>
      </c>
      <c r="B62" s="71" t="s">
        <v>741</v>
      </c>
      <c r="C62" s="66">
        <v>506527</v>
      </c>
      <c r="D62" s="68"/>
    </row>
    <row r="63" spans="1:4">
      <c r="A63" s="67" t="s">
        <v>81</v>
      </c>
      <c r="B63" s="71" t="s">
        <v>741</v>
      </c>
      <c r="C63" s="66">
        <v>51801.3</v>
      </c>
      <c r="D63" s="68"/>
    </row>
    <row r="64" spans="1:4">
      <c r="A64" s="67" t="s">
        <v>744</v>
      </c>
      <c r="B64" s="71" t="s">
        <v>741</v>
      </c>
      <c r="C64" s="66">
        <v>18320</v>
      </c>
      <c r="D64" s="68"/>
    </row>
    <row r="65" spans="1:4">
      <c r="A65" s="67" t="s">
        <v>82</v>
      </c>
      <c r="B65" s="71" t="s">
        <v>741</v>
      </c>
      <c r="C65" s="66">
        <v>15000</v>
      </c>
      <c r="D65" s="68"/>
    </row>
    <row r="66" spans="1:4">
      <c r="A66" s="67" t="s">
        <v>88</v>
      </c>
      <c r="B66" s="71" t="s">
        <v>741</v>
      </c>
      <c r="C66" s="66">
        <v>2835</v>
      </c>
      <c r="D66" s="68"/>
    </row>
    <row r="67" spans="1:4">
      <c r="A67" s="67" t="s">
        <v>743</v>
      </c>
      <c r="B67" s="71" t="s">
        <v>741</v>
      </c>
      <c r="C67" s="66">
        <v>5530</v>
      </c>
      <c r="D67" s="68"/>
    </row>
    <row r="68" spans="1:4">
      <c r="A68" s="67" t="s">
        <v>742</v>
      </c>
      <c r="B68" s="71" t="s">
        <v>741</v>
      </c>
      <c r="C68" s="66">
        <v>4560</v>
      </c>
      <c r="D68" s="68"/>
    </row>
    <row r="69" spans="1:4" ht="19">
      <c r="A69" s="70" t="s">
        <v>46</v>
      </c>
      <c r="B69" s="69">
        <f>SUM(B3:B38)</f>
        <v>1721255.19</v>
      </c>
      <c r="C69" s="69">
        <f>SUM(C39:C68)</f>
        <v>1721255.1900000002</v>
      </c>
      <c r="D69" s="68"/>
    </row>
    <row r="70" spans="1:4">
      <c r="A70" s="64"/>
      <c r="B70" s="65"/>
      <c r="C70" s="65"/>
      <c r="D70" s="64"/>
    </row>
    <row r="71" spans="1:4" ht="19">
      <c r="A71" s="458" t="s">
        <v>740</v>
      </c>
      <c r="B71" s="458"/>
      <c r="C71" s="65"/>
      <c r="D71" s="64"/>
    </row>
    <row r="72" spans="1:4">
      <c r="A72" s="67" t="s">
        <v>739</v>
      </c>
      <c r="B72" s="66">
        <v>55000</v>
      </c>
      <c r="C72" s="65"/>
      <c r="D72" s="64"/>
    </row>
    <row r="73" spans="1:4">
      <c r="A73" s="67" t="s">
        <v>738</v>
      </c>
      <c r="B73" s="66">
        <v>38409.519999999997</v>
      </c>
      <c r="C73" s="65"/>
      <c r="D73" s="64"/>
    </row>
  </sheetData>
  <mergeCells count="2">
    <mergeCell ref="A71:B71"/>
    <mergeCell ref="A1:C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0FA49-C74F-2644-9316-AA66BA229EBB}">
  <dimension ref="B1:G9"/>
  <sheetViews>
    <sheetView workbookViewId="0">
      <selection activeCell="D9" sqref="D9"/>
    </sheetView>
  </sheetViews>
  <sheetFormatPr baseColWidth="10" defaultColWidth="8.83203125" defaultRowHeight="15"/>
  <cols>
    <col min="1" max="1" width="8.83203125" style="58"/>
    <col min="2" max="2" width="43.6640625" style="58" bestFit="1" customWidth="1"/>
    <col min="3" max="3" width="30.1640625" style="58" bestFit="1" customWidth="1"/>
    <col min="4" max="4" width="18.6640625" style="58" bestFit="1" customWidth="1"/>
    <col min="5" max="16384" width="8.83203125" style="58"/>
  </cols>
  <sheetData>
    <row r="1" spans="2:7" ht="16" thickBot="1"/>
    <row r="2" spans="2:7" ht="19" thickBot="1">
      <c r="B2" s="730" t="s">
        <v>979</v>
      </c>
      <c r="C2" s="731"/>
      <c r="D2" s="732"/>
    </row>
    <row r="3" spans="2:7" ht="18">
      <c r="B3" s="733" t="s">
        <v>978</v>
      </c>
      <c r="C3" s="194" t="s">
        <v>806</v>
      </c>
      <c r="D3" s="193">
        <v>198000</v>
      </c>
    </row>
    <row r="4" spans="2:7" ht="18">
      <c r="B4" s="733" t="s">
        <v>977</v>
      </c>
      <c r="C4" s="192" t="s">
        <v>976</v>
      </c>
      <c r="D4" s="191">
        <f>D3/13.5</f>
        <v>14666.666666666666</v>
      </c>
    </row>
    <row r="5" spans="2:7" ht="18">
      <c r="B5" s="734" t="s">
        <v>975</v>
      </c>
      <c r="C5" s="189" t="s">
        <v>806</v>
      </c>
      <c r="D5" s="188">
        <v>80000</v>
      </c>
    </row>
    <row r="6" spans="2:7" ht="18">
      <c r="B6" s="734" t="s">
        <v>974</v>
      </c>
      <c r="C6" s="189" t="s">
        <v>973</v>
      </c>
      <c r="D6" s="188">
        <f>80000*(1.5+1.5*75%)%</f>
        <v>2100</v>
      </c>
    </row>
    <row r="7" spans="2:7" ht="18">
      <c r="B7" s="734" t="s">
        <v>972</v>
      </c>
      <c r="C7" s="190" t="s">
        <v>971</v>
      </c>
      <c r="D7" s="188">
        <f>D4+D6</f>
        <v>16766.666666666664</v>
      </c>
      <c r="E7" s="595" t="s">
        <v>1141</v>
      </c>
      <c r="F7" s="596"/>
      <c r="G7" s="596"/>
    </row>
    <row r="8" spans="2:7" ht="18">
      <c r="B8" s="734" t="s">
        <v>970</v>
      </c>
      <c r="C8" s="189" t="s">
        <v>969</v>
      </c>
      <c r="D8" s="188">
        <f>D6*17%</f>
        <v>357</v>
      </c>
    </row>
    <row r="9" spans="2:7" ht="18">
      <c r="B9" s="734" t="s">
        <v>968</v>
      </c>
      <c r="C9" s="189" t="s">
        <v>967</v>
      </c>
      <c r="D9" s="188">
        <f>D7-D8</f>
        <v>16409.666666666664</v>
      </c>
    </row>
  </sheetData>
  <mergeCells count="2">
    <mergeCell ref="B2:D2"/>
    <mergeCell ref="E7:G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CC74C-659B-F943-B8B9-71BA7F3B85FE}">
  <dimension ref="B2:F45"/>
  <sheetViews>
    <sheetView workbookViewId="0">
      <selection activeCell="B46" sqref="B46"/>
    </sheetView>
  </sheetViews>
  <sheetFormatPr baseColWidth="10" defaultColWidth="8.83203125" defaultRowHeight="15"/>
  <cols>
    <col min="1" max="1" width="8.83203125" style="58"/>
    <col min="2" max="2" width="45.1640625" style="58" customWidth="1"/>
    <col min="3" max="3" width="27.83203125" style="58" bestFit="1" customWidth="1"/>
    <col min="4" max="16384" width="8.83203125" style="58"/>
  </cols>
  <sheetData>
    <row r="2" spans="2:6" ht="16">
      <c r="B2" s="602" t="s">
        <v>111</v>
      </c>
      <c r="C2" s="603"/>
    </row>
    <row r="3" spans="2:6" ht="16">
      <c r="B3" s="298" t="s">
        <v>966</v>
      </c>
      <c r="C3" s="299">
        <v>95000</v>
      </c>
    </row>
    <row r="4" spans="2:6" ht="16">
      <c r="B4" s="298" t="s">
        <v>965</v>
      </c>
      <c r="C4" s="300">
        <v>50000</v>
      </c>
    </row>
    <row r="5" spans="2:6" ht="16">
      <c r="B5" s="298" t="s">
        <v>964</v>
      </c>
      <c r="C5" s="301" t="s">
        <v>963</v>
      </c>
    </row>
    <row r="6" spans="2:6" ht="16">
      <c r="B6" s="298" t="s">
        <v>962</v>
      </c>
      <c r="C6" s="302">
        <v>0.35</v>
      </c>
    </row>
    <row r="9" spans="2:6" ht="19" thickBot="1">
      <c r="B9" s="583" t="s">
        <v>961</v>
      </c>
      <c r="C9" s="584"/>
      <c r="D9" s="584"/>
      <c r="E9" s="584"/>
      <c r="F9" s="585"/>
    </row>
    <row r="11" spans="2:6" ht="16">
      <c r="B11" s="597" t="s">
        <v>960</v>
      </c>
      <c r="C11" s="598"/>
    </row>
    <row r="12" spans="2:6" ht="16">
      <c r="B12" s="606" t="s">
        <v>129</v>
      </c>
      <c r="C12" s="606"/>
    </row>
    <row r="13" spans="2:6" ht="16">
      <c r="B13" s="607" t="s">
        <v>950</v>
      </c>
      <c r="C13" s="608"/>
    </row>
    <row r="14" spans="2:6" ht="16">
      <c r="B14" s="305" t="s">
        <v>948</v>
      </c>
      <c r="C14" s="306" t="s">
        <v>959</v>
      </c>
    </row>
    <row r="15" spans="2:6" ht="16">
      <c r="B15" s="305" t="s">
        <v>947</v>
      </c>
      <c r="C15" s="306" t="s">
        <v>953</v>
      </c>
    </row>
    <row r="16" spans="2:6" ht="16">
      <c r="B16" s="305" t="s">
        <v>945</v>
      </c>
      <c r="C16" s="307" t="s">
        <v>958</v>
      </c>
    </row>
    <row r="18" spans="2:6" ht="16">
      <c r="B18" s="604" t="s">
        <v>957</v>
      </c>
      <c r="C18" s="605"/>
    </row>
    <row r="19" spans="2:6" ht="16">
      <c r="B19" s="303" t="s">
        <v>129</v>
      </c>
      <c r="C19" s="304"/>
    </row>
    <row r="20" spans="2:6" ht="16">
      <c r="B20" s="305" t="s">
        <v>950</v>
      </c>
      <c r="C20" s="304"/>
    </row>
    <row r="21" spans="2:6" ht="16">
      <c r="B21" s="305" t="s">
        <v>949</v>
      </c>
      <c r="C21" s="308">
        <v>95000</v>
      </c>
    </row>
    <row r="22" spans="2:6" ht="16">
      <c r="B22" s="305" t="s">
        <v>948</v>
      </c>
      <c r="C22" s="308">
        <v>33250</v>
      </c>
    </row>
    <row r="23" spans="2:6" ht="16">
      <c r="B23" s="305" t="s">
        <v>947</v>
      </c>
      <c r="C23" s="308" t="s">
        <v>946</v>
      </c>
    </row>
    <row r="24" spans="2:6" ht="16">
      <c r="B24" s="305" t="s">
        <v>945</v>
      </c>
      <c r="C24" s="309" t="s">
        <v>956</v>
      </c>
    </row>
    <row r="27" spans="2:6" ht="19" thickBot="1">
      <c r="B27" s="583" t="s">
        <v>955</v>
      </c>
      <c r="C27" s="584"/>
      <c r="D27" s="584"/>
      <c r="E27" s="584"/>
      <c r="F27" s="585"/>
    </row>
    <row r="29" spans="2:6" ht="16">
      <c r="B29" s="597" t="s">
        <v>954</v>
      </c>
      <c r="C29" s="598"/>
    </row>
    <row r="30" spans="2:6" ht="16">
      <c r="B30" s="606" t="s">
        <v>129</v>
      </c>
      <c r="C30" s="606"/>
    </row>
    <row r="31" spans="2:6" ht="16">
      <c r="B31" s="606" t="s">
        <v>950</v>
      </c>
      <c r="C31" s="606"/>
    </row>
    <row r="32" spans="2:6" ht="16">
      <c r="B32" s="305" t="s">
        <v>948</v>
      </c>
      <c r="C32" s="306" t="s">
        <v>953</v>
      </c>
    </row>
    <row r="33" spans="2:4" ht="16">
      <c r="B33" s="305" t="s">
        <v>947</v>
      </c>
      <c r="C33" s="306" t="s">
        <v>953</v>
      </c>
    </row>
    <row r="34" spans="2:4" ht="16">
      <c r="B34" s="305" t="s">
        <v>945</v>
      </c>
      <c r="C34" s="307" t="s">
        <v>952</v>
      </c>
    </row>
    <row r="36" spans="2:4" ht="16">
      <c r="B36" s="597" t="s">
        <v>951</v>
      </c>
      <c r="C36" s="598"/>
    </row>
    <row r="37" spans="2:4" ht="16">
      <c r="B37" s="606" t="s">
        <v>129</v>
      </c>
      <c r="C37" s="606"/>
    </row>
    <row r="38" spans="2:4" ht="16">
      <c r="B38" s="606" t="s">
        <v>950</v>
      </c>
      <c r="C38" s="606"/>
    </row>
    <row r="39" spans="2:4" ht="16">
      <c r="B39" s="305" t="s">
        <v>949</v>
      </c>
      <c r="C39" s="308">
        <v>95000</v>
      </c>
    </row>
    <row r="40" spans="2:4" ht="16">
      <c r="B40" s="305" t="s">
        <v>948</v>
      </c>
      <c r="C40" s="308">
        <v>17500</v>
      </c>
    </row>
    <row r="41" spans="2:4" ht="16">
      <c r="B41" s="305" t="s">
        <v>947</v>
      </c>
      <c r="C41" s="308" t="s">
        <v>946</v>
      </c>
    </row>
    <row r="42" spans="2:4" ht="16">
      <c r="B42" s="305" t="s">
        <v>945</v>
      </c>
      <c r="C42" s="309" t="s">
        <v>944</v>
      </c>
    </row>
    <row r="44" spans="2:4" ht="17" thickBot="1">
      <c r="B44" s="187" t="s">
        <v>943</v>
      </c>
    </row>
    <row r="45" spans="2:4" ht="17" thickBot="1">
      <c r="B45" s="599" t="s">
        <v>1153</v>
      </c>
      <c r="C45" s="600"/>
      <c r="D45" s="601"/>
    </row>
  </sheetData>
  <mergeCells count="14">
    <mergeCell ref="B29:C29"/>
    <mergeCell ref="B36:C36"/>
    <mergeCell ref="B45:D45"/>
    <mergeCell ref="B2:C2"/>
    <mergeCell ref="B9:F9"/>
    <mergeCell ref="B11:C11"/>
    <mergeCell ref="B27:F27"/>
    <mergeCell ref="B18:C18"/>
    <mergeCell ref="B12:C12"/>
    <mergeCell ref="B13:C13"/>
    <mergeCell ref="B37:C37"/>
    <mergeCell ref="B38:C38"/>
    <mergeCell ref="B30:C30"/>
    <mergeCell ref="B31:C3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EDED5-1F3D-7042-93D6-BBD931545711}">
  <dimension ref="A1:K200"/>
  <sheetViews>
    <sheetView topLeftCell="A132" workbookViewId="0">
      <selection activeCell="D77" sqref="D77"/>
    </sheetView>
  </sheetViews>
  <sheetFormatPr baseColWidth="10" defaultColWidth="8.83203125" defaultRowHeight="15"/>
  <cols>
    <col min="1" max="1" width="11.33203125" style="58" bestFit="1" customWidth="1"/>
    <col min="2" max="2" width="29.83203125" style="58" bestFit="1" customWidth="1"/>
    <col min="3" max="3" width="17.6640625" style="58" bestFit="1" customWidth="1"/>
    <col min="4" max="4" width="20.83203125" style="58" bestFit="1" customWidth="1"/>
    <col min="5" max="5" width="21.6640625" style="58" bestFit="1" customWidth="1"/>
    <col min="6" max="6" width="40.1640625" style="58" bestFit="1" customWidth="1"/>
    <col min="7" max="7" width="22.33203125" style="58" bestFit="1" customWidth="1"/>
    <col min="8" max="8" width="16" style="58" bestFit="1" customWidth="1"/>
    <col min="9" max="9" width="17.6640625" style="58" bestFit="1" customWidth="1"/>
    <col min="10" max="10" width="41.33203125" style="58" bestFit="1" customWidth="1"/>
    <col min="11" max="11" width="73.33203125" style="58" bestFit="1" customWidth="1"/>
    <col min="12" max="16384" width="8.83203125" style="58"/>
  </cols>
  <sheetData>
    <row r="1" spans="2:6" ht="16" thickBot="1"/>
    <row r="2" spans="2:6" ht="19" thickBot="1">
      <c r="B2" s="583" t="s">
        <v>1010</v>
      </c>
      <c r="C2" s="584"/>
      <c r="D2" s="584"/>
      <c r="E2" s="584"/>
      <c r="F2" s="585"/>
    </row>
    <row r="4" spans="2:6" ht="16">
      <c r="B4" s="314" t="s">
        <v>1007</v>
      </c>
      <c r="C4" s="320">
        <v>150000</v>
      </c>
      <c r="D4" s="210"/>
    </row>
    <row r="5" spans="2:6" ht="16">
      <c r="B5" s="315" t="s">
        <v>1009</v>
      </c>
      <c r="C5" s="321">
        <v>3700</v>
      </c>
      <c r="D5" s="210"/>
    </row>
    <row r="6" spans="2:6" ht="16">
      <c r="B6" s="315" t="s">
        <v>1005</v>
      </c>
      <c r="C6" s="322">
        <v>0.03</v>
      </c>
      <c r="D6" s="210"/>
    </row>
    <row r="7" spans="2:6" ht="17" thickBot="1">
      <c r="B7" s="316" t="s">
        <v>1004</v>
      </c>
      <c r="C7" s="323">
        <f>C6/2</f>
        <v>1.4999999999999999E-2</v>
      </c>
      <c r="D7" s="210"/>
    </row>
    <row r="8" spans="2:6">
      <c r="B8" s="210"/>
      <c r="C8" s="210"/>
      <c r="D8" s="210"/>
    </row>
    <row r="9" spans="2:6" ht="16">
      <c r="B9" s="311">
        <f>C4-C5</f>
        <v>146300</v>
      </c>
      <c r="C9" s="312">
        <v>44531</v>
      </c>
      <c r="D9" s="261" t="s">
        <v>1142</v>
      </c>
    </row>
    <row r="10" spans="2:6" ht="16">
      <c r="B10" s="324">
        <f>-(C4*(C6/2))/(1-(1/(1+C6/2)^20))</f>
        <v>-8736.8603811700141</v>
      </c>
      <c r="C10" s="325">
        <v>44713</v>
      </c>
      <c r="D10" s="313" t="s">
        <v>208</v>
      </c>
    </row>
    <row r="11" spans="2:6" ht="16">
      <c r="B11" s="324">
        <f>-(C4*(C6/2))/(1-(1/(1+C6/2)^20))</f>
        <v>-8736.8603811700141</v>
      </c>
      <c r="C11" s="325">
        <v>44896</v>
      </c>
      <c r="D11" s="313" t="s">
        <v>208</v>
      </c>
    </row>
    <row r="12" spans="2:6" ht="16">
      <c r="B12" s="324">
        <f>-(C4*(C6/2))/(1-(1/(1+C6/2)^20))</f>
        <v>-8736.8603811700141</v>
      </c>
      <c r="C12" s="325">
        <v>45078</v>
      </c>
      <c r="D12" s="313" t="s">
        <v>208</v>
      </c>
    </row>
    <row r="13" spans="2:6" ht="16">
      <c r="B13" s="324">
        <f>-(C4*(C6/2))/(1-(1/(1+C6/2)^20))</f>
        <v>-8736.8603811700141</v>
      </c>
      <c r="C13" s="325">
        <v>45261</v>
      </c>
      <c r="D13" s="313" t="s">
        <v>208</v>
      </c>
    </row>
    <row r="14" spans="2:6" ht="16">
      <c r="B14" s="324">
        <f>-(C4*(C6/2))/(1-(1/(1+C6/2)^20))</f>
        <v>-8736.8603811700141</v>
      </c>
      <c r="C14" s="325">
        <v>45444</v>
      </c>
      <c r="D14" s="313" t="s">
        <v>208</v>
      </c>
    </row>
    <row r="15" spans="2:6" ht="16">
      <c r="B15" s="324">
        <f>-(C4*(C6/2))/(1-(1/(1+C6/2)^20))</f>
        <v>-8736.8603811700141</v>
      </c>
      <c r="C15" s="325">
        <v>45627</v>
      </c>
      <c r="D15" s="313" t="s">
        <v>208</v>
      </c>
    </row>
    <row r="16" spans="2:6" ht="16">
      <c r="B16" s="324">
        <f>-(C4*(C6/2))/(1-(1/(1+C6/2)^20))</f>
        <v>-8736.8603811700141</v>
      </c>
      <c r="C16" s="325">
        <v>45809</v>
      </c>
      <c r="D16" s="313" t="s">
        <v>208</v>
      </c>
    </row>
    <row r="17" spans="2:6" ht="16">
      <c r="B17" s="324">
        <f>-(C4*(C6/2))/(1-(1/(1+C6/2)^20))</f>
        <v>-8736.8603811700141</v>
      </c>
      <c r="C17" s="325">
        <v>45992</v>
      </c>
      <c r="D17" s="313" t="s">
        <v>208</v>
      </c>
    </row>
    <row r="18" spans="2:6" ht="16">
      <c r="B18" s="324">
        <f>-(C4*(C6/2))/(1-(1/(1+C6/2)^20))</f>
        <v>-8736.8603811700141</v>
      </c>
      <c r="C18" s="325">
        <v>46174</v>
      </c>
      <c r="D18" s="313" t="s">
        <v>208</v>
      </c>
    </row>
    <row r="19" spans="2:6" ht="16">
      <c r="B19" s="324">
        <f>-(C4*(C6/2))/(1-(1/(1+C6/2)^20))</f>
        <v>-8736.8603811700141</v>
      </c>
      <c r="C19" s="325">
        <v>46357</v>
      </c>
      <c r="D19" s="313" t="s">
        <v>208</v>
      </c>
    </row>
    <row r="20" spans="2:6" ht="16">
      <c r="B20" s="324">
        <f>-(C4*(C6/2))/(1-(1/(1+C6/2)^20))</f>
        <v>-8736.8603811700141</v>
      </c>
      <c r="C20" s="325">
        <v>46539</v>
      </c>
      <c r="D20" s="313" t="s">
        <v>208</v>
      </c>
    </row>
    <row r="21" spans="2:6" ht="16">
      <c r="B21" s="324">
        <f>-(C4*(C6/2))/(1-(1/(1+C6/2)^20))</f>
        <v>-8736.8603811700141</v>
      </c>
      <c r="C21" s="325">
        <v>46722</v>
      </c>
      <c r="D21" s="313" t="s">
        <v>208</v>
      </c>
    </row>
    <row r="22" spans="2:6" ht="16">
      <c r="B22" s="324">
        <f>-(C4*(C6/2))/(1-(1/(1+C6/2)^20))</f>
        <v>-8736.8603811700141</v>
      </c>
      <c r="C22" s="325">
        <v>46905</v>
      </c>
      <c r="D22" s="313" t="s">
        <v>208</v>
      </c>
    </row>
    <row r="23" spans="2:6" ht="16">
      <c r="B23" s="324">
        <f>-(C4*(C6/2))/(1-(1/(1+C6/2)^20))</f>
        <v>-8736.8603811700141</v>
      </c>
      <c r="C23" s="325">
        <v>47088</v>
      </c>
      <c r="D23" s="313" t="s">
        <v>208</v>
      </c>
    </row>
    <row r="24" spans="2:6" ht="16">
      <c r="B24" s="324">
        <f>-(C4*(C6/2))/(1-(1/(1+C6/2)^20))</f>
        <v>-8736.8603811700141</v>
      </c>
      <c r="C24" s="325">
        <v>47270</v>
      </c>
      <c r="D24" s="313" t="s">
        <v>208</v>
      </c>
    </row>
    <row r="25" spans="2:6" ht="16">
      <c r="B25" s="324">
        <f>-(C4*(C6/2))/(1-(1/(1+C6/2)^20))</f>
        <v>-8736.8603811700141</v>
      </c>
      <c r="C25" s="325">
        <v>47453</v>
      </c>
      <c r="D25" s="313" t="s">
        <v>208</v>
      </c>
    </row>
    <row r="26" spans="2:6" ht="16">
      <c r="B26" s="324">
        <f>-(C4*(C6/2))/(1-(1/(1+C6/2)^20))</f>
        <v>-8736.8603811700141</v>
      </c>
      <c r="C26" s="325">
        <v>47635</v>
      </c>
      <c r="D26" s="313" t="s">
        <v>208</v>
      </c>
    </row>
    <row r="27" spans="2:6" ht="16">
      <c r="B27" s="324">
        <f>-(C4*(C6/2))/(1-(1/(1+C6/2)^20))</f>
        <v>-8736.8603811700141</v>
      </c>
      <c r="C27" s="325">
        <v>47818</v>
      </c>
      <c r="D27" s="313" t="s">
        <v>208</v>
      </c>
    </row>
    <row r="28" spans="2:6" ht="16">
      <c r="B28" s="324">
        <f>-(C4*(C6/2))/(1-(1/(1+C6/2)^20))</f>
        <v>-8736.8603811700141</v>
      </c>
      <c r="C28" s="325">
        <v>48000</v>
      </c>
      <c r="D28" s="313" t="s">
        <v>208</v>
      </c>
      <c r="F28" s="209"/>
    </row>
    <row r="29" spans="2:6" ht="16">
      <c r="B29" s="324">
        <f>-(C4*(C6/2))/(1-(1/(1+C6/2)^20))</f>
        <v>-8736.8603811700141</v>
      </c>
      <c r="C29" s="325">
        <v>48183</v>
      </c>
      <c r="D29" s="313" t="s">
        <v>208</v>
      </c>
    </row>
    <row r="31" spans="2:6" ht="16">
      <c r="B31" s="260" t="s">
        <v>1002</v>
      </c>
      <c r="C31" s="319">
        <f>IRR('Costo ammortizzato'!B9:B29)</f>
        <v>1.7547356868303998E-2</v>
      </c>
    </row>
    <row r="33" spans="2:11" ht="17">
      <c r="B33" s="317" t="s">
        <v>133</v>
      </c>
      <c r="C33" s="317" t="s">
        <v>1001</v>
      </c>
      <c r="D33" s="317" t="s">
        <v>1000</v>
      </c>
      <c r="E33" s="317" t="s">
        <v>999</v>
      </c>
      <c r="F33" s="317" t="s">
        <v>985</v>
      </c>
      <c r="G33" s="317" t="s">
        <v>983</v>
      </c>
      <c r="H33" s="318" t="s">
        <v>998</v>
      </c>
      <c r="J33" s="330" t="s">
        <v>997</v>
      </c>
      <c r="K33" s="326" t="s">
        <v>996</v>
      </c>
    </row>
    <row r="34" spans="2:11" ht="16">
      <c r="B34" s="207">
        <v>44531</v>
      </c>
      <c r="C34" s="202">
        <f>C4-C5</f>
        <v>146300</v>
      </c>
      <c r="D34" s="202"/>
      <c r="E34" s="202"/>
      <c r="F34" s="202"/>
      <c r="G34" s="201"/>
      <c r="H34" s="200">
        <f>C34</f>
        <v>146300</v>
      </c>
      <c r="J34" s="331" t="s">
        <v>995</v>
      </c>
      <c r="K34" s="327" t="s">
        <v>994</v>
      </c>
    </row>
    <row r="35" spans="2:11" ht="16">
      <c r="B35" s="334">
        <v>44561</v>
      </c>
      <c r="C35" s="335">
        <f t="shared" ref="C35:C64" si="0">H34</f>
        <v>146300</v>
      </c>
      <c r="D35" s="335">
        <f>C35*(C31/6)</f>
        <v>427.86305163881252</v>
      </c>
      <c r="E35" s="335">
        <f>'[1]Piano ammortamento'!F12/6</f>
        <v>375</v>
      </c>
      <c r="F35" s="335">
        <f t="shared" ref="F35:F64" si="1">D35-E35</f>
        <v>52.863051638812522</v>
      </c>
      <c r="G35" s="336"/>
      <c r="H35" s="337">
        <f t="shared" ref="H35:H63" si="2">C35+F35-G35</f>
        <v>146352.86305163882</v>
      </c>
      <c r="J35" s="331" t="s">
        <v>993</v>
      </c>
      <c r="K35" s="327" t="s">
        <v>992</v>
      </c>
    </row>
    <row r="36" spans="2:11" ht="16">
      <c r="B36" s="207">
        <v>44713</v>
      </c>
      <c r="C36" s="202">
        <f t="shared" si="0"/>
        <v>146352.86305163882</v>
      </c>
      <c r="D36" s="202">
        <f>C36*C31-D35</f>
        <v>2140.2428650263164</v>
      </c>
      <c r="E36" s="199">
        <f>'[1]Piano ammortamento'!F12-E35</f>
        <v>1875</v>
      </c>
      <c r="F36" s="202">
        <f t="shared" si="1"/>
        <v>265.24286502631639</v>
      </c>
      <c r="G36" s="201">
        <f>'[1]Piano ammortamento'!E12</f>
        <v>6486.860381169945</v>
      </c>
      <c r="H36" s="200">
        <f t="shared" si="2"/>
        <v>140131.2455354952</v>
      </c>
      <c r="J36" s="332" t="s">
        <v>991</v>
      </c>
      <c r="K36" s="328" t="s">
        <v>990</v>
      </c>
    </row>
    <row r="37" spans="2:11" ht="16">
      <c r="B37" s="207">
        <v>44896</v>
      </c>
      <c r="C37" s="202">
        <f t="shared" si="0"/>
        <v>140131.2455354952</v>
      </c>
      <c r="D37" s="202">
        <f>C37*C31</f>
        <v>2458.9329738112656</v>
      </c>
      <c r="E37" s="199">
        <f>'[1]Piano ammortamento'!F13</f>
        <v>2152.697094282451</v>
      </c>
      <c r="F37" s="202">
        <f t="shared" si="1"/>
        <v>306.23587952881462</v>
      </c>
      <c r="G37" s="201">
        <f>'[1]Piano ammortamento'!E13</f>
        <v>6584.163286887494</v>
      </c>
      <c r="H37" s="200">
        <f t="shared" si="2"/>
        <v>133853.31812813651</v>
      </c>
      <c r="J37" s="332" t="s">
        <v>989</v>
      </c>
      <c r="K37" s="328" t="s">
        <v>988</v>
      </c>
    </row>
    <row r="38" spans="2:11" ht="16">
      <c r="B38" s="338">
        <v>44926</v>
      </c>
      <c r="C38" s="339">
        <f t="shared" si="0"/>
        <v>133853.31812813651</v>
      </c>
      <c r="D38" s="339">
        <f>C38*$C$31/6</f>
        <v>391.46199020017275</v>
      </c>
      <c r="E38" s="339">
        <f>'[1]Piano ammortamento'!F14/6</f>
        <v>342.32244082985636</v>
      </c>
      <c r="F38" s="339">
        <f t="shared" si="1"/>
        <v>49.139549370316388</v>
      </c>
      <c r="G38" s="340"/>
      <c r="H38" s="341">
        <f t="shared" si="2"/>
        <v>133902.45767750681</v>
      </c>
      <c r="J38" s="332" t="s">
        <v>987</v>
      </c>
      <c r="K38" s="328" t="s">
        <v>986</v>
      </c>
    </row>
    <row r="39" spans="2:11" ht="16">
      <c r="B39" s="208">
        <v>45078</v>
      </c>
      <c r="C39" s="202">
        <f t="shared" si="0"/>
        <v>133902.45767750681</v>
      </c>
      <c r="D39" s="202">
        <f>C39*$C$31-D38</f>
        <v>1958.1722202100118</v>
      </c>
      <c r="E39" s="199">
        <f>'[1]Piano ammortamento'!F14-E38</f>
        <v>1711.612204149282</v>
      </c>
      <c r="F39" s="202">
        <f t="shared" si="1"/>
        <v>246.56001606072982</v>
      </c>
      <c r="G39" s="201">
        <f>'[1]Piano ammortamento'!E14</f>
        <v>6682.9257361908067</v>
      </c>
      <c r="H39" s="200">
        <f t="shared" si="2"/>
        <v>127466.09195737675</v>
      </c>
      <c r="J39" s="332" t="s">
        <v>985</v>
      </c>
      <c r="K39" s="328" t="s">
        <v>984</v>
      </c>
    </row>
    <row r="40" spans="2:11" ht="16">
      <c r="B40" s="207">
        <v>45261</v>
      </c>
      <c r="C40" s="202">
        <f t="shared" si="0"/>
        <v>127466.09195737675</v>
      </c>
      <c r="D40" s="202">
        <f>C40*$C$31</f>
        <v>2236.6930041841438</v>
      </c>
      <c r="E40" s="199">
        <f>'[1]Piano ammortamento'!F15</f>
        <v>1953.6907589362763</v>
      </c>
      <c r="F40" s="202">
        <f t="shared" si="1"/>
        <v>283.00224524786745</v>
      </c>
      <c r="G40" s="201">
        <f>'[1]Piano ammortamento'!E15</f>
        <v>6783.1696222336686</v>
      </c>
      <c r="H40" s="200">
        <f t="shared" si="2"/>
        <v>120965.92458039094</v>
      </c>
      <c r="J40" s="332" t="s">
        <v>983</v>
      </c>
      <c r="K40" s="328" t="s">
        <v>982</v>
      </c>
    </row>
    <row r="41" spans="2:11" ht="17" thickBot="1">
      <c r="B41" s="338">
        <v>45291</v>
      </c>
      <c r="C41" s="339">
        <f t="shared" si="0"/>
        <v>120965.92458039094</v>
      </c>
      <c r="D41" s="339">
        <f>C41*$C$31/6</f>
        <v>353.77204125274443</v>
      </c>
      <c r="E41" s="339">
        <f>'[1]Piano ammortamento'!F16/6</f>
        <v>308.65720243379525</v>
      </c>
      <c r="F41" s="339">
        <f t="shared" si="1"/>
        <v>45.114838818949181</v>
      </c>
      <c r="G41" s="340"/>
      <c r="H41" s="341">
        <f t="shared" si="2"/>
        <v>121011.03941920989</v>
      </c>
      <c r="J41" s="333" t="s">
        <v>981</v>
      </c>
      <c r="K41" s="329" t="s">
        <v>980</v>
      </c>
    </row>
    <row r="42" spans="2:11" ht="16">
      <c r="B42" s="207">
        <v>45444</v>
      </c>
      <c r="C42" s="202">
        <f t="shared" si="0"/>
        <v>121011.03941920989</v>
      </c>
      <c r="D42" s="202">
        <f>C42*$C$31-D41</f>
        <v>1769.651852440534</v>
      </c>
      <c r="E42" s="199">
        <f>'[1]Piano ammortamento'!F16-E41</f>
        <v>1543.2860121689762</v>
      </c>
      <c r="F42" s="202">
        <f t="shared" si="1"/>
        <v>226.36584027155777</v>
      </c>
      <c r="G42" s="201">
        <f>'[1]Piano ammortamento'!E16</f>
        <v>6884.9171665671738</v>
      </c>
      <c r="H42" s="200">
        <f t="shared" si="2"/>
        <v>114352.48809291427</v>
      </c>
    </row>
    <row r="43" spans="2:11" ht="16">
      <c r="B43" s="207">
        <v>45627</v>
      </c>
      <c r="C43" s="202">
        <f t="shared" si="0"/>
        <v>114352.48809291427</v>
      </c>
      <c r="D43" s="202">
        <f>C43*$C$31</f>
        <v>2006.5839173448503</v>
      </c>
      <c r="E43" s="199">
        <f>'[1]Piano ammortamento'!F17</f>
        <v>1748.6694571042638</v>
      </c>
      <c r="F43" s="202">
        <f t="shared" si="1"/>
        <v>257.91446024058655</v>
      </c>
      <c r="G43" s="201">
        <f>'[1]Piano ammortamento'!E17</f>
        <v>6988.1909240656814</v>
      </c>
      <c r="H43" s="200">
        <f t="shared" si="2"/>
        <v>107622.21162908917</v>
      </c>
    </row>
    <row r="44" spans="2:11" ht="16">
      <c r="B44" s="338">
        <v>45657</v>
      </c>
      <c r="C44" s="339">
        <f t="shared" si="0"/>
        <v>107622.21162908917</v>
      </c>
      <c r="D44" s="339">
        <f>C44*$C$31/6</f>
        <v>314.74755906862737</v>
      </c>
      <c r="E44" s="339">
        <f>'[1]Piano ammortamento'!F18/6</f>
        <v>273.97443220721306</v>
      </c>
      <c r="F44" s="339">
        <f t="shared" si="1"/>
        <v>40.773126861414312</v>
      </c>
      <c r="G44" s="340"/>
      <c r="H44" s="341">
        <f t="shared" si="2"/>
        <v>107662.98475595059</v>
      </c>
    </row>
    <row r="45" spans="2:11" ht="16">
      <c r="B45" s="207">
        <v>45809</v>
      </c>
      <c r="C45" s="202">
        <f t="shared" si="0"/>
        <v>107662.98475595059</v>
      </c>
      <c r="D45" s="202">
        <f>C45*$C$31-D44</f>
        <v>1574.4532559508107</v>
      </c>
      <c r="E45" s="199">
        <f>'[1]Piano ammortamento'!F18-E44</f>
        <v>1369.8721610360653</v>
      </c>
      <c r="F45" s="202">
        <f t="shared" si="1"/>
        <v>204.58109491474534</v>
      </c>
      <c r="G45" s="201">
        <f>'[1]Piano ammortamento'!E18</f>
        <v>7093.0137879266667</v>
      </c>
      <c r="H45" s="200">
        <f t="shared" si="2"/>
        <v>100774.55206293866</v>
      </c>
    </row>
    <row r="46" spans="2:11" ht="16">
      <c r="B46" s="207">
        <v>45992</v>
      </c>
      <c r="C46" s="202">
        <f t="shared" si="0"/>
        <v>100774.55206293866</v>
      </c>
      <c r="D46" s="202">
        <f>C46*$C$31</f>
        <v>1768.3270282918656</v>
      </c>
      <c r="E46" s="199">
        <f>'[1]Piano ammortamento'!F19</f>
        <v>1537.4513864243786</v>
      </c>
      <c r="F46" s="202">
        <f t="shared" si="1"/>
        <v>230.87564186748705</v>
      </c>
      <c r="G46" s="201">
        <f>'[1]Piano ammortamento'!E19</f>
        <v>7199.4089947455668</v>
      </c>
      <c r="H46" s="200">
        <f t="shared" si="2"/>
        <v>93806.018710060584</v>
      </c>
    </row>
    <row r="47" spans="2:11" ht="16">
      <c r="B47" s="338">
        <v>46022</v>
      </c>
      <c r="C47" s="339">
        <f t="shared" si="0"/>
        <v>93806.018710060584</v>
      </c>
      <c r="D47" s="339">
        <f>C47*$C$31/6</f>
        <v>274.34128111670583</v>
      </c>
      <c r="E47" s="339">
        <f>'[1]Piano ammortamento'!F20/6</f>
        <v>238.24337525053249</v>
      </c>
      <c r="F47" s="339">
        <f t="shared" si="1"/>
        <v>36.097905866173335</v>
      </c>
      <c r="G47" s="340"/>
      <c r="H47" s="341">
        <f t="shared" si="2"/>
        <v>93842.11661592676</v>
      </c>
    </row>
    <row r="48" spans="2:11" ht="16">
      <c r="B48" s="207">
        <v>46174</v>
      </c>
      <c r="C48" s="202">
        <f t="shared" si="0"/>
        <v>93842.11661592676</v>
      </c>
      <c r="D48" s="202">
        <f>C48*$C$31-D47</f>
        <v>1372.3398284199613</v>
      </c>
      <c r="E48" s="199">
        <f>'[1]Piano ammortamento'!F20-E47</f>
        <v>1191.2168762526626</v>
      </c>
      <c r="F48" s="202">
        <f t="shared" si="1"/>
        <v>181.12295216729876</v>
      </c>
      <c r="G48" s="201">
        <f>'[1]Piano ammortamento'!E20</f>
        <v>7307.4001296667502</v>
      </c>
      <c r="H48" s="200">
        <f t="shared" si="2"/>
        <v>86715.839438427298</v>
      </c>
    </row>
    <row r="49" spans="2:10" ht="16">
      <c r="B49" s="207">
        <v>46357</v>
      </c>
      <c r="C49" s="202">
        <f t="shared" si="0"/>
        <v>86715.839438427298</v>
      </c>
      <c r="D49" s="202">
        <f>C49*$C$31</f>
        <v>1521.633780760634</v>
      </c>
      <c r="E49" s="199">
        <f>'[1]Piano ammortamento'!F21</f>
        <v>1319.8492495581938</v>
      </c>
      <c r="F49" s="202">
        <f t="shared" si="1"/>
        <v>201.78453120244012</v>
      </c>
      <c r="G49" s="201">
        <f>'[1]Piano ammortamento'!E21</f>
        <v>7417.0111316117509</v>
      </c>
      <c r="H49" s="200">
        <f t="shared" si="2"/>
        <v>79500.612838017987</v>
      </c>
    </row>
    <row r="50" spans="2:10" ht="16">
      <c r="B50" s="342">
        <v>46387</v>
      </c>
      <c r="C50" s="339">
        <f t="shared" si="0"/>
        <v>79500.612838017987</v>
      </c>
      <c r="D50" s="339">
        <f>C50*$C$31/6</f>
        <v>232.50427078626197</v>
      </c>
      <c r="E50" s="339">
        <f>'[1]Piano ammortamento'!F22/6</f>
        <v>201.43234709733622</v>
      </c>
      <c r="F50" s="339">
        <f t="shared" si="1"/>
        <v>31.07192368892575</v>
      </c>
      <c r="G50" s="340"/>
      <c r="H50" s="341">
        <f t="shared" si="2"/>
        <v>79531.684761706914</v>
      </c>
    </row>
    <row r="51" spans="2:10" ht="16">
      <c r="B51" s="207">
        <v>46539</v>
      </c>
      <c r="C51" s="202">
        <f t="shared" si="0"/>
        <v>79531.684761706914</v>
      </c>
      <c r="D51" s="202">
        <f>C51*$C$31-D50</f>
        <v>1163.0665840648644</v>
      </c>
      <c r="E51" s="199">
        <f>'[1]Piano ammortamento'!F22-E50</f>
        <v>1007.1617354866811</v>
      </c>
      <c r="F51" s="202">
        <f t="shared" si="1"/>
        <v>155.90484857818331</v>
      </c>
      <c r="G51" s="201">
        <f>'[1]Piano ammortamento'!E22</f>
        <v>7528.2662985859279</v>
      </c>
      <c r="H51" s="200">
        <f t="shared" si="2"/>
        <v>72159.323311699176</v>
      </c>
    </row>
    <row r="52" spans="2:10" ht="16">
      <c r="B52" s="207">
        <v>46722</v>
      </c>
      <c r="C52" s="202">
        <f t="shared" si="0"/>
        <v>72159.323311699176</v>
      </c>
      <c r="D52" s="202">
        <f>C52*$C$31</f>
        <v>1266.2053975257134</v>
      </c>
      <c r="E52" s="199">
        <f>'[1]Piano ammortamento'!F23</f>
        <v>1095.6700881052286</v>
      </c>
      <c r="F52" s="202">
        <f t="shared" si="1"/>
        <v>170.53530942048474</v>
      </c>
      <c r="G52" s="201">
        <f>'[1]Piano ammortamento'!E23</f>
        <v>7641.1902930647166</v>
      </c>
      <c r="H52" s="200">
        <f t="shared" si="2"/>
        <v>64688.668328054948</v>
      </c>
      <c r="J52" s="58">
        <f>SUM(J60)</f>
        <v>0</v>
      </c>
    </row>
    <row r="53" spans="2:10" ht="16">
      <c r="B53" s="342">
        <v>46752</v>
      </c>
      <c r="C53" s="339">
        <f t="shared" si="0"/>
        <v>64688.668328054948</v>
      </c>
      <c r="D53" s="339">
        <f>C53*$C$31/6</f>
        <v>189.18585808128907</v>
      </c>
      <c r="E53" s="339">
        <f>'[1]Piano ammortamento'!F24/6</f>
        <v>163.50870561820963</v>
      </c>
      <c r="F53" s="339">
        <f t="shared" si="1"/>
        <v>25.677152463079437</v>
      </c>
      <c r="G53" s="340"/>
      <c r="H53" s="341">
        <f t="shared" si="2"/>
        <v>64714.34548051803</v>
      </c>
    </row>
    <row r="54" spans="2:10" ht="16">
      <c r="B54" s="207">
        <v>46905</v>
      </c>
      <c r="C54" s="202">
        <f t="shared" si="0"/>
        <v>64714.34548051803</v>
      </c>
      <c r="D54" s="202">
        <f>C54*$C$31-D53</f>
        <v>946.37985656407682</v>
      </c>
      <c r="E54" s="199">
        <f>'[1]Piano ammortamento'!F24-E53</f>
        <v>817.54352809104819</v>
      </c>
      <c r="F54" s="202">
        <f t="shared" si="1"/>
        <v>128.83632847302863</v>
      </c>
      <c r="G54" s="201">
        <f>'[1]Piano ammortamento'!E24</f>
        <v>7755.808147460687</v>
      </c>
      <c r="H54" s="200">
        <f t="shared" si="2"/>
        <v>57087.373661530371</v>
      </c>
    </row>
    <row r="55" spans="2:10" ht="16">
      <c r="B55" s="207">
        <v>47088</v>
      </c>
      <c r="C55" s="202">
        <f t="shared" si="0"/>
        <v>57087.373661530371</v>
      </c>
      <c r="D55" s="202">
        <f>C55*$C$31</f>
        <v>1001.7325183130918</v>
      </c>
      <c r="E55" s="199">
        <f>'[1]Piano ammortamento'!F25</f>
        <v>864.71511149734749</v>
      </c>
      <c r="F55" s="202">
        <f t="shared" si="1"/>
        <v>137.01740681574427</v>
      </c>
      <c r="G55" s="201">
        <f>'[1]Piano ammortamento'!E25</f>
        <v>7872.1452696725974</v>
      </c>
      <c r="H55" s="200">
        <f t="shared" si="2"/>
        <v>49352.245798673517</v>
      </c>
    </row>
    <row r="56" spans="2:10" ht="16">
      <c r="B56" s="342">
        <v>47118</v>
      </c>
      <c r="C56" s="339">
        <f t="shared" si="0"/>
        <v>49352.245798673517</v>
      </c>
      <c r="D56" s="339">
        <f>C56*$C$31/6</f>
        <v>144.33357821359681</v>
      </c>
      <c r="E56" s="339">
        <f>'[1]Piano ammortamento'!F26/6</f>
        <v>124.43882207537642</v>
      </c>
      <c r="F56" s="339">
        <f t="shared" si="1"/>
        <v>19.894756138220387</v>
      </c>
      <c r="G56" s="340"/>
      <c r="H56" s="341">
        <f t="shared" si="2"/>
        <v>49372.14055481174</v>
      </c>
    </row>
    <row r="57" spans="2:10" ht="16">
      <c r="B57" s="206">
        <v>47270</v>
      </c>
      <c r="C57" s="199">
        <f t="shared" si="0"/>
        <v>49372.14055481174</v>
      </c>
      <c r="D57" s="199">
        <f>C57*$C$31-D56</f>
        <v>722.01699145374937</v>
      </c>
      <c r="E57" s="199">
        <f>'[1]Piano ammortamento'!F26-E56</f>
        <v>622.19411037688212</v>
      </c>
      <c r="F57" s="199">
        <f t="shared" si="1"/>
        <v>99.822881076867247</v>
      </c>
      <c r="G57" s="198">
        <f>'[1]Piano ammortamento'!E26</f>
        <v>7990.2274487176865</v>
      </c>
      <c r="H57" s="205">
        <f t="shared" si="2"/>
        <v>41481.735987170927</v>
      </c>
    </row>
    <row r="58" spans="2:10" ht="16">
      <c r="B58" s="206">
        <v>47453</v>
      </c>
      <c r="C58" s="199">
        <f t="shared" si="0"/>
        <v>41481.735987170927</v>
      </c>
      <c r="D58" s="199">
        <f>C58*$C$31</f>
        <v>727.89482488365695</v>
      </c>
      <c r="E58" s="199">
        <f>'[1]Piano ammortamento'!F27</f>
        <v>626.77952072149333</v>
      </c>
      <c r="F58" s="199">
        <f t="shared" si="1"/>
        <v>101.11530416216362</v>
      </c>
      <c r="G58" s="198">
        <f>'[1]Piano ammortamento'!E27</f>
        <v>8110.0808604484519</v>
      </c>
      <c r="H58" s="205">
        <f t="shared" si="2"/>
        <v>33472.770430884644</v>
      </c>
    </row>
    <row r="59" spans="2:10" ht="16">
      <c r="B59" s="338">
        <v>47483</v>
      </c>
      <c r="C59" s="339">
        <f t="shared" si="0"/>
        <v>33472.770430884644</v>
      </c>
      <c r="D59" s="339">
        <f>C59*$C$31/6</f>
        <v>97.89310802025777</v>
      </c>
      <c r="E59" s="339">
        <f>'[1]Piano ammortamento'!F28/6</f>
        <v>84.188051302461091</v>
      </c>
      <c r="F59" s="339">
        <f t="shared" si="1"/>
        <v>13.70505671779668</v>
      </c>
      <c r="G59" s="340"/>
      <c r="H59" s="341">
        <f t="shared" si="2"/>
        <v>33486.475487602438</v>
      </c>
    </row>
    <row r="60" spans="2:10" ht="16">
      <c r="B60" s="206">
        <v>47635</v>
      </c>
      <c r="C60" s="199">
        <f t="shared" si="0"/>
        <v>33486.475487602438</v>
      </c>
      <c r="D60" s="199">
        <f>C60*$C$31-D59</f>
        <v>489.70602762241634</v>
      </c>
      <c r="E60" s="199">
        <f>'[1]Piano ammortamento'!F28-E59</f>
        <v>420.9402565123055</v>
      </c>
      <c r="F60" s="199">
        <f t="shared" si="1"/>
        <v>68.765771110110848</v>
      </c>
      <c r="G60" s="198">
        <f>'[1]Piano ammortamento'!E28</f>
        <v>8231.7320733551787</v>
      </c>
      <c r="H60" s="205">
        <f t="shared" si="2"/>
        <v>25323.509185357372</v>
      </c>
    </row>
    <row r="61" spans="2:10" ht="16">
      <c r="B61" s="206">
        <v>47818</v>
      </c>
      <c r="C61" s="199">
        <f t="shared" si="0"/>
        <v>25323.509185357372</v>
      </c>
      <c r="D61" s="199">
        <f>C61*$C$31</f>
        <v>444.36065283324007</v>
      </c>
      <c r="E61" s="199">
        <f>'[1]Piano ammortamento'!F29</f>
        <v>381.65232671443891</v>
      </c>
      <c r="F61" s="199">
        <f t="shared" si="1"/>
        <v>62.708326118801153</v>
      </c>
      <c r="G61" s="198">
        <f>'[1]Piano ammortamento'!E29</f>
        <v>8355.2080544555065</v>
      </c>
      <c r="H61" s="205">
        <f t="shared" si="2"/>
        <v>17031.009457020667</v>
      </c>
    </row>
    <row r="62" spans="2:10" ht="16">
      <c r="B62" s="342">
        <v>47848</v>
      </c>
      <c r="C62" s="339">
        <f t="shared" si="0"/>
        <v>17031.009457020667</v>
      </c>
      <c r="D62" s="339">
        <f>C62*$C$31/6</f>
        <v>49.808200128300321</v>
      </c>
      <c r="E62" s="339">
        <f>'[1]Piano ammortamento'!F30/6</f>
        <v>42.720700982934382</v>
      </c>
      <c r="F62" s="339">
        <f t="shared" si="1"/>
        <v>7.0874991453659391</v>
      </c>
      <c r="G62" s="340"/>
      <c r="H62" s="341">
        <f t="shared" si="2"/>
        <v>17038.096956166035</v>
      </c>
    </row>
    <row r="63" spans="2:10" ht="16">
      <c r="B63" s="204">
        <v>48000</v>
      </c>
      <c r="C63" s="202">
        <f t="shared" si="0"/>
        <v>17038.096956166035</v>
      </c>
      <c r="D63" s="202">
        <f>C63*$C$31-D62</f>
        <v>249.16536751830921</v>
      </c>
      <c r="E63" s="199">
        <f>'[1]Piano ammortamento'!F30-E62</f>
        <v>213.60350491467193</v>
      </c>
      <c r="F63" s="202">
        <f t="shared" si="1"/>
        <v>35.56186260363728</v>
      </c>
      <c r="G63" s="201">
        <f>'[1]Piano ammortamento'!E30</f>
        <v>8480.5361752723384</v>
      </c>
      <c r="H63" s="200">
        <f t="shared" si="2"/>
        <v>8593.1226434973341</v>
      </c>
    </row>
    <row r="64" spans="2:10" ht="16">
      <c r="B64" s="204">
        <v>48183</v>
      </c>
      <c r="C64" s="202">
        <f t="shared" si="0"/>
        <v>8593.1226434973341</v>
      </c>
      <c r="D64" s="202">
        <f>C64*$C$31</f>
        <v>150.78658963855156</v>
      </c>
      <c r="E64" s="199">
        <f>'[1]Piano ammortamento'!F31</f>
        <v>129.11616326852123</v>
      </c>
      <c r="F64" s="202">
        <f t="shared" si="1"/>
        <v>21.670426370030327</v>
      </c>
      <c r="G64" s="201">
        <f>'[1]Piano ammortamento'!E31</f>
        <v>8607.7442179014233</v>
      </c>
      <c r="H64" s="200">
        <v>0</v>
      </c>
    </row>
    <row r="65" spans="2:8" ht="17" thickBot="1">
      <c r="B65" s="343" t="s">
        <v>222</v>
      </c>
      <c r="C65" s="344"/>
      <c r="D65" s="345">
        <f>SUM(D34:D64)</f>
        <v>28444.256475364833</v>
      </c>
      <c r="E65" s="345">
        <f>SUM(E34:E64)</f>
        <v>24737.207623398874</v>
      </c>
      <c r="F65" s="345">
        <f>SUM(F34:F64)</f>
        <v>3707.0488519659498</v>
      </c>
      <c r="G65" s="345">
        <f>SUM(G34:G64)</f>
        <v>150000.00000000003</v>
      </c>
      <c r="H65" s="346"/>
    </row>
    <row r="69" spans="2:8" ht="19" thickBot="1">
      <c r="B69" s="583" t="s">
        <v>1008</v>
      </c>
      <c r="C69" s="584"/>
      <c r="D69" s="584"/>
      <c r="E69" s="584"/>
      <c r="F69" s="585"/>
    </row>
    <row r="71" spans="2:8" ht="16">
      <c r="B71" s="314" t="s">
        <v>1007</v>
      </c>
      <c r="C71" s="320">
        <v>133700</v>
      </c>
    </row>
    <row r="72" spans="2:8" ht="16">
      <c r="B72" s="315" t="s">
        <v>1006</v>
      </c>
      <c r="C72" s="321">
        <v>4000</v>
      </c>
    </row>
    <row r="73" spans="2:8" ht="16">
      <c r="B73" s="315" t="s">
        <v>1005</v>
      </c>
      <c r="C73" s="322">
        <v>2.35E-2</v>
      </c>
    </row>
    <row r="74" spans="2:8" ht="17" thickBot="1">
      <c r="B74" s="316" t="s">
        <v>1004</v>
      </c>
      <c r="C74" s="323">
        <f>C73/2</f>
        <v>1.175E-2</v>
      </c>
    </row>
    <row r="76" spans="2:8" ht="16">
      <c r="B76" s="311">
        <f>C71-C72</f>
        <v>129700</v>
      </c>
      <c r="C76" s="348">
        <v>42736</v>
      </c>
      <c r="D76" s="261" t="s">
        <v>1142</v>
      </c>
    </row>
    <row r="77" spans="2:8" ht="16">
      <c r="B77" s="324">
        <f t="shared" ref="B77:B100" si="3">-6425.64</f>
        <v>-6425.64</v>
      </c>
      <c r="C77" s="325">
        <v>42887</v>
      </c>
      <c r="D77" s="349" t="s">
        <v>208</v>
      </c>
    </row>
    <row r="78" spans="2:8" ht="16">
      <c r="B78" s="324">
        <f t="shared" si="3"/>
        <v>-6425.64</v>
      </c>
      <c r="C78" s="325">
        <v>43070</v>
      </c>
      <c r="D78" s="349" t="s">
        <v>208</v>
      </c>
    </row>
    <row r="79" spans="2:8" ht="16">
      <c r="B79" s="324">
        <f t="shared" si="3"/>
        <v>-6425.64</v>
      </c>
      <c r="C79" s="325">
        <v>43252</v>
      </c>
      <c r="D79" s="349" t="s">
        <v>208</v>
      </c>
    </row>
    <row r="80" spans="2:8" ht="16">
      <c r="B80" s="324">
        <f t="shared" si="3"/>
        <v>-6425.64</v>
      </c>
      <c r="C80" s="325">
        <v>43435</v>
      </c>
      <c r="D80" s="349" t="s">
        <v>208</v>
      </c>
    </row>
    <row r="81" spans="2:6" ht="16">
      <c r="B81" s="324">
        <f t="shared" si="3"/>
        <v>-6425.64</v>
      </c>
      <c r="C81" s="325">
        <v>43617</v>
      </c>
      <c r="D81" s="349" t="s">
        <v>208</v>
      </c>
    </row>
    <row r="82" spans="2:6" ht="16">
      <c r="B82" s="324">
        <f t="shared" si="3"/>
        <v>-6425.64</v>
      </c>
      <c r="C82" s="325">
        <v>43800</v>
      </c>
      <c r="D82" s="349" t="s">
        <v>208</v>
      </c>
    </row>
    <row r="83" spans="2:6" ht="16">
      <c r="B83" s="324">
        <f t="shared" si="3"/>
        <v>-6425.64</v>
      </c>
      <c r="C83" s="325">
        <v>43983</v>
      </c>
      <c r="D83" s="349" t="s">
        <v>208</v>
      </c>
    </row>
    <row r="84" spans="2:6" ht="16">
      <c r="B84" s="324">
        <f t="shared" si="3"/>
        <v>-6425.64</v>
      </c>
      <c r="C84" s="325">
        <v>44166</v>
      </c>
      <c r="D84" s="349" t="s">
        <v>208</v>
      </c>
    </row>
    <row r="85" spans="2:6" ht="16">
      <c r="B85" s="324">
        <f t="shared" si="3"/>
        <v>-6425.64</v>
      </c>
      <c r="C85" s="325">
        <v>44348</v>
      </c>
      <c r="D85" s="349" t="s">
        <v>208</v>
      </c>
    </row>
    <row r="86" spans="2:6" ht="16">
      <c r="B86" s="324">
        <f t="shared" si="3"/>
        <v>-6425.64</v>
      </c>
      <c r="C86" s="325">
        <v>44531</v>
      </c>
      <c r="D86" s="349" t="s">
        <v>208</v>
      </c>
    </row>
    <row r="87" spans="2:6" ht="16">
      <c r="B87" s="324">
        <f t="shared" si="3"/>
        <v>-6425.64</v>
      </c>
      <c r="C87" s="347">
        <v>44713</v>
      </c>
      <c r="D87" s="349" t="s">
        <v>208</v>
      </c>
    </row>
    <row r="88" spans="2:6" ht="16">
      <c r="B88" s="324">
        <f t="shared" si="3"/>
        <v>-6425.64</v>
      </c>
      <c r="C88" s="325">
        <v>44896</v>
      </c>
      <c r="D88" s="349" t="s">
        <v>208</v>
      </c>
    </row>
    <row r="89" spans="2:6" ht="16">
      <c r="B89" s="324">
        <f t="shared" si="3"/>
        <v>-6425.64</v>
      </c>
      <c r="C89" s="325">
        <v>45078</v>
      </c>
      <c r="D89" s="349" t="s">
        <v>208</v>
      </c>
    </row>
    <row r="90" spans="2:6" ht="16">
      <c r="B90" s="324">
        <f t="shared" si="3"/>
        <v>-6425.64</v>
      </c>
      <c r="C90" s="325">
        <v>45261</v>
      </c>
      <c r="D90" s="349" t="s">
        <v>208</v>
      </c>
    </row>
    <row r="91" spans="2:6" ht="16">
      <c r="B91" s="324">
        <f t="shared" si="3"/>
        <v>-6425.64</v>
      </c>
      <c r="C91" s="325">
        <v>45444</v>
      </c>
      <c r="D91" s="349" t="s">
        <v>208</v>
      </c>
      <c r="F91" s="203"/>
    </row>
    <row r="92" spans="2:6" ht="16">
      <c r="B92" s="324">
        <f t="shared" si="3"/>
        <v>-6425.64</v>
      </c>
      <c r="C92" s="325">
        <v>45627</v>
      </c>
      <c r="D92" s="349" t="s">
        <v>208</v>
      </c>
    </row>
    <row r="93" spans="2:6" ht="16">
      <c r="B93" s="324">
        <f t="shared" si="3"/>
        <v>-6425.64</v>
      </c>
      <c r="C93" s="325">
        <v>45809</v>
      </c>
      <c r="D93" s="349" t="s">
        <v>208</v>
      </c>
    </row>
    <row r="94" spans="2:6" ht="16">
      <c r="B94" s="324">
        <f t="shared" si="3"/>
        <v>-6425.64</v>
      </c>
      <c r="C94" s="325">
        <v>45992</v>
      </c>
      <c r="D94" s="349" t="s">
        <v>208</v>
      </c>
    </row>
    <row r="95" spans="2:6" ht="16">
      <c r="B95" s="324">
        <f t="shared" si="3"/>
        <v>-6425.64</v>
      </c>
      <c r="C95" s="325">
        <v>46174</v>
      </c>
      <c r="D95" s="349" t="s">
        <v>208</v>
      </c>
    </row>
    <row r="96" spans="2:6" ht="16">
      <c r="B96" s="324">
        <f t="shared" si="3"/>
        <v>-6425.64</v>
      </c>
      <c r="C96" s="325">
        <v>46357</v>
      </c>
      <c r="D96" s="349" t="s">
        <v>208</v>
      </c>
    </row>
    <row r="97" spans="2:11" ht="16">
      <c r="B97" s="324">
        <f t="shared" si="3"/>
        <v>-6425.64</v>
      </c>
      <c r="C97" s="325">
        <v>46539</v>
      </c>
      <c r="D97" s="349" t="s">
        <v>208</v>
      </c>
    </row>
    <row r="98" spans="2:11" ht="16">
      <c r="B98" s="324">
        <f t="shared" si="3"/>
        <v>-6425.64</v>
      </c>
      <c r="C98" s="325">
        <v>46722</v>
      </c>
      <c r="D98" s="349" t="s">
        <v>208</v>
      </c>
    </row>
    <row r="99" spans="2:11" ht="16">
      <c r="B99" s="324">
        <f t="shared" si="3"/>
        <v>-6425.64</v>
      </c>
      <c r="C99" s="325">
        <v>46905</v>
      </c>
      <c r="D99" s="349" t="s">
        <v>208</v>
      </c>
      <c r="F99" s="203"/>
    </row>
    <row r="100" spans="2:11" ht="16">
      <c r="B100" s="324">
        <f t="shared" si="3"/>
        <v>-6425.64</v>
      </c>
      <c r="C100" s="325">
        <v>47088</v>
      </c>
      <c r="D100" s="349" t="s">
        <v>208</v>
      </c>
    </row>
    <row r="102" spans="2:11" ht="16">
      <c r="B102" s="260" t="s">
        <v>1002</v>
      </c>
      <c r="C102" s="319">
        <f>IRR('Costo ammortizzato'!B76:B100)</f>
        <v>1.4340109062937589E-2</v>
      </c>
    </row>
    <row r="104" spans="2:11" ht="17">
      <c r="B104" s="317" t="s">
        <v>133</v>
      </c>
      <c r="C104" s="317" t="s">
        <v>1001</v>
      </c>
      <c r="D104" s="317" t="s">
        <v>1000</v>
      </c>
      <c r="E104" s="317" t="s">
        <v>999</v>
      </c>
      <c r="F104" s="317" t="s">
        <v>985</v>
      </c>
      <c r="G104" s="317" t="s">
        <v>983</v>
      </c>
      <c r="H104" s="318" t="s">
        <v>998</v>
      </c>
      <c r="J104" s="330" t="s">
        <v>997</v>
      </c>
      <c r="K104" s="326" t="s">
        <v>996</v>
      </c>
    </row>
    <row r="105" spans="2:11" ht="16">
      <c r="B105" s="350">
        <v>42736</v>
      </c>
      <c r="C105" s="202">
        <f>C71-C72</f>
        <v>129700</v>
      </c>
      <c r="D105" s="202"/>
      <c r="E105" s="202"/>
      <c r="F105" s="202"/>
      <c r="G105" s="201"/>
      <c r="H105" s="200">
        <f>C105</f>
        <v>129700</v>
      </c>
      <c r="J105" s="331" t="s">
        <v>995</v>
      </c>
      <c r="K105" s="327" t="s">
        <v>994</v>
      </c>
    </row>
    <row r="106" spans="2:11" ht="16">
      <c r="B106" s="325">
        <v>42887</v>
      </c>
      <c r="C106" s="202">
        <f t="shared" ref="C106:C140" si="4">H105</f>
        <v>129700</v>
      </c>
      <c r="D106" s="202">
        <f>C106*$C$102</f>
        <v>1859.9121454630053</v>
      </c>
      <c r="E106" s="202">
        <f>C177</f>
        <v>1570.9749999999999</v>
      </c>
      <c r="F106" s="202">
        <f t="shared" ref="F106:F140" si="5">D106-E106</f>
        <v>288.93714546300544</v>
      </c>
      <c r="G106" s="201">
        <v>4854.67</v>
      </c>
      <c r="H106" s="351">
        <f t="shared" ref="H106:H139" si="6">C106+F106-G106</f>
        <v>125134.267145463</v>
      </c>
      <c r="J106" s="331" t="s">
        <v>993</v>
      </c>
      <c r="K106" s="327" t="s">
        <v>992</v>
      </c>
    </row>
    <row r="107" spans="2:11" ht="16">
      <c r="B107" s="325">
        <v>43070</v>
      </c>
      <c r="C107" s="202">
        <f t="shared" si="4"/>
        <v>125134.267145463</v>
      </c>
      <c r="D107" s="202">
        <f>C107*$C$102</f>
        <v>1794.4390383767075</v>
      </c>
      <c r="E107" s="202">
        <f>C178</f>
        <v>1513.9326275000001</v>
      </c>
      <c r="F107" s="202">
        <f t="shared" si="5"/>
        <v>280.50641087670738</v>
      </c>
      <c r="G107" s="201">
        <v>4911.71</v>
      </c>
      <c r="H107" s="351">
        <f t="shared" si="6"/>
        <v>120503.06355633971</v>
      </c>
      <c r="J107" s="332" t="s">
        <v>991</v>
      </c>
      <c r="K107" s="328" t="s">
        <v>990</v>
      </c>
    </row>
    <row r="108" spans="2:11" ht="16">
      <c r="B108" s="352">
        <v>43100</v>
      </c>
      <c r="C108" s="339">
        <f t="shared" si="4"/>
        <v>120503.06355633971</v>
      </c>
      <c r="D108" s="339">
        <f>C108*$C$102/6</f>
        <v>288.00451230266856</v>
      </c>
      <c r="E108" s="339">
        <f>C179/6</f>
        <v>242.70335875000001</v>
      </c>
      <c r="F108" s="339">
        <f t="shared" si="5"/>
        <v>45.301153552668552</v>
      </c>
      <c r="G108" s="340"/>
      <c r="H108" s="353">
        <f t="shared" si="6"/>
        <v>120548.36470989238</v>
      </c>
      <c r="J108" s="332" t="s">
        <v>989</v>
      </c>
      <c r="K108" s="328" t="s">
        <v>988</v>
      </c>
    </row>
    <row r="109" spans="2:11" ht="16">
      <c r="B109" s="325">
        <v>43252</v>
      </c>
      <c r="C109" s="202">
        <f t="shared" si="4"/>
        <v>120548.36470989238</v>
      </c>
      <c r="D109" s="202">
        <f>C109*$C$102-D108</f>
        <v>1440.6721849959649</v>
      </c>
      <c r="E109" s="202">
        <f>C179-E108</f>
        <v>1213.51679375</v>
      </c>
      <c r="F109" s="202">
        <f t="shared" si="5"/>
        <v>227.15539124596489</v>
      </c>
      <c r="G109" s="201">
        <v>4969.42</v>
      </c>
      <c r="H109" s="351">
        <f t="shared" si="6"/>
        <v>115806.10010113835</v>
      </c>
      <c r="J109" s="332" t="s">
        <v>987</v>
      </c>
      <c r="K109" s="328" t="s">
        <v>986</v>
      </c>
    </row>
    <row r="110" spans="2:11" ht="16">
      <c r="B110" s="325">
        <v>43435</v>
      </c>
      <c r="C110" s="202">
        <f t="shared" si="4"/>
        <v>115806.10010113835</v>
      </c>
      <c r="D110" s="202">
        <f>C110*$C$102</f>
        <v>1660.6721056037918</v>
      </c>
      <c r="E110" s="202">
        <f>C180</f>
        <v>1397.8294675000002</v>
      </c>
      <c r="F110" s="202">
        <f t="shared" si="5"/>
        <v>262.84263810379161</v>
      </c>
      <c r="G110" s="201">
        <v>5027.8100000000004</v>
      </c>
      <c r="H110" s="351">
        <f t="shared" si="6"/>
        <v>111041.13273924214</v>
      </c>
      <c r="J110" s="332" t="s">
        <v>985</v>
      </c>
      <c r="K110" s="328" t="s">
        <v>984</v>
      </c>
    </row>
    <row r="111" spans="2:11" ht="16">
      <c r="B111" s="352">
        <v>43465</v>
      </c>
      <c r="C111" s="339">
        <f t="shared" si="4"/>
        <v>111041.13273924214</v>
      </c>
      <c r="D111" s="339">
        <f>C111*$C$102/6</f>
        <v>265.39032565881035</v>
      </c>
      <c r="E111" s="339">
        <f>C181/6</f>
        <v>223.12545</v>
      </c>
      <c r="F111" s="339">
        <f t="shared" si="5"/>
        <v>42.264875658810354</v>
      </c>
      <c r="G111" s="340"/>
      <c r="H111" s="353">
        <f t="shared" si="6"/>
        <v>111083.39761490095</v>
      </c>
      <c r="J111" s="332" t="s">
        <v>983</v>
      </c>
      <c r="K111" s="328" t="s">
        <v>982</v>
      </c>
    </row>
    <row r="112" spans="2:11" ht="17" thickBot="1">
      <c r="B112" s="325">
        <v>43617</v>
      </c>
      <c r="C112" s="202">
        <f t="shared" si="4"/>
        <v>111083.39761490095</v>
      </c>
      <c r="D112" s="202">
        <f>C112*$C$102-D111</f>
        <v>1327.5577112205306</v>
      </c>
      <c r="E112" s="202">
        <f>C181-E111</f>
        <v>1115.62725</v>
      </c>
      <c r="F112" s="202">
        <f t="shared" si="5"/>
        <v>211.93046122053056</v>
      </c>
      <c r="G112" s="201">
        <v>5086.8900000000003</v>
      </c>
      <c r="H112" s="351">
        <f t="shared" si="6"/>
        <v>106208.43807612149</v>
      </c>
      <c r="J112" s="333" t="s">
        <v>981</v>
      </c>
      <c r="K112" s="329" t="s">
        <v>980</v>
      </c>
    </row>
    <row r="113" spans="2:8" ht="16">
      <c r="B113" s="325">
        <v>43800</v>
      </c>
      <c r="C113" s="202">
        <f t="shared" si="4"/>
        <v>106208.43807612149</v>
      </c>
      <c r="D113" s="202">
        <f>C113*$C$102</f>
        <v>1523.0405854158355</v>
      </c>
      <c r="E113" s="202">
        <f>C182</f>
        <v>1278.9817424999999</v>
      </c>
      <c r="F113" s="202">
        <f t="shared" si="5"/>
        <v>244.05884291583561</v>
      </c>
      <c r="G113" s="201">
        <v>5146.66</v>
      </c>
      <c r="H113" s="351">
        <f t="shared" si="6"/>
        <v>101305.83691903732</v>
      </c>
    </row>
    <row r="114" spans="2:8" ht="16">
      <c r="B114" s="352">
        <v>43830</v>
      </c>
      <c r="C114" s="339">
        <f t="shared" si="4"/>
        <v>101305.83691903732</v>
      </c>
      <c r="D114" s="339">
        <f>C114*$C$102/6</f>
        <v>242.1227916885274</v>
      </c>
      <c r="E114" s="339">
        <f>C183/6</f>
        <v>203.08474791666666</v>
      </c>
      <c r="F114" s="339">
        <f t="shared" si="5"/>
        <v>39.038043771860742</v>
      </c>
      <c r="G114" s="340"/>
      <c r="H114" s="353">
        <f t="shared" si="6"/>
        <v>101344.87496280918</v>
      </c>
    </row>
    <row r="115" spans="2:8" ht="16">
      <c r="B115" s="325">
        <v>43983</v>
      </c>
      <c r="C115" s="202">
        <f t="shared" si="4"/>
        <v>101344.87496280918</v>
      </c>
      <c r="D115" s="202">
        <f>C115*$C$102-D114</f>
        <v>1211.1737682479293</v>
      </c>
      <c r="E115" s="202">
        <f>C183-E114</f>
        <v>1015.4237395833334</v>
      </c>
      <c r="F115" s="202">
        <f t="shared" si="5"/>
        <v>195.7500286645959</v>
      </c>
      <c r="G115" s="201">
        <v>5207.13</v>
      </c>
      <c r="H115" s="351">
        <f t="shared" si="6"/>
        <v>96333.494991473766</v>
      </c>
    </row>
    <row r="116" spans="2:8" ht="16">
      <c r="B116" s="325">
        <v>44166</v>
      </c>
      <c r="C116" s="202">
        <f t="shared" si="4"/>
        <v>96333.494991473766</v>
      </c>
      <c r="D116" s="202">
        <f>C116*$C$102</f>
        <v>1381.4328245916859</v>
      </c>
      <c r="E116" s="202">
        <f>C184</f>
        <v>1157.3247100000001</v>
      </c>
      <c r="F116" s="202">
        <f t="shared" si="5"/>
        <v>224.10811459168576</v>
      </c>
      <c r="G116" s="201">
        <v>5268.32</v>
      </c>
      <c r="H116" s="351">
        <f t="shared" si="6"/>
        <v>91289.283106065443</v>
      </c>
    </row>
    <row r="117" spans="2:8" ht="16">
      <c r="B117" s="352">
        <v>44196</v>
      </c>
      <c r="C117" s="339">
        <f t="shared" si="4"/>
        <v>91289.283106065443</v>
      </c>
      <c r="D117" s="339">
        <f>C117*$C$102/6</f>
        <v>218.18304600306075</v>
      </c>
      <c r="E117" s="339">
        <f>C185/6</f>
        <v>182.570325</v>
      </c>
      <c r="F117" s="339">
        <f t="shared" si="5"/>
        <v>35.612721003060756</v>
      </c>
      <c r="G117" s="340"/>
      <c r="H117" s="353">
        <f t="shared" si="6"/>
        <v>91324.895827068496</v>
      </c>
    </row>
    <row r="118" spans="2:8" ht="16">
      <c r="B118" s="325">
        <v>44348</v>
      </c>
      <c r="C118" s="202">
        <f t="shared" si="4"/>
        <v>91324.895827068496</v>
      </c>
      <c r="D118" s="202">
        <f>C118*$C$102-D117</f>
        <v>1091.4259203185154</v>
      </c>
      <c r="E118" s="202">
        <f>C185-E117</f>
        <v>912.8516249999999</v>
      </c>
      <c r="F118" s="202">
        <f t="shared" si="5"/>
        <v>178.57429531851551</v>
      </c>
      <c r="G118" s="201">
        <v>5330.22</v>
      </c>
      <c r="H118" s="351">
        <f t="shared" si="6"/>
        <v>86173.250122387006</v>
      </c>
    </row>
    <row r="119" spans="2:8" ht="16">
      <c r="B119" s="325">
        <v>44531</v>
      </c>
      <c r="C119" s="202">
        <f t="shared" si="4"/>
        <v>86173.250122387006</v>
      </c>
      <c r="D119" s="202">
        <f>C119*$C$102</f>
        <v>1235.7338050628296</v>
      </c>
      <c r="E119" s="202">
        <f>C186</f>
        <v>1032.7918649999999</v>
      </c>
      <c r="F119" s="202">
        <f t="shared" si="5"/>
        <v>202.94194006282964</v>
      </c>
      <c r="G119" s="201">
        <v>5392.85</v>
      </c>
      <c r="H119" s="351">
        <f t="shared" si="6"/>
        <v>80983.342062449825</v>
      </c>
    </row>
    <row r="120" spans="2:8" ht="16">
      <c r="B120" s="354">
        <v>44561</v>
      </c>
      <c r="C120" s="335">
        <f t="shared" si="4"/>
        <v>80983.342062449825</v>
      </c>
      <c r="D120" s="335">
        <f>C120*$C$102/6</f>
        <v>193.5516595761186</v>
      </c>
      <c r="E120" s="335">
        <f>C187/6</f>
        <v>161.57097958333335</v>
      </c>
      <c r="F120" s="335">
        <f t="shared" si="5"/>
        <v>31.980679992785241</v>
      </c>
      <c r="G120" s="336"/>
      <c r="H120" s="337">
        <f t="shared" si="6"/>
        <v>81015.322742442615</v>
      </c>
    </row>
    <row r="121" spans="2:8" ht="16">
      <c r="B121" s="347">
        <v>44713</v>
      </c>
      <c r="C121" s="202">
        <f t="shared" si="4"/>
        <v>81015.322742442615</v>
      </c>
      <c r="D121" s="202">
        <f>C121*$C$102-D120</f>
        <v>968.21690431959644</v>
      </c>
      <c r="E121" s="202">
        <f>C187-E120</f>
        <v>807.85489791666669</v>
      </c>
      <c r="F121" s="202">
        <f t="shared" si="5"/>
        <v>160.36200640292975</v>
      </c>
      <c r="G121" s="201">
        <v>5456.21</v>
      </c>
      <c r="H121" s="351">
        <f t="shared" si="6"/>
        <v>75719.474748845532</v>
      </c>
    </row>
    <row r="122" spans="2:8" ht="16">
      <c r="B122" s="325">
        <v>44896</v>
      </c>
      <c r="C122" s="202">
        <f t="shared" si="4"/>
        <v>75719.474748845532</v>
      </c>
      <c r="D122" s="202">
        <f>C122*$C$102</f>
        <v>1085.8255260867938</v>
      </c>
      <c r="E122" s="202">
        <f>C188</f>
        <v>905.31540999999993</v>
      </c>
      <c r="F122" s="202">
        <f t="shared" si="5"/>
        <v>180.51011608679391</v>
      </c>
      <c r="G122" s="201">
        <v>5520.33</v>
      </c>
      <c r="H122" s="351">
        <f t="shared" si="6"/>
        <v>70379.654864932323</v>
      </c>
    </row>
    <row r="123" spans="2:8" ht="16">
      <c r="B123" s="352">
        <v>44926</v>
      </c>
      <c r="C123" s="339">
        <f t="shared" si="4"/>
        <v>70379.654864932323</v>
      </c>
      <c r="D123" s="339">
        <f>C123*$C$102/6</f>
        <v>168.20865442917258</v>
      </c>
      <c r="E123" s="339">
        <f>C189/6</f>
        <v>140.07525541666664</v>
      </c>
      <c r="F123" s="339">
        <f t="shared" si="5"/>
        <v>28.133399012505947</v>
      </c>
      <c r="G123" s="340"/>
      <c r="H123" s="353">
        <f t="shared" si="6"/>
        <v>70407.788263944836</v>
      </c>
    </row>
    <row r="124" spans="2:8" ht="16">
      <c r="B124" s="325">
        <v>45078</v>
      </c>
      <c r="C124" s="202">
        <f t="shared" si="4"/>
        <v>70407.788263944836</v>
      </c>
      <c r="D124" s="202">
        <f>C124*$C$102-D123</f>
        <v>841.44670815601353</v>
      </c>
      <c r="E124" s="202">
        <f>C189-E123</f>
        <v>700.37627708333321</v>
      </c>
      <c r="F124" s="202">
        <f t="shared" si="5"/>
        <v>141.07043107268032</v>
      </c>
      <c r="G124" s="201">
        <v>5585.19</v>
      </c>
      <c r="H124" s="351">
        <f t="shared" si="6"/>
        <v>64963.668695017521</v>
      </c>
    </row>
    <row r="125" spans="2:8" ht="16">
      <c r="B125" s="325">
        <v>45261</v>
      </c>
      <c r="C125" s="202">
        <f t="shared" si="4"/>
        <v>64963.668695017521</v>
      </c>
      <c r="D125" s="202">
        <f>C125*$C$102</f>
        <v>931.58609421509573</v>
      </c>
      <c r="E125" s="202">
        <f>C190</f>
        <v>774.82566750000001</v>
      </c>
      <c r="F125" s="202">
        <f t="shared" si="5"/>
        <v>156.76042671509572</v>
      </c>
      <c r="G125" s="201">
        <v>5650.81</v>
      </c>
      <c r="H125" s="351">
        <f t="shared" si="6"/>
        <v>59469.61912173262</v>
      </c>
    </row>
    <row r="126" spans="2:8" ht="16">
      <c r="B126" s="352">
        <v>45291</v>
      </c>
      <c r="C126" s="339">
        <f t="shared" si="4"/>
        <v>59469.61912173262</v>
      </c>
      <c r="D126" s="339">
        <f>C126*$C$102/6</f>
        <v>142.13347068950074</v>
      </c>
      <c r="E126" s="339">
        <f>C191/6</f>
        <v>118.07142208333333</v>
      </c>
      <c r="F126" s="339">
        <f t="shared" si="5"/>
        <v>24.062048606167409</v>
      </c>
      <c r="G126" s="340"/>
      <c r="H126" s="353">
        <f t="shared" si="6"/>
        <v>59493.681170338787</v>
      </c>
    </row>
    <row r="127" spans="2:8" ht="16">
      <c r="B127" s="325">
        <v>45444</v>
      </c>
      <c r="C127" s="202">
        <f t="shared" si="4"/>
        <v>59493.681170338787</v>
      </c>
      <c r="D127" s="202">
        <f>C127*$C$102-D126</f>
        <v>711.01240584879383</v>
      </c>
      <c r="E127" s="202">
        <f>C191-E126</f>
        <v>590.35711041666661</v>
      </c>
      <c r="F127" s="202">
        <f t="shared" si="5"/>
        <v>120.65529543212722</v>
      </c>
      <c r="G127" s="201">
        <v>5717.21</v>
      </c>
      <c r="H127" s="351">
        <f t="shared" si="6"/>
        <v>53897.126465770918</v>
      </c>
    </row>
    <row r="128" spans="2:8" ht="16">
      <c r="B128" s="325">
        <v>45627</v>
      </c>
      <c r="C128" s="202">
        <f t="shared" si="4"/>
        <v>53897.126465770918</v>
      </c>
      <c r="D128" s="202">
        <f>C128*$C$102</f>
        <v>772.89067169809493</v>
      </c>
      <c r="E128" s="202">
        <f>C192</f>
        <v>641.25131499999998</v>
      </c>
      <c r="F128" s="202">
        <f t="shared" si="5"/>
        <v>131.63935669809496</v>
      </c>
      <c r="G128" s="201">
        <v>5784.39</v>
      </c>
      <c r="H128" s="351">
        <f t="shared" si="6"/>
        <v>48244.37582246901</v>
      </c>
    </row>
    <row r="129" spans="1:8" ht="16">
      <c r="B129" s="352">
        <v>45657</v>
      </c>
      <c r="C129" s="339">
        <f t="shared" si="4"/>
        <v>48244.37582246901</v>
      </c>
      <c r="D129" s="339">
        <f>C129*$C$102/6</f>
        <v>115.30493516125915</v>
      </c>
      <c r="E129" s="339">
        <f>C193/6</f>
        <v>95.547455416666665</v>
      </c>
      <c r="F129" s="339">
        <f t="shared" si="5"/>
        <v>19.757479744592487</v>
      </c>
      <c r="G129" s="340"/>
      <c r="H129" s="353">
        <f t="shared" si="6"/>
        <v>48264.133302213602</v>
      </c>
    </row>
    <row r="130" spans="1:8" ht="16">
      <c r="B130" s="325">
        <v>45809</v>
      </c>
      <c r="C130" s="202">
        <f t="shared" si="4"/>
        <v>48264.133302213602</v>
      </c>
      <c r="D130" s="202">
        <f>C130*$C$102-D129</f>
        <v>576.80800022064204</v>
      </c>
      <c r="E130" s="202">
        <f>C193-E129</f>
        <v>477.73727708333337</v>
      </c>
      <c r="F130" s="202">
        <f t="shared" si="5"/>
        <v>99.070723137308676</v>
      </c>
      <c r="G130" s="201">
        <v>5852.36</v>
      </c>
      <c r="H130" s="351">
        <f t="shared" si="6"/>
        <v>42510.844025350911</v>
      </c>
    </row>
    <row r="131" spans="1:8" ht="16">
      <c r="B131" s="325">
        <v>45992</v>
      </c>
      <c r="C131" s="202">
        <f t="shared" si="4"/>
        <v>42510.844025350911</v>
      </c>
      <c r="D131" s="202">
        <f>C131*$C$102</f>
        <v>609.6101396810609</v>
      </c>
      <c r="E131" s="202">
        <f>C194</f>
        <v>504.51950250000004</v>
      </c>
      <c r="F131" s="202">
        <f t="shared" si="5"/>
        <v>105.09063718106086</v>
      </c>
      <c r="G131" s="201">
        <v>5921.12</v>
      </c>
      <c r="H131" s="351">
        <f t="shared" si="6"/>
        <v>36694.814662531971</v>
      </c>
    </row>
    <row r="132" spans="1:8" ht="16">
      <c r="B132" s="352">
        <v>46022</v>
      </c>
      <c r="C132" s="339">
        <f t="shared" si="4"/>
        <v>36694.814662531971</v>
      </c>
      <c r="D132" s="339">
        <f>C132*$C$102/6</f>
        <v>87.701274050831657</v>
      </c>
      <c r="E132" s="339">
        <f>C195/6</f>
        <v>72.491057083333331</v>
      </c>
      <c r="F132" s="339">
        <f t="shared" si="5"/>
        <v>15.210216967498326</v>
      </c>
      <c r="G132" s="340"/>
      <c r="H132" s="353">
        <f t="shared" si="6"/>
        <v>36710.02487949947</v>
      </c>
    </row>
    <row r="133" spans="1:8" ht="16">
      <c r="B133" s="325">
        <v>46174</v>
      </c>
      <c r="C133" s="202">
        <f t="shared" si="4"/>
        <v>36710.02487949947</v>
      </c>
      <c r="D133" s="202">
        <f>C133*$C$102-D132</f>
        <v>438.72448642434301</v>
      </c>
      <c r="E133" s="202">
        <f>C195-E132</f>
        <v>362.4552854166667</v>
      </c>
      <c r="F133" s="202">
        <f t="shared" si="5"/>
        <v>76.269201007676315</v>
      </c>
      <c r="G133" s="201">
        <v>5990.69</v>
      </c>
      <c r="H133" s="351">
        <f t="shared" si="6"/>
        <v>30795.60408050715</v>
      </c>
    </row>
    <row r="134" spans="1:8" ht="16">
      <c r="B134" s="325">
        <v>46357</v>
      </c>
      <c r="C134" s="202">
        <f t="shared" si="4"/>
        <v>30795.60408050715</v>
      </c>
      <c r="D134" s="202">
        <f>C134*$C$102</f>
        <v>441.61232117351841</v>
      </c>
      <c r="E134" s="202">
        <f>C196</f>
        <v>364.55573500000003</v>
      </c>
      <c r="F134" s="202">
        <f t="shared" si="5"/>
        <v>77.056586173518383</v>
      </c>
      <c r="G134" s="201">
        <v>6061.08</v>
      </c>
      <c r="H134" s="351">
        <f t="shared" si="6"/>
        <v>24811.580666680667</v>
      </c>
    </row>
    <row r="135" spans="1:8" ht="16">
      <c r="B135" s="352">
        <v>46387</v>
      </c>
      <c r="C135" s="339">
        <f t="shared" si="4"/>
        <v>24811.580666680667</v>
      </c>
      <c r="D135" s="339">
        <f>C135*$C$102/6</f>
        <v>59.300128797345756</v>
      </c>
      <c r="E135" s="339">
        <f>C197/6</f>
        <v>48.889654583333332</v>
      </c>
      <c r="F135" s="339">
        <f t="shared" si="5"/>
        <v>10.410474214012424</v>
      </c>
      <c r="G135" s="340"/>
      <c r="H135" s="353">
        <f t="shared" si="6"/>
        <v>24821.991140894679</v>
      </c>
    </row>
    <row r="136" spans="1:8" ht="16">
      <c r="B136" s="325">
        <v>46539</v>
      </c>
      <c r="C136" s="202">
        <f t="shared" si="4"/>
        <v>24821.991140894679</v>
      </c>
      <c r="D136" s="202">
        <f>C136*$C$102-D135</f>
        <v>296.64993132235463</v>
      </c>
      <c r="E136" s="202">
        <f>C197-E135</f>
        <v>244.44827291666664</v>
      </c>
      <c r="F136" s="202">
        <f t="shared" si="5"/>
        <v>52.201658405687994</v>
      </c>
      <c r="G136" s="201">
        <v>6132.3</v>
      </c>
      <c r="H136" s="351">
        <f t="shared" si="6"/>
        <v>18741.892799300367</v>
      </c>
    </row>
    <row r="137" spans="1:8" ht="16">
      <c r="B137" s="325">
        <v>46722</v>
      </c>
      <c r="C137" s="202">
        <f t="shared" si="4"/>
        <v>18741.892799300367</v>
      </c>
      <c r="D137" s="202">
        <f>C137*$C$102</f>
        <v>268.76078678785194</v>
      </c>
      <c r="E137" s="202">
        <f>C198</f>
        <v>221.28340250000002</v>
      </c>
      <c r="F137" s="202">
        <f t="shared" si="5"/>
        <v>47.477384287851919</v>
      </c>
      <c r="G137" s="201">
        <v>6204.36</v>
      </c>
      <c r="H137" s="351">
        <f t="shared" si="6"/>
        <v>12585.01018358822</v>
      </c>
    </row>
    <row r="138" spans="1:8" ht="16">
      <c r="B138" s="352">
        <v>46752</v>
      </c>
      <c r="C138" s="339">
        <f t="shared" si="4"/>
        <v>12585.01018358822</v>
      </c>
      <c r="D138" s="339">
        <f>C138*$C$102/6</f>
        <v>30.078403098472549</v>
      </c>
      <c r="E138" s="339">
        <f>C199/6</f>
        <v>24.730362083333333</v>
      </c>
      <c r="F138" s="339">
        <f t="shared" si="5"/>
        <v>5.3480410151392164</v>
      </c>
      <c r="G138" s="340"/>
      <c r="H138" s="353">
        <f t="shared" si="6"/>
        <v>12590.358224603358</v>
      </c>
    </row>
    <row r="139" spans="1:8" ht="16">
      <c r="B139" s="325">
        <v>46905</v>
      </c>
      <c r="C139" s="202">
        <f t="shared" si="4"/>
        <v>12590.358224603358</v>
      </c>
      <c r="D139" s="202">
        <f>C139*$C$102-D138</f>
        <v>150.46870698379291</v>
      </c>
      <c r="E139" s="202">
        <f>C199-E138</f>
        <v>123.65181041666666</v>
      </c>
      <c r="F139" s="202">
        <f t="shared" si="5"/>
        <v>26.81689656712625</v>
      </c>
      <c r="G139" s="201">
        <v>6277.26</v>
      </c>
      <c r="H139" s="351">
        <f t="shared" si="6"/>
        <v>6339.9151211704848</v>
      </c>
    </row>
    <row r="140" spans="1:8" ht="16">
      <c r="B140" s="325">
        <v>47088</v>
      </c>
      <c r="C140" s="202">
        <f t="shared" si="4"/>
        <v>6339.9151211704848</v>
      </c>
      <c r="D140" s="202">
        <f>C140*$C$102</f>
        <v>90.915074287351928</v>
      </c>
      <c r="E140" s="202">
        <f>C200</f>
        <v>74.624485000000007</v>
      </c>
      <c r="F140" s="202">
        <f t="shared" si="5"/>
        <v>16.290589287351921</v>
      </c>
      <c r="G140" s="201">
        <v>6356.21</v>
      </c>
      <c r="H140" s="351">
        <v>0</v>
      </c>
    </row>
    <row r="144" spans="1:8">
      <c r="A144" s="197"/>
    </row>
    <row r="177" spans="3:4" ht="16">
      <c r="C177" s="196">
        <f t="shared" ref="C177:C200" si="7">D177*$C$74</f>
        <v>1570.9749999999999</v>
      </c>
      <c r="D177" s="195">
        <v>133700</v>
      </c>
    </row>
    <row r="178" spans="3:4" ht="16">
      <c r="C178" s="196">
        <f t="shared" si="7"/>
        <v>1513.9326275000001</v>
      </c>
      <c r="D178" s="195">
        <v>128845.33</v>
      </c>
    </row>
    <row r="179" spans="3:4" ht="16">
      <c r="C179" s="196">
        <f t="shared" si="7"/>
        <v>1456.2201525</v>
      </c>
      <c r="D179" s="195">
        <v>123933.63</v>
      </c>
    </row>
    <row r="180" spans="3:4" ht="16">
      <c r="C180" s="196">
        <f t="shared" si="7"/>
        <v>1397.8294675000002</v>
      </c>
      <c r="D180" s="195">
        <v>118964.21</v>
      </c>
    </row>
    <row r="181" spans="3:4" ht="16">
      <c r="C181" s="196">
        <f t="shared" si="7"/>
        <v>1338.7527</v>
      </c>
      <c r="D181" s="195">
        <v>113936.4</v>
      </c>
    </row>
    <row r="182" spans="3:4" ht="16">
      <c r="C182" s="196">
        <f t="shared" si="7"/>
        <v>1278.9817424999999</v>
      </c>
      <c r="D182" s="195">
        <v>108849.51</v>
      </c>
    </row>
    <row r="183" spans="3:4" ht="16">
      <c r="C183" s="196">
        <f t="shared" si="7"/>
        <v>1218.5084875</v>
      </c>
      <c r="D183" s="195">
        <v>103702.85</v>
      </c>
    </row>
    <row r="184" spans="3:4" ht="16">
      <c r="C184" s="196">
        <f t="shared" si="7"/>
        <v>1157.3247100000001</v>
      </c>
      <c r="D184" s="195">
        <v>98495.72</v>
      </c>
    </row>
    <row r="185" spans="3:4" ht="16">
      <c r="C185" s="196">
        <f t="shared" si="7"/>
        <v>1095.4219499999999</v>
      </c>
      <c r="D185" s="195">
        <v>93227.4</v>
      </c>
    </row>
    <row r="186" spans="3:4" ht="16">
      <c r="C186" s="196">
        <f t="shared" si="7"/>
        <v>1032.7918649999999</v>
      </c>
      <c r="D186" s="195">
        <v>87897.18</v>
      </c>
    </row>
    <row r="187" spans="3:4" ht="16">
      <c r="C187" s="196">
        <f t="shared" si="7"/>
        <v>969.42587750000007</v>
      </c>
      <c r="D187" s="195">
        <v>82504.33</v>
      </c>
    </row>
    <row r="188" spans="3:4" ht="16">
      <c r="C188" s="196">
        <f t="shared" si="7"/>
        <v>905.31540999999993</v>
      </c>
      <c r="D188" s="195">
        <v>77048.12</v>
      </c>
    </row>
    <row r="189" spans="3:4" ht="16">
      <c r="C189" s="196">
        <f t="shared" si="7"/>
        <v>840.45153249999987</v>
      </c>
      <c r="D189" s="195">
        <v>71527.789999999994</v>
      </c>
    </row>
    <row r="190" spans="3:4" ht="16">
      <c r="C190" s="196">
        <f t="shared" si="7"/>
        <v>774.82566750000001</v>
      </c>
      <c r="D190" s="195">
        <v>65942.61</v>
      </c>
    </row>
    <row r="191" spans="3:4" ht="16">
      <c r="C191" s="196">
        <f t="shared" si="7"/>
        <v>708.42853249999996</v>
      </c>
      <c r="D191" s="195">
        <v>60291.79</v>
      </c>
    </row>
    <row r="192" spans="3:4" ht="16">
      <c r="C192" s="196">
        <f t="shared" si="7"/>
        <v>641.25131499999998</v>
      </c>
      <c r="D192" s="195">
        <v>54574.58</v>
      </c>
    </row>
    <row r="193" spans="3:4" ht="16">
      <c r="C193" s="196">
        <f t="shared" si="7"/>
        <v>573.28473250000002</v>
      </c>
      <c r="D193" s="195">
        <v>48790.19</v>
      </c>
    </row>
    <row r="194" spans="3:4" ht="16">
      <c r="C194" s="196">
        <f t="shared" si="7"/>
        <v>504.51950250000004</v>
      </c>
      <c r="D194" s="195">
        <v>42937.83</v>
      </c>
    </row>
    <row r="195" spans="3:4" ht="16">
      <c r="C195" s="196">
        <f t="shared" si="7"/>
        <v>434.94634250000001</v>
      </c>
      <c r="D195" s="195">
        <v>37016.71</v>
      </c>
    </row>
    <row r="196" spans="3:4" ht="16">
      <c r="C196" s="196">
        <f t="shared" si="7"/>
        <v>364.55573500000003</v>
      </c>
      <c r="D196" s="195">
        <v>31026.02</v>
      </c>
    </row>
    <row r="197" spans="3:4" ht="16">
      <c r="C197" s="196">
        <f t="shared" si="7"/>
        <v>293.33792749999998</v>
      </c>
      <c r="D197" s="195">
        <v>24964.93</v>
      </c>
    </row>
    <row r="198" spans="3:4" ht="16">
      <c r="C198" s="196">
        <f t="shared" si="7"/>
        <v>221.28340250000002</v>
      </c>
      <c r="D198" s="195">
        <v>18832.63</v>
      </c>
    </row>
    <row r="199" spans="3:4" ht="16">
      <c r="C199" s="196">
        <f t="shared" si="7"/>
        <v>148.3821725</v>
      </c>
      <c r="D199" s="195">
        <v>12628.27</v>
      </c>
    </row>
    <row r="200" spans="3:4" ht="16">
      <c r="C200" s="196">
        <f t="shared" si="7"/>
        <v>74.624485000000007</v>
      </c>
      <c r="D200" s="195">
        <v>6351.02</v>
      </c>
    </row>
  </sheetData>
  <mergeCells count="2">
    <mergeCell ref="B2:F2"/>
    <mergeCell ref="B69:F6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82044-45BD-4740-934E-D48D5A4553C2}">
  <dimension ref="B1:H6"/>
  <sheetViews>
    <sheetView workbookViewId="0">
      <selection activeCell="E15" sqref="E15"/>
    </sheetView>
  </sheetViews>
  <sheetFormatPr baseColWidth="10" defaultColWidth="8.83203125" defaultRowHeight="15"/>
  <cols>
    <col min="1" max="1" width="8.83203125" style="58"/>
    <col min="2" max="2" width="15.33203125" style="58" bestFit="1" customWidth="1"/>
    <col min="3" max="3" width="14.6640625" style="58" customWidth="1"/>
    <col min="4" max="4" width="20.83203125" style="58" customWidth="1"/>
    <col min="5" max="5" width="20.6640625" style="58" customWidth="1"/>
    <col min="6" max="6" width="13.83203125" style="58" bestFit="1" customWidth="1"/>
    <col min="7" max="7" width="15.6640625" style="58" customWidth="1"/>
    <col min="8" max="8" width="15.33203125" style="58" customWidth="1"/>
    <col min="9" max="16384" width="8.83203125" style="58"/>
  </cols>
  <sheetData>
    <row r="1" spans="2:8" ht="16" thickBot="1"/>
    <row r="2" spans="2:8" ht="19" thickBot="1">
      <c r="B2" s="583" t="s">
        <v>1019</v>
      </c>
      <c r="C2" s="584"/>
      <c r="D2" s="584"/>
      <c r="E2" s="584"/>
      <c r="F2" s="585"/>
    </row>
    <row r="4" spans="2:8" ht="51">
      <c r="B4" s="408"/>
      <c r="C4" s="398" t="s">
        <v>1018</v>
      </c>
      <c r="D4" s="398" t="s">
        <v>1017</v>
      </c>
      <c r="E4" s="399" t="s">
        <v>1016</v>
      </c>
      <c r="F4" s="409" t="s">
        <v>1015</v>
      </c>
      <c r="G4" s="400" t="s">
        <v>1014</v>
      </c>
      <c r="H4" s="398" t="s">
        <v>1013</v>
      </c>
    </row>
    <row r="5" spans="2:8" ht="16">
      <c r="B5" s="401" t="s">
        <v>1012</v>
      </c>
      <c r="C5" s="272">
        <v>10000</v>
      </c>
      <c r="D5" s="402">
        <v>6.99</v>
      </c>
      <c r="E5" s="403">
        <f>C5*D5</f>
        <v>69900</v>
      </c>
      <c r="F5" s="404">
        <v>7.2268999999999997</v>
      </c>
      <c r="G5" s="405">
        <f>E5/F5</f>
        <v>9672.1969309109027</v>
      </c>
      <c r="H5" s="406">
        <f>-C5+G5</f>
        <v>-327.80306908909733</v>
      </c>
    </row>
    <row r="6" spans="2:8" ht="16">
      <c r="B6" s="401" t="s">
        <v>1011</v>
      </c>
      <c r="C6" s="272">
        <v>4500</v>
      </c>
      <c r="D6" s="402">
        <v>1.08</v>
      </c>
      <c r="E6" s="407">
        <f>C6*D6</f>
        <v>4860</v>
      </c>
      <c r="F6" s="402">
        <v>1.137</v>
      </c>
      <c r="G6" s="272">
        <f>E6/F6</f>
        <v>4274.4063324538256</v>
      </c>
      <c r="H6" s="406">
        <f>-C6+G6</f>
        <v>-225.5936675461744</v>
      </c>
    </row>
  </sheetData>
  <mergeCells count="1">
    <mergeCell ref="B2:F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80310-6282-524F-9936-EE134A5BAA31}">
  <dimension ref="B1:M133"/>
  <sheetViews>
    <sheetView topLeftCell="D75" workbookViewId="0">
      <selection activeCell="H56" sqref="H56"/>
    </sheetView>
  </sheetViews>
  <sheetFormatPr baseColWidth="10" defaultColWidth="8.83203125" defaultRowHeight="15"/>
  <cols>
    <col min="1" max="1" width="8.83203125" style="58"/>
    <col min="2" max="2" width="64.33203125" style="58" bestFit="1" customWidth="1"/>
    <col min="3" max="3" width="14.6640625" style="58" bestFit="1" customWidth="1"/>
    <col min="4" max="4" width="38.33203125" style="58" bestFit="1" customWidth="1"/>
    <col min="5" max="5" width="13.6640625" style="58" bestFit="1" customWidth="1"/>
    <col min="6" max="6" width="14.6640625" style="58" bestFit="1" customWidth="1"/>
    <col min="7" max="7" width="12.33203125" style="58" bestFit="1" customWidth="1"/>
    <col min="8" max="8" width="73" style="58" bestFit="1" customWidth="1"/>
    <col min="9" max="13" width="14.6640625" style="58" bestFit="1" customWidth="1"/>
    <col min="14" max="16384" width="8.83203125" style="58"/>
  </cols>
  <sheetData>
    <row r="1" spans="2:7" ht="16" thickBot="1"/>
    <row r="2" spans="2:7" ht="19" thickBot="1">
      <c r="B2" s="583" t="s">
        <v>1086</v>
      </c>
      <c r="C2" s="584"/>
      <c r="D2" s="584"/>
      <c r="E2" s="584"/>
      <c r="F2" s="585"/>
    </row>
    <row r="4" spans="2:7" ht="16">
      <c r="B4" s="187" t="s">
        <v>1070</v>
      </c>
      <c r="C4" s="223"/>
      <c r="D4" s="210"/>
      <c r="E4" s="210"/>
      <c r="F4" s="210"/>
    </row>
    <row r="5" spans="2:7">
      <c r="B5" s="210"/>
      <c r="C5" s="223"/>
      <c r="D5" s="210"/>
      <c r="E5" s="210"/>
      <c r="F5" s="210"/>
    </row>
    <row r="6" spans="2:7" ht="17" thickBot="1">
      <c r="B6" s="222" t="s">
        <v>1074</v>
      </c>
      <c r="C6" s="219"/>
      <c r="D6" s="179"/>
      <c r="E6" s="179"/>
      <c r="F6" s="179"/>
    </row>
    <row r="7" spans="2:7" ht="17" thickBot="1">
      <c r="B7" s="622" t="s">
        <v>1073</v>
      </c>
      <c r="C7" s="623"/>
      <c r="D7" s="623"/>
      <c r="E7" s="623"/>
      <c r="F7" s="623"/>
    </row>
    <row r="8" spans="2:7" ht="17" thickBot="1">
      <c r="B8" s="410" t="s">
        <v>1041</v>
      </c>
      <c r="C8" s="411" t="s">
        <v>136</v>
      </c>
      <c r="D8" s="412" t="s">
        <v>2</v>
      </c>
      <c r="E8" s="413" t="s">
        <v>782</v>
      </c>
      <c r="F8" s="414" t="s">
        <v>783</v>
      </c>
    </row>
    <row r="9" spans="2:7" ht="17" thickBot="1">
      <c r="B9" s="415" t="s">
        <v>1062</v>
      </c>
      <c r="C9" s="416" t="s">
        <v>776</v>
      </c>
      <c r="D9" s="417" t="s">
        <v>1085</v>
      </c>
      <c r="E9" s="418"/>
      <c r="F9" s="419">
        <v>55000</v>
      </c>
    </row>
    <row r="10" spans="2:7" ht="16">
      <c r="B10" s="179"/>
      <c r="C10" s="219"/>
      <c r="D10" s="179"/>
      <c r="E10" s="179"/>
      <c r="F10" s="179"/>
    </row>
    <row r="11" spans="2:7" ht="17" thickBot="1">
      <c r="B11" s="624" t="s">
        <v>1069</v>
      </c>
      <c r="C11" s="625"/>
      <c r="D11" s="625"/>
      <c r="E11" s="625"/>
      <c r="F11" s="625"/>
    </row>
    <row r="12" spans="2:7" ht="16">
      <c r="B12" s="420" t="s">
        <v>1041</v>
      </c>
      <c r="C12" s="421" t="s">
        <v>136</v>
      </c>
      <c r="D12" s="422" t="s">
        <v>2</v>
      </c>
      <c r="E12" s="423" t="s">
        <v>1068</v>
      </c>
      <c r="F12" s="424" t="s">
        <v>783</v>
      </c>
    </row>
    <row r="13" spans="2:7" ht="16">
      <c r="B13" s="244" t="s">
        <v>1066</v>
      </c>
      <c r="C13" s="248" t="s">
        <v>776</v>
      </c>
      <c r="D13" s="244" t="s">
        <v>1065</v>
      </c>
      <c r="E13" s="244"/>
      <c r="F13" s="245">
        <f>4801.19*10+5000</f>
        <v>53011.899999999994</v>
      </c>
      <c r="G13" s="439" t="s">
        <v>1084</v>
      </c>
    </row>
    <row r="14" spans="2:7" ht="16">
      <c r="B14" s="244" t="s">
        <v>1065</v>
      </c>
      <c r="C14" s="248" t="s">
        <v>776</v>
      </c>
      <c r="D14" s="244" t="s">
        <v>1066</v>
      </c>
      <c r="E14" s="244"/>
      <c r="F14" s="245">
        <v>5000</v>
      </c>
    </row>
    <row r="15" spans="2:7" ht="16">
      <c r="B15" s="179"/>
      <c r="C15" s="219"/>
      <c r="D15" s="179"/>
      <c r="E15" s="179"/>
      <c r="F15" s="221"/>
    </row>
    <row r="16" spans="2:7" ht="17" thickBot="1">
      <c r="B16" s="217" t="s">
        <v>1048</v>
      </c>
      <c r="C16" s="219"/>
      <c r="D16" s="179"/>
      <c r="E16" s="179"/>
      <c r="F16" s="179"/>
    </row>
    <row r="17" spans="2:8" ht="17" thickBot="1">
      <c r="B17" s="425" t="s">
        <v>1</v>
      </c>
      <c r="C17" s="426" t="s">
        <v>136</v>
      </c>
      <c r="D17" s="427" t="s">
        <v>2</v>
      </c>
      <c r="E17" s="428" t="s">
        <v>782</v>
      </c>
      <c r="F17" s="429" t="s">
        <v>783</v>
      </c>
    </row>
    <row r="18" spans="2:8" ht="16">
      <c r="B18" s="430" t="s">
        <v>777</v>
      </c>
      <c r="C18" s="612" t="s">
        <v>776</v>
      </c>
      <c r="D18" s="179" t="s">
        <v>1045</v>
      </c>
      <c r="E18" s="431"/>
      <c r="F18" s="432">
        <f>E19+E20</f>
        <v>6100</v>
      </c>
    </row>
    <row r="19" spans="2:8" ht="16">
      <c r="B19" s="430" t="s">
        <v>204</v>
      </c>
      <c r="C19" s="613"/>
      <c r="D19" s="179"/>
      <c r="E19" s="431">
        <f>5000</f>
        <v>5000</v>
      </c>
      <c r="F19" s="432"/>
    </row>
    <row r="20" spans="2:8" ht="17" thickBot="1">
      <c r="B20" s="415" t="s">
        <v>1034</v>
      </c>
      <c r="C20" s="614"/>
      <c r="D20" s="417"/>
      <c r="E20" s="433">
        <f>E19*0.22</f>
        <v>1100</v>
      </c>
      <c r="F20" s="419"/>
    </row>
    <row r="22" spans="2:8" ht="16">
      <c r="B22" s="187" t="s">
        <v>1083</v>
      </c>
      <c r="C22" s="223"/>
      <c r="D22" s="210"/>
      <c r="E22" s="210"/>
      <c r="F22" s="210"/>
    </row>
    <row r="23" spans="2:8">
      <c r="B23" s="210"/>
      <c r="C23" s="223"/>
      <c r="D23" s="210"/>
      <c r="E23" s="210"/>
      <c r="F23" s="210"/>
    </row>
    <row r="24" spans="2:8" ht="17" thickBot="1">
      <c r="B24" s="222" t="s">
        <v>1074</v>
      </c>
      <c r="C24" s="219"/>
      <c r="D24" s="179"/>
      <c r="E24" s="179"/>
      <c r="F24" s="179"/>
    </row>
    <row r="25" spans="2:8" ht="17" thickBot="1">
      <c r="B25" s="622" t="s">
        <v>1073</v>
      </c>
      <c r="C25" s="623"/>
      <c r="D25" s="623"/>
      <c r="E25" s="623"/>
      <c r="F25" s="623"/>
    </row>
    <row r="26" spans="2:8" ht="17" thickBot="1">
      <c r="B26" s="410" t="s">
        <v>1041</v>
      </c>
      <c r="C26" s="411" t="s">
        <v>136</v>
      </c>
      <c r="D26" s="412" t="s">
        <v>2</v>
      </c>
      <c r="E26" s="413" t="s">
        <v>782</v>
      </c>
      <c r="F26" s="414" t="s">
        <v>783</v>
      </c>
    </row>
    <row r="27" spans="2:8" ht="17" thickBot="1">
      <c r="B27" s="415" t="s">
        <v>1072</v>
      </c>
      <c r="C27" s="416" t="s">
        <v>776</v>
      </c>
      <c r="D27" s="417" t="s">
        <v>1079</v>
      </c>
      <c r="E27" s="418"/>
      <c r="F27" s="419">
        <v>4301.1899999999996</v>
      </c>
      <c r="G27" s="179" t="s">
        <v>1082</v>
      </c>
    </row>
    <row r="28" spans="2:8" ht="16">
      <c r="B28" s="179"/>
      <c r="C28" s="219"/>
      <c r="D28" s="179"/>
      <c r="E28" s="179"/>
      <c r="F28" s="179"/>
    </row>
    <row r="29" spans="2:8" ht="17" thickBot="1">
      <c r="B29" s="624" t="s">
        <v>1069</v>
      </c>
      <c r="C29" s="625"/>
      <c r="D29" s="625"/>
      <c r="E29" s="625"/>
      <c r="F29" s="625"/>
    </row>
    <row r="30" spans="2:8" ht="16">
      <c r="B30" s="420" t="s">
        <v>1041</v>
      </c>
      <c r="C30" s="421" t="s">
        <v>136</v>
      </c>
      <c r="D30" s="422" t="s">
        <v>2</v>
      </c>
      <c r="E30" s="423" t="s">
        <v>1068</v>
      </c>
      <c r="F30" s="424" t="s">
        <v>783</v>
      </c>
    </row>
    <row r="31" spans="2:8" ht="16">
      <c r="B31" s="244" t="s">
        <v>1065</v>
      </c>
      <c r="C31" s="248" t="s">
        <v>776</v>
      </c>
      <c r="D31" s="244" t="s">
        <v>1066</v>
      </c>
      <c r="E31" s="244"/>
      <c r="F31" s="251">
        <f>4801.19</f>
        <v>4801.1899999999996</v>
      </c>
      <c r="G31" s="737" t="s">
        <v>1003</v>
      </c>
      <c r="H31" s="738"/>
    </row>
    <row r="32" spans="2:8" ht="16">
      <c r="B32" s="179"/>
      <c r="C32" s="219"/>
      <c r="D32" s="179"/>
      <c r="E32" s="179"/>
      <c r="F32" s="221"/>
    </row>
    <row r="33" spans="2:7" ht="17" thickBot="1">
      <c r="B33" s="217" t="s">
        <v>1048</v>
      </c>
      <c r="C33" s="219"/>
      <c r="D33" s="179"/>
      <c r="E33" s="179"/>
      <c r="F33" s="179"/>
    </row>
    <row r="34" spans="2:7" ht="17" thickBot="1">
      <c r="B34" s="425" t="s">
        <v>1</v>
      </c>
      <c r="C34" s="426" t="s">
        <v>136</v>
      </c>
      <c r="D34" s="427" t="s">
        <v>2</v>
      </c>
      <c r="E34" s="428" t="s">
        <v>782</v>
      </c>
      <c r="F34" s="429" t="s">
        <v>783</v>
      </c>
    </row>
    <row r="35" spans="2:7" ht="16">
      <c r="B35" s="430" t="s">
        <v>777</v>
      </c>
      <c r="C35" s="612" t="s">
        <v>776</v>
      </c>
      <c r="D35" s="179" t="s">
        <v>1045</v>
      </c>
      <c r="E35" s="431"/>
      <c r="F35" s="432">
        <f>E36+E37</f>
        <v>5747.4517999999998</v>
      </c>
    </row>
    <row r="36" spans="2:7" ht="16">
      <c r="B36" s="430" t="s">
        <v>204</v>
      </c>
      <c r="C36" s="613"/>
      <c r="D36" s="179"/>
      <c r="E36" s="431">
        <f>F31</f>
        <v>4801.1899999999996</v>
      </c>
      <c r="F36" s="432"/>
    </row>
    <row r="37" spans="2:7" ht="17" thickBot="1">
      <c r="B37" s="415" t="s">
        <v>1034</v>
      </c>
      <c r="C37" s="614"/>
      <c r="D37" s="417"/>
      <c r="E37" s="433">
        <f>(E36-500)*0.22</f>
        <v>946.26179999999988</v>
      </c>
      <c r="F37" s="419"/>
      <c r="G37" s="58" t="s">
        <v>1081</v>
      </c>
    </row>
    <row r="39" spans="2:7" ht="16">
      <c r="B39" s="187" t="s">
        <v>1080</v>
      </c>
      <c r="C39" s="223"/>
      <c r="D39" s="210"/>
      <c r="E39" s="210"/>
      <c r="F39" s="210"/>
    </row>
    <row r="40" spans="2:7">
      <c r="B40" s="210"/>
      <c r="C40" s="223"/>
      <c r="D40" s="210"/>
      <c r="E40" s="210"/>
      <c r="F40" s="210"/>
    </row>
    <row r="41" spans="2:7" ht="17" thickBot="1">
      <c r="B41" s="222" t="s">
        <v>1074</v>
      </c>
      <c r="C41" s="219"/>
      <c r="D41" s="179"/>
      <c r="E41" s="179"/>
      <c r="F41" s="179"/>
    </row>
    <row r="42" spans="2:7" ht="17" thickBot="1">
      <c r="B42" s="622" t="s">
        <v>1073</v>
      </c>
      <c r="C42" s="623"/>
      <c r="D42" s="623"/>
      <c r="E42" s="623"/>
      <c r="F42" s="623"/>
    </row>
    <row r="43" spans="2:7" ht="17" thickBot="1">
      <c r="B43" s="410" t="s">
        <v>1041</v>
      </c>
      <c r="C43" s="411" t="s">
        <v>136</v>
      </c>
      <c r="D43" s="412" t="s">
        <v>2</v>
      </c>
      <c r="E43" s="413" t="s">
        <v>782</v>
      </c>
      <c r="F43" s="414" t="s">
        <v>783</v>
      </c>
    </row>
    <row r="44" spans="2:7" ht="17" thickBot="1">
      <c r="B44" s="415" t="s">
        <v>1072</v>
      </c>
      <c r="C44" s="416" t="s">
        <v>776</v>
      </c>
      <c r="D44" s="417" t="s">
        <v>1079</v>
      </c>
      <c r="E44" s="418"/>
      <c r="F44" s="419">
        <v>4344.21</v>
      </c>
    </row>
    <row r="45" spans="2:7" ht="16">
      <c r="B45" s="179"/>
      <c r="C45" s="219"/>
      <c r="D45" s="179"/>
      <c r="E45" s="179"/>
      <c r="F45" s="179"/>
    </row>
    <row r="46" spans="2:7" ht="17" thickBot="1">
      <c r="B46" s="624" t="s">
        <v>1069</v>
      </c>
      <c r="C46" s="625"/>
      <c r="D46" s="625"/>
      <c r="E46" s="625"/>
      <c r="F46" s="625"/>
    </row>
    <row r="47" spans="2:7" ht="16">
      <c r="B47" s="420" t="s">
        <v>1041</v>
      </c>
      <c r="C47" s="421" t="s">
        <v>136</v>
      </c>
      <c r="D47" s="422" t="s">
        <v>2</v>
      </c>
      <c r="E47" s="423" t="s">
        <v>1068</v>
      </c>
      <c r="F47" s="424" t="s">
        <v>783</v>
      </c>
    </row>
    <row r="48" spans="2:7" ht="16">
      <c r="B48" s="244" t="s">
        <v>1065</v>
      </c>
      <c r="C48" s="248" t="s">
        <v>776</v>
      </c>
      <c r="D48" s="244" t="s">
        <v>1066</v>
      </c>
      <c r="E48" s="244"/>
      <c r="F48" s="245">
        <f>4801.19</f>
        <v>4801.1899999999996</v>
      </c>
    </row>
    <row r="49" spans="2:8" ht="16">
      <c r="B49" s="179"/>
      <c r="C49" s="219"/>
      <c r="D49" s="179"/>
      <c r="E49" s="179"/>
      <c r="F49" s="221"/>
    </row>
    <row r="50" spans="2:8" ht="17" thickBot="1">
      <c r="B50" s="217" t="s">
        <v>1048</v>
      </c>
      <c r="C50" s="219"/>
      <c r="D50" s="179"/>
      <c r="E50" s="179"/>
      <c r="F50" s="179"/>
    </row>
    <row r="51" spans="2:8" ht="17" thickBot="1">
      <c r="B51" s="425" t="s">
        <v>1</v>
      </c>
      <c r="C51" s="426" t="s">
        <v>136</v>
      </c>
      <c r="D51" s="427" t="s">
        <v>2</v>
      </c>
      <c r="E51" s="428" t="s">
        <v>782</v>
      </c>
      <c r="F51" s="429" t="s">
        <v>783</v>
      </c>
    </row>
    <row r="52" spans="2:8" ht="16">
      <c r="B52" s="430" t="s">
        <v>777</v>
      </c>
      <c r="C52" s="612" t="s">
        <v>776</v>
      </c>
      <c r="D52" s="179" t="s">
        <v>1045</v>
      </c>
      <c r="E52" s="431"/>
      <c r="F52" s="432">
        <f>E53+E54</f>
        <v>5756.9139999999998</v>
      </c>
    </row>
    <row r="53" spans="2:8" ht="16">
      <c r="B53" s="430" t="s">
        <v>204</v>
      </c>
      <c r="C53" s="613"/>
      <c r="D53" s="179"/>
      <c r="E53" s="431">
        <f>F48</f>
        <v>4801.1899999999996</v>
      </c>
      <c r="F53" s="432"/>
    </row>
    <row r="54" spans="2:8" ht="17" thickBot="1">
      <c r="B54" s="415" t="s">
        <v>1034</v>
      </c>
      <c r="C54" s="614"/>
      <c r="D54" s="417"/>
      <c r="E54" s="433">
        <f>(E53-456.99)*0.22</f>
        <v>955.72399999999993</v>
      </c>
      <c r="F54" s="419"/>
    </row>
    <row r="56" spans="2:8" ht="16">
      <c r="B56" s="187" t="s">
        <v>1047</v>
      </c>
      <c r="C56" s="223"/>
      <c r="D56" s="210"/>
      <c r="E56" s="210"/>
      <c r="F56" s="210"/>
      <c r="H56" s="738"/>
    </row>
    <row r="57" spans="2:8">
      <c r="B57" s="210"/>
      <c r="C57" s="223"/>
      <c r="D57" s="210"/>
      <c r="E57" s="210"/>
      <c r="F57" s="210"/>
    </row>
    <row r="58" spans="2:8" ht="17" thickBot="1">
      <c r="B58" s="222" t="s">
        <v>1078</v>
      </c>
      <c r="C58" s="219"/>
      <c r="D58" s="179"/>
      <c r="E58" s="179"/>
      <c r="F58" s="179"/>
    </row>
    <row r="59" spans="2:8" ht="17" thickBot="1">
      <c r="B59" s="434" t="s">
        <v>1041</v>
      </c>
      <c r="C59" s="435" t="s">
        <v>136</v>
      </c>
      <c r="D59" s="436" t="s">
        <v>2</v>
      </c>
      <c r="E59" s="437" t="s">
        <v>782</v>
      </c>
      <c r="F59" s="438" t="s">
        <v>783</v>
      </c>
    </row>
    <row r="60" spans="2:8" ht="17" thickBot="1">
      <c r="B60" s="415" t="s">
        <v>812</v>
      </c>
      <c r="C60" s="416" t="s">
        <v>776</v>
      </c>
      <c r="D60" s="417" t="s">
        <v>757</v>
      </c>
      <c r="E60" s="418"/>
      <c r="F60" s="419">
        <f>(5000*1.22)/5*4</f>
        <v>4880</v>
      </c>
    </row>
    <row r="61" spans="2:8" ht="16">
      <c r="B61" s="179"/>
    </row>
    <row r="62" spans="2:8" ht="17" thickBot="1">
      <c r="B62" s="222" t="s">
        <v>1077</v>
      </c>
      <c r="C62" s="219"/>
      <c r="D62" s="179"/>
      <c r="E62" s="179"/>
      <c r="F62" s="179"/>
    </row>
    <row r="63" spans="2:8" ht="17" thickBot="1">
      <c r="B63" s="434" t="s">
        <v>1041</v>
      </c>
      <c r="C63" s="435" t="s">
        <v>136</v>
      </c>
      <c r="D63" s="436" t="s">
        <v>2</v>
      </c>
      <c r="E63" s="437" t="s">
        <v>782</v>
      </c>
      <c r="F63" s="438" t="s">
        <v>783</v>
      </c>
    </row>
    <row r="64" spans="2:8" ht="17" thickBot="1">
      <c r="B64" s="415" t="s">
        <v>812</v>
      </c>
      <c r="C64" s="416" t="s">
        <v>776</v>
      </c>
      <c r="D64" s="417" t="s">
        <v>757</v>
      </c>
      <c r="E64" s="418"/>
      <c r="F64" s="419">
        <f>4801.19/6*5</f>
        <v>4000.9916666666663</v>
      </c>
    </row>
    <row r="67" spans="2:6" ht="19" thickBot="1">
      <c r="B67" s="583" t="s">
        <v>1076</v>
      </c>
      <c r="C67" s="584"/>
      <c r="D67" s="584"/>
      <c r="E67" s="584"/>
      <c r="F67" s="585"/>
    </row>
    <row r="69" spans="2:6" ht="17" thickBot="1">
      <c r="B69" s="218" t="s">
        <v>1075</v>
      </c>
    </row>
    <row r="70" spans="2:6" ht="16">
      <c r="B70" s="217"/>
    </row>
    <row r="71" spans="2:6" ht="17" thickBot="1">
      <c r="B71" s="222" t="s">
        <v>1074</v>
      </c>
      <c r="C71" s="219"/>
      <c r="D71" s="179"/>
      <c r="E71" s="179"/>
      <c r="F71" s="179"/>
    </row>
    <row r="72" spans="2:6" ht="17" thickBot="1">
      <c r="B72" s="622" t="s">
        <v>1073</v>
      </c>
      <c r="C72" s="623"/>
      <c r="F72" s="179"/>
    </row>
    <row r="73" spans="2:6" ht="17" thickBot="1">
      <c r="B73" s="415" t="s">
        <v>1072</v>
      </c>
      <c r="C73" s="419">
        <v>55000</v>
      </c>
    </row>
    <row r="74" spans="2:6" ht="16">
      <c r="D74" s="179"/>
    </row>
    <row r="75" spans="2:6" ht="16">
      <c r="B75" s="626" t="s">
        <v>1069</v>
      </c>
      <c r="C75" s="627"/>
    </row>
    <row r="76" spans="2:6" ht="16">
      <c r="B76" s="244" t="s">
        <v>1065</v>
      </c>
      <c r="C76" s="245">
        <v>53011.9</v>
      </c>
    </row>
    <row r="78" spans="2:6" ht="17" thickBot="1">
      <c r="B78" s="218" t="s">
        <v>1071</v>
      </c>
    </row>
    <row r="79" spans="2:6" ht="16">
      <c r="B79" s="217"/>
    </row>
    <row r="80" spans="2:6" ht="16">
      <c r="B80" s="187" t="s">
        <v>1070</v>
      </c>
      <c r="C80" s="219"/>
      <c r="D80" s="179"/>
      <c r="E80" s="179"/>
      <c r="F80" s="179"/>
    </row>
    <row r="82" spans="2:11" ht="17" thickBot="1">
      <c r="B82" s="624" t="s">
        <v>1069</v>
      </c>
      <c r="C82" s="625"/>
      <c r="D82" s="625"/>
      <c r="E82" s="625"/>
      <c r="F82" s="625"/>
    </row>
    <row r="83" spans="2:11" ht="17" thickBot="1">
      <c r="B83" s="420" t="s">
        <v>1041</v>
      </c>
      <c r="C83" s="421" t="s">
        <v>136</v>
      </c>
      <c r="D83" s="422" t="s">
        <v>2</v>
      </c>
      <c r="E83" s="423" t="s">
        <v>1068</v>
      </c>
      <c r="F83" s="424" t="s">
        <v>783</v>
      </c>
      <c r="H83" s="226" t="s">
        <v>1067</v>
      </c>
      <c r="I83" s="210"/>
      <c r="J83" s="210"/>
      <c r="K83" s="210"/>
    </row>
    <row r="84" spans="2:11" ht="16">
      <c r="B84" s="244" t="s">
        <v>1066</v>
      </c>
      <c r="C84" s="248" t="s">
        <v>776</v>
      </c>
      <c r="D84" s="244" t="s">
        <v>1065</v>
      </c>
      <c r="E84" s="244"/>
      <c r="F84" s="245">
        <f>4801.19*10+5000</f>
        <v>53011.899999999994</v>
      </c>
    </row>
    <row r="85" spans="2:11" ht="16">
      <c r="B85" s="179"/>
      <c r="C85" s="219"/>
      <c r="D85" s="179"/>
      <c r="E85" s="179"/>
      <c r="F85" s="179"/>
      <c r="H85" s="609" t="s">
        <v>290</v>
      </c>
      <c r="I85" s="610"/>
      <c r="J85" s="610"/>
      <c r="K85" s="611"/>
    </row>
    <row r="86" spans="2:11" ht="16">
      <c r="B86" s="217" t="s">
        <v>1048</v>
      </c>
      <c r="H86" s="617" t="s">
        <v>291</v>
      </c>
      <c r="I86" s="618"/>
      <c r="J86" s="615" t="s">
        <v>350</v>
      </c>
      <c r="K86" s="616"/>
    </row>
    <row r="87" spans="2:11" ht="16">
      <c r="B87" s="440" t="s">
        <v>1</v>
      </c>
      <c r="C87" s="441" t="s">
        <v>136</v>
      </c>
      <c r="D87" s="440" t="s">
        <v>2</v>
      </c>
      <c r="E87" s="441" t="s">
        <v>782</v>
      </c>
      <c r="F87" s="441" t="s">
        <v>783</v>
      </c>
      <c r="H87" s="450" t="s">
        <v>1064</v>
      </c>
      <c r="I87" s="451">
        <f>I121</f>
        <v>45000</v>
      </c>
      <c r="J87" s="393" t="s">
        <v>1063</v>
      </c>
      <c r="K87" s="451">
        <f>50000-F98-F107</f>
        <v>38495.621999999996</v>
      </c>
    </row>
    <row r="88" spans="2:11" ht="16">
      <c r="B88" s="244" t="s">
        <v>1062</v>
      </c>
      <c r="C88" s="248" t="s">
        <v>776</v>
      </c>
      <c r="D88" s="244" t="s">
        <v>1045</v>
      </c>
      <c r="E88" s="245"/>
      <c r="F88" s="245">
        <f>55000</f>
        <v>55000</v>
      </c>
      <c r="H88" s="244" t="s">
        <v>1061</v>
      </c>
      <c r="I88" s="452">
        <f>F116+F117</f>
        <v>4001</v>
      </c>
      <c r="J88" s="453"/>
      <c r="K88" s="454"/>
    </row>
    <row r="89" spans="2:11" ht="16">
      <c r="B89" s="619" t="s">
        <v>1060</v>
      </c>
      <c r="C89" s="620"/>
      <c r="D89" s="620"/>
      <c r="E89" s="620"/>
      <c r="F89" s="621"/>
      <c r="H89" s="225" t="s">
        <v>1059</v>
      </c>
      <c r="I89" s="225"/>
      <c r="J89" s="210"/>
      <c r="K89" s="210"/>
    </row>
    <row r="90" spans="2:11" ht="16">
      <c r="B90" s="244" t="s">
        <v>777</v>
      </c>
      <c r="C90" s="572" t="s">
        <v>776</v>
      </c>
      <c r="D90" s="244" t="s">
        <v>65</v>
      </c>
      <c r="E90" s="245"/>
      <c r="F90" s="245">
        <f>E91+E92</f>
        <v>6100</v>
      </c>
      <c r="H90" s="225" t="s">
        <v>1058</v>
      </c>
      <c r="I90" s="225"/>
      <c r="J90" s="210"/>
      <c r="K90" s="210"/>
    </row>
    <row r="91" spans="2:11" ht="16">
      <c r="B91" s="244" t="s">
        <v>1032</v>
      </c>
      <c r="C91" s="573"/>
      <c r="D91" s="244"/>
      <c r="E91" s="245">
        <v>5000</v>
      </c>
      <c r="F91" s="245"/>
      <c r="J91" s="210"/>
      <c r="K91" s="210"/>
    </row>
    <row r="92" spans="2:11" ht="16">
      <c r="B92" s="244" t="s">
        <v>1034</v>
      </c>
      <c r="C92" s="574"/>
      <c r="D92" s="244"/>
      <c r="E92" s="245">
        <f>E91*0.22</f>
        <v>1100</v>
      </c>
      <c r="F92" s="245"/>
      <c r="H92" s="609" t="s">
        <v>129</v>
      </c>
      <c r="I92" s="610"/>
      <c r="J92" s="611"/>
      <c r="K92" s="210"/>
    </row>
    <row r="93" spans="2:11">
      <c r="H93" s="455" t="s">
        <v>1057</v>
      </c>
      <c r="I93" s="456"/>
      <c r="J93" s="457" t="s">
        <v>1051</v>
      </c>
      <c r="K93" s="210"/>
    </row>
    <row r="94" spans="2:11" ht="16">
      <c r="B94" s="187" t="s">
        <v>1056</v>
      </c>
      <c r="H94" s="443" t="s">
        <v>1055</v>
      </c>
      <c r="I94" s="445" t="s">
        <v>1051</v>
      </c>
      <c r="J94" s="446"/>
      <c r="K94" s="210"/>
    </row>
    <row r="95" spans="2:11">
      <c r="H95" s="443" t="s">
        <v>1054</v>
      </c>
      <c r="I95" s="445"/>
      <c r="J95" s="447">
        <f>I119</f>
        <v>10000</v>
      </c>
      <c r="K95" s="210"/>
    </row>
    <row r="96" spans="2:11" ht="16">
      <c r="B96" s="217" t="s">
        <v>1048</v>
      </c>
      <c r="H96" s="443" t="s">
        <v>1053</v>
      </c>
      <c r="I96" s="445"/>
      <c r="J96" s="446"/>
      <c r="K96" s="210"/>
    </row>
    <row r="97" spans="2:11" ht="16">
      <c r="B97" s="440" t="s">
        <v>1</v>
      </c>
      <c r="C97" s="441" t="s">
        <v>136</v>
      </c>
      <c r="D97" s="440" t="s">
        <v>2</v>
      </c>
      <c r="E97" s="441" t="s">
        <v>782</v>
      </c>
      <c r="F97" s="441" t="s">
        <v>783</v>
      </c>
      <c r="H97" s="443" t="s">
        <v>1052</v>
      </c>
      <c r="I97" s="445"/>
      <c r="J97" s="446" t="s">
        <v>1051</v>
      </c>
      <c r="K97" s="210"/>
    </row>
    <row r="98" spans="2:11" ht="16">
      <c r="B98" s="244" t="s">
        <v>777</v>
      </c>
      <c r="C98" s="572" t="s">
        <v>776</v>
      </c>
      <c r="D98" s="244" t="s">
        <v>65</v>
      </c>
      <c r="E98" s="245"/>
      <c r="F98" s="245">
        <f>E99+E100+E101</f>
        <v>5747.4517999999998</v>
      </c>
      <c r="H98" s="444" t="s">
        <v>1050</v>
      </c>
      <c r="I98" s="448">
        <f>E101+E110-F117</f>
        <v>576.16499999999996</v>
      </c>
      <c r="J98" s="449"/>
      <c r="K98" s="210"/>
    </row>
    <row r="99" spans="2:11" ht="16">
      <c r="B99" s="244" t="s">
        <v>1032</v>
      </c>
      <c r="C99" s="573"/>
      <c r="D99" s="244"/>
      <c r="E99" s="245">
        <v>4301.1899999999996</v>
      </c>
      <c r="F99" s="245"/>
      <c r="K99" s="210"/>
    </row>
    <row r="100" spans="2:11" ht="16">
      <c r="B100" s="244" t="s">
        <v>1034</v>
      </c>
      <c r="C100" s="573"/>
      <c r="D100" s="244"/>
      <c r="E100" s="245">
        <f>E99*0.22</f>
        <v>946.26179999999988</v>
      </c>
      <c r="F100" s="245"/>
    </row>
    <row r="101" spans="2:11" ht="16">
      <c r="B101" s="244" t="s">
        <v>207</v>
      </c>
      <c r="C101" s="574"/>
      <c r="D101" s="244"/>
      <c r="E101" s="245">
        <f>500</f>
        <v>500</v>
      </c>
      <c r="F101" s="245"/>
    </row>
    <row r="103" spans="2:11" ht="16">
      <c r="B103" s="187" t="s">
        <v>1049</v>
      </c>
    </row>
    <row r="105" spans="2:11" ht="16">
      <c r="B105" s="217" t="s">
        <v>1048</v>
      </c>
    </row>
    <row r="106" spans="2:11" ht="16">
      <c r="B106" s="440" t="s">
        <v>1</v>
      </c>
      <c r="C106" s="441" t="s">
        <v>136</v>
      </c>
      <c r="D106" s="440" t="s">
        <v>2</v>
      </c>
      <c r="E106" s="441" t="s">
        <v>782</v>
      </c>
      <c r="F106" s="441" t="s">
        <v>783</v>
      </c>
    </row>
    <row r="107" spans="2:11" ht="16">
      <c r="B107" s="244" t="s">
        <v>777</v>
      </c>
      <c r="C107" s="572" t="s">
        <v>776</v>
      </c>
      <c r="D107" s="244" t="s">
        <v>65</v>
      </c>
      <c r="E107" s="245"/>
      <c r="F107" s="245">
        <f>E108+E109+E110</f>
        <v>5756.9261999999999</v>
      </c>
    </row>
    <row r="108" spans="2:11" ht="16">
      <c r="B108" s="244" t="s">
        <v>1032</v>
      </c>
      <c r="C108" s="573"/>
      <c r="D108" s="244"/>
      <c r="E108" s="245">
        <v>4344.21</v>
      </c>
      <c r="F108" s="245"/>
    </row>
    <row r="109" spans="2:11" ht="16">
      <c r="B109" s="244" t="s">
        <v>1034</v>
      </c>
      <c r="C109" s="573"/>
      <c r="D109" s="244"/>
      <c r="E109" s="245">
        <f>E108*0.22</f>
        <v>955.72620000000006</v>
      </c>
      <c r="F109" s="245"/>
    </row>
    <row r="110" spans="2:11" ht="16">
      <c r="B110" s="244" t="s">
        <v>207</v>
      </c>
      <c r="C110" s="574"/>
      <c r="D110" s="244"/>
      <c r="E110" s="245">
        <f>456.99</f>
        <v>456.99</v>
      </c>
      <c r="F110" s="245"/>
    </row>
    <row r="112" spans="2:11" ht="16">
      <c r="B112" s="187" t="s">
        <v>1047</v>
      </c>
      <c r="C112" s="223"/>
      <c r="D112" s="210"/>
      <c r="E112" s="210"/>
      <c r="F112" s="210"/>
    </row>
    <row r="113" spans="2:13">
      <c r="B113" s="210"/>
      <c r="C113" s="223"/>
      <c r="D113" s="210"/>
      <c r="E113" s="210"/>
      <c r="F113" s="210"/>
    </row>
    <row r="114" spans="2:13" ht="17" thickBot="1">
      <c r="B114" s="222" t="s">
        <v>1046</v>
      </c>
      <c r="C114" s="219"/>
      <c r="D114" s="179"/>
      <c r="E114" s="179"/>
      <c r="F114" s="179"/>
    </row>
    <row r="115" spans="2:13" ht="17" thickBot="1">
      <c r="B115" s="434" t="s">
        <v>1041</v>
      </c>
      <c r="C115" s="435" t="s">
        <v>136</v>
      </c>
      <c r="D115" s="436" t="s">
        <v>2</v>
      </c>
      <c r="E115" s="437" t="s">
        <v>782</v>
      </c>
      <c r="F115" s="438" t="s">
        <v>783</v>
      </c>
    </row>
    <row r="116" spans="2:13" ht="17" thickBot="1">
      <c r="B116" s="415" t="s">
        <v>812</v>
      </c>
      <c r="C116" s="416" t="s">
        <v>776</v>
      </c>
      <c r="D116" s="417" t="s">
        <v>1045</v>
      </c>
      <c r="E116" s="418"/>
      <c r="F116" s="419">
        <f>4344.21/6*5</f>
        <v>3620.1749999999997</v>
      </c>
      <c r="H116" s="260" t="s">
        <v>1044</v>
      </c>
      <c r="I116" s="261" t="s">
        <v>914</v>
      </c>
      <c r="J116" s="261" t="s">
        <v>913</v>
      </c>
      <c r="K116" s="261" t="s">
        <v>925</v>
      </c>
      <c r="L116" s="261" t="s">
        <v>924</v>
      </c>
      <c r="M116" s="261" t="s">
        <v>923</v>
      </c>
    </row>
    <row r="117" spans="2:13" ht="17" thickBot="1">
      <c r="B117" s="415" t="s">
        <v>812</v>
      </c>
      <c r="C117" s="416" t="s">
        <v>776</v>
      </c>
      <c r="D117" s="417" t="s">
        <v>207</v>
      </c>
      <c r="E117" s="418"/>
      <c r="F117" s="419">
        <f>456.99/6*5</f>
        <v>380.82500000000005</v>
      </c>
      <c r="H117" s="260" t="s">
        <v>1043</v>
      </c>
      <c r="I117" s="245">
        <v>55000</v>
      </c>
      <c r="J117" s="245">
        <v>55000</v>
      </c>
      <c r="K117" s="245">
        <v>55000</v>
      </c>
      <c r="L117" s="245">
        <v>55000</v>
      </c>
      <c r="M117" s="245">
        <v>55000</v>
      </c>
    </row>
    <row r="118" spans="2:13" ht="16">
      <c r="B118" s="179"/>
      <c r="C118" s="219"/>
      <c r="D118" s="179"/>
      <c r="E118" s="179"/>
      <c r="F118" s="221"/>
      <c r="H118" s="260" t="s">
        <v>891</v>
      </c>
      <c r="I118" s="245">
        <f>55000-5000</f>
        <v>50000</v>
      </c>
      <c r="J118" s="245">
        <f>55000-5000</f>
        <v>50000</v>
      </c>
      <c r="K118" s="245">
        <f>55000-5000</f>
        <v>50000</v>
      </c>
      <c r="L118" s="245">
        <f>55000-5000</f>
        <v>50000</v>
      </c>
      <c r="M118" s="245">
        <f>55000-5000</f>
        <v>50000</v>
      </c>
    </row>
    <row r="119" spans="2:13" ht="17" thickBot="1">
      <c r="B119" s="220" t="s">
        <v>1042</v>
      </c>
      <c r="C119" s="219"/>
      <c r="D119" s="179"/>
      <c r="E119" s="179"/>
      <c r="F119" s="179"/>
      <c r="H119" s="260" t="s">
        <v>194</v>
      </c>
      <c r="I119" s="245">
        <f>I118/5</f>
        <v>10000</v>
      </c>
      <c r="J119" s="245">
        <f>J118/5</f>
        <v>10000</v>
      </c>
      <c r="K119" s="245">
        <f>K118/5</f>
        <v>10000</v>
      </c>
      <c r="L119" s="245">
        <f>L118/5</f>
        <v>10000</v>
      </c>
      <c r="M119" s="245">
        <f>M118/5</f>
        <v>10000</v>
      </c>
    </row>
    <row r="120" spans="2:13" ht="17" thickBot="1">
      <c r="B120" s="442" t="s">
        <v>1041</v>
      </c>
      <c r="C120" s="435" t="s">
        <v>136</v>
      </c>
      <c r="D120" s="436" t="s">
        <v>2</v>
      </c>
      <c r="E120" s="437" t="s">
        <v>782</v>
      </c>
      <c r="F120" s="438" t="s">
        <v>783</v>
      </c>
      <c r="H120" s="260" t="s">
        <v>195</v>
      </c>
      <c r="I120" s="245">
        <f>I119</f>
        <v>10000</v>
      </c>
      <c r="J120" s="245">
        <f>I120+J119</f>
        <v>20000</v>
      </c>
      <c r="K120" s="245">
        <f>J120+K119</f>
        <v>30000</v>
      </c>
      <c r="L120" s="245">
        <f>K120+L119</f>
        <v>40000</v>
      </c>
      <c r="M120" s="245">
        <f>L120+M119</f>
        <v>50000</v>
      </c>
    </row>
    <row r="121" spans="2:13" ht="17" thickBot="1">
      <c r="B121" s="415" t="s">
        <v>1040</v>
      </c>
      <c r="C121" s="416" t="s">
        <v>776</v>
      </c>
      <c r="D121" s="417" t="s">
        <v>1039</v>
      </c>
      <c r="E121" s="418"/>
      <c r="F121" s="419">
        <f>I120</f>
        <v>10000</v>
      </c>
      <c r="H121" s="260" t="s">
        <v>1038</v>
      </c>
      <c r="I121" s="245">
        <f>I117-I120</f>
        <v>45000</v>
      </c>
      <c r="J121" s="245">
        <f>J117-J120</f>
        <v>35000</v>
      </c>
      <c r="K121" s="245">
        <f>K117-K120</f>
        <v>25000</v>
      </c>
      <c r="L121" s="245">
        <f>L117-L120</f>
        <v>15000</v>
      </c>
      <c r="M121" s="245">
        <f>M117-M120</f>
        <v>5000</v>
      </c>
    </row>
    <row r="123" spans="2:13" ht="17" thickBot="1">
      <c r="B123" s="218" t="s">
        <v>1037</v>
      </c>
    </row>
    <row r="125" spans="2:13" ht="16">
      <c r="B125" s="217" t="s">
        <v>1036</v>
      </c>
    </row>
    <row r="126" spans="2:13" ht="16">
      <c r="B126" s="440" t="s">
        <v>1</v>
      </c>
      <c r="C126" s="441" t="s">
        <v>136</v>
      </c>
      <c r="D126" s="440" t="s">
        <v>2</v>
      </c>
      <c r="E126" s="441" t="s">
        <v>782</v>
      </c>
      <c r="F126" s="441" t="s">
        <v>783</v>
      </c>
    </row>
    <row r="127" spans="2:13" ht="16">
      <c r="B127" s="244" t="s">
        <v>777</v>
      </c>
      <c r="C127" s="572" t="s">
        <v>776</v>
      </c>
      <c r="D127" s="244" t="s">
        <v>1032</v>
      </c>
      <c r="E127" s="245"/>
      <c r="F127" s="245">
        <f>E128+E129</f>
        <v>6100</v>
      </c>
    </row>
    <row r="128" spans="2:13" ht="16">
      <c r="B128" s="244" t="s">
        <v>1035</v>
      </c>
      <c r="C128" s="573"/>
      <c r="D128" s="244"/>
      <c r="E128" s="245">
        <v>5000</v>
      </c>
      <c r="F128" s="245"/>
    </row>
    <row r="129" spans="2:6" ht="16">
      <c r="B129" s="244" t="s">
        <v>1034</v>
      </c>
      <c r="C129" s="574"/>
      <c r="D129" s="244"/>
      <c r="E129" s="245">
        <f>E128*0.22</f>
        <v>1100</v>
      </c>
      <c r="F129" s="245"/>
    </row>
    <row r="131" spans="2:6" ht="16">
      <c r="B131" s="217" t="s">
        <v>1033</v>
      </c>
    </row>
    <row r="132" spans="2:6" ht="16">
      <c r="B132" s="440" t="s">
        <v>1</v>
      </c>
      <c r="C132" s="441" t="s">
        <v>136</v>
      </c>
      <c r="D132" s="440" t="s">
        <v>2</v>
      </c>
      <c r="E132" s="441" t="s">
        <v>782</v>
      </c>
      <c r="F132" s="441" t="s">
        <v>783</v>
      </c>
    </row>
    <row r="133" spans="2:6" ht="16">
      <c r="B133" s="244" t="s">
        <v>1032</v>
      </c>
      <c r="C133" s="248" t="s">
        <v>776</v>
      </c>
      <c r="D133" s="244" t="s">
        <v>65</v>
      </c>
      <c r="E133" s="245"/>
      <c r="F133" s="245">
        <f>6100</f>
        <v>6100</v>
      </c>
    </row>
  </sheetData>
  <mergeCells count="23">
    <mergeCell ref="C18:C20"/>
    <mergeCell ref="C35:C37"/>
    <mergeCell ref="C107:C110"/>
    <mergeCell ref="C127:C129"/>
    <mergeCell ref="J86:K86"/>
    <mergeCell ref="H86:I86"/>
    <mergeCell ref="B2:F2"/>
    <mergeCell ref="B67:F67"/>
    <mergeCell ref="B89:F89"/>
    <mergeCell ref="B7:F7"/>
    <mergeCell ref="B11:F11"/>
    <mergeCell ref="B25:F25"/>
    <mergeCell ref="B29:F29"/>
    <mergeCell ref="B42:F42"/>
    <mergeCell ref="B46:F46"/>
    <mergeCell ref="B72:C72"/>
    <mergeCell ref="B75:C75"/>
    <mergeCell ref="B82:F82"/>
    <mergeCell ref="H85:K85"/>
    <mergeCell ref="H92:J92"/>
    <mergeCell ref="C52:C54"/>
    <mergeCell ref="C90:C92"/>
    <mergeCell ref="C98:C10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8A699-E3EA-2542-B49E-2651BCD3EB1D}">
  <dimension ref="B1:L56"/>
  <sheetViews>
    <sheetView workbookViewId="0">
      <selection activeCell="H47" sqref="H47"/>
    </sheetView>
  </sheetViews>
  <sheetFormatPr baseColWidth="10" defaultColWidth="9.1640625" defaultRowHeight="16"/>
  <cols>
    <col min="1" max="1" width="9.1640625" style="179"/>
    <col min="2" max="2" width="34.1640625" style="179" bestFit="1" customWidth="1"/>
    <col min="3" max="3" width="21.33203125" style="179" bestFit="1" customWidth="1"/>
    <col min="4" max="4" width="23.33203125" style="179" bestFit="1" customWidth="1"/>
    <col min="5" max="5" width="33.83203125" style="179" bestFit="1" customWidth="1"/>
    <col min="6" max="8" width="9.1640625" style="179"/>
    <col min="9" max="9" width="27.6640625" style="179" bestFit="1" customWidth="1"/>
    <col min="10" max="10" width="21.33203125" style="179" bestFit="1" customWidth="1"/>
    <col min="11" max="11" width="23.33203125" style="179" bestFit="1" customWidth="1"/>
    <col min="12" max="12" width="33.83203125" style="179" bestFit="1" customWidth="1"/>
    <col min="13" max="16384" width="9.1640625" style="179"/>
  </cols>
  <sheetData>
    <row r="1" spans="2:12" ht="17" thickBot="1"/>
    <row r="2" spans="2:12" ht="19" thickBot="1">
      <c r="B2" s="583" t="s">
        <v>1106</v>
      </c>
      <c r="C2" s="584"/>
      <c r="D2" s="584"/>
      <c r="E2" s="585"/>
      <c r="I2" s="583" t="s">
        <v>1105</v>
      </c>
      <c r="J2" s="584"/>
      <c r="K2" s="584"/>
      <c r="L2" s="585"/>
    </row>
    <row r="4" spans="2:12">
      <c r="B4" s="224" t="s">
        <v>1104</v>
      </c>
      <c r="C4" s="227"/>
      <c r="D4" s="227"/>
      <c r="E4" s="227"/>
    </row>
    <row r="5" spans="2:12">
      <c r="B5" s="372" t="s">
        <v>1098</v>
      </c>
      <c r="C5" s="373" t="s">
        <v>1095</v>
      </c>
      <c r="D5" s="373" t="s">
        <v>1094</v>
      </c>
      <c r="E5" s="373" t="s">
        <v>1093</v>
      </c>
      <c r="I5" s="224" t="s">
        <v>1097</v>
      </c>
      <c r="J5" s="227"/>
      <c r="K5" s="227"/>
      <c r="L5" s="227"/>
    </row>
    <row r="6" spans="2:12">
      <c r="B6" s="374" t="s">
        <v>1092</v>
      </c>
      <c r="C6" s="380">
        <f>347594.75/96970</f>
        <v>3.5845596576260701</v>
      </c>
      <c r="D6" s="381">
        <v>9950</v>
      </c>
      <c r="E6" s="370">
        <f>C6*D6</f>
        <v>35666.368593379397</v>
      </c>
      <c r="I6" s="373" t="s">
        <v>1096</v>
      </c>
      <c r="J6" s="373" t="s">
        <v>1095</v>
      </c>
      <c r="K6" s="373" t="s">
        <v>1094</v>
      </c>
      <c r="L6" s="373" t="s">
        <v>1093</v>
      </c>
    </row>
    <row r="7" spans="2:12">
      <c r="B7" s="375" t="s">
        <v>1090</v>
      </c>
      <c r="C7" s="382">
        <v>3.7</v>
      </c>
      <c r="D7" s="381">
        <v>9950</v>
      </c>
      <c r="E7" s="383">
        <f>C7*D7</f>
        <v>36815</v>
      </c>
      <c r="I7" s="390" t="s">
        <v>1092</v>
      </c>
      <c r="J7" s="392">
        <f>C6</f>
        <v>3.5845596576260701</v>
      </c>
      <c r="K7" s="393">
        <v>9950</v>
      </c>
      <c r="L7" s="394">
        <f>J7*K7</f>
        <v>35666.368593379397</v>
      </c>
    </row>
    <row r="8" spans="2:12" ht="15.75" customHeight="1">
      <c r="B8" s="646" t="s">
        <v>1091</v>
      </c>
      <c r="C8" s="382">
        <v>3.5</v>
      </c>
      <c r="D8" s="381">
        <v>2225</v>
      </c>
      <c r="E8" s="382">
        <f>D8*C8</f>
        <v>7787.5</v>
      </c>
      <c r="I8" s="390" t="s">
        <v>1090</v>
      </c>
      <c r="J8" s="392">
        <f>C7</f>
        <v>3.7</v>
      </c>
      <c r="K8" s="393">
        <v>9950</v>
      </c>
      <c r="L8" s="394">
        <f>J8*K8</f>
        <v>36815</v>
      </c>
    </row>
    <row r="9" spans="2:12" ht="34">
      <c r="B9" s="647"/>
      <c r="C9" s="384">
        <v>4</v>
      </c>
      <c r="D9" s="385">
        <v>5950</v>
      </c>
      <c r="E9" s="384">
        <f>D9*C9</f>
        <v>23800</v>
      </c>
      <c r="I9" s="391" t="s">
        <v>1088</v>
      </c>
      <c r="J9" s="395">
        <f>C16</f>
        <v>3.65</v>
      </c>
      <c r="K9" s="396">
        <v>9950</v>
      </c>
      <c r="L9" s="397">
        <f>J9*K9</f>
        <v>36317.5</v>
      </c>
    </row>
    <row r="10" spans="2:12" ht="17" thickBot="1">
      <c r="B10" s="647"/>
      <c r="C10" s="382">
        <v>3.25</v>
      </c>
      <c r="D10" s="381">
        <f>9950-D8-D9</f>
        <v>1775</v>
      </c>
      <c r="E10" s="382">
        <f>D10*C10</f>
        <v>5768.75</v>
      </c>
    </row>
    <row r="11" spans="2:12" ht="15.75" customHeight="1">
      <c r="B11" s="648"/>
      <c r="C11" s="377" t="s">
        <v>46</v>
      </c>
      <c r="D11" s="381">
        <f>SUM(D8:D10)</f>
        <v>9950</v>
      </c>
      <c r="E11" s="383">
        <f>SUM(E8:E10)</f>
        <v>37356.25</v>
      </c>
      <c r="I11" s="637" t="s">
        <v>1103</v>
      </c>
      <c r="J11" s="638"/>
      <c r="K11" s="638"/>
      <c r="L11" s="639"/>
    </row>
    <row r="12" spans="2:12" ht="15.75" customHeight="1">
      <c r="B12" s="646" t="s">
        <v>1089</v>
      </c>
      <c r="C12" s="382">
        <v>3.5</v>
      </c>
      <c r="D12" s="381">
        <v>2225</v>
      </c>
      <c r="E12" s="382">
        <f>D12*C12</f>
        <v>7787.5</v>
      </c>
      <c r="I12" s="640"/>
      <c r="J12" s="641"/>
      <c r="K12" s="641"/>
      <c r="L12" s="642"/>
    </row>
    <row r="13" spans="2:12" ht="15.75" customHeight="1">
      <c r="B13" s="647"/>
      <c r="C13" s="382">
        <v>4</v>
      </c>
      <c r="D13" s="381">
        <v>5950</v>
      </c>
      <c r="E13" s="382">
        <f>D13*C13</f>
        <v>23800</v>
      </c>
      <c r="I13" s="640"/>
      <c r="J13" s="641"/>
      <c r="K13" s="641"/>
      <c r="L13" s="642"/>
    </row>
    <row r="14" spans="2:12" ht="15.75" customHeight="1" thickBot="1">
      <c r="B14" s="647"/>
      <c r="C14" s="382">
        <f>316007.25/88795</f>
        <v>3.5588405878709386</v>
      </c>
      <c r="D14" s="381">
        <f>9950-D8-D9</f>
        <v>1775</v>
      </c>
      <c r="E14" s="382">
        <f>D14*C14</f>
        <v>6316.9420434709164</v>
      </c>
      <c r="I14" s="643"/>
      <c r="J14" s="644"/>
      <c r="K14" s="644"/>
      <c r="L14" s="645"/>
    </row>
    <row r="15" spans="2:12">
      <c r="B15" s="648"/>
      <c r="C15" s="378" t="s">
        <v>46</v>
      </c>
      <c r="D15" s="381">
        <f>SUM(D12:D14)</f>
        <v>9950</v>
      </c>
      <c r="E15" s="383">
        <f>SUM(E12:E14)</f>
        <v>37904.442043470917</v>
      </c>
    </row>
    <row r="16" spans="2:12">
      <c r="B16" s="379" t="s">
        <v>1088</v>
      </c>
      <c r="C16" s="384">
        <v>3.65</v>
      </c>
      <c r="D16" s="385">
        <f>D14+D13+D12</f>
        <v>9950</v>
      </c>
      <c r="E16" s="386">
        <f>C16*D16</f>
        <v>36317.5</v>
      </c>
    </row>
    <row r="18" spans="2:12">
      <c r="B18" s="628" t="s">
        <v>1102</v>
      </c>
      <c r="C18" s="629"/>
      <c r="D18" s="629"/>
      <c r="E18" s="630"/>
    </row>
    <row r="19" spans="2:12">
      <c r="B19" s="631"/>
      <c r="C19" s="632"/>
      <c r="D19" s="632"/>
      <c r="E19" s="633"/>
    </row>
    <row r="20" spans="2:12" ht="17" thickBot="1">
      <c r="B20" s="634"/>
      <c r="C20" s="635"/>
      <c r="D20" s="635"/>
      <c r="E20" s="636"/>
    </row>
    <row r="23" spans="2:12">
      <c r="B23" s="224" t="s">
        <v>1101</v>
      </c>
      <c r="C23" s="227"/>
      <c r="D23" s="227"/>
      <c r="E23" s="227"/>
    </row>
    <row r="24" spans="2:12">
      <c r="B24" s="372" t="s">
        <v>1098</v>
      </c>
      <c r="C24" s="373" t="s">
        <v>1095</v>
      </c>
      <c r="D24" s="373" t="s">
        <v>1094</v>
      </c>
      <c r="E24" s="373" t="s">
        <v>1093</v>
      </c>
      <c r="I24" s="224" t="s">
        <v>1097</v>
      </c>
      <c r="J24" s="227"/>
      <c r="K24" s="227"/>
      <c r="L24" s="227"/>
    </row>
    <row r="25" spans="2:12">
      <c r="B25" s="374" t="s">
        <v>1092</v>
      </c>
      <c r="C25" s="380">
        <f>414488/4939</f>
        <v>83.921441587365862</v>
      </c>
      <c r="D25" s="381">
        <v>640</v>
      </c>
      <c r="E25" s="370">
        <f>C25*D25</f>
        <v>53709.72261591415</v>
      </c>
      <c r="I25" s="373" t="s">
        <v>1096</v>
      </c>
      <c r="J25" s="373" t="s">
        <v>1095</v>
      </c>
      <c r="K25" s="373" t="s">
        <v>1094</v>
      </c>
      <c r="L25" s="373" t="s">
        <v>1093</v>
      </c>
    </row>
    <row r="26" spans="2:12">
      <c r="B26" s="375" t="s">
        <v>1090</v>
      </c>
      <c r="C26" s="382">
        <v>82</v>
      </c>
      <c r="D26" s="381">
        <v>640</v>
      </c>
      <c r="E26" s="383">
        <f>C26*D26</f>
        <v>52480</v>
      </c>
      <c r="I26" s="390" t="s">
        <v>1092</v>
      </c>
      <c r="J26" s="392">
        <f>C25</f>
        <v>83.921441587365862</v>
      </c>
      <c r="K26" s="393">
        <v>640</v>
      </c>
      <c r="L26" s="394">
        <f>J26*K26</f>
        <v>53709.72261591415</v>
      </c>
    </row>
    <row r="27" spans="2:12">
      <c r="B27" s="387"/>
      <c r="C27" s="382">
        <v>95</v>
      </c>
      <c r="D27" s="381">
        <v>170</v>
      </c>
      <c r="E27" s="382">
        <f>D27*C27</f>
        <v>16150</v>
      </c>
      <c r="I27" s="390" t="s">
        <v>1090</v>
      </c>
      <c r="J27" s="392">
        <f>C26</f>
        <v>82</v>
      </c>
      <c r="K27" s="393">
        <v>640</v>
      </c>
      <c r="L27" s="394">
        <f>J27*K27</f>
        <v>52480</v>
      </c>
    </row>
    <row r="28" spans="2:12" ht="34">
      <c r="B28" s="376" t="s">
        <v>1091</v>
      </c>
      <c r="C28" s="384">
        <v>110</v>
      </c>
      <c r="D28" s="385">
        <v>260</v>
      </c>
      <c r="E28" s="384">
        <f>D28*C28</f>
        <v>28600</v>
      </c>
      <c r="I28" s="391" t="s">
        <v>1088</v>
      </c>
      <c r="J28" s="395">
        <f>C35</f>
        <v>87</v>
      </c>
      <c r="K28" s="396">
        <v>640</v>
      </c>
      <c r="L28" s="397">
        <f>J28*K28</f>
        <v>55680</v>
      </c>
    </row>
    <row r="29" spans="2:12" ht="15" customHeight="1">
      <c r="B29" s="388"/>
      <c r="C29" s="382">
        <v>82</v>
      </c>
      <c r="D29" s="381">
        <f>640-D27-D28</f>
        <v>210</v>
      </c>
      <c r="E29" s="382">
        <f>D29*C29</f>
        <v>17220</v>
      </c>
    </row>
    <row r="30" spans="2:12" ht="15.75" customHeight="1">
      <c r="B30" s="389"/>
      <c r="C30" s="377" t="s">
        <v>46</v>
      </c>
      <c r="D30" s="381">
        <f>SUM(D27:D29)</f>
        <v>640</v>
      </c>
      <c r="E30" s="383">
        <f>SUM(E27:E29)</f>
        <v>61970</v>
      </c>
    </row>
    <row r="31" spans="2:12">
      <c r="B31" s="646" t="s">
        <v>1089</v>
      </c>
      <c r="C31" s="382">
        <v>95</v>
      </c>
      <c r="D31" s="381">
        <v>170</v>
      </c>
      <c r="E31" s="382">
        <f>D31*C31</f>
        <v>16150</v>
      </c>
    </row>
    <row r="32" spans="2:12">
      <c r="B32" s="647"/>
      <c r="C32" s="382">
        <v>110</v>
      </c>
      <c r="D32" s="381">
        <v>260</v>
      </c>
      <c r="E32" s="382">
        <f>D32*C32</f>
        <v>28600</v>
      </c>
    </row>
    <row r="33" spans="2:12">
      <c r="B33" s="647"/>
      <c r="C33" s="382">
        <f>369738/4509</f>
        <v>82</v>
      </c>
      <c r="D33" s="381">
        <f>640-D27-D28</f>
        <v>210</v>
      </c>
      <c r="E33" s="382">
        <f>D33*C33</f>
        <v>17220</v>
      </c>
    </row>
    <row r="34" spans="2:12">
      <c r="B34" s="648"/>
      <c r="C34" s="378" t="s">
        <v>46</v>
      </c>
      <c r="D34" s="381">
        <f>SUM(D31:D33)</f>
        <v>640</v>
      </c>
      <c r="E34" s="383">
        <f>SUM(E31:E33)</f>
        <v>61970</v>
      </c>
    </row>
    <row r="35" spans="2:12">
      <c r="B35" s="379" t="s">
        <v>1088</v>
      </c>
      <c r="C35" s="384">
        <v>87</v>
      </c>
      <c r="D35" s="385">
        <f>D33+D32+D31</f>
        <v>640</v>
      </c>
      <c r="E35" s="386">
        <f>C35*D35</f>
        <v>55680</v>
      </c>
    </row>
    <row r="37" spans="2:12">
      <c r="B37" s="628" t="s">
        <v>1100</v>
      </c>
      <c r="C37" s="629"/>
      <c r="D37" s="629"/>
      <c r="E37" s="630"/>
    </row>
    <row r="38" spans="2:12">
      <c r="B38" s="631"/>
      <c r="C38" s="632"/>
      <c r="D38" s="632"/>
      <c r="E38" s="633"/>
    </row>
    <row r="39" spans="2:12" ht="17" thickBot="1">
      <c r="B39" s="634"/>
      <c r="C39" s="635"/>
      <c r="D39" s="635"/>
      <c r="E39" s="636"/>
    </row>
    <row r="42" spans="2:12">
      <c r="B42" s="224" t="s">
        <v>1099</v>
      </c>
      <c r="C42" s="227"/>
      <c r="D42" s="227"/>
      <c r="E42" s="227"/>
    </row>
    <row r="43" spans="2:12">
      <c r="B43" s="372" t="s">
        <v>1098</v>
      </c>
      <c r="C43" s="373" t="s">
        <v>1095</v>
      </c>
      <c r="D43" s="373" t="s">
        <v>1094</v>
      </c>
      <c r="E43" s="373" t="s">
        <v>1093</v>
      </c>
      <c r="I43" s="224" t="s">
        <v>1097</v>
      </c>
      <c r="J43" s="227"/>
      <c r="K43" s="227"/>
      <c r="L43" s="227"/>
    </row>
    <row r="44" spans="2:12">
      <c r="B44" s="374" t="s">
        <v>1092</v>
      </c>
      <c r="C44" s="380">
        <f>198900/3550</f>
        <v>56.028169014084504</v>
      </c>
      <c r="D44" s="381">
        <v>600</v>
      </c>
      <c r="E44" s="370">
        <f>C44*D44</f>
        <v>33616.9014084507</v>
      </c>
      <c r="I44" s="373" t="s">
        <v>1096</v>
      </c>
      <c r="J44" s="373" t="s">
        <v>1095</v>
      </c>
      <c r="K44" s="373" t="s">
        <v>1094</v>
      </c>
      <c r="L44" s="373" t="s">
        <v>1093</v>
      </c>
    </row>
    <row r="45" spans="2:12">
      <c r="B45" s="375" t="s">
        <v>1090</v>
      </c>
      <c r="C45" s="382">
        <v>54</v>
      </c>
      <c r="D45" s="381">
        <v>600</v>
      </c>
      <c r="E45" s="383">
        <f>C45*D45</f>
        <v>32400</v>
      </c>
      <c r="I45" s="390" t="s">
        <v>1092</v>
      </c>
      <c r="J45" s="392">
        <f>C44</f>
        <v>56.028169014084504</v>
      </c>
      <c r="K45" s="393">
        <v>600</v>
      </c>
      <c r="L45" s="394">
        <f>J45*K45</f>
        <v>33616.9014084507</v>
      </c>
    </row>
    <row r="46" spans="2:12">
      <c r="B46" s="646" t="s">
        <v>1091</v>
      </c>
      <c r="C46" s="382">
        <v>72</v>
      </c>
      <c r="D46" s="381">
        <v>400</v>
      </c>
      <c r="E46" s="382">
        <f>D46*C46</f>
        <v>28800</v>
      </c>
      <c r="I46" s="390" t="s">
        <v>1090</v>
      </c>
      <c r="J46" s="392">
        <f>C45</f>
        <v>54</v>
      </c>
      <c r="K46" s="393">
        <v>600</v>
      </c>
      <c r="L46" s="394">
        <f>J46*K46</f>
        <v>32400</v>
      </c>
    </row>
    <row r="47" spans="2:12" ht="34">
      <c r="B47" s="647"/>
      <c r="C47" s="384">
        <v>50</v>
      </c>
      <c r="D47" s="385">
        <f>600-D46</f>
        <v>200</v>
      </c>
      <c r="E47" s="384">
        <f>D47*C47</f>
        <v>10000</v>
      </c>
      <c r="I47" s="391" t="s">
        <v>1088</v>
      </c>
      <c r="J47" s="395">
        <f>C52</f>
        <v>56.5</v>
      </c>
      <c r="K47" s="396">
        <v>600</v>
      </c>
      <c r="L47" s="397">
        <f>J47*K47</f>
        <v>33900</v>
      </c>
    </row>
    <row r="48" spans="2:12">
      <c r="B48" s="648"/>
      <c r="C48" s="377" t="s">
        <v>46</v>
      </c>
      <c r="D48" s="381">
        <f>SUM(D46:D47)</f>
        <v>600</v>
      </c>
      <c r="E48" s="383">
        <f>SUM(E46:E47)</f>
        <v>38800</v>
      </c>
    </row>
    <row r="49" spans="2:5" ht="15" customHeight="1">
      <c r="B49" s="646" t="s">
        <v>1089</v>
      </c>
      <c r="C49" s="382">
        <v>72</v>
      </c>
      <c r="D49" s="381">
        <v>400</v>
      </c>
      <c r="E49" s="382">
        <f>D49*C49</f>
        <v>28800</v>
      </c>
    </row>
    <row r="50" spans="2:5" ht="15" customHeight="1">
      <c r="B50" s="647"/>
      <c r="C50" s="382">
        <f>170100/3150</f>
        <v>54</v>
      </c>
      <c r="D50" s="381">
        <f>600-D49</f>
        <v>200</v>
      </c>
      <c r="E50" s="382">
        <f>D50*C50</f>
        <v>10800</v>
      </c>
    </row>
    <row r="51" spans="2:5" ht="15" customHeight="1">
      <c r="B51" s="648"/>
      <c r="C51" s="378" t="s">
        <v>46</v>
      </c>
      <c r="D51" s="381">
        <f>SUM(D49:D50)</f>
        <v>600</v>
      </c>
      <c r="E51" s="383">
        <f>SUM(E49:E50)</f>
        <v>39600</v>
      </c>
    </row>
    <row r="52" spans="2:5">
      <c r="B52" s="379" t="s">
        <v>1088</v>
      </c>
      <c r="C52" s="384">
        <v>56.5</v>
      </c>
      <c r="D52" s="385">
        <v>600</v>
      </c>
      <c r="E52" s="386">
        <f>C52*D52</f>
        <v>33900</v>
      </c>
    </row>
    <row r="54" spans="2:5">
      <c r="B54" s="628" t="s">
        <v>1087</v>
      </c>
      <c r="C54" s="629"/>
      <c r="D54" s="629"/>
      <c r="E54" s="630"/>
    </row>
    <row r="55" spans="2:5">
      <c r="B55" s="631"/>
      <c r="C55" s="632"/>
      <c r="D55" s="632"/>
      <c r="E55" s="633"/>
    </row>
    <row r="56" spans="2:5" ht="17" thickBot="1">
      <c r="B56" s="634"/>
      <c r="C56" s="635"/>
      <c r="D56" s="635"/>
      <c r="E56" s="636"/>
    </row>
  </sheetData>
  <mergeCells count="11">
    <mergeCell ref="B37:E39"/>
    <mergeCell ref="I11:L14"/>
    <mergeCell ref="B2:E2"/>
    <mergeCell ref="I2:L2"/>
    <mergeCell ref="B54:E56"/>
    <mergeCell ref="B46:B48"/>
    <mergeCell ref="B49:B51"/>
    <mergeCell ref="B8:B11"/>
    <mergeCell ref="B12:B15"/>
    <mergeCell ref="B18:E20"/>
    <mergeCell ref="B31:B34"/>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CC067-298B-BC42-A44E-9CD255549E59}">
  <dimension ref="B1:J41"/>
  <sheetViews>
    <sheetView workbookViewId="0">
      <selection activeCell="E22" sqref="E22"/>
    </sheetView>
  </sheetViews>
  <sheetFormatPr baseColWidth="10" defaultColWidth="8.83203125" defaultRowHeight="15"/>
  <cols>
    <col min="1" max="1" width="8.83203125" style="58"/>
    <col min="2" max="2" width="33.1640625" style="58" bestFit="1" customWidth="1"/>
    <col min="3" max="3" width="9.83203125" style="58" bestFit="1" customWidth="1"/>
    <col min="4" max="4" width="23.33203125" style="58" bestFit="1" customWidth="1"/>
    <col min="5" max="5" width="33.83203125" style="58" bestFit="1" customWidth="1"/>
    <col min="6" max="6" width="41.33203125" style="58" bestFit="1" customWidth="1"/>
    <col min="7" max="7" width="8.83203125" style="58"/>
    <col min="8" max="9" width="28.33203125" style="58" bestFit="1" customWidth="1"/>
    <col min="10" max="10" width="33.83203125" style="58" bestFit="1" customWidth="1"/>
    <col min="11" max="16384" width="8.83203125" style="58"/>
  </cols>
  <sheetData>
    <row r="1" spans="2:10" ht="16" thickBot="1"/>
    <row r="2" spans="2:10" ht="19" thickBot="1">
      <c r="B2" s="583" t="s">
        <v>1118</v>
      </c>
      <c r="C2" s="584"/>
      <c r="D2" s="584"/>
      <c r="E2" s="584"/>
      <c r="F2" s="585"/>
    </row>
    <row r="4" spans="2:10" ht="16">
      <c r="B4" s="228" t="s">
        <v>1113</v>
      </c>
    </row>
    <row r="5" spans="2:10" ht="16">
      <c r="B5" s="362" t="s">
        <v>1096</v>
      </c>
      <c r="C5" s="362" t="s">
        <v>1115</v>
      </c>
      <c r="D5" s="362" t="s">
        <v>1094</v>
      </c>
      <c r="E5" s="362" t="s">
        <v>1093</v>
      </c>
      <c r="F5" s="362" t="s">
        <v>1114</v>
      </c>
    </row>
    <row r="6" spans="2:10" ht="16">
      <c r="B6" s="362" t="s">
        <v>1092</v>
      </c>
      <c r="C6" s="364">
        <f>61684/62000</f>
        <v>0.99490322580645163</v>
      </c>
      <c r="D6" s="366">
        <v>10550</v>
      </c>
      <c r="E6" s="367">
        <f>C6*D6</f>
        <v>10496.229032258065</v>
      </c>
      <c r="F6" s="367">
        <f>(51450-61684)+E6</f>
        <v>262.22903225806476</v>
      </c>
      <c r="I6" s="362" t="s">
        <v>1113</v>
      </c>
      <c r="J6" s="362" t="s">
        <v>1093</v>
      </c>
    </row>
    <row r="7" spans="2:10" ht="16">
      <c r="B7" s="362" t="s">
        <v>1090</v>
      </c>
      <c r="C7" s="365">
        <v>0.99399999999999999</v>
      </c>
      <c r="D7" s="366">
        <v>10550</v>
      </c>
      <c r="E7" s="367">
        <f>C7*D7</f>
        <v>10486.7</v>
      </c>
      <c r="F7" s="367">
        <f>(51450-61684)+E7</f>
        <v>252.70000000000073</v>
      </c>
      <c r="I7" s="362" t="s">
        <v>1112</v>
      </c>
      <c r="J7" s="371">
        <f>E16</f>
        <v>10476.15</v>
      </c>
    </row>
    <row r="8" spans="2:10" ht="15.75" customHeight="1">
      <c r="B8" s="661" t="s">
        <v>1111</v>
      </c>
      <c r="C8" s="365">
        <v>0.99399999999999999</v>
      </c>
      <c r="D8" s="366">
        <v>5000</v>
      </c>
      <c r="E8" s="368">
        <f>C8*D8</f>
        <v>4970</v>
      </c>
      <c r="F8" s="368"/>
      <c r="I8" s="362" t="s">
        <v>196</v>
      </c>
      <c r="J8" s="368">
        <f>E15</f>
        <v>10469.336111111112</v>
      </c>
    </row>
    <row r="9" spans="2:10" ht="16">
      <c r="B9" s="661"/>
      <c r="C9" s="365">
        <v>0.98699999999999999</v>
      </c>
      <c r="D9" s="366">
        <v>3000</v>
      </c>
      <c r="E9" s="368">
        <f>C9*D9</f>
        <v>2961</v>
      </c>
      <c r="F9" s="368"/>
      <c r="I9" s="362" t="s">
        <v>1110</v>
      </c>
      <c r="J9" s="368">
        <f>J7-J8</f>
        <v>6.8138888888879592</v>
      </c>
    </row>
    <row r="10" spans="2:10" ht="16">
      <c r="B10" s="661"/>
      <c r="C10" s="365">
        <v>0.99750000000000005</v>
      </c>
      <c r="D10" s="366">
        <f>10550-D8-D9</f>
        <v>2550</v>
      </c>
      <c r="E10" s="368">
        <f>C10*D10</f>
        <v>2543.625</v>
      </c>
      <c r="F10" s="369"/>
    </row>
    <row r="11" spans="2:10" ht="15.75" customHeight="1">
      <c r="B11" s="661"/>
      <c r="C11" s="363" t="s">
        <v>46</v>
      </c>
      <c r="D11" s="366">
        <f>SUM(D8:D10)</f>
        <v>10550</v>
      </c>
      <c r="E11" s="367">
        <f>SUM(E8:E10)</f>
        <v>10474.625</v>
      </c>
      <c r="F11" s="370">
        <f>(51450-61684+E11)</f>
        <v>240.625</v>
      </c>
    </row>
    <row r="12" spans="2:10" ht="15.75" customHeight="1">
      <c r="B12" s="661" t="s">
        <v>1089</v>
      </c>
      <c r="C12" s="365">
        <v>0.99399999999999999</v>
      </c>
      <c r="D12" s="366">
        <v>5000</v>
      </c>
      <c r="E12" s="368">
        <f>C12*D12</f>
        <v>4970</v>
      </c>
      <c r="F12" s="368"/>
    </row>
    <row r="13" spans="2:10" ht="15.75" customHeight="1">
      <c r="B13" s="661"/>
      <c r="C13" s="365">
        <v>0.98699999999999999</v>
      </c>
      <c r="D13" s="366">
        <v>3000</v>
      </c>
      <c r="E13" s="368">
        <f>C13*D13</f>
        <v>2961</v>
      </c>
      <c r="F13" s="368"/>
    </row>
    <row r="14" spans="2:10" ht="15.75" customHeight="1">
      <c r="B14" s="661"/>
      <c r="C14" s="365">
        <f>53753/54000</f>
        <v>0.99542592592592594</v>
      </c>
      <c r="D14" s="366">
        <f>10550-D12-D13</f>
        <v>2550</v>
      </c>
      <c r="E14" s="368">
        <f>C14*D14</f>
        <v>2538.3361111111112</v>
      </c>
      <c r="F14" s="368"/>
    </row>
    <row r="15" spans="2:10" ht="15.75" customHeight="1">
      <c r="B15" s="661"/>
      <c r="C15" s="363" t="s">
        <v>46</v>
      </c>
      <c r="D15" s="366">
        <f>SUM(D12:D14)</f>
        <v>10550</v>
      </c>
      <c r="E15" s="367">
        <f>SUM(E12:E14)</f>
        <v>10469.336111111112</v>
      </c>
      <c r="F15" s="367">
        <f>(51450-61684+E15)</f>
        <v>235.33611111111168</v>
      </c>
    </row>
    <row r="16" spans="2:10" ht="16">
      <c r="B16" s="362" t="s">
        <v>1109</v>
      </c>
      <c r="C16" s="365">
        <v>0.99299999999999999</v>
      </c>
      <c r="D16" s="366">
        <v>10550</v>
      </c>
      <c r="E16" s="367">
        <f>C16*D16</f>
        <v>10476.15</v>
      </c>
      <c r="F16" s="367">
        <f>(51450-61684+E16)</f>
        <v>242.14999999999964</v>
      </c>
    </row>
    <row r="17" spans="2:10" ht="16">
      <c r="B17" s="362" t="s">
        <v>1108</v>
      </c>
      <c r="C17" s="365">
        <v>0.99950000000000006</v>
      </c>
      <c r="D17" s="366">
        <v>10550</v>
      </c>
      <c r="E17" s="367">
        <f>C17*D17</f>
        <v>10544.725</v>
      </c>
      <c r="F17" s="367">
        <f>(51450-61684+E17)</f>
        <v>310.72500000000036</v>
      </c>
    </row>
    <row r="19" spans="2:10" ht="15" customHeight="1">
      <c r="B19" s="649" t="s">
        <v>1117</v>
      </c>
      <c r="C19" s="650"/>
      <c r="D19" s="651"/>
    </row>
    <row r="20" spans="2:10">
      <c r="B20" s="652"/>
      <c r="C20" s="653"/>
      <c r="D20" s="654"/>
    </row>
    <row r="21" spans="2:10">
      <c r="B21" s="652"/>
      <c r="C21" s="653"/>
      <c r="D21" s="654"/>
    </row>
    <row r="22" spans="2:10" ht="16" thickBot="1">
      <c r="B22" s="655"/>
      <c r="C22" s="656"/>
      <c r="D22" s="657"/>
    </row>
    <row r="25" spans="2:10" ht="16">
      <c r="B25" s="228" t="s">
        <v>1116</v>
      </c>
    </row>
    <row r="26" spans="2:10" ht="16">
      <c r="B26" s="362" t="s">
        <v>1096</v>
      </c>
      <c r="C26" s="362" t="s">
        <v>1115</v>
      </c>
      <c r="D26" s="362" t="s">
        <v>1094</v>
      </c>
      <c r="E26" s="362" t="s">
        <v>1093</v>
      </c>
      <c r="F26" s="362" t="s">
        <v>1114</v>
      </c>
    </row>
    <row r="27" spans="2:10" ht="16">
      <c r="B27" s="362" t="s">
        <v>1092</v>
      </c>
      <c r="C27" s="364">
        <f>19957/20000</f>
        <v>0.99785000000000001</v>
      </c>
      <c r="D27" s="366">
        <v>9000</v>
      </c>
      <c r="E27" s="367">
        <f>C27*D27</f>
        <v>8980.65</v>
      </c>
      <c r="F27" s="367">
        <f>(11000-19957)+E27</f>
        <v>23.649999999999636</v>
      </c>
      <c r="I27" s="362" t="s">
        <v>1113</v>
      </c>
      <c r="J27" s="362" t="s">
        <v>1093</v>
      </c>
    </row>
    <row r="28" spans="2:10" ht="16">
      <c r="B28" s="362" t="s">
        <v>1090</v>
      </c>
      <c r="C28" s="365">
        <v>0.998</v>
      </c>
      <c r="D28" s="366">
        <v>9000</v>
      </c>
      <c r="E28" s="367">
        <f>C28*D28</f>
        <v>8982</v>
      </c>
      <c r="F28" s="367">
        <f>(11000-19957)+E28</f>
        <v>25</v>
      </c>
      <c r="I28" s="362" t="s">
        <v>1112</v>
      </c>
      <c r="J28" s="371">
        <f>E35</f>
        <v>8986.5</v>
      </c>
    </row>
    <row r="29" spans="2:10" ht="15" customHeight="1">
      <c r="B29" s="658" t="s">
        <v>1111</v>
      </c>
      <c r="C29" s="365">
        <v>0.99750000000000005</v>
      </c>
      <c r="D29" s="366">
        <v>6000</v>
      </c>
      <c r="E29" s="368">
        <f>C29*D29</f>
        <v>5985</v>
      </c>
      <c r="F29" s="367"/>
      <c r="I29" s="362" t="s">
        <v>196</v>
      </c>
      <c r="J29" s="368">
        <f>E34</f>
        <v>8979</v>
      </c>
    </row>
    <row r="30" spans="2:10" ht="15" customHeight="1">
      <c r="B30" s="659"/>
      <c r="C30" s="365">
        <v>0.998</v>
      </c>
      <c r="D30" s="366">
        <f>9000-D29</f>
        <v>3000</v>
      </c>
      <c r="E30" s="368">
        <f>C30*D30</f>
        <v>2994</v>
      </c>
      <c r="F30" s="367"/>
      <c r="I30" s="362" t="s">
        <v>1110</v>
      </c>
      <c r="J30" s="368">
        <f>J28-J29</f>
        <v>7.5</v>
      </c>
    </row>
    <row r="31" spans="2:10">
      <c r="B31" s="660"/>
      <c r="C31" s="363" t="s">
        <v>46</v>
      </c>
      <c r="D31" s="366">
        <f>SUM(D29:D30)</f>
        <v>9000</v>
      </c>
      <c r="E31" s="367">
        <f>SUM(E29:E30)</f>
        <v>8979</v>
      </c>
      <c r="F31" s="367">
        <f>(11000-19957)+E31</f>
        <v>22</v>
      </c>
    </row>
    <row r="32" spans="2:10" ht="15" customHeight="1">
      <c r="B32" s="658" t="s">
        <v>1089</v>
      </c>
      <c r="C32" s="365">
        <v>0.99750000000000005</v>
      </c>
      <c r="D32" s="366">
        <v>6000</v>
      </c>
      <c r="E32" s="368">
        <f>C32*D32</f>
        <v>5985</v>
      </c>
      <c r="F32" s="367"/>
    </row>
    <row r="33" spans="2:6" ht="15" customHeight="1">
      <c r="B33" s="659"/>
      <c r="C33" s="365">
        <f>13972/14000</f>
        <v>0.998</v>
      </c>
      <c r="D33" s="366">
        <f>9000-D32</f>
        <v>3000</v>
      </c>
      <c r="E33" s="368">
        <f>C33*D33</f>
        <v>2994</v>
      </c>
      <c r="F33" s="367"/>
    </row>
    <row r="34" spans="2:6" ht="15" customHeight="1">
      <c r="B34" s="660"/>
      <c r="C34" s="363" t="s">
        <v>46</v>
      </c>
      <c r="D34" s="366">
        <f>SUM(D32:D33)</f>
        <v>9000</v>
      </c>
      <c r="E34" s="367">
        <f>SUM(E32:E33)</f>
        <v>8979</v>
      </c>
      <c r="F34" s="367">
        <f>(11000-19957)+E34</f>
        <v>22</v>
      </c>
    </row>
    <row r="35" spans="2:6" ht="16">
      <c r="B35" s="362" t="s">
        <v>1109</v>
      </c>
      <c r="C35" s="365">
        <v>0.99850000000000005</v>
      </c>
      <c r="D35" s="366">
        <v>9000</v>
      </c>
      <c r="E35" s="367">
        <f>C35*D35</f>
        <v>8986.5</v>
      </c>
      <c r="F35" s="367">
        <f>(11000-19957)+E35</f>
        <v>29.5</v>
      </c>
    </row>
    <row r="36" spans="2:6" ht="16">
      <c r="B36" s="362" t="s">
        <v>1108</v>
      </c>
      <c r="C36" s="365">
        <v>0.999</v>
      </c>
      <c r="D36" s="366">
        <v>9000</v>
      </c>
      <c r="E36" s="367">
        <f>C36*D36</f>
        <v>8991</v>
      </c>
      <c r="F36" s="367">
        <f>(11000-19957)+E36</f>
        <v>34</v>
      </c>
    </row>
    <row r="38" spans="2:6">
      <c r="B38" s="649" t="s">
        <v>1107</v>
      </c>
      <c r="C38" s="650"/>
      <c r="D38" s="651"/>
    </row>
    <row r="39" spans="2:6">
      <c r="B39" s="652"/>
      <c r="C39" s="653"/>
      <c r="D39" s="654"/>
    </row>
    <row r="40" spans="2:6">
      <c r="B40" s="652"/>
      <c r="C40" s="653"/>
      <c r="D40" s="654"/>
    </row>
    <row r="41" spans="2:6" ht="16" thickBot="1">
      <c r="B41" s="655"/>
      <c r="C41" s="656"/>
      <c r="D41" s="657"/>
    </row>
  </sheetData>
  <mergeCells count="7">
    <mergeCell ref="B2:F2"/>
    <mergeCell ref="B38:D41"/>
    <mergeCell ref="B29:B31"/>
    <mergeCell ref="B32:B34"/>
    <mergeCell ref="B8:B11"/>
    <mergeCell ref="B12:B15"/>
    <mergeCell ref="B19:D2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C6703-C1B2-874F-AD37-46FA84EAB9A5}">
  <dimension ref="B1:F18"/>
  <sheetViews>
    <sheetView workbookViewId="0">
      <selection activeCell="C11" sqref="C11"/>
    </sheetView>
  </sheetViews>
  <sheetFormatPr baseColWidth="10" defaultColWidth="8.83203125" defaultRowHeight="15"/>
  <cols>
    <col min="1" max="1" width="8.83203125" style="58"/>
    <col min="2" max="2" width="44.33203125" style="58" bestFit="1" customWidth="1"/>
    <col min="3" max="3" width="16" style="58" bestFit="1" customWidth="1"/>
    <col min="4" max="4" width="13.6640625" style="58" customWidth="1"/>
    <col min="5" max="5" width="14.6640625" style="58" bestFit="1" customWidth="1"/>
    <col min="6" max="6" width="15" style="58" bestFit="1" customWidth="1"/>
    <col min="7" max="16384" width="8.83203125" style="58"/>
  </cols>
  <sheetData>
    <row r="1" spans="2:6" ht="16" thickBot="1"/>
    <row r="2" spans="2:6">
      <c r="B2" s="662" t="s">
        <v>1143</v>
      </c>
      <c r="C2" s="663"/>
      <c r="D2" s="663"/>
      <c r="E2" s="664"/>
    </row>
    <row r="3" spans="2:6">
      <c r="B3" s="665"/>
      <c r="C3" s="666"/>
      <c r="D3" s="666"/>
      <c r="E3" s="667"/>
    </row>
    <row r="4" spans="2:6">
      <c r="B4" s="665"/>
      <c r="C4" s="666"/>
      <c r="D4" s="666"/>
      <c r="E4" s="667"/>
    </row>
    <row r="5" spans="2:6">
      <c r="B5" s="665"/>
      <c r="C5" s="666"/>
      <c r="D5" s="666"/>
      <c r="E5" s="667"/>
    </row>
    <row r="6" spans="2:6" ht="16" thickBot="1">
      <c r="B6" s="668"/>
      <c r="C6" s="669"/>
      <c r="D6" s="669"/>
      <c r="E6" s="670"/>
    </row>
    <row r="8" spans="2:6" ht="16">
      <c r="B8" s="671" t="s">
        <v>1125</v>
      </c>
      <c r="C8" s="671"/>
      <c r="D8" s="671"/>
      <c r="E8" s="361">
        <f>'Scritture di riepilogo'!F48</f>
        <v>137161.55518339376</v>
      </c>
    </row>
    <row r="10" spans="2:6" ht="16">
      <c r="B10" s="672" t="s">
        <v>1124</v>
      </c>
      <c r="C10" s="672"/>
      <c r="D10" s="672"/>
      <c r="E10" s="672"/>
      <c r="F10" s="672"/>
    </row>
    <row r="11" spans="2:6" ht="16">
      <c r="B11" s="355" t="s">
        <v>1123</v>
      </c>
      <c r="C11" s="360">
        <f>[1]SP!D10</f>
        <v>16253</v>
      </c>
      <c r="D11" s="357"/>
      <c r="E11" s="357"/>
      <c r="F11" s="357"/>
    </row>
    <row r="12" spans="2:6" ht="16">
      <c r="B12" s="355" t="s">
        <v>1122</v>
      </c>
      <c r="C12" s="360">
        <f>[1]SP!D6</f>
        <v>11800</v>
      </c>
      <c r="D12" s="357"/>
      <c r="E12" s="357"/>
      <c r="F12" s="357"/>
    </row>
    <row r="13" spans="2:6" ht="16">
      <c r="B13" s="355" t="s">
        <v>1121</v>
      </c>
      <c r="C13" s="360">
        <f>137161.56-C11-C12</f>
        <v>109108.56</v>
      </c>
      <c r="D13" s="357"/>
      <c r="E13" s="358" t="s">
        <v>46</v>
      </c>
      <c r="F13" s="356">
        <f>C11+C12+C13</f>
        <v>137161.56</v>
      </c>
    </row>
    <row r="14" spans="2:6">
      <c r="B14" s="210"/>
      <c r="C14" s="210"/>
      <c r="D14" s="210"/>
      <c r="E14" s="210"/>
      <c r="F14" s="210"/>
    </row>
    <row r="15" spans="2:6" ht="16">
      <c r="B15" s="673" t="s">
        <v>1120</v>
      </c>
      <c r="C15" s="674"/>
      <c r="D15" s="210"/>
      <c r="E15" s="210"/>
      <c r="F15" s="210"/>
    </row>
    <row r="16" spans="2:6" ht="16">
      <c r="B16" s="355" t="s">
        <v>68</v>
      </c>
      <c r="C16" s="296">
        <f>[1]SP!D6</f>
        <v>11800</v>
      </c>
      <c r="D16" s="210"/>
      <c r="E16" s="210"/>
      <c r="F16" s="210"/>
    </row>
    <row r="17" spans="2:3" ht="16">
      <c r="B17" s="355" t="s">
        <v>1119</v>
      </c>
      <c r="C17" s="296">
        <f>127000-C13</f>
        <v>17891.440000000002</v>
      </c>
    </row>
    <row r="18" spans="2:3" ht="16">
      <c r="B18" s="359" t="s">
        <v>46</v>
      </c>
      <c r="C18" s="296">
        <f>C16+C17</f>
        <v>29691.440000000002</v>
      </c>
    </row>
  </sheetData>
  <mergeCells count="4">
    <mergeCell ref="B2:E6"/>
    <mergeCell ref="B8:D8"/>
    <mergeCell ref="B10:F10"/>
    <mergeCell ref="B15:C1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E100"/>
  <sheetViews>
    <sheetView topLeftCell="A54" workbookViewId="0">
      <selection activeCell="E44" sqref="E44"/>
    </sheetView>
  </sheetViews>
  <sheetFormatPr baseColWidth="10" defaultColWidth="14.5" defaultRowHeight="15" customHeight="1"/>
  <cols>
    <col min="1" max="1" width="8.83203125" customWidth="1"/>
    <col min="2" max="2" width="8.6640625" customWidth="1"/>
    <col min="3" max="3" width="57.33203125" customWidth="1"/>
    <col min="4" max="4" width="39.5" customWidth="1"/>
    <col min="5" max="5" width="45.5" customWidth="1"/>
    <col min="6" max="11" width="8.83203125" customWidth="1"/>
  </cols>
  <sheetData>
    <row r="2" spans="2:5" ht="37">
      <c r="B2" s="15"/>
      <c r="C2" s="16" t="s">
        <v>210</v>
      </c>
      <c r="D2" s="15"/>
      <c r="E2" s="15"/>
    </row>
    <row r="3" spans="2:5" ht="24.75" customHeight="1" thickBot="1">
      <c r="B3" s="15"/>
      <c r="C3" s="15"/>
      <c r="D3" s="15"/>
      <c r="E3" s="15"/>
    </row>
    <row r="4" spans="2:5" ht="24" customHeight="1" thickBot="1">
      <c r="B4" s="17" t="s">
        <v>211</v>
      </c>
      <c r="C4" s="679" t="s">
        <v>212</v>
      </c>
      <c r="D4" s="680"/>
      <c r="E4" s="681"/>
    </row>
    <row r="5" spans="2:5" ht="42" customHeight="1" thickBot="1">
      <c r="B5" s="18" t="s">
        <v>203</v>
      </c>
      <c r="C5" s="19" t="s">
        <v>213</v>
      </c>
      <c r="D5" s="745"/>
      <c r="E5" s="746">
        <v>516527</v>
      </c>
    </row>
    <row r="6" spans="2:5" ht="73.5" customHeight="1">
      <c r="B6" s="20" t="s">
        <v>214</v>
      </c>
      <c r="C6" s="19" t="s">
        <v>215</v>
      </c>
      <c r="D6" s="745"/>
      <c r="E6" s="746">
        <v>12546.9</v>
      </c>
    </row>
    <row r="7" spans="2:5" ht="49.5" customHeight="1">
      <c r="B7" s="21" t="s">
        <v>216</v>
      </c>
      <c r="C7" s="19" t="s">
        <v>217</v>
      </c>
      <c r="D7" s="745"/>
      <c r="E7" s="746">
        <v>33250</v>
      </c>
    </row>
    <row r="8" spans="2:5" ht="40.5" customHeight="1">
      <c r="B8" s="22" t="s">
        <v>218</v>
      </c>
      <c r="C8" s="19" t="s">
        <v>219</v>
      </c>
      <c r="D8" s="745"/>
      <c r="E8" s="746">
        <v>24000</v>
      </c>
    </row>
    <row r="9" spans="2:5" ht="32.25" customHeight="1" thickBot="1">
      <c r="B9" s="18" t="s">
        <v>220</v>
      </c>
      <c r="C9" s="19" t="s">
        <v>221</v>
      </c>
      <c r="D9" s="745"/>
      <c r="E9" s="746">
        <v>85371.3</v>
      </c>
    </row>
    <row r="10" spans="2:5" ht="43" customHeight="1" thickBot="1">
      <c r="B10" s="675" t="s">
        <v>222</v>
      </c>
      <c r="C10" s="675"/>
      <c r="D10" s="716"/>
      <c r="E10" s="746">
        <f>E9+E8+E7+E6+E5</f>
        <v>671695.2</v>
      </c>
    </row>
    <row r="11" spans="2:5" ht="31.5" customHeight="1" thickBot="1">
      <c r="B11" s="23" t="s">
        <v>223</v>
      </c>
      <c r="C11" s="676" t="s">
        <v>197</v>
      </c>
      <c r="D11" s="677"/>
      <c r="E11" s="678"/>
    </row>
    <row r="12" spans="2:5" ht="63.75" customHeight="1" thickBot="1">
      <c r="B12" s="18" t="s">
        <v>224</v>
      </c>
      <c r="C12" s="24" t="s">
        <v>225</v>
      </c>
      <c r="D12" s="745"/>
      <c r="E12" s="746">
        <v>382000</v>
      </c>
    </row>
    <row r="13" spans="2:5" ht="35.25" customHeight="1">
      <c r="B13" s="20" t="s">
        <v>226</v>
      </c>
      <c r="C13" s="19" t="s">
        <v>227</v>
      </c>
      <c r="D13" s="745"/>
      <c r="E13" s="746">
        <v>52400</v>
      </c>
    </row>
    <row r="14" spans="2:5" ht="37.5" customHeight="1" thickBot="1">
      <c r="B14" s="21" t="s">
        <v>228</v>
      </c>
      <c r="C14" s="19" t="s">
        <v>229</v>
      </c>
      <c r="D14" s="745"/>
      <c r="E14" s="746">
        <v>30054.74</v>
      </c>
    </row>
    <row r="15" spans="2:5" ht="21">
      <c r="B15" s="25" t="s">
        <v>230</v>
      </c>
      <c r="C15" s="682" t="s">
        <v>231</v>
      </c>
      <c r="D15" s="683"/>
      <c r="E15" s="747"/>
    </row>
    <row r="16" spans="2:5" ht="32.25" customHeight="1">
      <c r="B16" s="26"/>
      <c r="C16" s="684" t="s">
        <v>232</v>
      </c>
      <c r="D16" s="685"/>
      <c r="E16" s="748">
        <v>198000</v>
      </c>
    </row>
    <row r="17" spans="2:5" ht="30" customHeight="1">
      <c r="B17" s="26"/>
      <c r="C17" s="684" t="s">
        <v>233</v>
      </c>
      <c r="D17" s="685"/>
      <c r="E17" s="748">
        <v>54500</v>
      </c>
    </row>
    <row r="18" spans="2:5" ht="37.5" customHeight="1">
      <c r="B18" s="26"/>
      <c r="C18" s="686" t="s">
        <v>234</v>
      </c>
      <c r="D18" s="687"/>
      <c r="E18" s="748">
        <v>16766.669999999998</v>
      </c>
    </row>
    <row r="19" spans="2:5" ht="36.75" customHeight="1">
      <c r="B19" s="26"/>
      <c r="C19" s="686" t="s">
        <v>235</v>
      </c>
      <c r="D19" s="687"/>
      <c r="E19" s="748"/>
    </row>
    <row r="20" spans="2:5" ht="37.5" customHeight="1" thickBot="1">
      <c r="B20" s="27"/>
      <c r="C20" s="688" t="s">
        <v>236</v>
      </c>
      <c r="D20" s="689"/>
      <c r="E20" s="749"/>
    </row>
    <row r="21" spans="2:5" ht="46.5" customHeight="1">
      <c r="B21" s="25" t="s">
        <v>237</v>
      </c>
      <c r="C21" s="690" t="s">
        <v>238</v>
      </c>
      <c r="D21" s="691"/>
      <c r="E21" s="747"/>
    </row>
    <row r="22" spans="2:5" ht="57.75" customHeight="1">
      <c r="B22" s="26"/>
      <c r="C22" s="686" t="s">
        <v>239</v>
      </c>
      <c r="D22" s="687"/>
      <c r="E22" s="748">
        <v>13765.15</v>
      </c>
    </row>
    <row r="23" spans="2:5" ht="85.5" customHeight="1">
      <c r="B23" s="26"/>
      <c r="C23" s="686" t="s">
        <v>240</v>
      </c>
      <c r="D23" s="687"/>
      <c r="E23" s="748">
        <v>35350</v>
      </c>
    </row>
    <row r="24" spans="2:5" ht="75.75" customHeight="1">
      <c r="B24" s="26"/>
      <c r="C24" s="686" t="s">
        <v>241</v>
      </c>
      <c r="D24" s="687"/>
      <c r="E24" s="748"/>
    </row>
    <row r="25" spans="2:5" ht="78" customHeight="1" thickBot="1">
      <c r="B25" s="26"/>
      <c r="C25" s="688" t="s">
        <v>242</v>
      </c>
      <c r="D25" s="689"/>
      <c r="E25" s="748">
        <v>5100</v>
      </c>
    </row>
    <row r="26" spans="2:5" ht="82.5" customHeight="1" thickBot="1">
      <c r="B26" s="18" t="s">
        <v>243</v>
      </c>
      <c r="C26" s="92" t="s">
        <v>244</v>
      </c>
      <c r="D26" s="745"/>
      <c r="E26" s="746">
        <v>-4078.87</v>
      </c>
    </row>
    <row r="27" spans="2:5" ht="38.25" customHeight="1">
      <c r="B27" s="18" t="s">
        <v>245</v>
      </c>
      <c r="C27" s="92" t="s">
        <v>246</v>
      </c>
      <c r="D27" s="745"/>
      <c r="E27" s="746">
        <v>12000</v>
      </c>
    </row>
    <row r="28" spans="2:5" ht="42" customHeight="1">
      <c r="B28" s="18" t="s">
        <v>247</v>
      </c>
      <c r="C28" s="92" t="s">
        <v>248</v>
      </c>
      <c r="D28" s="745"/>
      <c r="E28" s="746"/>
    </row>
    <row r="29" spans="2:5" ht="36.75" customHeight="1">
      <c r="B29" s="18" t="s">
        <v>249</v>
      </c>
      <c r="C29" s="92" t="s">
        <v>250</v>
      </c>
      <c r="D29" s="745"/>
      <c r="E29" s="746"/>
    </row>
    <row r="30" spans="2:5" ht="29.25" customHeight="1" thickBot="1">
      <c r="B30" s="28"/>
      <c r="C30" s="675" t="s">
        <v>222</v>
      </c>
      <c r="D30" s="750"/>
      <c r="E30" s="746">
        <f>SUM(E12:E29)</f>
        <v>795857.69000000006</v>
      </c>
    </row>
    <row r="31" spans="2:5" ht="40.5" customHeight="1" thickBot="1">
      <c r="B31" s="751" t="s">
        <v>251</v>
      </c>
      <c r="C31" s="692" t="s">
        <v>252</v>
      </c>
      <c r="D31" s="693"/>
      <c r="E31" s="749">
        <f>E10-E30</f>
        <v>-124162.49000000011</v>
      </c>
    </row>
    <row r="32" spans="2:5" ht="31.5" customHeight="1" thickBot="1">
      <c r="B32" s="29" t="s">
        <v>253</v>
      </c>
      <c r="C32" s="694" t="s">
        <v>206</v>
      </c>
      <c r="D32" s="695"/>
      <c r="E32" s="696"/>
    </row>
    <row r="33" spans="2:5" ht="52.5" customHeight="1">
      <c r="B33" s="94" t="s">
        <v>254</v>
      </c>
      <c r="C33" s="682" t="s">
        <v>255</v>
      </c>
      <c r="D33" s="697"/>
      <c r="E33" s="752"/>
    </row>
    <row r="34" spans="2:5" ht="44.25" customHeight="1">
      <c r="B34" s="742"/>
      <c r="C34" s="698" t="s">
        <v>256</v>
      </c>
      <c r="D34" s="698"/>
      <c r="E34" s="744">
        <v>4560</v>
      </c>
    </row>
    <row r="35" spans="2:5" ht="45" customHeight="1" thickBot="1">
      <c r="B35" s="741"/>
      <c r="C35" s="699" t="s">
        <v>257</v>
      </c>
      <c r="D35" s="699"/>
      <c r="E35" s="753"/>
    </row>
    <row r="36" spans="2:5" ht="45" customHeight="1">
      <c r="B36" s="91" t="s">
        <v>258</v>
      </c>
      <c r="C36" s="700" t="s">
        <v>259</v>
      </c>
      <c r="D36" s="701"/>
      <c r="E36" s="754"/>
    </row>
    <row r="37" spans="2:5" ht="55.5" customHeight="1">
      <c r="B37" s="755"/>
      <c r="C37" s="702" t="s">
        <v>260</v>
      </c>
      <c r="D37" s="703"/>
      <c r="E37" s="748"/>
    </row>
    <row r="38" spans="2:5" ht="84.75" customHeight="1">
      <c r="B38" s="755"/>
      <c r="C38" s="702" t="s">
        <v>261</v>
      </c>
      <c r="D38" s="703"/>
      <c r="E38" s="748"/>
    </row>
    <row r="39" spans="2:5" ht="74.25" customHeight="1">
      <c r="B39" s="755"/>
      <c r="C39" s="702" t="s">
        <v>262</v>
      </c>
      <c r="D39" s="703"/>
      <c r="E39" s="748">
        <v>257.33999999999997</v>
      </c>
    </row>
    <row r="40" spans="2:5" ht="33" customHeight="1" thickBot="1">
      <c r="B40" s="756"/>
      <c r="C40" s="704" t="s">
        <v>263</v>
      </c>
      <c r="D40" s="705"/>
      <c r="E40" s="748"/>
    </row>
    <row r="41" spans="2:5" ht="41.25" customHeight="1">
      <c r="B41" s="91" t="s">
        <v>264</v>
      </c>
      <c r="C41" s="682" t="s">
        <v>265</v>
      </c>
      <c r="D41" s="683"/>
      <c r="E41" s="747">
        <v>6767</v>
      </c>
    </row>
    <row r="42" spans="2:5" ht="15.75" customHeight="1" thickBot="1">
      <c r="B42" s="757"/>
      <c r="C42" s="708"/>
      <c r="D42" s="709"/>
      <c r="E42" s="758"/>
    </row>
    <row r="43" spans="2:5" ht="49.5" customHeight="1" thickBot="1">
      <c r="B43" s="30" t="s">
        <v>266</v>
      </c>
      <c r="C43" s="739" t="s">
        <v>1145</v>
      </c>
      <c r="D43" s="740"/>
      <c r="E43" s="743">
        <v>553.4</v>
      </c>
    </row>
    <row r="44" spans="2:5" ht="69.75" customHeight="1" thickBot="1">
      <c r="B44" s="759"/>
      <c r="C44" s="710" t="s">
        <v>267</v>
      </c>
      <c r="D44" s="711"/>
      <c r="E44" s="754">
        <f>E34+E39+E41-E43</f>
        <v>11030.94</v>
      </c>
    </row>
    <row r="45" spans="2:5" ht="49.5" customHeight="1" thickBot="1">
      <c r="B45" s="93" t="s">
        <v>268</v>
      </c>
      <c r="C45" s="719" t="s">
        <v>269</v>
      </c>
      <c r="D45" s="720"/>
      <c r="E45" s="721"/>
    </row>
    <row r="46" spans="2:5" ht="33.75" customHeight="1">
      <c r="B46" s="31" t="s">
        <v>270</v>
      </c>
      <c r="C46" s="726" t="s">
        <v>271</v>
      </c>
      <c r="D46" s="727"/>
      <c r="E46" s="760"/>
    </row>
    <row r="47" spans="2:5" ht="30.75" customHeight="1">
      <c r="B47" s="761" t="s">
        <v>272</v>
      </c>
      <c r="C47" s="702" t="s">
        <v>273</v>
      </c>
      <c r="D47" s="703"/>
      <c r="E47" s="760"/>
    </row>
    <row r="48" spans="2:5" ht="48.75" customHeight="1">
      <c r="B48" s="762"/>
      <c r="C48" s="702" t="s">
        <v>274</v>
      </c>
      <c r="D48" s="703"/>
      <c r="E48" s="760"/>
    </row>
    <row r="49" spans="2:5" ht="51.75" customHeight="1">
      <c r="B49" s="763"/>
      <c r="C49" s="702" t="s">
        <v>275</v>
      </c>
      <c r="D49" s="703"/>
      <c r="E49" s="748"/>
    </row>
    <row r="50" spans="2:5" ht="24.75" customHeight="1" thickBot="1">
      <c r="B50" s="32"/>
      <c r="C50" s="706" t="s">
        <v>276</v>
      </c>
      <c r="D50" s="707"/>
      <c r="E50" s="764"/>
    </row>
    <row r="51" spans="2:5" ht="29.25" customHeight="1">
      <c r="B51" s="31" t="s">
        <v>277</v>
      </c>
      <c r="C51" s="726" t="s">
        <v>278</v>
      </c>
      <c r="D51" s="727"/>
      <c r="E51" s="748"/>
    </row>
    <row r="52" spans="2:5" ht="28.5" customHeight="1">
      <c r="B52" s="31"/>
      <c r="C52" s="702" t="s">
        <v>279</v>
      </c>
      <c r="D52" s="703"/>
      <c r="E52" s="748"/>
    </row>
    <row r="53" spans="2:5" ht="46.5" customHeight="1">
      <c r="B53" s="31"/>
      <c r="C53" s="702" t="s">
        <v>274</v>
      </c>
      <c r="D53" s="703"/>
      <c r="E53" s="748"/>
    </row>
    <row r="54" spans="2:5" ht="48.75" customHeight="1">
      <c r="B54" s="32"/>
      <c r="C54" s="702" t="s">
        <v>280</v>
      </c>
      <c r="D54" s="703"/>
      <c r="E54" s="748"/>
    </row>
    <row r="55" spans="2:5" ht="22.5" customHeight="1">
      <c r="B55" s="32"/>
      <c r="C55" s="702" t="s">
        <v>281</v>
      </c>
      <c r="D55" s="703"/>
      <c r="E55" s="748"/>
    </row>
    <row r="56" spans="2:5" ht="38.25" customHeight="1" thickBot="1">
      <c r="B56" s="33"/>
      <c r="C56" s="717" t="s">
        <v>282</v>
      </c>
      <c r="D56" s="718"/>
      <c r="E56" s="749"/>
    </row>
    <row r="57" spans="2:5" ht="88.5" customHeight="1" thickBot="1">
      <c r="B57" s="765"/>
      <c r="C57" s="722" t="s">
        <v>283</v>
      </c>
      <c r="D57" s="723"/>
      <c r="E57" s="748">
        <f>E31+E44</f>
        <v>-113131.5500000001</v>
      </c>
    </row>
    <row r="58" spans="2:5" ht="44.25" customHeight="1">
      <c r="B58" s="766" t="s">
        <v>284</v>
      </c>
      <c r="C58" s="724" t="s">
        <v>285</v>
      </c>
      <c r="D58" s="725"/>
      <c r="E58" s="767"/>
    </row>
    <row r="59" spans="2:5" ht="41.25" customHeight="1">
      <c r="B59" s="768"/>
      <c r="C59" s="686" t="s">
        <v>286</v>
      </c>
      <c r="D59" s="687"/>
      <c r="E59" s="748">
        <v>24023</v>
      </c>
    </row>
    <row r="60" spans="2:5" ht="32" customHeight="1" thickBot="1">
      <c r="B60" s="768"/>
      <c r="C60" s="714" t="s">
        <v>287</v>
      </c>
      <c r="D60" s="715"/>
      <c r="E60" s="749"/>
    </row>
    <row r="61" spans="2:5" ht="48.75" customHeight="1" thickBot="1">
      <c r="B61" s="34" t="s">
        <v>288</v>
      </c>
      <c r="C61" s="712" t="s">
        <v>289</v>
      </c>
      <c r="D61" s="713"/>
      <c r="E61" s="749">
        <f>E57-E59</f>
        <v>-137154.5500000001</v>
      </c>
    </row>
    <row r="62" spans="2:5" ht="15.75" customHeight="1"/>
    <row r="63" spans="2:5" ht="15.75" customHeight="1"/>
    <row r="64" spans="2: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47">
    <mergeCell ref="C61:D61"/>
    <mergeCell ref="C60:D60"/>
    <mergeCell ref="B10:D10"/>
    <mergeCell ref="C56:D56"/>
    <mergeCell ref="C45:E45"/>
    <mergeCell ref="C57:D57"/>
    <mergeCell ref="C58:D58"/>
    <mergeCell ref="C59:D59"/>
    <mergeCell ref="C51:D51"/>
    <mergeCell ref="C52:D52"/>
    <mergeCell ref="C53:D53"/>
    <mergeCell ref="C54:D54"/>
    <mergeCell ref="C55:D55"/>
    <mergeCell ref="C47:D47"/>
    <mergeCell ref="C46:D46"/>
    <mergeCell ref="C48:D48"/>
    <mergeCell ref="C50:D50"/>
    <mergeCell ref="C41:D41"/>
    <mergeCell ref="C42:D42"/>
    <mergeCell ref="C43:D43"/>
    <mergeCell ref="C44:D44"/>
    <mergeCell ref="C37:D37"/>
    <mergeCell ref="C38:D38"/>
    <mergeCell ref="C39:D39"/>
    <mergeCell ref="C40:D40"/>
    <mergeCell ref="C49:D49"/>
    <mergeCell ref="C32:E32"/>
    <mergeCell ref="C33:D33"/>
    <mergeCell ref="C34:D34"/>
    <mergeCell ref="C35:D35"/>
    <mergeCell ref="C36:D36"/>
    <mergeCell ref="C30:D30"/>
    <mergeCell ref="B47:B49"/>
    <mergeCell ref="C11:E11"/>
    <mergeCell ref="C4:E4"/>
    <mergeCell ref="C15:D15"/>
    <mergeCell ref="C16:D16"/>
    <mergeCell ref="C18:D18"/>
    <mergeCell ref="C17:D17"/>
    <mergeCell ref="C19:D19"/>
    <mergeCell ref="C20:D20"/>
    <mergeCell ref="C21:D21"/>
    <mergeCell ref="C22:D22"/>
    <mergeCell ref="C23:D23"/>
    <mergeCell ref="C24:D24"/>
    <mergeCell ref="C25:D25"/>
    <mergeCell ref="C31:D31"/>
  </mergeCell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500"/>
  <sheetViews>
    <sheetView workbookViewId="0">
      <selection activeCell="D58" sqref="D58"/>
    </sheetView>
  </sheetViews>
  <sheetFormatPr baseColWidth="10" defaultColWidth="14.5" defaultRowHeight="15" customHeight="1"/>
  <cols>
    <col min="1" max="1" width="80.1640625" customWidth="1"/>
    <col min="2" max="2" width="18.5" customWidth="1"/>
    <col min="3" max="3" width="20" customWidth="1"/>
    <col min="4" max="11" width="8.83203125" customWidth="1"/>
  </cols>
  <sheetData>
    <row r="1" spans="1:3" ht="32" thickBot="1">
      <c r="A1" s="728" t="s">
        <v>290</v>
      </c>
      <c r="B1" s="729"/>
      <c r="C1" s="729"/>
    </row>
    <row r="2" spans="1:3" ht="25" thickBot="1">
      <c r="A2" s="35" t="s">
        <v>291</v>
      </c>
      <c r="B2" s="36"/>
      <c r="C2" s="774"/>
    </row>
    <row r="3" spans="1:3" ht="19" thickBot="1">
      <c r="A3" s="37" t="s">
        <v>292</v>
      </c>
      <c r="B3" s="38"/>
      <c r="C3" s="774"/>
    </row>
    <row r="4" spans="1:3" ht="18">
      <c r="A4" s="37" t="s">
        <v>293</v>
      </c>
      <c r="B4" s="810"/>
      <c r="C4" s="774"/>
    </row>
    <row r="5" spans="1:3" ht="16">
      <c r="A5" s="39" t="s">
        <v>294</v>
      </c>
      <c r="B5" s="809"/>
      <c r="C5" s="774"/>
    </row>
    <row r="6" spans="1:3" ht="16">
      <c r="A6" s="40" t="s">
        <v>295</v>
      </c>
      <c r="B6" s="810"/>
      <c r="C6" s="775"/>
    </row>
    <row r="7" spans="1:3" ht="16">
      <c r="A7" s="41" t="s">
        <v>296</v>
      </c>
      <c r="B7" s="809">
        <v>30000</v>
      </c>
      <c r="C7" s="776"/>
    </row>
    <row r="8" spans="1:3" ht="16">
      <c r="A8" s="42" t="s">
        <v>297</v>
      </c>
      <c r="B8" s="809">
        <v>14318.18</v>
      </c>
      <c r="C8" s="773"/>
    </row>
    <row r="9" spans="1:3" ht="16">
      <c r="A9" s="41" t="s">
        <v>298</v>
      </c>
      <c r="B9" s="811">
        <v>4666.67</v>
      </c>
      <c r="C9" s="775"/>
    </row>
    <row r="10" spans="1:3" ht="16">
      <c r="A10" s="42" t="s">
        <v>299</v>
      </c>
      <c r="B10" s="809">
        <v>30000</v>
      </c>
      <c r="C10" s="777"/>
    </row>
    <row r="11" spans="1:3" ht="16">
      <c r="A11" s="41" t="s">
        <v>300</v>
      </c>
      <c r="B11" s="811"/>
      <c r="C11" s="778"/>
    </row>
    <row r="12" spans="1:3" ht="16">
      <c r="A12" s="42" t="s">
        <v>301</v>
      </c>
      <c r="B12" s="809"/>
      <c r="C12" s="774"/>
    </row>
    <row r="13" spans="1:3" ht="16">
      <c r="A13" s="39" t="s">
        <v>302</v>
      </c>
      <c r="B13" s="812"/>
      <c r="C13" s="779"/>
    </row>
    <row r="14" spans="1:3" ht="16">
      <c r="A14" s="40" t="s">
        <v>303</v>
      </c>
      <c r="B14" s="810">
        <v>44460</v>
      </c>
      <c r="C14" s="773"/>
    </row>
    <row r="15" spans="1:3" ht="16">
      <c r="A15" s="41" t="s">
        <v>304</v>
      </c>
      <c r="B15" s="811">
        <v>68826.67</v>
      </c>
      <c r="C15" s="775"/>
    </row>
    <row r="16" spans="1:3" ht="16">
      <c r="A16" s="42" t="s">
        <v>305</v>
      </c>
      <c r="B16" s="809">
        <v>1833.33</v>
      </c>
      <c r="C16" s="774"/>
    </row>
    <row r="17" spans="1:3" ht="16">
      <c r="A17" s="41" t="s">
        <v>306</v>
      </c>
      <c r="B17" s="811"/>
      <c r="C17" s="775"/>
    </row>
    <row r="18" spans="1:3" ht="16">
      <c r="A18" s="42" t="s">
        <v>307</v>
      </c>
      <c r="B18" s="809">
        <v>31330</v>
      </c>
      <c r="C18" s="774"/>
    </row>
    <row r="19" spans="1:3" ht="16">
      <c r="A19" s="39" t="s">
        <v>308</v>
      </c>
      <c r="B19" s="812"/>
      <c r="C19" s="779"/>
    </row>
    <row r="20" spans="1:3" ht="16">
      <c r="A20" s="40" t="s">
        <v>309</v>
      </c>
      <c r="B20" s="810"/>
      <c r="C20" s="773"/>
    </row>
    <row r="21" spans="1:3" ht="15.75" customHeight="1">
      <c r="A21" s="41" t="s">
        <v>310</v>
      </c>
      <c r="B21" s="811"/>
      <c r="C21" s="775"/>
    </row>
    <row r="22" spans="1:3" ht="15.75" customHeight="1">
      <c r="A22" s="42" t="s">
        <v>311</v>
      </c>
      <c r="B22" s="809">
        <v>135000</v>
      </c>
      <c r="C22" s="774"/>
    </row>
    <row r="23" spans="1:3" ht="15.75" customHeight="1">
      <c r="A23" s="41" t="s">
        <v>312</v>
      </c>
      <c r="B23" s="811"/>
      <c r="C23" s="775"/>
    </row>
    <row r="24" spans="1:3" ht="15.75" customHeight="1">
      <c r="A24" s="42" t="s">
        <v>313</v>
      </c>
      <c r="B24" s="809"/>
      <c r="C24" s="774"/>
    </row>
    <row r="25" spans="1:3" ht="15.75" customHeight="1">
      <c r="A25" s="42" t="s">
        <v>314</v>
      </c>
      <c r="B25" s="809"/>
      <c r="C25" s="774"/>
    </row>
    <row r="26" spans="1:3" ht="15.75" customHeight="1">
      <c r="A26" s="41" t="s">
        <v>315</v>
      </c>
      <c r="B26" s="811"/>
      <c r="C26" s="775"/>
    </row>
    <row r="27" spans="1:3" ht="15.75" customHeight="1">
      <c r="A27" s="42" t="s">
        <v>316</v>
      </c>
      <c r="B27" s="809"/>
      <c r="C27" s="774"/>
    </row>
    <row r="28" spans="1:3" ht="15.75" customHeight="1">
      <c r="A28" s="41" t="s">
        <v>317</v>
      </c>
      <c r="B28" s="811"/>
      <c r="C28" s="775"/>
    </row>
    <row r="29" spans="1:3" ht="15.75" customHeight="1">
      <c r="A29" s="42" t="s">
        <v>318</v>
      </c>
      <c r="B29" s="809"/>
      <c r="C29" s="774"/>
    </row>
    <row r="30" spans="1:3" ht="15.75" customHeight="1">
      <c r="A30" s="41" t="s">
        <v>319</v>
      </c>
      <c r="B30" s="811"/>
      <c r="C30" s="775"/>
    </row>
    <row r="31" spans="1:3" ht="15.75" customHeight="1" thickBot="1">
      <c r="A31" s="782" t="s">
        <v>320</v>
      </c>
      <c r="B31" s="812"/>
      <c r="C31" s="775"/>
    </row>
    <row r="32" spans="1:3" ht="15.75" customHeight="1" thickBot="1">
      <c r="A32" s="783" t="s">
        <v>321</v>
      </c>
      <c r="B32" s="813">
        <f>B22+B18+B16+B15+B14+B10+B9+B8+B7</f>
        <v>360434.85</v>
      </c>
      <c r="C32" s="781"/>
    </row>
    <row r="33" spans="1:3" ht="15.75" customHeight="1">
      <c r="A33" s="37" t="s">
        <v>322</v>
      </c>
      <c r="B33" s="814"/>
      <c r="C33" s="775"/>
    </row>
    <row r="34" spans="1:3" ht="15.75" customHeight="1">
      <c r="A34" s="39" t="s">
        <v>323</v>
      </c>
      <c r="B34" s="811"/>
      <c r="C34" s="775"/>
    </row>
    <row r="35" spans="1:3" ht="15.75" customHeight="1">
      <c r="A35" s="40" t="s">
        <v>324</v>
      </c>
      <c r="B35" s="810">
        <v>35666.370000000003</v>
      </c>
      <c r="C35" s="773"/>
    </row>
    <row r="36" spans="1:3" ht="15.75" customHeight="1">
      <c r="A36" s="41" t="s">
        <v>325</v>
      </c>
      <c r="B36" s="811">
        <v>33616.9</v>
      </c>
      <c r="C36" s="775"/>
    </row>
    <row r="37" spans="1:3" ht="15.75" customHeight="1">
      <c r="A37" s="42" t="s">
        <v>326</v>
      </c>
      <c r="B37" s="809">
        <v>33250</v>
      </c>
      <c r="C37" s="774"/>
    </row>
    <row r="38" spans="1:3" ht="15.75" customHeight="1">
      <c r="A38" s="41" t="s">
        <v>327</v>
      </c>
      <c r="B38" s="811">
        <v>52480</v>
      </c>
      <c r="C38" s="775"/>
    </row>
    <row r="39" spans="1:3" ht="15.75" customHeight="1">
      <c r="A39" s="42" t="s">
        <v>328</v>
      </c>
      <c r="B39" s="809"/>
      <c r="C39" s="774"/>
    </row>
    <row r="40" spans="1:3" ht="15.75" customHeight="1">
      <c r="A40" s="39" t="s">
        <v>329</v>
      </c>
      <c r="B40" s="812"/>
      <c r="C40" s="779"/>
    </row>
    <row r="41" spans="1:3" ht="15.75" customHeight="1">
      <c r="A41" s="40" t="s">
        <v>330</v>
      </c>
      <c r="B41" s="810">
        <v>184868.6</v>
      </c>
      <c r="C41" s="773"/>
    </row>
    <row r="42" spans="1:3" ht="15.75" customHeight="1">
      <c r="A42" s="41" t="s">
        <v>331</v>
      </c>
      <c r="B42" s="811"/>
      <c r="C42" s="775"/>
    </row>
    <row r="43" spans="1:3" ht="15.75" customHeight="1">
      <c r="A43" s="42" t="s">
        <v>1147</v>
      </c>
      <c r="B43" s="809">
        <v>20000</v>
      </c>
      <c r="C43" s="774"/>
    </row>
    <row r="44" spans="1:3" ht="15.75" customHeight="1">
      <c r="A44" s="41" t="s">
        <v>332</v>
      </c>
      <c r="B44" s="811"/>
      <c r="C44" s="775"/>
    </row>
    <row r="45" spans="1:3" ht="15.75" customHeight="1">
      <c r="A45" s="42" t="s">
        <v>333</v>
      </c>
      <c r="B45" s="809">
        <v>24851</v>
      </c>
      <c r="C45" s="774"/>
    </row>
    <row r="46" spans="1:3" ht="15.75" customHeight="1">
      <c r="A46" s="41" t="s">
        <v>334</v>
      </c>
      <c r="B46" s="811">
        <v>5100</v>
      </c>
      <c r="C46" s="775"/>
    </row>
    <row r="47" spans="1:3" ht="15.75" customHeight="1">
      <c r="A47" s="42" t="s">
        <v>335</v>
      </c>
      <c r="B47" s="809"/>
      <c r="C47" s="774"/>
    </row>
    <row r="48" spans="1:3" ht="15.75" customHeight="1">
      <c r="A48" s="39" t="s">
        <v>336</v>
      </c>
      <c r="B48" s="812"/>
      <c r="C48" s="779"/>
    </row>
    <row r="49" spans="1:3" ht="15.75" customHeight="1">
      <c r="A49" s="41" t="s">
        <v>337</v>
      </c>
      <c r="B49" s="811"/>
      <c r="C49" s="775"/>
    </row>
    <row r="50" spans="1:3" ht="15.75" customHeight="1">
      <c r="A50" s="42" t="s">
        <v>338</v>
      </c>
      <c r="B50" s="809"/>
      <c r="C50" s="774"/>
    </row>
    <row r="51" spans="1:3" ht="15.75" customHeight="1">
      <c r="A51" s="42" t="s">
        <v>339</v>
      </c>
      <c r="B51" s="809"/>
      <c r="C51" s="774"/>
    </row>
    <row r="52" spans="1:3" ht="15.75" customHeight="1">
      <c r="A52" s="41" t="s">
        <v>340</v>
      </c>
      <c r="B52" s="811"/>
      <c r="C52" s="775"/>
    </row>
    <row r="53" spans="1:3" ht="15.75" customHeight="1">
      <c r="A53" s="42" t="s">
        <v>341</v>
      </c>
      <c r="B53" s="809"/>
      <c r="C53" s="774"/>
    </row>
    <row r="54" spans="1:3" ht="15.75" customHeight="1">
      <c r="A54" s="41" t="s">
        <v>342</v>
      </c>
      <c r="B54" s="811">
        <v>19448.34</v>
      </c>
      <c r="C54" s="775"/>
    </row>
    <row r="55" spans="1:3" ht="15.75" customHeight="1">
      <c r="A55" s="39" t="s">
        <v>343</v>
      </c>
      <c r="B55" s="812"/>
      <c r="C55" s="779"/>
    </row>
    <row r="56" spans="1:3" ht="15.75" customHeight="1">
      <c r="A56" s="41" t="s">
        <v>344</v>
      </c>
      <c r="B56" s="811">
        <v>70999</v>
      </c>
      <c r="C56" s="775"/>
    </row>
    <row r="57" spans="1:3" ht="15.75" customHeight="1">
      <c r="A57" s="42" t="s">
        <v>345</v>
      </c>
      <c r="B57" s="809"/>
      <c r="C57" s="774"/>
    </row>
    <row r="58" spans="1:3" ht="15.75" customHeight="1" thickBot="1">
      <c r="A58" s="41" t="s">
        <v>346</v>
      </c>
      <c r="B58" s="811">
        <v>25117.7</v>
      </c>
      <c r="C58" s="775"/>
    </row>
    <row r="59" spans="1:3" ht="15.75" customHeight="1" thickBot="1">
      <c r="A59" s="783" t="s">
        <v>347</v>
      </c>
      <c r="B59" s="813">
        <f>B58+B36+B56+B54+B46+B45+B43+B41+B38+B37+B35</f>
        <v>505397.91000000003</v>
      </c>
      <c r="C59" s="784"/>
    </row>
    <row r="60" spans="1:3" ht="15.75" customHeight="1">
      <c r="A60" s="787" t="s">
        <v>348</v>
      </c>
      <c r="B60" s="815"/>
      <c r="C60" s="775"/>
    </row>
    <row r="61" spans="1:3" ht="15.75" customHeight="1" thickBot="1">
      <c r="A61" s="786" t="s">
        <v>812</v>
      </c>
      <c r="B61" s="816">
        <v>21797.66</v>
      </c>
      <c r="C61" s="775"/>
    </row>
    <row r="62" spans="1:3" ht="15.75" customHeight="1" thickBot="1">
      <c r="A62" s="785" t="s">
        <v>349</v>
      </c>
      <c r="B62" s="817">
        <f>B32+B59+B61-B500</f>
        <v>887630.41</v>
      </c>
      <c r="C62" s="775"/>
    </row>
    <row r="63" spans="1:3" ht="15.75" customHeight="1" thickTop="1">
      <c r="A63" s="15"/>
      <c r="B63" s="15"/>
      <c r="C63" s="15"/>
    </row>
    <row r="64" spans="1:3" ht="15.75" customHeight="1" thickBot="1">
      <c r="A64" s="728" t="s">
        <v>290</v>
      </c>
      <c r="B64" s="729"/>
      <c r="C64" s="729"/>
    </row>
    <row r="65" spans="1:3" ht="15.75" customHeight="1" thickBot="1">
      <c r="A65" s="43" t="s">
        <v>1146</v>
      </c>
      <c r="B65" s="44"/>
      <c r="C65" s="780"/>
    </row>
    <row r="66" spans="1:3" ht="15.75" customHeight="1">
      <c r="A66" s="45" t="s">
        <v>351</v>
      </c>
      <c r="B66" s="794"/>
      <c r="C66" s="780"/>
    </row>
    <row r="67" spans="1:3" ht="15.75" customHeight="1">
      <c r="A67" s="46" t="s">
        <v>352</v>
      </c>
      <c r="B67" s="795">
        <v>127000</v>
      </c>
      <c r="C67" s="780"/>
    </row>
    <row r="68" spans="1:3" ht="15.75" customHeight="1">
      <c r="A68" s="47" t="s">
        <v>353</v>
      </c>
      <c r="B68" s="796"/>
      <c r="C68" s="780"/>
    </row>
    <row r="69" spans="1:3" ht="15.75" customHeight="1">
      <c r="A69" s="46" t="s">
        <v>354</v>
      </c>
      <c r="B69" s="794"/>
      <c r="C69" s="780"/>
    </row>
    <row r="70" spans="1:3" ht="15.75" customHeight="1">
      <c r="A70" s="47" t="s">
        <v>355</v>
      </c>
      <c r="B70" s="796">
        <v>12670</v>
      </c>
      <c r="C70" s="780"/>
    </row>
    <row r="71" spans="1:3" ht="15.75" customHeight="1">
      <c r="A71" s="46" t="s">
        <v>356</v>
      </c>
      <c r="B71" s="794"/>
      <c r="C71" s="780"/>
    </row>
    <row r="72" spans="1:3" ht="15.75" customHeight="1">
      <c r="A72" s="47" t="s">
        <v>357</v>
      </c>
      <c r="B72" s="796">
        <v>11800</v>
      </c>
      <c r="C72" s="780"/>
    </row>
    <row r="73" spans="1:3" ht="15.75" customHeight="1">
      <c r="A73" s="47" t="s">
        <v>358</v>
      </c>
      <c r="B73" s="796">
        <v>16253</v>
      </c>
      <c r="C73" s="780"/>
    </row>
    <row r="74" spans="1:3" ht="15.75" customHeight="1">
      <c r="A74" s="47" t="s">
        <v>359</v>
      </c>
      <c r="B74" s="796"/>
      <c r="C74" s="780"/>
    </row>
    <row r="75" spans="1:3" ht="15.75" customHeight="1">
      <c r="A75" s="47" t="s">
        <v>360</v>
      </c>
      <c r="B75" s="796"/>
      <c r="C75" s="780"/>
    </row>
    <row r="76" spans="1:3" ht="15.75" customHeight="1">
      <c r="A76" s="46" t="s">
        <v>361</v>
      </c>
      <c r="B76" s="794"/>
      <c r="C76" s="780"/>
    </row>
    <row r="77" spans="1:3" ht="15.75" customHeight="1">
      <c r="A77" s="48" t="s">
        <v>1148</v>
      </c>
      <c r="B77" s="796">
        <f>'Scritture di riepilogo'!F48</f>
        <v>137161.55518339376</v>
      </c>
      <c r="C77" s="780"/>
    </row>
    <row r="78" spans="1:3" ht="18" customHeight="1" thickBot="1">
      <c r="A78" s="771" t="s">
        <v>362</v>
      </c>
      <c r="B78" s="797">
        <f>B67+B70+B72+B73-B77</f>
        <v>30561.444816606236</v>
      </c>
      <c r="C78" s="780"/>
    </row>
    <row r="79" spans="1:3" ht="15.75" customHeight="1" thickBot="1">
      <c r="A79" s="772" t="s">
        <v>350</v>
      </c>
      <c r="B79" s="798"/>
      <c r="C79" s="780"/>
    </row>
    <row r="80" spans="1:3" ht="15.75" customHeight="1">
      <c r="A80" s="50"/>
      <c r="B80" s="799"/>
      <c r="C80" s="780"/>
    </row>
    <row r="81" spans="1:3" ht="15.75" customHeight="1">
      <c r="A81" s="45" t="s">
        <v>363</v>
      </c>
      <c r="B81" s="794"/>
      <c r="C81" s="780"/>
    </row>
    <row r="82" spans="1:3" ht="15.75" customHeight="1">
      <c r="A82" s="51" t="s">
        <v>364</v>
      </c>
      <c r="B82" s="796"/>
      <c r="C82" s="780"/>
    </row>
    <row r="83" spans="1:3" ht="15.75" customHeight="1">
      <c r="A83" s="47" t="s">
        <v>365</v>
      </c>
      <c r="B83" s="796">
        <v>19690</v>
      </c>
      <c r="C83" s="780"/>
    </row>
    <row r="84" spans="1:3" ht="15.75" customHeight="1">
      <c r="A84" s="51" t="s">
        <v>366</v>
      </c>
      <c r="B84" s="795">
        <v>107610</v>
      </c>
      <c r="C84" s="780"/>
    </row>
    <row r="85" spans="1:3" ht="15.75" customHeight="1" thickBot="1">
      <c r="A85" s="49" t="s">
        <v>367</v>
      </c>
      <c r="B85" s="800">
        <f>B84+B83</f>
        <v>127300</v>
      </c>
      <c r="C85" s="780"/>
    </row>
    <row r="86" spans="1:3" ht="15.75" customHeight="1">
      <c r="A86" s="50"/>
      <c r="B86" s="794"/>
      <c r="C86" s="780"/>
    </row>
    <row r="87" spans="1:3" ht="15.75" customHeight="1">
      <c r="A87" s="45" t="s">
        <v>368</v>
      </c>
      <c r="B87" s="801"/>
      <c r="C87" s="780"/>
    </row>
    <row r="88" spans="1:3" ht="15.75" customHeight="1">
      <c r="A88" s="788" t="s">
        <v>1149</v>
      </c>
      <c r="B88" s="802">
        <v>96409.67</v>
      </c>
      <c r="C88" s="780"/>
    </row>
    <row r="89" spans="1:3" ht="15.75" customHeight="1">
      <c r="A89" s="50"/>
      <c r="B89" s="794"/>
      <c r="C89" s="780"/>
    </row>
    <row r="90" spans="1:3" ht="15.75" customHeight="1">
      <c r="A90" s="45" t="s">
        <v>369</v>
      </c>
      <c r="B90" s="795"/>
      <c r="C90" s="780"/>
    </row>
    <row r="91" spans="1:3" ht="15.75" customHeight="1">
      <c r="A91" s="51" t="s">
        <v>370</v>
      </c>
      <c r="B91" s="795"/>
      <c r="C91" s="780"/>
    </row>
    <row r="92" spans="1:3" ht="15.75" customHeight="1">
      <c r="A92" s="46" t="s">
        <v>371</v>
      </c>
      <c r="B92" s="794"/>
      <c r="C92" s="780"/>
    </row>
    <row r="93" spans="1:3" ht="15.75" customHeight="1">
      <c r="A93" s="47" t="s">
        <v>372</v>
      </c>
      <c r="B93" s="796"/>
      <c r="C93" s="780"/>
    </row>
    <row r="94" spans="1:3" ht="15.75" customHeight="1">
      <c r="A94" s="47" t="s">
        <v>1150</v>
      </c>
      <c r="B94" s="796">
        <v>227365.73</v>
      </c>
      <c r="C94" s="780"/>
    </row>
    <row r="95" spans="1:3" ht="15.75" customHeight="1">
      <c r="A95" s="46" t="s">
        <v>373</v>
      </c>
      <c r="B95" s="794"/>
      <c r="C95" s="780"/>
    </row>
    <row r="96" spans="1:3" ht="15.75" customHeight="1">
      <c r="A96" s="47" t="s">
        <v>374</v>
      </c>
      <c r="B96" s="796">
        <v>10850</v>
      </c>
      <c r="C96" s="780"/>
    </row>
    <row r="97" spans="1:3" ht="15.75" customHeight="1">
      <c r="A97" s="47" t="s">
        <v>375</v>
      </c>
      <c r="B97" s="796">
        <v>152300</v>
      </c>
      <c r="C97" s="780"/>
    </row>
    <row r="98" spans="1:3" ht="15.75" customHeight="1">
      <c r="A98" s="47" t="s">
        <v>376</v>
      </c>
      <c r="B98" s="796"/>
      <c r="C98" s="780"/>
    </row>
    <row r="99" spans="1:3" ht="15.75" customHeight="1">
      <c r="A99" s="46" t="s">
        <v>377</v>
      </c>
      <c r="B99" s="794"/>
      <c r="C99" s="780"/>
    </row>
    <row r="100" spans="1:3" ht="15.75" customHeight="1">
      <c r="A100" s="47" t="s">
        <v>378</v>
      </c>
      <c r="B100" s="796">
        <v>65700</v>
      </c>
      <c r="C100" s="780"/>
    </row>
    <row r="101" spans="1:3" ht="15.75" customHeight="1">
      <c r="A101" s="46" t="s">
        <v>379</v>
      </c>
      <c r="B101" s="794"/>
      <c r="C101" s="780"/>
    </row>
    <row r="102" spans="1:3" ht="15.75" customHeight="1">
      <c r="A102" s="47" t="s">
        <v>380</v>
      </c>
      <c r="B102" s="796">
        <v>63637</v>
      </c>
      <c r="C102" s="780"/>
    </row>
    <row r="103" spans="1:3" ht="15.75" customHeight="1">
      <c r="A103" s="51" t="s">
        <v>381</v>
      </c>
      <c r="B103" s="795">
        <v>40270</v>
      </c>
      <c r="C103" s="780"/>
    </row>
    <row r="104" spans="1:3" ht="15.75" customHeight="1">
      <c r="A104" s="46" t="s">
        <v>382</v>
      </c>
      <c r="B104" s="794">
        <v>60200</v>
      </c>
      <c r="C104" s="780"/>
    </row>
    <row r="105" spans="1:3" ht="15.75" customHeight="1" thickBot="1">
      <c r="A105" s="49" t="s">
        <v>383</v>
      </c>
      <c r="B105" s="797">
        <f>B94+B104+B103+B102+B100+B97+B96</f>
        <v>620322.73</v>
      </c>
      <c r="C105" s="780"/>
    </row>
    <row r="106" spans="1:3" ht="15.75" customHeight="1">
      <c r="A106" s="52"/>
      <c r="B106" s="803"/>
      <c r="C106" s="780"/>
    </row>
    <row r="107" spans="1:3" ht="15.75" customHeight="1">
      <c r="A107" s="53" t="s">
        <v>384</v>
      </c>
      <c r="B107" s="804"/>
      <c r="C107" s="780"/>
    </row>
    <row r="108" spans="1:3" ht="15.75" customHeight="1">
      <c r="A108" s="789" t="s">
        <v>814</v>
      </c>
      <c r="B108" s="805">
        <v>5036.57</v>
      </c>
      <c r="C108" s="780"/>
    </row>
    <row r="109" spans="1:3" ht="15.75" customHeight="1">
      <c r="A109" s="789" t="s">
        <v>1151</v>
      </c>
      <c r="B109" s="806">
        <v>8000</v>
      </c>
      <c r="C109" s="780"/>
    </row>
    <row r="110" spans="1:3" ht="15.75" customHeight="1" thickBot="1">
      <c r="A110" s="771" t="s">
        <v>1152</v>
      </c>
      <c r="B110" s="807">
        <f>SUM(B108:B109)</f>
        <v>13036.57</v>
      </c>
      <c r="C110" s="780"/>
    </row>
    <row r="111" spans="1:3" ht="15.75" customHeight="1">
      <c r="A111" s="791"/>
      <c r="B111" s="808"/>
      <c r="C111" s="790"/>
    </row>
    <row r="112" spans="1:3" ht="15.75" customHeight="1" thickBot="1">
      <c r="A112" s="792" t="s">
        <v>385</v>
      </c>
      <c r="B112" s="793">
        <f>B78+B85+B88+B105+B110</f>
        <v>887630.41481660621</v>
      </c>
      <c r="C112" s="790"/>
    </row>
    <row r="113" ht="15.75" customHeight="1"/>
    <row r="500" spans="2:2" ht="15" customHeight="1">
      <c r="B500" s="818">
        <v>0.01</v>
      </c>
    </row>
  </sheetData>
  <mergeCells count="2">
    <mergeCell ref="A1:C1"/>
    <mergeCell ref="A64:C64"/>
  </mergeCells>
  <pageMargins left="0.7" right="0.7" top="0.75" bottom="0.75" header="0" footer="0"/>
  <pageSetup paperSize="8"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175C1-8409-394A-93E6-092D78B72A46}">
  <dimension ref="A1:G205"/>
  <sheetViews>
    <sheetView topLeftCell="A66" workbookViewId="0">
      <selection activeCell="A110" sqref="A110:E110"/>
    </sheetView>
  </sheetViews>
  <sheetFormatPr baseColWidth="10" defaultRowHeight="15"/>
  <cols>
    <col min="1" max="1" width="5.83203125" style="58" customWidth="1"/>
    <col min="2" max="2" width="47.33203125" style="58" customWidth="1"/>
    <col min="3" max="4" width="40.83203125" style="58" customWidth="1"/>
    <col min="5" max="5" width="39.1640625" style="58" bestFit="1" customWidth="1"/>
    <col min="6" max="16384" width="10.83203125" style="58"/>
  </cols>
  <sheetData>
    <row r="1" spans="1:7" ht="15" customHeight="1">
      <c r="A1" s="460" t="s">
        <v>291</v>
      </c>
      <c r="B1" s="461"/>
      <c r="C1" s="461"/>
      <c r="D1" s="461"/>
      <c r="E1" s="462"/>
      <c r="F1" s="61"/>
      <c r="G1" s="61"/>
    </row>
    <row r="2" spans="1:7">
      <c r="A2" s="78">
        <v>1</v>
      </c>
      <c r="B2" s="79" t="s">
        <v>737</v>
      </c>
      <c r="C2" s="79"/>
      <c r="D2" s="79"/>
      <c r="E2" s="80"/>
      <c r="F2" s="61"/>
      <c r="G2" s="61"/>
    </row>
    <row r="3" spans="1:7" ht="16" customHeight="1">
      <c r="A3" s="81"/>
      <c r="B3" s="82" t="s">
        <v>772</v>
      </c>
      <c r="C3" s="83" t="s">
        <v>774</v>
      </c>
      <c r="D3" s="81"/>
      <c r="E3" s="80"/>
      <c r="F3" s="61"/>
      <c r="G3" s="61"/>
    </row>
    <row r="4" spans="1:7" ht="16" customHeight="1">
      <c r="A4" s="84"/>
      <c r="B4" s="85" t="s">
        <v>773</v>
      </c>
      <c r="C4" s="84" t="s">
        <v>775</v>
      </c>
      <c r="D4" s="84"/>
      <c r="E4" s="80"/>
      <c r="F4" s="61"/>
      <c r="G4" s="61"/>
    </row>
    <row r="5" spans="1:7">
      <c r="A5" s="79">
        <v>2</v>
      </c>
      <c r="B5" s="79" t="s">
        <v>736</v>
      </c>
      <c r="C5" s="79"/>
      <c r="D5" s="80"/>
      <c r="E5" s="80"/>
      <c r="F5" s="59"/>
      <c r="G5" s="61"/>
    </row>
    <row r="6" spans="1:7">
      <c r="A6" s="79"/>
      <c r="B6" s="82" t="s">
        <v>735</v>
      </c>
      <c r="C6" s="79" t="s">
        <v>734</v>
      </c>
      <c r="D6" s="80"/>
      <c r="E6" s="80"/>
      <c r="F6" s="59"/>
      <c r="G6" s="61"/>
    </row>
    <row r="7" spans="1:7">
      <c r="A7" s="79"/>
      <c r="B7" s="84"/>
      <c r="C7" s="82" t="s">
        <v>733</v>
      </c>
      <c r="D7" s="80" t="s">
        <v>732</v>
      </c>
      <c r="E7" s="80"/>
      <c r="F7" s="59"/>
      <c r="G7" s="61"/>
    </row>
    <row r="8" spans="1:7">
      <c r="A8" s="79"/>
      <c r="B8" s="82" t="s">
        <v>731</v>
      </c>
      <c r="C8" s="79" t="s">
        <v>730</v>
      </c>
      <c r="D8" s="80"/>
      <c r="E8" s="80"/>
      <c r="F8" s="59"/>
      <c r="G8" s="61"/>
    </row>
    <row r="9" spans="1:7">
      <c r="A9" s="79"/>
      <c r="B9" s="79"/>
      <c r="C9" s="82" t="s">
        <v>729</v>
      </c>
      <c r="D9" s="80" t="s">
        <v>728</v>
      </c>
      <c r="E9" s="80"/>
      <c r="F9" s="59"/>
      <c r="G9" s="61"/>
    </row>
    <row r="10" spans="1:7">
      <c r="A10" s="79"/>
      <c r="B10" s="82" t="s">
        <v>727</v>
      </c>
      <c r="C10" s="86" t="s">
        <v>50</v>
      </c>
      <c r="D10" s="84"/>
      <c r="E10" s="80"/>
      <c r="F10" s="59"/>
      <c r="G10" s="61"/>
    </row>
    <row r="11" spans="1:7">
      <c r="A11" s="79"/>
      <c r="B11" s="79"/>
      <c r="C11" s="82" t="s">
        <v>726</v>
      </c>
      <c r="D11" s="80" t="s">
        <v>489</v>
      </c>
      <c r="E11" s="80"/>
      <c r="F11" s="59"/>
      <c r="G11" s="61"/>
    </row>
    <row r="12" spans="1:7">
      <c r="A12" s="79"/>
      <c r="B12" s="82" t="s">
        <v>725</v>
      </c>
      <c r="C12" s="79" t="s">
        <v>724</v>
      </c>
      <c r="D12" s="80"/>
      <c r="E12" s="80"/>
      <c r="F12" s="59"/>
      <c r="G12" s="61"/>
    </row>
    <row r="13" spans="1:7">
      <c r="A13" s="79"/>
      <c r="B13" s="79"/>
      <c r="C13" s="82" t="s">
        <v>723</v>
      </c>
      <c r="D13" s="80" t="s">
        <v>722</v>
      </c>
      <c r="E13" s="80"/>
      <c r="F13" s="59"/>
      <c r="G13" s="61"/>
    </row>
    <row r="14" spans="1:7">
      <c r="A14" s="79"/>
      <c r="B14" s="82" t="s">
        <v>721</v>
      </c>
      <c r="C14" s="79" t="s">
        <v>720</v>
      </c>
      <c r="D14" s="80"/>
      <c r="E14" s="80"/>
      <c r="F14" s="59"/>
      <c r="G14" s="61"/>
    </row>
    <row r="15" spans="1:7">
      <c r="A15" s="79"/>
      <c r="B15" s="79"/>
      <c r="C15" s="82" t="s">
        <v>719</v>
      </c>
      <c r="D15" s="80" t="s">
        <v>48</v>
      </c>
      <c r="E15" s="80"/>
      <c r="F15" s="59"/>
      <c r="G15" s="61"/>
    </row>
    <row r="16" spans="1:7">
      <c r="A16" s="79"/>
      <c r="B16" s="82" t="s">
        <v>718</v>
      </c>
      <c r="C16" s="79" t="s">
        <v>49</v>
      </c>
      <c r="D16" s="80"/>
      <c r="E16" s="80"/>
      <c r="F16" s="59"/>
      <c r="G16" s="61"/>
    </row>
    <row r="17" spans="1:7">
      <c r="A17" s="79"/>
      <c r="B17" s="84"/>
      <c r="C17" s="82" t="s">
        <v>717</v>
      </c>
      <c r="D17" s="80" t="s">
        <v>716</v>
      </c>
      <c r="E17" s="80"/>
      <c r="F17" s="59"/>
      <c r="G17" s="61"/>
    </row>
    <row r="18" spans="1:7">
      <c r="A18" s="79"/>
      <c r="B18" s="82" t="s">
        <v>715</v>
      </c>
      <c r="C18" s="79" t="s">
        <v>714</v>
      </c>
      <c r="D18" s="80"/>
      <c r="E18" s="80"/>
      <c r="F18" s="59"/>
      <c r="G18" s="61"/>
    </row>
    <row r="19" spans="1:7">
      <c r="A19" s="79"/>
      <c r="B19" s="84"/>
      <c r="C19" s="82" t="s">
        <v>713</v>
      </c>
      <c r="D19" s="80" t="s">
        <v>712</v>
      </c>
      <c r="E19" s="80"/>
      <c r="F19" s="59"/>
      <c r="G19" s="61"/>
    </row>
    <row r="20" spans="1:7">
      <c r="A20" s="79"/>
      <c r="B20" s="82" t="s">
        <v>711</v>
      </c>
      <c r="C20" s="79" t="s">
        <v>710</v>
      </c>
      <c r="D20" s="80"/>
      <c r="E20" s="80"/>
      <c r="F20" s="59"/>
      <c r="G20" s="61"/>
    </row>
    <row r="21" spans="1:7">
      <c r="A21" s="79"/>
      <c r="B21" s="82"/>
      <c r="C21" s="82" t="s">
        <v>709</v>
      </c>
      <c r="D21" s="80" t="s">
        <v>708</v>
      </c>
      <c r="E21" s="80"/>
      <c r="F21" s="59"/>
      <c r="G21" s="61"/>
    </row>
    <row r="22" spans="1:7">
      <c r="A22" s="79"/>
      <c r="B22" s="82"/>
      <c r="C22" s="82" t="s">
        <v>707</v>
      </c>
      <c r="D22" s="80" t="s">
        <v>706</v>
      </c>
      <c r="E22" s="80"/>
      <c r="F22" s="59"/>
      <c r="G22" s="61"/>
    </row>
    <row r="23" spans="1:7">
      <c r="A23" s="79">
        <v>3</v>
      </c>
      <c r="B23" s="79" t="s">
        <v>705</v>
      </c>
      <c r="C23" s="79"/>
      <c r="D23" s="80"/>
      <c r="E23" s="80"/>
      <c r="F23" s="59"/>
      <c r="G23" s="61"/>
    </row>
    <row r="24" spans="1:7">
      <c r="A24" s="79"/>
      <c r="B24" s="82" t="s">
        <v>704</v>
      </c>
      <c r="C24" s="79" t="s">
        <v>703</v>
      </c>
      <c r="D24" s="80"/>
      <c r="E24" s="80"/>
      <c r="F24" s="59"/>
      <c r="G24" s="61"/>
    </row>
    <row r="25" spans="1:7">
      <c r="A25" s="79"/>
      <c r="B25" s="79"/>
      <c r="C25" s="82" t="s">
        <v>702</v>
      </c>
      <c r="D25" s="80" t="s">
        <v>701</v>
      </c>
      <c r="E25" s="80"/>
      <c r="F25" s="59"/>
      <c r="G25" s="61"/>
    </row>
    <row r="26" spans="1:7">
      <c r="A26" s="79"/>
      <c r="B26" s="79"/>
      <c r="C26" s="82" t="s">
        <v>700</v>
      </c>
      <c r="D26" s="80" t="s">
        <v>699</v>
      </c>
      <c r="E26" s="80"/>
      <c r="F26" s="59"/>
      <c r="G26" s="61"/>
    </row>
    <row r="27" spans="1:7">
      <c r="A27" s="79"/>
      <c r="B27" s="82" t="s">
        <v>698</v>
      </c>
      <c r="C27" s="79" t="s">
        <v>51</v>
      </c>
      <c r="D27" s="80"/>
      <c r="E27" s="80"/>
      <c r="F27" s="59"/>
      <c r="G27" s="61"/>
    </row>
    <row r="28" spans="1:7">
      <c r="A28" s="79"/>
      <c r="B28" s="79"/>
      <c r="C28" s="82" t="s">
        <v>697</v>
      </c>
      <c r="D28" s="80" t="s">
        <v>696</v>
      </c>
      <c r="E28" s="80"/>
      <c r="F28" s="59"/>
      <c r="G28" s="61"/>
    </row>
    <row r="29" spans="1:7">
      <c r="A29" s="79"/>
      <c r="B29" s="79"/>
      <c r="C29" s="82" t="s">
        <v>695</v>
      </c>
      <c r="D29" s="80" t="s">
        <v>694</v>
      </c>
      <c r="E29" s="80"/>
      <c r="F29" s="59"/>
      <c r="G29" s="61"/>
    </row>
    <row r="30" spans="1:7">
      <c r="A30" s="79"/>
      <c r="B30" s="79"/>
      <c r="C30" s="82" t="s">
        <v>693</v>
      </c>
      <c r="D30" s="80" t="s">
        <v>692</v>
      </c>
      <c r="E30" s="80"/>
      <c r="F30" s="59"/>
      <c r="G30" s="61"/>
    </row>
    <row r="31" spans="1:7">
      <c r="A31" s="79"/>
      <c r="B31" s="79"/>
      <c r="C31" s="82" t="s">
        <v>691</v>
      </c>
      <c r="D31" s="80" t="s">
        <v>690</v>
      </c>
      <c r="E31" s="80"/>
      <c r="F31" s="59"/>
      <c r="G31" s="61"/>
    </row>
    <row r="32" spans="1:7">
      <c r="A32" s="79"/>
      <c r="B32" s="82" t="s">
        <v>689</v>
      </c>
      <c r="C32" s="79" t="s">
        <v>688</v>
      </c>
      <c r="D32" s="80"/>
      <c r="E32" s="80"/>
      <c r="F32" s="59"/>
      <c r="G32" s="61"/>
    </row>
    <row r="33" spans="1:7">
      <c r="A33" s="79"/>
      <c r="B33" s="79"/>
      <c r="C33" s="82" t="s">
        <v>687</v>
      </c>
      <c r="D33" s="80" t="s">
        <v>686</v>
      </c>
      <c r="E33" s="80"/>
      <c r="F33" s="59"/>
      <c r="G33" s="61"/>
    </row>
    <row r="34" spans="1:7">
      <c r="A34" s="79"/>
      <c r="B34" s="79"/>
      <c r="C34" s="82" t="s">
        <v>685</v>
      </c>
      <c r="D34" s="80" t="s">
        <v>684</v>
      </c>
      <c r="E34" s="80"/>
      <c r="F34" s="59"/>
      <c r="G34" s="61"/>
    </row>
    <row r="35" spans="1:7">
      <c r="A35" s="79"/>
      <c r="B35" s="82" t="s">
        <v>683</v>
      </c>
      <c r="C35" s="79" t="s">
        <v>682</v>
      </c>
      <c r="D35" s="80"/>
      <c r="E35" s="80"/>
      <c r="F35" s="59"/>
      <c r="G35" s="61"/>
    </row>
    <row r="36" spans="1:7">
      <c r="A36" s="79"/>
      <c r="B36" s="82" t="s">
        <v>681</v>
      </c>
      <c r="C36" s="79" t="s">
        <v>680</v>
      </c>
      <c r="D36" s="80"/>
      <c r="E36" s="80"/>
      <c r="F36" s="59"/>
      <c r="G36" s="61"/>
    </row>
    <row r="37" spans="1:7">
      <c r="A37" s="79"/>
      <c r="B37" s="79"/>
      <c r="C37" s="82" t="s">
        <v>679</v>
      </c>
      <c r="D37" s="80" t="s">
        <v>678</v>
      </c>
      <c r="E37" s="80"/>
      <c r="F37" s="59"/>
      <c r="G37" s="61"/>
    </row>
    <row r="38" spans="1:7">
      <c r="A38" s="79">
        <v>4</v>
      </c>
      <c r="B38" s="79" t="s">
        <v>677</v>
      </c>
      <c r="C38" s="79"/>
      <c r="D38" s="80"/>
      <c r="E38" s="80"/>
      <c r="F38" s="59"/>
      <c r="G38" s="61"/>
    </row>
    <row r="39" spans="1:7">
      <c r="A39" s="79"/>
      <c r="B39" s="87" t="s">
        <v>676</v>
      </c>
      <c r="C39" s="79" t="s">
        <v>675</v>
      </c>
      <c r="D39" s="79"/>
      <c r="E39" s="80"/>
      <c r="F39" s="59"/>
      <c r="G39" s="61"/>
    </row>
    <row r="40" spans="1:7">
      <c r="A40" s="79"/>
      <c r="B40" s="86"/>
      <c r="C40" s="88" t="s">
        <v>674</v>
      </c>
      <c r="D40" s="79" t="s">
        <v>63</v>
      </c>
      <c r="E40" s="80"/>
      <c r="F40" s="59"/>
      <c r="G40" s="61"/>
    </row>
    <row r="41" spans="1:7">
      <c r="A41" s="79"/>
      <c r="B41" s="87" t="s">
        <v>673</v>
      </c>
      <c r="C41" s="79" t="s">
        <v>56</v>
      </c>
      <c r="D41" s="79"/>
      <c r="E41" s="80"/>
      <c r="F41" s="59"/>
      <c r="G41" s="61"/>
    </row>
    <row r="42" spans="1:7">
      <c r="A42" s="79"/>
      <c r="B42" s="86"/>
      <c r="C42" s="82" t="s">
        <v>672</v>
      </c>
      <c r="D42" s="79" t="s">
        <v>671</v>
      </c>
      <c r="E42" s="80"/>
      <c r="F42" s="59"/>
      <c r="G42" s="61"/>
    </row>
    <row r="43" spans="1:7">
      <c r="A43" s="79"/>
      <c r="B43" s="87" t="s">
        <v>670</v>
      </c>
      <c r="C43" s="79" t="s">
        <v>57</v>
      </c>
      <c r="D43" s="79"/>
      <c r="E43" s="80"/>
      <c r="F43" s="59"/>
      <c r="G43" s="61"/>
    </row>
    <row r="44" spans="1:7">
      <c r="A44" s="79"/>
      <c r="B44" s="85"/>
      <c r="C44" s="79"/>
      <c r="D44" s="79"/>
      <c r="E44" s="80"/>
      <c r="F44" s="61"/>
      <c r="G44" s="61"/>
    </row>
    <row r="45" spans="1:7" ht="15" customHeight="1">
      <c r="A45" s="463" t="s">
        <v>669</v>
      </c>
      <c r="B45" s="464"/>
      <c r="C45" s="464"/>
      <c r="D45" s="464"/>
      <c r="E45" s="465"/>
      <c r="F45" s="61"/>
      <c r="G45" s="61"/>
    </row>
    <row r="46" spans="1:7">
      <c r="A46" s="79">
        <v>5</v>
      </c>
      <c r="B46" s="79" t="s">
        <v>668</v>
      </c>
      <c r="C46" s="79"/>
      <c r="D46" s="80"/>
      <c r="E46" s="84"/>
      <c r="F46" s="61"/>
      <c r="G46" s="61"/>
    </row>
    <row r="47" spans="1:7">
      <c r="A47" s="79"/>
      <c r="B47" s="82" t="s">
        <v>667</v>
      </c>
      <c r="C47" s="79" t="s">
        <v>666</v>
      </c>
      <c r="D47" s="80"/>
      <c r="E47" s="84"/>
      <c r="F47" s="61"/>
      <c r="G47" s="61"/>
    </row>
    <row r="48" spans="1:7">
      <c r="A48" s="79"/>
      <c r="B48" s="82"/>
      <c r="C48" s="82" t="s">
        <v>665</v>
      </c>
      <c r="D48" s="80" t="s">
        <v>664</v>
      </c>
      <c r="E48" s="84"/>
      <c r="F48" s="61"/>
      <c r="G48" s="61"/>
    </row>
    <row r="49" spans="1:7">
      <c r="A49" s="79"/>
      <c r="B49" s="82" t="s">
        <v>663</v>
      </c>
      <c r="C49" s="79" t="s">
        <v>662</v>
      </c>
      <c r="D49" s="80"/>
      <c r="E49" s="84"/>
      <c r="F49" s="61"/>
      <c r="G49" s="61"/>
    </row>
    <row r="50" spans="1:7">
      <c r="A50" s="79"/>
      <c r="B50" s="82"/>
      <c r="C50" s="82" t="s">
        <v>661</v>
      </c>
      <c r="D50" s="80" t="s">
        <v>660</v>
      </c>
      <c r="E50" s="84"/>
      <c r="F50" s="61"/>
      <c r="G50" s="61"/>
    </row>
    <row r="51" spans="1:7">
      <c r="A51" s="79"/>
      <c r="B51" s="82"/>
      <c r="C51" s="82" t="s">
        <v>659</v>
      </c>
      <c r="D51" s="80" t="s">
        <v>658</v>
      </c>
      <c r="E51" s="84"/>
      <c r="F51" s="61"/>
      <c r="G51" s="61"/>
    </row>
    <row r="52" spans="1:7">
      <c r="A52" s="79"/>
      <c r="B52" s="82"/>
      <c r="C52" s="82" t="s">
        <v>657</v>
      </c>
      <c r="D52" s="80" t="s">
        <v>656</v>
      </c>
      <c r="E52" s="84"/>
      <c r="F52" s="61"/>
      <c r="G52" s="61"/>
    </row>
    <row r="53" spans="1:7">
      <c r="A53" s="79"/>
      <c r="B53" s="82" t="s">
        <v>655</v>
      </c>
      <c r="C53" s="79" t="s">
        <v>654</v>
      </c>
      <c r="D53" s="80"/>
      <c r="E53" s="84"/>
      <c r="F53" s="61"/>
      <c r="G53" s="61"/>
    </row>
    <row r="54" spans="1:7">
      <c r="A54" s="79"/>
      <c r="B54" s="82"/>
      <c r="C54" s="82" t="s">
        <v>653</v>
      </c>
      <c r="D54" s="80" t="s">
        <v>652</v>
      </c>
      <c r="E54" s="84"/>
      <c r="F54" s="61"/>
      <c r="G54" s="61"/>
    </row>
    <row r="55" spans="1:7">
      <c r="A55" s="79"/>
      <c r="B55" s="82" t="s">
        <v>651</v>
      </c>
      <c r="C55" s="79" t="s">
        <v>58</v>
      </c>
      <c r="D55" s="80"/>
      <c r="E55" s="84"/>
      <c r="F55" s="61"/>
      <c r="G55" s="61"/>
    </row>
    <row r="56" spans="1:7">
      <c r="A56" s="79"/>
      <c r="B56" s="82"/>
      <c r="C56" s="82" t="s">
        <v>650</v>
      </c>
      <c r="D56" s="80" t="s">
        <v>649</v>
      </c>
      <c r="E56" s="84"/>
      <c r="F56" s="61"/>
      <c r="G56" s="61"/>
    </row>
    <row r="57" spans="1:7">
      <c r="A57" s="79"/>
      <c r="B57" s="82" t="s">
        <v>648</v>
      </c>
      <c r="C57" s="79" t="s">
        <v>59</v>
      </c>
      <c r="D57" s="80"/>
      <c r="E57" s="84"/>
      <c r="F57" s="61"/>
      <c r="G57" s="61"/>
    </row>
    <row r="58" spans="1:7">
      <c r="A58" s="79">
        <v>6</v>
      </c>
      <c r="B58" s="79" t="s">
        <v>647</v>
      </c>
      <c r="C58" s="79"/>
      <c r="D58" s="80"/>
      <c r="E58" s="84"/>
      <c r="F58" s="61"/>
      <c r="G58" s="61"/>
    </row>
    <row r="59" spans="1:7">
      <c r="A59" s="79"/>
      <c r="B59" s="82" t="s">
        <v>646</v>
      </c>
      <c r="C59" s="79" t="s">
        <v>645</v>
      </c>
      <c r="D59" s="80"/>
      <c r="E59" s="84"/>
      <c r="F59" s="61"/>
      <c r="G59" s="61"/>
    </row>
    <row r="60" spans="1:7">
      <c r="A60" s="79"/>
      <c r="B60" s="79"/>
      <c r="C60" s="82" t="s">
        <v>644</v>
      </c>
      <c r="D60" s="80" t="s">
        <v>643</v>
      </c>
      <c r="E60" s="84"/>
      <c r="F60" s="61"/>
      <c r="G60" s="61"/>
    </row>
    <row r="61" spans="1:7">
      <c r="A61" s="79"/>
      <c r="B61" s="79"/>
      <c r="C61" s="82" t="s">
        <v>642</v>
      </c>
      <c r="D61" s="80" t="s">
        <v>641</v>
      </c>
      <c r="E61" s="84"/>
      <c r="F61" s="61"/>
      <c r="G61" s="61"/>
    </row>
    <row r="62" spans="1:7">
      <c r="A62" s="79"/>
      <c r="B62" s="79"/>
      <c r="C62" s="82" t="s">
        <v>640</v>
      </c>
      <c r="D62" s="80" t="s">
        <v>639</v>
      </c>
      <c r="E62" s="84"/>
      <c r="F62" s="61"/>
      <c r="G62" s="61"/>
    </row>
    <row r="63" spans="1:7">
      <c r="A63" s="79"/>
      <c r="B63" s="79"/>
      <c r="C63" s="82" t="s">
        <v>638</v>
      </c>
      <c r="D63" s="80" t="s">
        <v>637</v>
      </c>
      <c r="E63" s="84"/>
      <c r="F63" s="61"/>
      <c r="G63" s="61"/>
    </row>
    <row r="64" spans="1:7">
      <c r="A64" s="79"/>
      <c r="B64" s="82" t="s">
        <v>636</v>
      </c>
      <c r="C64" s="79" t="s">
        <v>635</v>
      </c>
      <c r="D64" s="80"/>
      <c r="E64" s="84"/>
      <c r="F64" s="61"/>
      <c r="G64" s="61"/>
    </row>
    <row r="65" spans="1:7">
      <c r="A65" s="79"/>
      <c r="B65" s="82" t="s">
        <v>634</v>
      </c>
      <c r="C65" s="79" t="s">
        <v>633</v>
      </c>
      <c r="D65" s="80"/>
      <c r="E65" s="84"/>
      <c r="F65" s="61"/>
      <c r="G65" s="61"/>
    </row>
    <row r="66" spans="1:7">
      <c r="A66" s="79"/>
      <c r="B66" s="79"/>
      <c r="C66" s="82" t="s">
        <v>632</v>
      </c>
      <c r="D66" s="80" t="s">
        <v>631</v>
      </c>
      <c r="E66" s="84"/>
      <c r="F66" s="61"/>
      <c r="G66" s="61"/>
    </row>
    <row r="67" spans="1:7">
      <c r="A67" s="79"/>
      <c r="B67" s="79"/>
      <c r="C67" s="82" t="s">
        <v>630</v>
      </c>
      <c r="D67" s="80" t="s">
        <v>629</v>
      </c>
      <c r="E67" s="84"/>
      <c r="F67" s="61"/>
      <c r="G67" s="61"/>
    </row>
    <row r="68" spans="1:7">
      <c r="A68" s="79"/>
      <c r="B68" s="79"/>
      <c r="C68" s="82" t="s">
        <v>628</v>
      </c>
      <c r="D68" s="80" t="s">
        <v>627</v>
      </c>
      <c r="E68" s="84"/>
      <c r="F68" s="61"/>
      <c r="G68" s="61"/>
    </row>
    <row r="69" spans="1:7">
      <c r="A69" s="79"/>
      <c r="B69" s="79"/>
      <c r="C69" s="82" t="s">
        <v>626</v>
      </c>
      <c r="D69" s="80" t="s">
        <v>625</v>
      </c>
      <c r="E69" s="84"/>
      <c r="F69" s="61"/>
      <c r="G69" s="61"/>
    </row>
    <row r="70" spans="1:7">
      <c r="A70" s="79"/>
      <c r="B70" s="79"/>
      <c r="C70" s="82" t="s">
        <v>624</v>
      </c>
      <c r="D70" s="80" t="s">
        <v>623</v>
      </c>
      <c r="E70" s="84"/>
      <c r="F70" s="61"/>
      <c r="G70" s="61"/>
    </row>
    <row r="71" spans="1:7">
      <c r="A71" s="79"/>
      <c r="B71" s="79"/>
      <c r="C71" s="82" t="s">
        <v>622</v>
      </c>
      <c r="D71" s="80" t="s">
        <v>621</v>
      </c>
      <c r="E71" s="84"/>
      <c r="F71" s="61"/>
      <c r="G71" s="61"/>
    </row>
    <row r="72" spans="1:7">
      <c r="A72" s="79"/>
      <c r="B72" s="79"/>
      <c r="C72" s="82" t="s">
        <v>620</v>
      </c>
      <c r="D72" s="80" t="s">
        <v>60</v>
      </c>
      <c r="E72" s="84"/>
      <c r="F72" s="61"/>
      <c r="G72" s="61"/>
    </row>
    <row r="73" spans="1:7">
      <c r="A73" s="79"/>
      <c r="B73" s="79"/>
      <c r="C73" s="82" t="s">
        <v>619</v>
      </c>
      <c r="D73" s="80" t="s">
        <v>618</v>
      </c>
      <c r="E73" s="84"/>
      <c r="F73" s="61"/>
      <c r="G73" s="61"/>
    </row>
    <row r="74" spans="1:7">
      <c r="A74" s="79"/>
      <c r="B74" s="79"/>
      <c r="C74" s="82" t="s">
        <v>617</v>
      </c>
      <c r="D74" s="80" t="s">
        <v>616</v>
      </c>
      <c r="E74" s="84"/>
      <c r="F74" s="61"/>
      <c r="G74" s="61"/>
    </row>
    <row r="75" spans="1:7">
      <c r="A75" s="79"/>
      <c r="B75" s="79"/>
      <c r="C75" s="82" t="s">
        <v>615</v>
      </c>
      <c r="D75" s="80" t="s">
        <v>614</v>
      </c>
      <c r="E75" s="84"/>
      <c r="F75" s="61"/>
      <c r="G75" s="61"/>
    </row>
    <row r="76" spans="1:7">
      <c r="A76" s="79"/>
      <c r="B76" s="79"/>
      <c r="C76" s="82" t="s">
        <v>613</v>
      </c>
      <c r="D76" s="80" t="s">
        <v>612</v>
      </c>
      <c r="E76" s="84"/>
      <c r="F76" s="61"/>
      <c r="G76" s="61"/>
    </row>
    <row r="77" spans="1:7">
      <c r="A77" s="79"/>
      <c r="B77" s="79"/>
      <c r="C77" s="82" t="s">
        <v>611</v>
      </c>
      <c r="D77" s="80" t="s">
        <v>610</v>
      </c>
      <c r="E77" s="84"/>
      <c r="F77" s="61"/>
      <c r="G77" s="61"/>
    </row>
    <row r="78" spans="1:7">
      <c r="A78" s="79"/>
      <c r="B78" s="79"/>
      <c r="C78" s="82" t="s">
        <v>609</v>
      </c>
      <c r="D78" s="80" t="s">
        <v>608</v>
      </c>
      <c r="E78" s="84"/>
      <c r="F78" s="61"/>
      <c r="G78" s="61"/>
    </row>
    <row r="79" spans="1:7">
      <c r="A79" s="79">
        <v>7</v>
      </c>
      <c r="B79" s="79" t="s">
        <v>607</v>
      </c>
      <c r="C79" s="82"/>
      <c r="D79" s="80"/>
      <c r="E79" s="84"/>
      <c r="F79" s="61"/>
      <c r="G79" s="61"/>
    </row>
    <row r="80" spans="1:7">
      <c r="A80" s="79">
        <v>8</v>
      </c>
      <c r="B80" s="79" t="s">
        <v>606</v>
      </c>
      <c r="C80" s="79"/>
      <c r="D80" s="80"/>
      <c r="E80" s="84"/>
      <c r="F80" s="61"/>
      <c r="G80" s="61"/>
    </row>
    <row r="81" spans="1:7">
      <c r="A81" s="79"/>
      <c r="B81" s="82" t="s">
        <v>605</v>
      </c>
      <c r="C81" s="79" t="s">
        <v>604</v>
      </c>
      <c r="D81" s="80"/>
      <c r="E81" s="84"/>
      <c r="F81" s="61"/>
      <c r="G81" s="61"/>
    </row>
    <row r="82" spans="1:7">
      <c r="A82" s="79"/>
      <c r="B82" s="82" t="s">
        <v>603</v>
      </c>
      <c r="C82" s="79" t="s">
        <v>602</v>
      </c>
      <c r="D82" s="80"/>
      <c r="E82" s="80"/>
      <c r="F82" s="61"/>
      <c r="G82" s="61"/>
    </row>
    <row r="83" spans="1:7">
      <c r="A83" s="79">
        <v>9</v>
      </c>
      <c r="B83" s="79" t="s">
        <v>601</v>
      </c>
      <c r="C83" s="79"/>
      <c r="D83" s="79"/>
      <c r="E83" s="80"/>
      <c r="F83" s="61"/>
      <c r="G83" s="61"/>
    </row>
    <row r="84" spans="1:7">
      <c r="A84" s="79"/>
      <c r="B84" s="87" t="s">
        <v>600</v>
      </c>
      <c r="C84" s="79" t="s">
        <v>563</v>
      </c>
      <c r="D84" s="79"/>
      <c r="E84" s="84"/>
      <c r="F84" s="61"/>
      <c r="G84" s="61"/>
    </row>
    <row r="85" spans="1:7">
      <c r="A85" s="79"/>
      <c r="B85" s="79"/>
      <c r="C85" s="82" t="s">
        <v>599</v>
      </c>
      <c r="D85" s="80" t="s">
        <v>598</v>
      </c>
      <c r="E85" s="84"/>
      <c r="F85" s="61"/>
      <c r="G85" s="61"/>
    </row>
    <row r="86" spans="1:7">
      <c r="A86" s="79"/>
      <c r="B86" s="79"/>
      <c r="C86" s="82" t="s">
        <v>597</v>
      </c>
      <c r="D86" s="80" t="s">
        <v>596</v>
      </c>
      <c r="E86" s="84"/>
      <c r="F86" s="61"/>
      <c r="G86" s="61"/>
    </row>
    <row r="87" spans="1:7">
      <c r="A87" s="79"/>
      <c r="B87" s="79"/>
      <c r="C87" s="82" t="s">
        <v>595</v>
      </c>
      <c r="D87" s="80" t="s">
        <v>594</v>
      </c>
      <c r="E87" s="84"/>
      <c r="F87" s="61"/>
      <c r="G87" s="61"/>
    </row>
    <row r="88" spans="1:7">
      <c r="A88" s="79"/>
      <c r="B88" s="79"/>
      <c r="C88" s="82"/>
      <c r="D88" s="80"/>
      <c r="E88" s="80"/>
      <c r="F88" s="61"/>
      <c r="G88" s="61"/>
    </row>
    <row r="89" spans="1:7" ht="15" customHeight="1">
      <c r="A89" s="463" t="s">
        <v>593</v>
      </c>
      <c r="B89" s="464"/>
      <c r="C89" s="464"/>
      <c r="D89" s="464"/>
      <c r="E89" s="465"/>
      <c r="F89" s="61"/>
      <c r="G89" s="61"/>
    </row>
    <row r="90" spans="1:7">
      <c r="A90" s="79">
        <v>10</v>
      </c>
      <c r="B90" s="79" t="s">
        <v>592</v>
      </c>
      <c r="C90" s="79"/>
      <c r="D90" s="79"/>
      <c r="E90" s="80"/>
      <c r="F90" s="61"/>
      <c r="G90" s="61"/>
    </row>
    <row r="91" spans="1:7">
      <c r="A91" s="79">
        <v>11</v>
      </c>
      <c r="B91" s="79" t="s">
        <v>591</v>
      </c>
      <c r="C91" s="79"/>
      <c r="D91" s="79"/>
      <c r="E91" s="80"/>
      <c r="F91" s="61"/>
      <c r="G91" s="61"/>
    </row>
    <row r="92" spans="1:7">
      <c r="A92" s="79"/>
      <c r="B92" s="82" t="s">
        <v>590</v>
      </c>
      <c r="C92" s="79" t="s">
        <v>589</v>
      </c>
      <c r="D92" s="79"/>
      <c r="E92" s="80"/>
      <c r="F92" s="61"/>
      <c r="G92" s="61"/>
    </row>
    <row r="93" spans="1:7">
      <c r="A93" s="79"/>
      <c r="B93" s="82" t="s">
        <v>588</v>
      </c>
      <c r="C93" s="79" t="s">
        <v>587</v>
      </c>
      <c r="D93" s="79"/>
      <c r="E93" s="80"/>
      <c r="F93" s="61"/>
      <c r="G93" s="61"/>
    </row>
    <row r="94" spans="1:7">
      <c r="A94" s="89">
        <v>12</v>
      </c>
      <c r="B94" s="90" t="s">
        <v>586</v>
      </c>
      <c r="C94" s="79"/>
      <c r="D94" s="79"/>
      <c r="E94" s="80"/>
      <c r="F94" s="61"/>
      <c r="G94" s="61"/>
    </row>
    <row r="95" spans="1:7">
      <c r="A95" s="79">
        <v>13</v>
      </c>
      <c r="B95" s="79" t="s">
        <v>585</v>
      </c>
      <c r="C95" s="79"/>
      <c r="D95" s="79"/>
      <c r="E95" s="80"/>
      <c r="F95" s="61"/>
      <c r="G95" s="61"/>
    </row>
    <row r="96" spans="1:7">
      <c r="A96" s="79"/>
      <c r="B96" s="82" t="s">
        <v>584</v>
      </c>
      <c r="C96" s="79" t="s">
        <v>583</v>
      </c>
      <c r="D96" s="79"/>
      <c r="E96" s="84"/>
      <c r="F96" s="61"/>
      <c r="G96" s="61"/>
    </row>
    <row r="97" spans="1:7">
      <c r="A97" s="79"/>
      <c r="B97" s="84"/>
      <c r="C97" s="82" t="s">
        <v>582</v>
      </c>
      <c r="D97" s="80" t="s">
        <v>581</v>
      </c>
      <c r="E97" s="84"/>
      <c r="F97" s="61"/>
      <c r="G97" s="61"/>
    </row>
    <row r="98" spans="1:7">
      <c r="A98" s="79"/>
      <c r="B98" s="82" t="s">
        <v>580</v>
      </c>
      <c r="C98" s="79" t="s">
        <v>579</v>
      </c>
      <c r="D98" s="80"/>
      <c r="E98" s="84"/>
      <c r="F98" s="61"/>
      <c r="G98" s="61"/>
    </row>
    <row r="99" spans="1:7">
      <c r="A99" s="79"/>
      <c r="B99" s="82" t="s">
        <v>578</v>
      </c>
      <c r="C99" s="79" t="s">
        <v>577</v>
      </c>
      <c r="D99" s="80"/>
      <c r="E99" s="84"/>
      <c r="F99" s="61"/>
      <c r="G99" s="61"/>
    </row>
    <row r="100" spans="1:7">
      <c r="A100" s="79"/>
      <c r="B100" s="79"/>
      <c r="C100" s="82" t="s">
        <v>576</v>
      </c>
      <c r="D100" s="80" t="s">
        <v>575</v>
      </c>
      <c r="E100" s="84"/>
      <c r="F100" s="61"/>
      <c r="G100" s="61"/>
    </row>
    <row r="101" spans="1:7">
      <c r="A101" s="79"/>
      <c r="B101" s="79"/>
      <c r="C101" s="82" t="s">
        <v>574</v>
      </c>
      <c r="D101" s="80" t="s">
        <v>573</v>
      </c>
      <c r="E101" s="84"/>
      <c r="F101" s="61"/>
      <c r="G101" s="61"/>
    </row>
    <row r="102" spans="1:7">
      <c r="A102" s="79"/>
      <c r="B102" s="79"/>
      <c r="C102" s="82" t="s">
        <v>572</v>
      </c>
      <c r="D102" s="80" t="s">
        <v>571</v>
      </c>
      <c r="E102" s="84"/>
      <c r="F102" s="61"/>
      <c r="G102" s="61"/>
    </row>
    <row r="103" spans="1:7">
      <c r="A103" s="79"/>
      <c r="B103" s="82" t="s">
        <v>570</v>
      </c>
      <c r="C103" s="79" t="s">
        <v>76</v>
      </c>
      <c r="D103" s="80"/>
      <c r="E103" s="84"/>
      <c r="F103" s="61"/>
      <c r="G103" s="61"/>
    </row>
    <row r="104" spans="1:7">
      <c r="A104" s="79"/>
      <c r="B104" s="82" t="s">
        <v>569</v>
      </c>
      <c r="C104" s="79" t="s">
        <v>568</v>
      </c>
      <c r="D104" s="80"/>
      <c r="E104" s="84"/>
      <c r="F104" s="61"/>
      <c r="G104" s="61"/>
    </row>
    <row r="105" spans="1:7">
      <c r="A105" s="79"/>
      <c r="B105" s="79"/>
      <c r="C105" s="82" t="s">
        <v>567</v>
      </c>
      <c r="D105" s="80" t="s">
        <v>566</v>
      </c>
      <c r="E105" s="80"/>
      <c r="F105" s="61"/>
      <c r="G105" s="61"/>
    </row>
    <row r="106" spans="1:7">
      <c r="A106" s="79">
        <v>14</v>
      </c>
      <c r="B106" s="79" t="s">
        <v>565</v>
      </c>
      <c r="C106" s="79"/>
      <c r="D106" s="79"/>
      <c r="E106" s="80"/>
      <c r="F106" s="61"/>
      <c r="G106" s="61"/>
    </row>
    <row r="107" spans="1:7">
      <c r="A107" s="79"/>
      <c r="B107" s="87" t="s">
        <v>564</v>
      </c>
      <c r="C107" s="79" t="s">
        <v>563</v>
      </c>
      <c r="D107" s="79"/>
      <c r="E107" s="84"/>
      <c r="F107" s="61"/>
      <c r="G107" s="61"/>
    </row>
    <row r="108" spans="1:7">
      <c r="A108" s="79"/>
      <c r="B108" s="79"/>
      <c r="C108" s="82" t="s">
        <v>562</v>
      </c>
      <c r="D108" s="80" t="s">
        <v>561</v>
      </c>
      <c r="E108" s="84"/>
      <c r="F108" s="61"/>
      <c r="G108" s="61"/>
    </row>
    <row r="109" spans="1:7">
      <c r="A109" s="79"/>
      <c r="B109" s="79"/>
      <c r="C109" s="82" t="s">
        <v>560</v>
      </c>
      <c r="D109" s="80" t="s">
        <v>559</v>
      </c>
      <c r="E109" s="80"/>
      <c r="F109" s="61"/>
      <c r="G109" s="61"/>
    </row>
    <row r="110" spans="1:7" ht="15" customHeight="1">
      <c r="A110" s="463" t="s">
        <v>558</v>
      </c>
      <c r="B110" s="464"/>
      <c r="C110" s="464"/>
      <c r="D110" s="464"/>
      <c r="E110" s="465"/>
      <c r="F110" s="61"/>
      <c r="G110" s="61"/>
    </row>
    <row r="111" spans="1:7">
      <c r="A111" s="79">
        <v>15</v>
      </c>
      <c r="B111" s="79" t="s">
        <v>557</v>
      </c>
      <c r="C111" s="79"/>
      <c r="D111" s="79"/>
      <c r="E111" s="80"/>
      <c r="F111" s="61"/>
      <c r="G111" s="61"/>
    </row>
    <row r="112" spans="1:7">
      <c r="A112" s="79"/>
      <c r="B112" s="82" t="s">
        <v>556</v>
      </c>
      <c r="C112" s="79" t="s">
        <v>555</v>
      </c>
      <c r="D112" s="79"/>
      <c r="E112" s="84"/>
      <c r="F112" s="61"/>
      <c r="G112" s="61"/>
    </row>
    <row r="113" spans="1:7">
      <c r="A113" s="79"/>
      <c r="B113" s="79"/>
      <c r="C113" s="82" t="s">
        <v>554</v>
      </c>
      <c r="D113" s="80" t="s">
        <v>553</v>
      </c>
      <c r="E113" s="84"/>
      <c r="F113" s="61"/>
      <c r="G113" s="61"/>
    </row>
    <row r="114" spans="1:7">
      <c r="A114" s="79"/>
      <c r="B114" s="79"/>
      <c r="C114" s="82" t="s">
        <v>552</v>
      </c>
      <c r="D114" s="80" t="s">
        <v>551</v>
      </c>
      <c r="E114" s="84"/>
      <c r="F114" s="59"/>
      <c r="G114" s="61"/>
    </row>
    <row r="115" spans="1:7">
      <c r="A115" s="79"/>
      <c r="B115" s="79"/>
      <c r="C115" s="82" t="s">
        <v>550</v>
      </c>
      <c r="D115" s="80" t="s">
        <v>549</v>
      </c>
      <c r="E115" s="84"/>
      <c r="F115" s="59"/>
      <c r="G115" s="61"/>
    </row>
    <row r="116" spans="1:7">
      <c r="A116" s="79"/>
      <c r="B116" s="79"/>
      <c r="C116" s="82" t="s">
        <v>548</v>
      </c>
      <c r="D116" s="80" t="s">
        <v>547</v>
      </c>
      <c r="E116" s="79"/>
      <c r="F116" s="60"/>
      <c r="G116" s="61"/>
    </row>
    <row r="117" spans="1:7">
      <c r="A117" s="79"/>
      <c r="B117" s="79"/>
      <c r="C117" s="82" t="s">
        <v>546</v>
      </c>
      <c r="D117" s="80" t="s">
        <v>545</v>
      </c>
      <c r="E117" s="84"/>
      <c r="F117" s="61"/>
      <c r="G117" s="61"/>
    </row>
    <row r="118" spans="1:7">
      <c r="A118" s="79"/>
      <c r="B118" s="79"/>
      <c r="C118" s="82" t="s">
        <v>544</v>
      </c>
      <c r="D118" s="80" t="s">
        <v>543</v>
      </c>
      <c r="E118" s="84"/>
      <c r="F118" s="61"/>
      <c r="G118" s="61"/>
    </row>
    <row r="119" spans="1:7">
      <c r="A119" s="79"/>
      <c r="B119" s="82" t="s">
        <v>542</v>
      </c>
      <c r="C119" s="79" t="s">
        <v>541</v>
      </c>
      <c r="D119" s="80"/>
      <c r="E119" s="84"/>
      <c r="F119" s="61"/>
      <c r="G119" s="61"/>
    </row>
    <row r="120" spans="1:7">
      <c r="A120" s="79"/>
      <c r="B120" s="82"/>
      <c r="C120" s="82" t="s">
        <v>540</v>
      </c>
      <c r="D120" s="80" t="s">
        <v>539</v>
      </c>
      <c r="E120" s="84"/>
      <c r="F120" s="61"/>
      <c r="G120" s="61"/>
    </row>
    <row r="121" spans="1:7">
      <c r="A121" s="79"/>
      <c r="B121" s="82"/>
      <c r="C121" s="82" t="s">
        <v>538</v>
      </c>
      <c r="D121" s="80" t="s">
        <v>537</v>
      </c>
      <c r="E121" s="84"/>
      <c r="F121" s="61"/>
      <c r="G121" s="61"/>
    </row>
    <row r="122" spans="1:7">
      <c r="A122" s="79"/>
      <c r="B122" s="82"/>
      <c r="C122" s="82" t="s">
        <v>536</v>
      </c>
      <c r="D122" s="80" t="s">
        <v>535</v>
      </c>
      <c r="E122" s="84"/>
      <c r="F122" s="61"/>
      <c r="G122" s="61"/>
    </row>
    <row r="123" spans="1:7">
      <c r="A123" s="79"/>
      <c r="B123" s="82"/>
      <c r="C123" s="82" t="s">
        <v>534</v>
      </c>
      <c r="D123" s="80" t="s">
        <v>533</v>
      </c>
      <c r="E123" s="84"/>
      <c r="F123" s="61"/>
      <c r="G123" s="61"/>
    </row>
    <row r="124" spans="1:7">
      <c r="A124" s="79"/>
      <c r="B124" s="82"/>
      <c r="C124" s="82" t="s">
        <v>532</v>
      </c>
      <c r="D124" s="80" t="s">
        <v>531</v>
      </c>
      <c r="E124" s="84"/>
      <c r="F124" s="61"/>
      <c r="G124" s="61"/>
    </row>
    <row r="125" spans="1:7">
      <c r="A125" s="79"/>
      <c r="B125" s="82"/>
      <c r="C125" s="82" t="s">
        <v>530</v>
      </c>
      <c r="D125" s="80" t="s">
        <v>529</v>
      </c>
      <c r="E125" s="84"/>
      <c r="F125" s="61"/>
      <c r="G125" s="61"/>
    </row>
    <row r="126" spans="1:7">
      <c r="A126" s="79"/>
      <c r="B126" s="82" t="s">
        <v>528</v>
      </c>
      <c r="C126" s="79" t="s">
        <v>527</v>
      </c>
      <c r="D126" s="80"/>
      <c r="E126" s="84"/>
      <c r="F126" s="61"/>
      <c r="G126" s="61"/>
    </row>
    <row r="127" spans="1:7">
      <c r="A127" s="79"/>
      <c r="B127" s="82"/>
      <c r="C127" s="82" t="s">
        <v>526</v>
      </c>
      <c r="D127" s="80" t="s">
        <v>525</v>
      </c>
      <c r="E127" s="84"/>
      <c r="F127" s="59"/>
      <c r="G127" s="61"/>
    </row>
    <row r="128" spans="1:7">
      <c r="A128" s="79"/>
      <c r="B128" s="82"/>
      <c r="C128" s="82" t="s">
        <v>524</v>
      </c>
      <c r="D128" s="80" t="s">
        <v>523</v>
      </c>
      <c r="E128" s="84"/>
      <c r="F128" s="59"/>
      <c r="G128" s="61"/>
    </row>
    <row r="129" spans="1:7">
      <c r="A129" s="79"/>
      <c r="B129" s="82" t="s">
        <v>522</v>
      </c>
      <c r="C129" s="79" t="s">
        <v>521</v>
      </c>
      <c r="D129" s="80"/>
      <c r="E129" s="84"/>
      <c r="F129" s="61"/>
      <c r="G129" s="61"/>
    </row>
    <row r="130" spans="1:7">
      <c r="A130" s="79"/>
      <c r="B130" s="82"/>
      <c r="C130" s="82" t="s">
        <v>520</v>
      </c>
      <c r="D130" s="80" t="s">
        <v>519</v>
      </c>
      <c r="E130" s="84"/>
      <c r="F130" s="61"/>
      <c r="G130" s="61"/>
    </row>
    <row r="131" spans="1:7">
      <c r="A131" s="79"/>
      <c r="B131" s="82"/>
      <c r="C131" s="82" t="s">
        <v>518</v>
      </c>
      <c r="D131" s="80" t="s">
        <v>517</v>
      </c>
      <c r="E131" s="80"/>
      <c r="F131" s="61"/>
      <c r="G131" s="61"/>
    </row>
    <row r="132" spans="1:7">
      <c r="A132" s="79"/>
      <c r="B132" s="82" t="s">
        <v>516</v>
      </c>
      <c r="C132" s="79" t="s">
        <v>515</v>
      </c>
      <c r="D132" s="79"/>
      <c r="E132" s="80"/>
      <c r="F132" s="61"/>
      <c r="G132" s="61"/>
    </row>
    <row r="133" spans="1:7">
      <c r="A133" s="79"/>
      <c r="B133" s="79"/>
      <c r="C133" s="82" t="s">
        <v>514</v>
      </c>
      <c r="D133" s="80" t="s">
        <v>513</v>
      </c>
      <c r="E133" s="80"/>
      <c r="F133" s="61"/>
      <c r="G133" s="61"/>
    </row>
    <row r="134" spans="1:7">
      <c r="A134" s="79"/>
      <c r="B134" s="79"/>
      <c r="C134" s="82" t="s">
        <v>512</v>
      </c>
      <c r="D134" s="80" t="s">
        <v>511</v>
      </c>
      <c r="E134" s="80"/>
      <c r="F134" s="61"/>
      <c r="G134" s="61"/>
    </row>
    <row r="135" spans="1:7">
      <c r="A135" s="79">
        <v>16</v>
      </c>
      <c r="B135" s="79" t="s">
        <v>510</v>
      </c>
      <c r="C135" s="82"/>
      <c r="D135" s="80"/>
      <c r="E135" s="80"/>
      <c r="F135" s="60"/>
      <c r="G135" s="61"/>
    </row>
    <row r="136" spans="1:7">
      <c r="A136" s="79"/>
      <c r="B136" s="82" t="s">
        <v>509</v>
      </c>
      <c r="C136" s="79" t="s">
        <v>508</v>
      </c>
      <c r="D136" s="79"/>
      <c r="E136" s="80"/>
      <c r="F136" s="60"/>
      <c r="G136" s="61"/>
    </row>
    <row r="137" spans="1:7">
      <c r="A137" s="79"/>
      <c r="B137" s="79"/>
      <c r="C137" s="82" t="s">
        <v>507</v>
      </c>
      <c r="D137" s="79" t="s">
        <v>506</v>
      </c>
      <c r="E137" s="80"/>
      <c r="F137" s="60"/>
      <c r="G137" s="61"/>
    </row>
    <row r="138" spans="1:7">
      <c r="A138" s="79"/>
      <c r="B138" s="82" t="s">
        <v>505</v>
      </c>
      <c r="C138" s="79" t="s">
        <v>504</v>
      </c>
      <c r="D138" s="79"/>
      <c r="E138" s="84"/>
      <c r="F138" s="60"/>
      <c r="G138" s="61"/>
    </row>
    <row r="139" spans="1:7">
      <c r="A139" s="79"/>
      <c r="B139" s="79"/>
      <c r="C139" s="82" t="s">
        <v>503</v>
      </c>
      <c r="D139" s="80" t="s">
        <v>502</v>
      </c>
      <c r="E139" s="84"/>
      <c r="F139" s="60"/>
      <c r="G139" s="61"/>
    </row>
    <row r="140" spans="1:7">
      <c r="A140" s="79"/>
      <c r="B140" s="79"/>
      <c r="C140" s="82" t="s">
        <v>501</v>
      </c>
      <c r="D140" s="80" t="s">
        <v>500</v>
      </c>
      <c r="E140" s="84"/>
      <c r="F140" s="59"/>
      <c r="G140" s="59"/>
    </row>
    <row r="141" spans="1:7">
      <c r="A141" s="79">
        <v>17</v>
      </c>
      <c r="B141" s="79" t="s">
        <v>499</v>
      </c>
      <c r="C141" s="82"/>
      <c r="D141" s="80"/>
      <c r="E141" s="84"/>
      <c r="F141" s="59"/>
      <c r="G141" s="59"/>
    </row>
    <row r="142" spans="1:7">
      <c r="A142" s="79">
        <v>18</v>
      </c>
      <c r="B142" s="79" t="s">
        <v>498</v>
      </c>
      <c r="C142" s="82"/>
      <c r="D142" s="80"/>
      <c r="E142" s="84"/>
      <c r="F142" s="59"/>
      <c r="G142" s="59"/>
    </row>
    <row r="143" spans="1:7">
      <c r="A143" s="79">
        <v>19</v>
      </c>
      <c r="B143" s="79" t="s">
        <v>497</v>
      </c>
      <c r="C143" s="79"/>
      <c r="D143" s="79"/>
      <c r="E143" s="84"/>
      <c r="F143" s="59"/>
      <c r="G143" s="59"/>
    </row>
    <row r="144" spans="1:7">
      <c r="A144" s="79"/>
      <c r="B144" s="78" t="s">
        <v>496</v>
      </c>
      <c r="C144" s="80" t="s">
        <v>495</v>
      </c>
      <c r="D144" s="79"/>
      <c r="E144" s="84"/>
      <c r="F144" s="59"/>
      <c r="G144" s="59"/>
    </row>
    <row r="145" spans="1:7">
      <c r="A145" s="79"/>
      <c r="B145" s="82" t="s">
        <v>494</v>
      </c>
      <c r="C145" s="79" t="s">
        <v>493</v>
      </c>
      <c r="D145" s="79"/>
      <c r="E145" s="84"/>
      <c r="F145" s="61"/>
      <c r="G145" s="61"/>
    </row>
    <row r="146" spans="1:7">
      <c r="A146" s="79"/>
      <c r="B146" s="79"/>
      <c r="C146" s="82" t="s">
        <v>492</v>
      </c>
      <c r="D146" s="80" t="s">
        <v>491</v>
      </c>
      <c r="E146" s="84"/>
      <c r="F146" s="61"/>
      <c r="G146" s="61"/>
    </row>
    <row r="147" spans="1:7">
      <c r="A147" s="79"/>
      <c r="B147" s="79"/>
      <c r="C147" s="82" t="s">
        <v>490</v>
      </c>
      <c r="D147" s="80" t="s">
        <v>489</v>
      </c>
      <c r="E147" s="80"/>
      <c r="F147" s="61"/>
      <c r="G147" s="59"/>
    </row>
    <row r="148" spans="1:7">
      <c r="A148" s="79"/>
      <c r="B148" s="79"/>
      <c r="C148" s="82" t="s">
        <v>488</v>
      </c>
      <c r="D148" s="80" t="s">
        <v>487</v>
      </c>
      <c r="E148" s="84"/>
      <c r="F148" s="61"/>
      <c r="G148" s="59"/>
    </row>
    <row r="149" spans="1:7">
      <c r="A149" s="79"/>
      <c r="B149" s="82" t="s">
        <v>486</v>
      </c>
      <c r="C149" s="79" t="s">
        <v>485</v>
      </c>
      <c r="D149" s="79"/>
      <c r="E149" s="80"/>
      <c r="F149" s="61"/>
      <c r="G149" s="59"/>
    </row>
    <row r="150" spans="1:7">
      <c r="A150" s="79"/>
      <c r="B150" s="85"/>
      <c r="C150" s="82" t="s">
        <v>484</v>
      </c>
      <c r="D150" s="80" t="s">
        <v>483</v>
      </c>
      <c r="E150" s="80"/>
      <c r="F150" s="61"/>
      <c r="G150" s="59"/>
    </row>
    <row r="151" spans="1:7">
      <c r="A151" s="79"/>
      <c r="B151" s="82" t="s">
        <v>482</v>
      </c>
      <c r="C151" s="79" t="s">
        <v>481</v>
      </c>
      <c r="D151" s="79"/>
      <c r="E151" s="80"/>
      <c r="F151" s="61"/>
      <c r="G151" s="59"/>
    </row>
    <row r="152" spans="1:7">
      <c r="A152" s="79"/>
      <c r="B152" s="79"/>
      <c r="C152" s="82" t="s">
        <v>480</v>
      </c>
      <c r="D152" s="79" t="s">
        <v>479</v>
      </c>
      <c r="E152" s="80"/>
      <c r="F152" s="59"/>
      <c r="G152" s="59"/>
    </row>
    <row r="153" spans="1:7">
      <c r="A153" s="79"/>
      <c r="B153" s="79"/>
      <c r="C153" s="82" t="s">
        <v>478</v>
      </c>
      <c r="D153" s="79" t="s">
        <v>477</v>
      </c>
      <c r="E153" s="80"/>
      <c r="F153" s="61"/>
      <c r="G153" s="61"/>
    </row>
    <row r="154" spans="1:7">
      <c r="A154" s="79"/>
      <c r="B154" s="79"/>
      <c r="C154" s="82" t="s">
        <v>476</v>
      </c>
      <c r="D154" s="79" t="s">
        <v>475</v>
      </c>
      <c r="E154" s="80"/>
      <c r="F154" s="61"/>
      <c r="G154" s="61"/>
    </row>
    <row r="155" spans="1:7">
      <c r="A155" s="79"/>
      <c r="B155" s="82" t="s">
        <v>474</v>
      </c>
      <c r="C155" s="79" t="s">
        <v>473</v>
      </c>
      <c r="D155" s="79"/>
      <c r="E155" s="84"/>
      <c r="F155" s="61"/>
      <c r="G155" s="61"/>
    </row>
    <row r="156" spans="1:7">
      <c r="A156" s="79"/>
      <c r="B156" s="79"/>
      <c r="C156" s="82" t="s">
        <v>472</v>
      </c>
      <c r="D156" s="79" t="s">
        <v>471</v>
      </c>
      <c r="E156" s="84"/>
      <c r="F156" s="61"/>
      <c r="G156" s="61"/>
    </row>
    <row r="157" spans="1:7">
      <c r="A157" s="79"/>
      <c r="B157" s="79"/>
      <c r="C157" s="79"/>
      <c r="D157" s="82" t="s">
        <v>470</v>
      </c>
      <c r="E157" s="80" t="s">
        <v>469</v>
      </c>
      <c r="F157" s="61"/>
      <c r="G157" s="59"/>
    </row>
    <row r="158" spans="1:7">
      <c r="A158" s="79"/>
      <c r="B158" s="79"/>
      <c r="C158" s="79"/>
      <c r="D158" s="82" t="s">
        <v>468</v>
      </c>
      <c r="E158" s="80" t="s">
        <v>467</v>
      </c>
      <c r="F158" s="61"/>
      <c r="G158" s="59"/>
    </row>
    <row r="159" spans="1:7">
      <c r="A159" s="79"/>
      <c r="B159" s="79"/>
      <c r="C159" s="79"/>
      <c r="D159" s="82" t="s">
        <v>466</v>
      </c>
      <c r="E159" s="80" t="s">
        <v>465</v>
      </c>
      <c r="F159" s="61"/>
      <c r="G159" s="59"/>
    </row>
    <row r="160" spans="1:7">
      <c r="A160" s="79"/>
      <c r="B160" s="79"/>
      <c r="C160" s="79"/>
      <c r="D160" s="82" t="s">
        <v>464</v>
      </c>
      <c r="E160" s="80" t="s">
        <v>463</v>
      </c>
      <c r="F160" s="61"/>
      <c r="G160" s="59"/>
    </row>
    <row r="161" spans="1:7">
      <c r="A161" s="79"/>
      <c r="B161" s="79"/>
      <c r="C161" s="79"/>
      <c r="D161" s="82" t="s">
        <v>462</v>
      </c>
      <c r="E161" s="80" t="s">
        <v>461</v>
      </c>
      <c r="F161" s="61"/>
      <c r="G161" s="59"/>
    </row>
    <row r="162" spans="1:7">
      <c r="A162" s="79"/>
      <c r="B162" s="79"/>
      <c r="C162" s="79"/>
      <c r="D162" s="82" t="s">
        <v>460</v>
      </c>
      <c r="E162" s="80" t="s">
        <v>459</v>
      </c>
      <c r="F162" s="61"/>
      <c r="G162" s="61"/>
    </row>
    <row r="163" spans="1:7">
      <c r="A163" s="79"/>
      <c r="B163" s="79"/>
      <c r="C163" s="79"/>
      <c r="D163" s="82" t="s">
        <v>458</v>
      </c>
      <c r="E163" s="80" t="s">
        <v>457</v>
      </c>
      <c r="F163" s="61"/>
      <c r="G163" s="61"/>
    </row>
    <row r="164" spans="1:7">
      <c r="A164" s="79"/>
      <c r="B164" s="79"/>
      <c r="C164" s="79"/>
      <c r="D164" s="82" t="s">
        <v>456</v>
      </c>
      <c r="E164" s="80" t="s">
        <v>455</v>
      </c>
      <c r="F164" s="61"/>
      <c r="G164" s="61"/>
    </row>
    <row r="165" spans="1:7">
      <c r="A165" s="79"/>
      <c r="B165" s="79"/>
      <c r="C165" s="82" t="s">
        <v>454</v>
      </c>
      <c r="D165" s="79" t="s">
        <v>453</v>
      </c>
      <c r="E165" s="84"/>
      <c r="F165" s="61"/>
      <c r="G165" s="61"/>
    </row>
    <row r="166" spans="1:7">
      <c r="A166" s="79"/>
      <c r="B166" s="79"/>
      <c r="C166" s="79"/>
      <c r="D166" s="82" t="s">
        <v>452</v>
      </c>
      <c r="E166" s="80" t="s">
        <v>451</v>
      </c>
      <c r="F166" s="61"/>
      <c r="G166" s="61"/>
    </row>
    <row r="167" spans="1:7">
      <c r="A167" s="79"/>
      <c r="B167" s="79"/>
      <c r="C167" s="79"/>
      <c r="D167" s="82" t="s">
        <v>450</v>
      </c>
      <c r="E167" s="80" t="s">
        <v>449</v>
      </c>
      <c r="F167" s="61"/>
      <c r="G167" s="59"/>
    </row>
    <row r="168" spans="1:7">
      <c r="A168" s="79"/>
      <c r="B168" s="79"/>
      <c r="C168" s="79"/>
      <c r="D168" s="82" t="s">
        <v>448</v>
      </c>
      <c r="E168" s="80" t="s">
        <v>447</v>
      </c>
      <c r="F168" s="61"/>
      <c r="G168" s="61"/>
    </row>
    <row r="169" spans="1:7">
      <c r="A169" s="79"/>
      <c r="B169" s="79"/>
      <c r="C169" s="79"/>
      <c r="D169" s="82" t="s">
        <v>446</v>
      </c>
      <c r="E169" s="80" t="s">
        <v>445</v>
      </c>
      <c r="F169" s="61"/>
      <c r="G169" s="61"/>
    </row>
    <row r="170" spans="1:7">
      <c r="A170" s="79"/>
      <c r="B170" s="79"/>
      <c r="C170" s="82" t="s">
        <v>444</v>
      </c>
      <c r="D170" s="79" t="s">
        <v>443</v>
      </c>
      <c r="E170" s="80"/>
      <c r="F170" s="61"/>
      <c r="G170" s="61"/>
    </row>
    <row r="171" spans="1:7">
      <c r="A171" s="79"/>
      <c r="B171" s="79"/>
      <c r="C171" s="79"/>
      <c r="D171" s="82" t="s">
        <v>442</v>
      </c>
      <c r="E171" s="80" t="s">
        <v>441</v>
      </c>
      <c r="F171" s="61"/>
      <c r="G171" s="61"/>
    </row>
    <row r="172" spans="1:7">
      <c r="A172" s="79"/>
      <c r="B172" s="82" t="s">
        <v>440</v>
      </c>
      <c r="C172" s="79" t="s">
        <v>439</v>
      </c>
      <c r="D172" s="79"/>
      <c r="E172" s="84"/>
      <c r="F172" s="61"/>
      <c r="G172" s="61"/>
    </row>
    <row r="173" spans="1:7">
      <c r="A173" s="79"/>
      <c r="B173" s="85"/>
      <c r="C173" s="82" t="s">
        <v>438</v>
      </c>
      <c r="D173" s="80" t="s">
        <v>437</v>
      </c>
      <c r="E173" s="84"/>
      <c r="F173" s="59"/>
      <c r="G173" s="59"/>
    </row>
    <row r="174" spans="1:7">
      <c r="A174" s="79"/>
      <c r="B174" s="85"/>
      <c r="C174" s="82" t="s">
        <v>436</v>
      </c>
      <c r="D174" s="80" t="s">
        <v>435</v>
      </c>
      <c r="E174" s="84"/>
      <c r="F174" s="59"/>
      <c r="G174" s="59"/>
    </row>
    <row r="175" spans="1:7">
      <c r="A175" s="79"/>
      <c r="B175" s="85"/>
      <c r="C175" s="82" t="s">
        <v>434</v>
      </c>
      <c r="D175" s="80" t="s">
        <v>433</v>
      </c>
      <c r="E175" s="80"/>
      <c r="F175" s="59"/>
      <c r="G175" s="59"/>
    </row>
    <row r="176" spans="1:7">
      <c r="A176" s="79"/>
      <c r="B176" s="82" t="s">
        <v>432</v>
      </c>
      <c r="C176" s="79" t="s">
        <v>431</v>
      </c>
      <c r="D176" s="79"/>
      <c r="E176" s="80"/>
      <c r="F176" s="59"/>
      <c r="G176" s="59"/>
    </row>
    <row r="177" spans="1:7">
      <c r="A177" s="79"/>
      <c r="B177" s="85"/>
      <c r="C177" s="87" t="s">
        <v>430</v>
      </c>
      <c r="D177" s="80" t="s">
        <v>429</v>
      </c>
      <c r="E177" s="84"/>
      <c r="F177" s="59"/>
      <c r="G177" s="59"/>
    </row>
    <row r="178" spans="1:7">
      <c r="A178" s="79"/>
      <c r="B178" s="82" t="s">
        <v>428</v>
      </c>
      <c r="C178" s="79" t="s">
        <v>427</v>
      </c>
      <c r="D178" s="84"/>
      <c r="E178" s="84"/>
      <c r="F178" s="59"/>
      <c r="G178" s="59"/>
    </row>
    <row r="179" spans="1:7">
      <c r="A179" s="79"/>
      <c r="B179" s="82"/>
      <c r="C179" s="82" t="s">
        <v>426</v>
      </c>
      <c r="D179" s="80" t="s">
        <v>425</v>
      </c>
      <c r="E179" s="80"/>
      <c r="F179" s="61"/>
      <c r="G179" s="61"/>
    </row>
    <row r="180" spans="1:7">
      <c r="A180" s="79"/>
      <c r="B180" s="82" t="s">
        <v>424</v>
      </c>
      <c r="C180" s="79" t="s">
        <v>423</v>
      </c>
      <c r="D180" s="79"/>
      <c r="E180" s="84"/>
      <c r="F180" s="61"/>
      <c r="G180" s="61"/>
    </row>
    <row r="181" spans="1:7">
      <c r="A181" s="79">
        <v>20</v>
      </c>
      <c r="B181" s="79" t="s">
        <v>422</v>
      </c>
      <c r="C181" s="84"/>
      <c r="D181" s="84"/>
      <c r="E181" s="80"/>
      <c r="F181" s="61"/>
      <c r="G181" s="61"/>
    </row>
    <row r="182" spans="1:7">
      <c r="A182" s="79"/>
      <c r="B182" s="82" t="s">
        <v>421</v>
      </c>
      <c r="C182" s="79" t="s">
        <v>420</v>
      </c>
      <c r="D182" s="79"/>
      <c r="E182" s="80"/>
      <c r="F182" s="61"/>
      <c r="G182" s="61"/>
    </row>
    <row r="183" spans="1:7">
      <c r="A183" s="79"/>
      <c r="B183" s="79"/>
      <c r="C183" s="82" t="s">
        <v>419</v>
      </c>
      <c r="D183" s="79" t="s">
        <v>418</v>
      </c>
      <c r="E183" s="84"/>
      <c r="F183" s="61"/>
      <c r="G183" s="61"/>
    </row>
    <row r="184" spans="1:7">
      <c r="A184" s="79"/>
      <c r="B184" s="79"/>
      <c r="C184" s="79"/>
      <c r="D184" s="82" t="s">
        <v>417</v>
      </c>
      <c r="E184" s="80" t="s">
        <v>416</v>
      </c>
      <c r="F184" s="61"/>
      <c r="G184" s="61"/>
    </row>
    <row r="185" spans="1:7">
      <c r="A185" s="79"/>
      <c r="B185" s="79"/>
      <c r="C185" s="79"/>
      <c r="D185" s="82" t="s">
        <v>415</v>
      </c>
      <c r="E185" s="80" t="s">
        <v>414</v>
      </c>
      <c r="F185" s="61"/>
      <c r="G185" s="61"/>
    </row>
    <row r="186" spans="1:7">
      <c r="A186" s="79"/>
      <c r="B186" s="79"/>
      <c r="C186" s="79"/>
      <c r="D186" s="82" t="s">
        <v>413</v>
      </c>
      <c r="E186" s="80" t="s">
        <v>412</v>
      </c>
      <c r="F186" s="59"/>
      <c r="G186" s="59"/>
    </row>
    <row r="187" spans="1:7">
      <c r="A187" s="79"/>
      <c r="B187" s="79"/>
      <c r="C187" s="79"/>
      <c r="D187" s="82" t="s">
        <v>411</v>
      </c>
      <c r="E187" s="79" t="s">
        <v>410</v>
      </c>
      <c r="F187" s="59"/>
      <c r="G187" s="59"/>
    </row>
    <row r="188" spans="1:7">
      <c r="A188" s="79">
        <v>21</v>
      </c>
      <c r="B188" s="79" t="s">
        <v>409</v>
      </c>
      <c r="C188" s="79"/>
      <c r="D188" s="79"/>
      <c r="E188" s="80"/>
      <c r="F188" s="59"/>
      <c r="G188" s="59"/>
    </row>
    <row r="189" spans="1:7">
      <c r="A189" s="79"/>
      <c r="B189" s="82" t="s">
        <v>408</v>
      </c>
      <c r="C189" s="79" t="s">
        <v>407</v>
      </c>
      <c r="D189" s="79"/>
      <c r="E189" s="80"/>
      <c r="F189" s="61"/>
      <c r="G189" s="61"/>
    </row>
    <row r="190" spans="1:7">
      <c r="A190" s="79"/>
      <c r="B190" s="79"/>
      <c r="C190" s="82" t="s">
        <v>406</v>
      </c>
      <c r="D190" s="79" t="s">
        <v>405</v>
      </c>
      <c r="E190" s="80"/>
      <c r="F190" s="61"/>
      <c r="G190" s="61"/>
    </row>
    <row r="191" spans="1:7">
      <c r="A191" s="79"/>
      <c r="B191" s="79"/>
      <c r="C191" s="82" t="s">
        <v>404</v>
      </c>
      <c r="D191" s="79" t="s">
        <v>403</v>
      </c>
      <c r="E191" s="80"/>
      <c r="F191" s="61"/>
      <c r="G191" s="61"/>
    </row>
    <row r="192" spans="1:7">
      <c r="A192" s="79">
        <v>22</v>
      </c>
      <c r="B192" s="79" t="s">
        <v>402</v>
      </c>
      <c r="C192" s="82"/>
      <c r="D192" s="79"/>
      <c r="E192" s="80"/>
      <c r="F192" s="61"/>
      <c r="G192" s="61"/>
    </row>
    <row r="193" spans="1:7">
      <c r="A193" s="79">
        <v>23</v>
      </c>
      <c r="B193" s="79" t="s">
        <v>401</v>
      </c>
      <c r="C193" s="79"/>
      <c r="D193" s="79"/>
      <c r="E193" s="80"/>
      <c r="F193" s="61"/>
      <c r="G193" s="61"/>
    </row>
    <row r="194" spans="1:7">
      <c r="A194" s="79"/>
      <c r="B194" s="85" t="s">
        <v>400</v>
      </c>
      <c r="C194" s="79" t="s">
        <v>399</v>
      </c>
      <c r="D194" s="79"/>
      <c r="E194" s="84"/>
      <c r="F194" s="61"/>
      <c r="G194" s="61"/>
    </row>
    <row r="195" spans="1:7">
      <c r="A195" s="79"/>
      <c r="B195" s="84"/>
      <c r="C195" s="82" t="s">
        <v>398</v>
      </c>
      <c r="D195" s="79" t="s">
        <v>397</v>
      </c>
      <c r="E195" s="84"/>
      <c r="F195" s="61"/>
      <c r="G195" s="61"/>
    </row>
    <row r="196" spans="1:7">
      <c r="A196" s="79"/>
      <c r="B196" s="84"/>
      <c r="C196" s="82"/>
      <c r="D196" s="82" t="s">
        <v>396</v>
      </c>
      <c r="E196" s="80" t="s">
        <v>395</v>
      </c>
      <c r="F196" s="61"/>
      <c r="G196" s="61"/>
    </row>
    <row r="197" spans="1:7">
      <c r="A197" s="79"/>
      <c r="B197" s="84"/>
      <c r="C197" s="82" t="s">
        <v>394</v>
      </c>
      <c r="D197" s="79" t="s">
        <v>393</v>
      </c>
      <c r="E197" s="80"/>
      <c r="F197" s="61"/>
      <c r="G197" s="61"/>
    </row>
    <row r="198" spans="1:7">
      <c r="A198" s="79"/>
      <c r="B198" s="84"/>
      <c r="C198" s="82" t="s">
        <v>392</v>
      </c>
      <c r="D198" s="79" t="s">
        <v>391</v>
      </c>
      <c r="E198" s="80"/>
      <c r="F198" s="61"/>
      <c r="G198" s="61"/>
    </row>
    <row r="199" spans="1:7">
      <c r="A199" s="79">
        <v>24</v>
      </c>
      <c r="B199" s="84" t="s">
        <v>390</v>
      </c>
      <c r="C199" s="84"/>
      <c r="D199" s="84"/>
      <c r="E199" s="80"/>
      <c r="F199" s="61"/>
      <c r="G199" s="61"/>
    </row>
    <row r="200" spans="1:7">
      <c r="A200" s="79"/>
      <c r="B200" s="87" t="s">
        <v>389</v>
      </c>
      <c r="C200" s="79" t="s">
        <v>388</v>
      </c>
      <c r="D200" s="80"/>
      <c r="E200" s="84"/>
      <c r="F200" s="61"/>
      <c r="G200" s="61"/>
    </row>
    <row r="201" spans="1:7">
      <c r="A201" s="79"/>
      <c r="B201" s="79"/>
      <c r="C201" s="82" t="s">
        <v>387</v>
      </c>
      <c r="D201" s="80" t="s">
        <v>386</v>
      </c>
      <c r="E201" s="84"/>
      <c r="F201" s="61"/>
      <c r="G201" s="61"/>
    </row>
    <row r="202" spans="1:7">
      <c r="A202" s="60"/>
      <c r="B202" s="62"/>
      <c r="C202" s="59"/>
      <c r="D202" s="59"/>
      <c r="E202" s="59"/>
      <c r="F202" s="61"/>
      <c r="G202" s="61"/>
    </row>
    <row r="203" spans="1:7">
      <c r="A203" s="60"/>
      <c r="B203" s="59"/>
      <c r="C203" s="59"/>
      <c r="D203" s="59"/>
      <c r="E203" s="59"/>
    </row>
    <row r="204" spans="1:7">
      <c r="A204" s="60"/>
      <c r="B204" s="59"/>
      <c r="C204" s="59"/>
      <c r="D204" s="59"/>
    </row>
    <row r="205" spans="1:7">
      <c r="A205" s="60"/>
      <c r="B205" s="59"/>
      <c r="C205" s="59"/>
      <c r="D205" s="59"/>
    </row>
  </sheetData>
  <mergeCells count="4">
    <mergeCell ref="A1:E1"/>
    <mergeCell ref="A45:E45"/>
    <mergeCell ref="A89:E89"/>
    <mergeCell ref="A110:E1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79"/>
  <sheetViews>
    <sheetView tabSelected="1" workbookViewId="0">
      <selection activeCell="B91" sqref="B91:F91"/>
    </sheetView>
  </sheetViews>
  <sheetFormatPr baseColWidth="10" defaultColWidth="14.5" defaultRowHeight="15" customHeight="1"/>
  <cols>
    <col min="1" max="2" width="12.1640625" customWidth="1"/>
    <col min="3" max="3" width="11" customWidth="1"/>
    <col min="4" max="5" width="12.1640625" customWidth="1"/>
    <col min="6" max="6" width="11.33203125" customWidth="1"/>
    <col min="7" max="8" width="12.1640625" customWidth="1"/>
    <col min="9" max="9" width="11.33203125" customWidth="1"/>
    <col min="10" max="11" width="12.1640625" customWidth="1"/>
    <col min="12" max="12" width="11" customWidth="1"/>
    <col min="13" max="14" width="12.1640625" customWidth="1"/>
    <col min="15" max="15" width="11" customWidth="1"/>
    <col min="16" max="17" width="12.1640625" customWidth="1"/>
    <col min="18" max="18" width="10.1640625" customWidth="1"/>
    <col min="19" max="19" width="13" customWidth="1"/>
    <col min="20" max="20" width="12.83203125" customWidth="1"/>
    <col min="21" max="21" width="14.5" customWidth="1"/>
    <col min="22" max="23" width="19.5" customWidth="1"/>
  </cols>
  <sheetData>
    <row r="1" spans="1:17" ht="15" customHeight="1">
      <c r="A1" s="869" t="s">
        <v>805</v>
      </c>
      <c r="B1" s="869"/>
      <c r="C1" s="870" t="s">
        <v>806</v>
      </c>
      <c r="D1" s="870"/>
      <c r="E1" s="871" t="s">
        <v>807</v>
      </c>
      <c r="F1" s="871"/>
      <c r="G1" s="872"/>
      <c r="H1" s="873" t="s">
        <v>808</v>
      </c>
      <c r="I1" s="873"/>
      <c r="J1" s="872"/>
      <c r="K1" s="874" t="s">
        <v>809</v>
      </c>
      <c r="L1" s="874"/>
      <c r="M1" s="875" t="s">
        <v>810</v>
      </c>
      <c r="N1" s="875"/>
    </row>
    <row r="3" spans="1:17" ht="15" customHeight="1">
      <c r="A3" s="819"/>
      <c r="B3" s="819"/>
      <c r="C3" s="819"/>
      <c r="D3" s="819"/>
      <c r="E3" s="819"/>
      <c r="F3" s="819"/>
      <c r="G3" s="819"/>
      <c r="H3" s="819"/>
      <c r="I3" s="819"/>
      <c r="J3" s="819"/>
      <c r="K3" s="819"/>
      <c r="L3" s="819"/>
      <c r="M3" s="819"/>
      <c r="N3" s="819"/>
      <c r="O3" s="819"/>
      <c r="P3" s="819"/>
      <c r="Q3" s="819"/>
    </row>
    <row r="4" spans="1:17" ht="15" customHeight="1">
      <c r="A4" s="820" t="str">
        <f>'Bilancio di Verifica'!A3</f>
        <v>Unicredit c/c</v>
      </c>
      <c r="B4" s="820"/>
      <c r="C4" s="821"/>
      <c r="D4" s="820" t="s">
        <v>102</v>
      </c>
      <c r="E4" s="820"/>
      <c r="F4" s="821"/>
      <c r="G4" s="820" t="str">
        <f>'Bilancio di Verifica'!A5</f>
        <v>Crediti verso clienti</v>
      </c>
      <c r="H4" s="820"/>
      <c r="I4" s="821"/>
      <c r="J4" s="822" t="str">
        <f>'Bilancio di Verifica'!A6</f>
        <v>Crediti verso clienti esteri</v>
      </c>
      <c r="K4" s="822"/>
      <c r="L4" s="821"/>
      <c r="M4" s="823" t="s">
        <v>798</v>
      </c>
      <c r="N4" s="823"/>
      <c r="O4" s="821"/>
      <c r="P4" s="820" t="s">
        <v>116</v>
      </c>
      <c r="Q4" s="820"/>
    </row>
    <row r="5" spans="1:17">
      <c r="A5" s="824">
        <f>'Bilancio di Verifica'!B3</f>
        <v>70000</v>
      </c>
      <c r="B5" s="825">
        <v>70999</v>
      </c>
      <c r="C5" s="821"/>
      <c r="D5" s="826">
        <f>SUM(E5:E6)</f>
        <v>22817</v>
      </c>
      <c r="E5" s="827">
        <v>357</v>
      </c>
      <c r="F5" s="821"/>
      <c r="G5" s="824">
        <f>'Bilancio di Verifica'!B5</f>
        <v>170000</v>
      </c>
      <c r="H5" s="828">
        <v>15678</v>
      </c>
      <c r="I5" s="821"/>
      <c r="J5" s="824">
        <f>'Bilancio di Verifica'!B6</f>
        <v>25000</v>
      </c>
      <c r="K5" s="827">
        <v>553.4</v>
      </c>
      <c r="L5" s="821"/>
      <c r="M5" s="829">
        <v>33616.9</v>
      </c>
      <c r="N5" s="830">
        <v>33616.9</v>
      </c>
      <c r="O5" s="821"/>
      <c r="P5" s="831">
        <v>1570</v>
      </c>
      <c r="Q5" s="832">
        <v>1570</v>
      </c>
    </row>
    <row r="6" spans="1:17">
      <c r="A6" s="821">
        <v>999</v>
      </c>
      <c r="B6" s="833"/>
      <c r="C6" s="821"/>
      <c r="D6" s="821"/>
      <c r="E6" s="833">
        <v>22460</v>
      </c>
      <c r="F6" s="821"/>
      <c r="G6" s="821"/>
      <c r="H6" s="825">
        <f>G5-H5</f>
        <v>154322</v>
      </c>
      <c r="I6" s="821"/>
      <c r="J6" s="821"/>
      <c r="K6" s="825">
        <f>J5-K5</f>
        <v>24446.6</v>
      </c>
      <c r="L6" s="821"/>
      <c r="M6" s="834"/>
      <c r="N6" s="835"/>
      <c r="O6" s="821"/>
      <c r="P6" s="819"/>
      <c r="Q6" s="833"/>
    </row>
    <row r="7" spans="1:17">
      <c r="A7" s="821"/>
      <c r="B7" s="819"/>
      <c r="C7" s="821"/>
      <c r="D7" s="835"/>
      <c r="E7" s="833"/>
      <c r="F7" s="821"/>
      <c r="G7" s="821"/>
      <c r="H7" s="821"/>
      <c r="I7" s="821"/>
      <c r="J7" s="821"/>
      <c r="K7" s="836"/>
      <c r="L7" s="821"/>
      <c r="M7" s="821"/>
      <c r="N7" s="821"/>
      <c r="O7" s="821"/>
      <c r="P7" s="821"/>
      <c r="Q7" s="821"/>
    </row>
    <row r="8" spans="1:17">
      <c r="A8" s="821"/>
      <c r="B8" s="821"/>
      <c r="C8" s="821"/>
      <c r="D8" s="821"/>
      <c r="E8" s="821"/>
      <c r="F8" s="821"/>
      <c r="G8" s="821"/>
      <c r="H8" s="821"/>
      <c r="I8" s="821"/>
      <c r="J8" s="821"/>
      <c r="K8" s="821"/>
      <c r="L8" s="821"/>
      <c r="M8" s="821"/>
      <c r="N8" s="821"/>
      <c r="O8" s="821"/>
      <c r="P8" s="821"/>
      <c r="Q8" s="821"/>
    </row>
    <row r="9" spans="1:17" ht="15" customHeight="1">
      <c r="A9" s="821"/>
      <c r="B9" s="821"/>
      <c r="C9" s="821"/>
      <c r="D9" s="821"/>
      <c r="E9" s="821"/>
      <c r="F9" s="821"/>
      <c r="G9" s="821"/>
      <c r="H9" s="821"/>
      <c r="I9" s="821"/>
      <c r="J9" s="821"/>
      <c r="K9" s="821"/>
      <c r="L9" s="821"/>
      <c r="M9" s="821"/>
      <c r="N9" s="821"/>
      <c r="O9" s="821"/>
      <c r="P9" s="821"/>
      <c r="Q9" s="821"/>
    </row>
    <row r="10" spans="1:17" ht="15" customHeight="1">
      <c r="A10" s="821"/>
      <c r="B10" s="821"/>
      <c r="C10" s="821"/>
      <c r="D10" s="821"/>
      <c r="E10" s="821"/>
      <c r="F10" s="821"/>
      <c r="G10" s="821"/>
      <c r="H10" s="821"/>
      <c r="I10" s="821"/>
      <c r="J10" s="821"/>
      <c r="K10" s="821"/>
      <c r="L10" s="821"/>
      <c r="M10" s="821"/>
      <c r="N10" s="821"/>
      <c r="O10" s="821"/>
      <c r="P10" s="821"/>
      <c r="Q10" s="821"/>
    </row>
    <row r="11" spans="1:17" ht="15" customHeight="1">
      <c r="A11" s="822" t="s">
        <v>792</v>
      </c>
      <c r="B11" s="822"/>
      <c r="C11" s="821"/>
      <c r="D11" s="820" t="str">
        <f>'Bilancio di Verifica'!A10</f>
        <v>Erario c/ritenute subite</v>
      </c>
      <c r="E11" s="820"/>
      <c r="F11" s="821"/>
      <c r="G11" s="837" t="s">
        <v>104</v>
      </c>
      <c r="H11" s="837"/>
      <c r="I11" s="821"/>
      <c r="J11" s="838" t="s">
        <v>105</v>
      </c>
      <c r="K11" s="838"/>
      <c r="L11" s="821"/>
      <c r="M11" s="823" t="s">
        <v>115</v>
      </c>
      <c r="N11" s="823"/>
      <c r="O11" s="821"/>
      <c r="P11" s="823" t="str">
        <f>'Bilancio di Verifica'!A14</f>
        <v>Titoli a reddito fisso disponibili</v>
      </c>
      <c r="Q11" s="823"/>
    </row>
    <row r="12" spans="1:17">
      <c r="A12" s="824">
        <f>20400</f>
        <v>20400</v>
      </c>
      <c r="B12" s="839">
        <v>20400</v>
      </c>
      <c r="C12" s="821"/>
      <c r="D12" s="824">
        <f>'Bilancio di Verifica'!B10</f>
        <v>4500</v>
      </c>
      <c r="E12" s="825">
        <v>4851</v>
      </c>
      <c r="F12" s="821"/>
      <c r="G12" s="821">
        <v>4940</v>
      </c>
      <c r="H12" s="832">
        <v>4940</v>
      </c>
      <c r="I12" s="821"/>
      <c r="J12" s="821">
        <v>3666.67</v>
      </c>
      <c r="K12" s="840">
        <v>3666.67</v>
      </c>
      <c r="L12" s="821"/>
      <c r="M12" s="821">
        <v>22460</v>
      </c>
      <c r="N12" s="841">
        <v>22460</v>
      </c>
      <c r="O12" s="821"/>
      <c r="P12" s="824">
        <f>'Bilancio di Verifica'!B14</f>
        <v>19191</v>
      </c>
      <c r="Q12" s="842">
        <f>SUM(P12:P14)</f>
        <v>19448.34</v>
      </c>
    </row>
    <row r="13" spans="1:17">
      <c r="A13" s="824"/>
      <c r="B13" s="821"/>
      <c r="C13" s="821"/>
      <c r="D13" s="821">
        <v>351</v>
      </c>
      <c r="E13" s="833"/>
      <c r="F13" s="821"/>
      <c r="G13" s="821"/>
      <c r="H13" s="819"/>
      <c r="I13" s="821"/>
      <c r="J13" s="821"/>
      <c r="K13" s="836"/>
      <c r="L13" s="821"/>
      <c r="M13" s="819"/>
      <c r="N13" s="819"/>
      <c r="O13" s="821"/>
      <c r="P13" s="821">
        <v>235.34</v>
      </c>
      <c r="Q13" s="836"/>
    </row>
    <row r="14" spans="1:17">
      <c r="A14" s="821"/>
      <c r="B14" s="833"/>
      <c r="C14" s="821"/>
      <c r="D14" s="821"/>
      <c r="E14" s="819"/>
      <c r="F14" s="821"/>
      <c r="G14" s="821"/>
      <c r="H14" s="833"/>
      <c r="I14" s="821"/>
      <c r="J14" s="821"/>
      <c r="K14" s="833"/>
      <c r="L14" s="821"/>
      <c r="M14" s="821"/>
      <c r="N14" s="833"/>
      <c r="O14" s="821"/>
      <c r="P14" s="821">
        <v>22</v>
      </c>
      <c r="Q14" s="826"/>
    </row>
    <row r="15" spans="1:17">
      <c r="A15" s="821"/>
      <c r="B15" s="821"/>
      <c r="C15" s="821"/>
      <c r="D15" s="821"/>
      <c r="E15" s="821"/>
      <c r="F15" s="821"/>
      <c r="G15" s="821"/>
      <c r="H15" s="821"/>
      <c r="I15" s="821"/>
      <c r="J15" s="821"/>
      <c r="K15" s="821"/>
      <c r="L15" s="821"/>
      <c r="M15" s="821"/>
      <c r="N15" s="821"/>
      <c r="O15" s="821"/>
      <c r="P15" s="821"/>
      <c r="Q15" s="821"/>
    </row>
    <row r="16" spans="1:17" ht="15" customHeight="1">
      <c r="A16" s="821"/>
      <c r="B16" s="821"/>
      <c r="C16" s="821"/>
      <c r="D16" s="821"/>
      <c r="E16" s="821"/>
      <c r="F16" s="821"/>
      <c r="G16" s="821"/>
      <c r="H16" s="821"/>
      <c r="I16" s="821"/>
      <c r="J16" s="821"/>
      <c r="K16" s="821"/>
      <c r="L16" s="821"/>
      <c r="M16" s="821"/>
      <c r="N16" s="821"/>
      <c r="O16" s="821"/>
      <c r="P16" s="821"/>
      <c r="Q16" s="821"/>
    </row>
    <row r="17" spans="1:17" ht="15.75" customHeight="1">
      <c r="A17" s="821"/>
      <c r="B17" s="821"/>
      <c r="C17" s="821"/>
      <c r="D17" s="821"/>
      <c r="E17" s="821"/>
      <c r="F17" s="821"/>
      <c r="G17" s="821"/>
      <c r="H17" s="821"/>
      <c r="I17" s="821"/>
      <c r="J17" s="821"/>
      <c r="K17" s="821"/>
      <c r="L17" s="821"/>
      <c r="M17" s="821"/>
      <c r="N17" s="821"/>
      <c r="O17" s="821"/>
      <c r="P17" s="821"/>
      <c r="Q17" s="821"/>
    </row>
    <row r="18" spans="1:17" ht="15.75" customHeight="1">
      <c r="A18" s="820" t="str">
        <f>'Bilancio di Verifica'!A15</f>
        <v>Terreni e Fabbricati</v>
      </c>
      <c r="B18" s="820"/>
      <c r="C18" s="821"/>
      <c r="D18" s="820" t="str">
        <f>'Bilancio di Verifica'!A16</f>
        <v>Impianti</v>
      </c>
      <c r="E18" s="820"/>
      <c r="F18" s="821"/>
      <c r="G18" s="820" t="str">
        <f>'Bilancio di Verifica'!A17</f>
        <v>Macchinari</v>
      </c>
      <c r="H18" s="820"/>
      <c r="I18" s="821"/>
      <c r="J18" s="820" t="str">
        <f>'Bilancio di Verifica'!A18</f>
        <v>Attrezzature industriali</v>
      </c>
      <c r="K18" s="820"/>
      <c r="L18" s="821"/>
      <c r="M18" s="823" t="s">
        <v>114</v>
      </c>
      <c r="N18" s="823"/>
      <c r="O18" s="821"/>
      <c r="P18" s="823" t="s">
        <v>11</v>
      </c>
      <c r="Q18" s="823"/>
    </row>
    <row r="19" spans="1:17" ht="15.75" customHeight="1">
      <c r="A19" s="824">
        <f>'Bilancio di Verifica'!B15</f>
        <v>98500</v>
      </c>
      <c r="B19" s="828">
        <v>54040</v>
      </c>
      <c r="C19" s="821"/>
      <c r="D19" s="824">
        <f>'Bilancio di Verifica'!B16</f>
        <v>67000</v>
      </c>
      <c r="E19" s="828">
        <v>39966.67</v>
      </c>
      <c r="F19" s="821"/>
      <c r="G19" s="824">
        <f>'Bilancio di Verifica'!B17</f>
        <v>76700</v>
      </c>
      <c r="H19" s="828">
        <v>40906.67</v>
      </c>
      <c r="I19" s="821"/>
      <c r="J19" s="824">
        <f>'Bilancio di Verifica'!B18</f>
        <v>27500</v>
      </c>
      <c r="K19" s="828">
        <v>25666.67</v>
      </c>
      <c r="L19" s="821"/>
      <c r="M19" s="821">
        <v>553.4</v>
      </c>
      <c r="N19" s="841">
        <v>553.4</v>
      </c>
      <c r="O19" s="821"/>
      <c r="P19" s="824">
        <v>7000</v>
      </c>
      <c r="Q19" s="839">
        <v>2333.33</v>
      </c>
    </row>
    <row r="20" spans="1:17" ht="15.75" customHeight="1">
      <c r="A20" s="821"/>
      <c r="B20" s="825">
        <v>44460</v>
      </c>
      <c r="C20" s="821"/>
      <c r="D20" s="821">
        <v>6000</v>
      </c>
      <c r="E20" s="825">
        <v>33033.33</v>
      </c>
      <c r="F20" s="821"/>
      <c r="G20" s="821"/>
      <c r="H20" s="825">
        <v>35793.33</v>
      </c>
      <c r="I20" s="821"/>
      <c r="J20" s="821"/>
      <c r="K20" s="825">
        <v>1833.33</v>
      </c>
      <c r="L20" s="821"/>
      <c r="M20" s="821"/>
      <c r="N20" s="836"/>
      <c r="O20" s="821"/>
      <c r="P20" s="824"/>
      <c r="Q20" s="826">
        <v>4666.67</v>
      </c>
    </row>
    <row r="21" spans="1:17" ht="15.75" customHeight="1">
      <c r="A21" s="821"/>
      <c r="B21" s="833"/>
      <c r="C21" s="821"/>
      <c r="D21" s="821"/>
      <c r="E21" s="836"/>
      <c r="F21" s="821"/>
      <c r="G21" s="821"/>
      <c r="H21" s="833"/>
      <c r="I21" s="821"/>
      <c r="J21" s="821"/>
      <c r="K21" s="833"/>
      <c r="L21" s="821"/>
      <c r="M21" s="821"/>
      <c r="N21" s="821"/>
      <c r="O21" s="821"/>
      <c r="P21" s="821"/>
      <c r="Q21" s="833"/>
    </row>
    <row r="22" spans="1:17" ht="15.75" customHeight="1">
      <c r="A22" s="821"/>
      <c r="B22" s="821"/>
      <c r="C22" s="821"/>
      <c r="D22" s="821"/>
      <c r="E22" s="821"/>
      <c r="F22" s="821"/>
      <c r="G22" s="821"/>
      <c r="H22" s="821"/>
      <c r="I22" s="821"/>
      <c r="J22" s="821"/>
      <c r="K22" s="821"/>
      <c r="L22" s="821"/>
      <c r="M22" s="821"/>
      <c r="N22" s="821"/>
      <c r="O22" s="821"/>
      <c r="P22" s="821"/>
      <c r="Q22" s="821"/>
    </row>
    <row r="23" spans="1:17" ht="15.75" customHeight="1">
      <c r="A23" s="821"/>
      <c r="B23" s="821"/>
      <c r="C23" s="821"/>
      <c r="D23" s="821"/>
      <c r="E23" s="821"/>
      <c r="F23" s="821"/>
      <c r="G23" s="821"/>
      <c r="H23" s="821"/>
      <c r="I23" s="821"/>
      <c r="J23" s="821"/>
      <c r="K23" s="821"/>
      <c r="L23" s="821"/>
      <c r="M23" s="821"/>
      <c r="N23" s="821"/>
      <c r="O23" s="821"/>
      <c r="P23" s="821"/>
      <c r="Q23" s="821"/>
    </row>
    <row r="24" spans="1:17" ht="15.75" customHeight="1">
      <c r="A24" s="821"/>
      <c r="B24" s="821"/>
      <c r="C24" s="821"/>
      <c r="D24" s="821"/>
      <c r="E24" s="821"/>
      <c r="F24" s="821"/>
      <c r="G24" s="821"/>
      <c r="H24" s="821"/>
      <c r="I24" s="821"/>
      <c r="J24" s="821"/>
      <c r="K24" s="821"/>
      <c r="L24" s="821"/>
      <c r="M24" s="821"/>
      <c r="N24" s="821"/>
      <c r="O24" s="821"/>
      <c r="P24" s="821"/>
      <c r="Q24" s="821"/>
    </row>
    <row r="25" spans="1:17" ht="15.75" customHeight="1">
      <c r="A25" s="820" t="str">
        <f>'Bilancio di Verifica'!A21</f>
        <v>Diritti brevetto industriale</v>
      </c>
      <c r="B25" s="820"/>
      <c r="C25" s="821"/>
      <c r="D25" s="820" t="str">
        <f>'Bilancio di Verifica'!A22</f>
        <v>Avviamento</v>
      </c>
      <c r="E25" s="820"/>
      <c r="F25" s="821"/>
      <c r="G25" s="823" t="s">
        <v>10</v>
      </c>
      <c r="H25" s="823"/>
      <c r="I25" s="821"/>
      <c r="J25" s="837" t="s">
        <v>797</v>
      </c>
      <c r="K25" s="837"/>
      <c r="L25" s="821"/>
      <c r="M25" s="837" t="s">
        <v>107</v>
      </c>
      <c r="N25" s="837"/>
      <c r="O25" s="821"/>
      <c r="P25" s="837" t="str">
        <f>'Bilancio di Verifica'!A26</f>
        <v>Variazione Rimanenze Materie prime</v>
      </c>
      <c r="Q25" s="837"/>
    </row>
    <row r="26" spans="1:17" ht="15.75" customHeight="1">
      <c r="A26" s="824">
        <f>'Bilancio di Verifica'!B21</f>
        <v>15750</v>
      </c>
      <c r="B26" s="827">
        <v>1431.82</v>
      </c>
      <c r="C26" s="821"/>
      <c r="D26" s="824">
        <f>'Bilancio di Verifica'!B22</f>
        <v>40000</v>
      </c>
      <c r="E26" s="827">
        <v>10000</v>
      </c>
      <c r="F26" s="821"/>
      <c r="G26" s="843">
        <v>9330</v>
      </c>
      <c r="H26" s="825">
        <f>SUM(G26:G27)</f>
        <v>27330</v>
      </c>
      <c r="I26" s="821"/>
      <c r="J26" s="824">
        <v>35666.370000000003</v>
      </c>
      <c r="K26" s="833">
        <v>35666.370000000003</v>
      </c>
      <c r="L26" s="821"/>
      <c r="M26" s="821">
        <v>2333.33</v>
      </c>
      <c r="N26" s="840">
        <v>2333.33</v>
      </c>
      <c r="O26" s="821"/>
      <c r="P26" s="824">
        <f>'Bilancio di Verifica'!B26</f>
        <v>31587.5</v>
      </c>
      <c r="Q26" s="833">
        <f>SUM(P26:P27)</f>
        <v>35666.370000000003</v>
      </c>
    </row>
    <row r="27" spans="1:17" ht="15.75" customHeight="1">
      <c r="A27" s="821"/>
      <c r="B27" s="825">
        <f>A26-B26</f>
        <v>14318.18</v>
      </c>
      <c r="C27" s="821"/>
      <c r="D27" s="821"/>
      <c r="E27" s="825">
        <v>30000</v>
      </c>
      <c r="F27" s="821"/>
      <c r="G27" s="844">
        <v>18000</v>
      </c>
      <c r="H27" s="845"/>
      <c r="I27" s="821"/>
      <c r="J27" s="846"/>
      <c r="K27" s="821"/>
      <c r="L27" s="821"/>
      <c r="M27" s="821"/>
      <c r="N27" s="836"/>
      <c r="O27" s="821"/>
      <c r="P27" s="846">
        <v>4078.87</v>
      </c>
      <c r="Q27" s="821"/>
    </row>
    <row r="28" spans="1:17" ht="15.75" customHeight="1">
      <c r="A28" s="821"/>
      <c r="B28" s="833"/>
      <c r="C28" s="821"/>
      <c r="D28" s="821"/>
      <c r="E28" s="833"/>
      <c r="F28" s="821"/>
      <c r="G28" s="819"/>
      <c r="H28" s="819"/>
      <c r="I28" s="821"/>
      <c r="J28" s="821"/>
      <c r="K28" s="833"/>
      <c r="L28" s="821"/>
      <c r="M28" s="821"/>
      <c r="N28" s="833"/>
      <c r="O28" s="821"/>
      <c r="P28" s="821"/>
      <c r="Q28" s="833"/>
    </row>
    <row r="29" spans="1:17" ht="15.75" customHeight="1">
      <c r="A29" s="821"/>
      <c r="B29" s="821"/>
      <c r="C29" s="821"/>
      <c r="D29" s="821"/>
      <c r="E29" s="821"/>
      <c r="F29" s="821"/>
      <c r="G29" s="821"/>
      <c r="H29" s="821"/>
      <c r="I29" s="821"/>
      <c r="J29" s="821"/>
      <c r="K29" s="821"/>
      <c r="L29" s="821"/>
      <c r="M29" s="821"/>
      <c r="N29" s="821"/>
      <c r="O29" s="821"/>
      <c r="P29" s="821"/>
      <c r="Q29" s="821"/>
    </row>
    <row r="30" spans="1:17" ht="15.75" customHeight="1">
      <c r="A30" s="821"/>
      <c r="B30" s="821"/>
      <c r="C30" s="821"/>
      <c r="D30" s="821"/>
      <c r="E30" s="821"/>
      <c r="F30" s="821"/>
      <c r="G30" s="821"/>
      <c r="H30" s="821"/>
      <c r="I30" s="821"/>
      <c r="J30" s="821"/>
      <c r="K30" s="821"/>
      <c r="L30" s="821"/>
      <c r="M30" s="821"/>
      <c r="N30" s="821"/>
      <c r="O30" s="821"/>
      <c r="P30" s="821"/>
      <c r="Q30" s="821"/>
    </row>
    <row r="31" spans="1:17" ht="15.75" customHeight="1">
      <c r="A31" s="821"/>
      <c r="B31" s="821"/>
      <c r="C31" s="821"/>
      <c r="D31" s="821"/>
      <c r="E31" s="821"/>
      <c r="F31" s="821"/>
      <c r="G31" s="821"/>
      <c r="H31" s="821"/>
      <c r="I31" s="821"/>
      <c r="J31" s="821"/>
      <c r="K31" s="821"/>
      <c r="L31" s="821"/>
      <c r="M31" s="821"/>
      <c r="N31" s="821"/>
      <c r="O31" s="821"/>
      <c r="P31" s="821"/>
      <c r="Q31" s="821"/>
    </row>
    <row r="32" spans="1:17" ht="15.75" customHeight="1">
      <c r="A32" s="823" t="str">
        <f>'Bilancio di Verifica'!A27</f>
        <v>Variazione Rimanenze Semilavorati</v>
      </c>
      <c r="B32" s="823"/>
      <c r="C32" s="821"/>
      <c r="D32" s="823" t="str">
        <f>'Bilancio di Verifica'!A28</f>
        <v>Variazione Rimanenze Prodotti finiti</v>
      </c>
      <c r="E32" s="823"/>
      <c r="F32" s="821"/>
      <c r="G32" s="820" t="s">
        <v>17</v>
      </c>
      <c r="H32" s="820"/>
      <c r="I32" s="821"/>
      <c r="J32" s="823" t="s">
        <v>106</v>
      </c>
      <c r="K32" s="823"/>
      <c r="L32" s="821"/>
      <c r="M32" s="820" t="str">
        <f>'Bilancio di Verifica'!A31</f>
        <v>Costi di sviluppo</v>
      </c>
      <c r="N32" s="820"/>
      <c r="O32" s="821"/>
      <c r="P32" s="820" t="s">
        <v>123</v>
      </c>
      <c r="Q32" s="820"/>
    </row>
    <row r="33" spans="1:17" ht="15.75" customHeight="1">
      <c r="A33" s="847">
        <f>'Bilancio di Verifica'!B27</f>
        <v>28800</v>
      </c>
      <c r="B33" s="821">
        <v>33616.9</v>
      </c>
      <c r="C33" s="821"/>
      <c r="D33" s="824">
        <f>'Bilancio di Verifica'!B28</f>
        <v>44750</v>
      </c>
      <c r="E33" s="833">
        <v>52480</v>
      </c>
      <c r="F33" s="821"/>
      <c r="G33" s="847">
        <v>24500</v>
      </c>
      <c r="H33" s="841">
        <f>SUM(G33+G34-H34)</f>
        <v>24333.33</v>
      </c>
      <c r="I33" s="821"/>
      <c r="J33" s="821">
        <v>10266.67</v>
      </c>
      <c r="K33" s="840">
        <v>10266.67</v>
      </c>
      <c r="L33" s="821"/>
      <c r="M33" s="824">
        <f>'Bilancio di Verifica'!B31</f>
        <v>15000</v>
      </c>
      <c r="N33" s="840">
        <v>30000</v>
      </c>
      <c r="O33" s="821"/>
      <c r="P33" s="847">
        <v>6100</v>
      </c>
      <c r="Q33" s="841">
        <f>SUM(P33:P34)</f>
        <v>14400</v>
      </c>
    </row>
    <row r="34" spans="1:17" ht="15.75" customHeight="1">
      <c r="A34" s="846">
        <f>B33-A33</f>
        <v>4816.9000000000015</v>
      </c>
      <c r="B34" s="821"/>
      <c r="C34" s="821"/>
      <c r="D34" s="846">
        <v>7730</v>
      </c>
      <c r="E34" s="821"/>
      <c r="F34" s="821"/>
      <c r="G34" s="834">
        <v>4500</v>
      </c>
      <c r="H34" s="831">
        <v>4666.67</v>
      </c>
      <c r="I34" s="821"/>
      <c r="J34" s="821"/>
      <c r="K34" s="836"/>
      <c r="L34" s="821"/>
      <c r="M34" s="821">
        <v>15000</v>
      </c>
      <c r="N34" s="836"/>
      <c r="O34" s="821"/>
      <c r="P34" s="834">
        <v>8300</v>
      </c>
      <c r="Q34" s="835"/>
    </row>
    <row r="35" spans="1:17" ht="15.75" customHeight="1">
      <c r="A35" s="835"/>
      <c r="B35" s="836"/>
      <c r="C35" s="821"/>
      <c r="D35" s="821"/>
      <c r="E35" s="833"/>
      <c r="F35" s="821"/>
      <c r="G35" s="834"/>
      <c r="H35" s="821"/>
      <c r="I35" s="821"/>
      <c r="J35" s="821"/>
      <c r="K35" s="833"/>
      <c r="L35" s="821"/>
      <c r="M35" s="821"/>
      <c r="N35" s="833"/>
      <c r="O35" s="821"/>
      <c r="P35" s="834"/>
      <c r="Q35" s="821"/>
    </row>
    <row r="36" spans="1:17" ht="15.75" customHeight="1">
      <c r="A36" s="821"/>
      <c r="B36" s="821"/>
      <c r="C36" s="821"/>
      <c r="D36" s="821"/>
      <c r="E36" s="821"/>
      <c r="F36" s="821"/>
      <c r="G36" s="821"/>
      <c r="H36" s="821"/>
      <c r="I36" s="821"/>
      <c r="J36" s="821"/>
      <c r="K36" s="821"/>
      <c r="L36" s="821"/>
      <c r="M36" s="821"/>
      <c r="N36" s="821"/>
      <c r="O36" s="821"/>
      <c r="P36" s="821"/>
      <c r="Q36" s="821"/>
    </row>
    <row r="37" spans="1:17" ht="15.75" customHeight="1">
      <c r="A37" s="821"/>
      <c r="B37" s="821"/>
      <c r="C37" s="821"/>
      <c r="D37" s="821"/>
      <c r="E37" s="821"/>
      <c r="F37" s="821"/>
      <c r="G37" s="821"/>
      <c r="H37" s="821"/>
      <c r="I37" s="821"/>
      <c r="J37" s="821"/>
      <c r="K37" s="821"/>
      <c r="L37" s="821"/>
      <c r="M37" s="821"/>
      <c r="N37" s="821"/>
      <c r="O37" s="821"/>
      <c r="P37" s="821"/>
      <c r="Q37" s="821"/>
    </row>
    <row r="38" spans="1:17" ht="15.75" customHeight="1">
      <c r="A38" s="821"/>
      <c r="B38" s="821"/>
      <c r="C38" s="821"/>
      <c r="D38" s="821"/>
      <c r="E38" s="821"/>
      <c r="F38" s="821"/>
      <c r="G38" s="821"/>
      <c r="H38" s="821"/>
      <c r="I38" s="821"/>
      <c r="J38" s="821"/>
      <c r="K38" s="821"/>
      <c r="L38" s="821"/>
      <c r="M38" s="821"/>
      <c r="N38" s="821"/>
      <c r="O38" s="821"/>
      <c r="P38" s="821"/>
      <c r="Q38" s="821"/>
    </row>
    <row r="39" spans="1:17" ht="15.75" customHeight="1">
      <c r="A39" s="820" t="s">
        <v>103</v>
      </c>
      <c r="B39" s="820"/>
      <c r="C39" s="821"/>
      <c r="D39" s="848" t="str">
        <f>'Bilancio di Verifica'!A34</f>
        <v>Canoni di Leasing</v>
      </c>
      <c r="E39" s="848"/>
      <c r="F39" s="821"/>
      <c r="G39" s="837" t="s">
        <v>796</v>
      </c>
      <c r="H39" s="837"/>
      <c r="I39" s="821"/>
      <c r="J39" s="820" t="s">
        <v>101</v>
      </c>
      <c r="K39" s="820"/>
      <c r="L39" s="821"/>
      <c r="M39" s="849" t="s">
        <v>804</v>
      </c>
      <c r="N39" s="849"/>
      <c r="O39" s="821"/>
      <c r="P39" s="823" t="s">
        <v>803</v>
      </c>
      <c r="Q39" s="823"/>
    </row>
    <row r="40" spans="1:17" ht="15.75" customHeight="1">
      <c r="A40" s="821">
        <v>16516.669999999998</v>
      </c>
      <c r="B40" s="840">
        <v>16516.669999999998</v>
      </c>
      <c r="C40" s="821"/>
      <c r="D40" s="824">
        <f>'Bilancio di Verifica'!B34</f>
        <v>14602.4</v>
      </c>
      <c r="E40" s="827">
        <v>4880</v>
      </c>
      <c r="F40" s="821"/>
      <c r="G40" s="850">
        <v>12000</v>
      </c>
      <c r="H40" s="851">
        <v>12000</v>
      </c>
      <c r="I40" s="821"/>
      <c r="J40" s="821">
        <v>16766.669999999998</v>
      </c>
      <c r="K40" s="832">
        <v>16766.669999999998</v>
      </c>
      <c r="L40" s="821"/>
      <c r="M40" s="852">
        <v>203539.66</v>
      </c>
      <c r="N40" s="835">
        <v>203539.66</v>
      </c>
      <c r="O40" s="821"/>
      <c r="P40" s="826">
        <v>23826.07</v>
      </c>
      <c r="Q40" s="835">
        <v>23826.07</v>
      </c>
    </row>
    <row r="41" spans="1:17" ht="15.75" customHeight="1">
      <c r="A41" s="821"/>
      <c r="B41" s="836"/>
      <c r="C41" s="821"/>
      <c r="D41" s="853"/>
      <c r="E41" s="821">
        <v>4000.99</v>
      </c>
      <c r="F41" s="821"/>
      <c r="G41" s="834"/>
      <c r="H41" s="831"/>
      <c r="I41" s="821"/>
      <c r="J41" s="821"/>
      <c r="K41" s="819"/>
      <c r="L41" s="821"/>
      <c r="M41" s="821"/>
      <c r="N41" s="836"/>
      <c r="O41" s="821"/>
      <c r="P41" s="821"/>
      <c r="Q41" s="836"/>
    </row>
    <row r="42" spans="1:17" ht="15.75" customHeight="1">
      <c r="A42" s="821"/>
      <c r="B42" s="833"/>
      <c r="C42" s="821"/>
      <c r="D42" s="835"/>
      <c r="E42" s="832">
        <v>5721.41</v>
      </c>
      <c r="F42" s="821"/>
      <c r="G42" s="834"/>
      <c r="H42" s="821"/>
      <c r="I42" s="821"/>
      <c r="J42" s="821"/>
      <c r="K42" s="833"/>
      <c r="L42" s="821"/>
      <c r="M42" s="821"/>
      <c r="N42" s="833"/>
      <c r="O42" s="821"/>
      <c r="P42" s="821"/>
      <c r="Q42" s="833"/>
    </row>
    <row r="43" spans="1:17" ht="15.75" customHeight="1">
      <c r="A43" s="821"/>
      <c r="B43" s="821"/>
      <c r="C43" s="821"/>
      <c r="D43" s="821"/>
      <c r="E43" s="821"/>
      <c r="F43" s="821"/>
      <c r="G43" s="821"/>
      <c r="H43" s="821"/>
      <c r="I43" s="821"/>
      <c r="J43" s="821"/>
      <c r="K43" s="821"/>
      <c r="L43" s="821"/>
      <c r="M43" s="821"/>
      <c r="N43" s="821"/>
      <c r="O43" s="821"/>
      <c r="P43" s="821"/>
      <c r="Q43" s="821"/>
    </row>
    <row r="44" spans="1:17" ht="15.75" customHeight="1">
      <c r="A44" s="821"/>
      <c r="B44" s="821"/>
      <c r="C44" s="821"/>
      <c r="D44" s="821"/>
      <c r="E44" s="821"/>
      <c r="F44" s="821"/>
      <c r="G44" s="821"/>
      <c r="H44" s="821"/>
      <c r="I44" s="821"/>
      <c r="J44" s="821"/>
      <c r="K44" s="821"/>
      <c r="L44" s="821"/>
      <c r="M44" s="821"/>
      <c r="N44" s="821"/>
      <c r="O44" s="821"/>
      <c r="P44" s="821"/>
      <c r="Q44" s="821"/>
    </row>
    <row r="45" spans="1:17" ht="15.75" customHeight="1">
      <c r="A45" s="821"/>
      <c r="B45" s="821"/>
      <c r="C45" s="821"/>
      <c r="D45" s="821"/>
      <c r="E45" s="821"/>
      <c r="F45" s="821"/>
      <c r="G45" s="821"/>
      <c r="H45" s="821"/>
      <c r="I45" s="821"/>
      <c r="J45" s="821"/>
      <c r="K45" s="821"/>
      <c r="L45" s="821"/>
      <c r="M45" s="821"/>
      <c r="N45" s="821"/>
      <c r="O45" s="821"/>
      <c r="P45" s="821"/>
      <c r="Q45" s="821"/>
    </row>
    <row r="46" spans="1:17" ht="15.75" customHeight="1">
      <c r="A46" s="820" t="s">
        <v>100</v>
      </c>
      <c r="B46" s="820"/>
      <c r="C46" s="821"/>
      <c r="D46" s="823" t="s">
        <v>25</v>
      </c>
      <c r="E46" s="823"/>
      <c r="F46" s="821"/>
      <c r="G46" s="823" t="s">
        <v>794</v>
      </c>
      <c r="H46" s="823"/>
      <c r="I46" s="821"/>
      <c r="J46" s="823" t="s">
        <v>160</v>
      </c>
      <c r="K46" s="823"/>
      <c r="L46" s="821"/>
      <c r="M46" s="823" t="s">
        <v>97</v>
      </c>
      <c r="N46" s="823"/>
      <c r="O46" s="821"/>
      <c r="P46" s="820" t="str">
        <f>'Bilancio di Verifica'!A44</f>
        <v>IVA a debito</v>
      </c>
      <c r="Q46" s="820"/>
    </row>
    <row r="47" spans="1:17" ht="15.75" customHeight="1">
      <c r="A47" s="854">
        <v>5036.57</v>
      </c>
      <c r="B47" s="827">
        <v>4500</v>
      </c>
      <c r="C47" s="821"/>
      <c r="D47" s="824">
        <v>2326.59</v>
      </c>
      <c r="E47" s="840">
        <f>SUM(D47:D51)</f>
        <v>2948.0000000000005</v>
      </c>
      <c r="F47" s="821"/>
      <c r="G47" s="831">
        <v>33250</v>
      </c>
      <c r="H47" s="826">
        <v>33250</v>
      </c>
      <c r="I47" s="821"/>
      <c r="J47" s="841">
        <v>11000</v>
      </c>
      <c r="K47" s="839">
        <v>11000</v>
      </c>
      <c r="L47" s="821"/>
      <c r="M47" s="841">
        <v>8250</v>
      </c>
      <c r="N47" s="827">
        <v>8250</v>
      </c>
      <c r="O47" s="821"/>
      <c r="P47" s="831">
        <v>37720</v>
      </c>
      <c r="Q47" s="855">
        <f>'Bilancio di Verifica'!C44</f>
        <v>36620</v>
      </c>
    </row>
    <row r="48" spans="1:17" ht="15.75" customHeight="1">
      <c r="A48" s="821"/>
      <c r="B48" s="833">
        <v>375</v>
      </c>
      <c r="C48" s="821"/>
      <c r="D48" s="821">
        <v>375</v>
      </c>
      <c r="E48" s="836"/>
      <c r="F48" s="821"/>
      <c r="G48" s="824"/>
      <c r="H48" s="821"/>
      <c r="I48" s="821"/>
      <c r="J48" s="821"/>
      <c r="K48" s="821"/>
      <c r="L48" s="821"/>
      <c r="M48" s="819"/>
      <c r="N48" s="833"/>
      <c r="O48" s="821"/>
      <c r="P48" s="821"/>
      <c r="Q48" s="833">
        <v>1100</v>
      </c>
    </row>
    <row r="49" spans="1:17" ht="15.75" customHeight="1">
      <c r="A49" s="821"/>
      <c r="B49" s="833">
        <v>161.57</v>
      </c>
      <c r="C49" s="821"/>
      <c r="D49" s="821">
        <v>52.86</v>
      </c>
      <c r="E49" s="833"/>
      <c r="F49" s="821"/>
      <c r="G49" s="819"/>
      <c r="H49" s="819"/>
      <c r="I49" s="821"/>
      <c r="J49" s="821"/>
      <c r="K49" s="833"/>
      <c r="L49" s="821"/>
      <c r="M49" s="821"/>
      <c r="N49" s="833"/>
      <c r="O49" s="821"/>
      <c r="P49" s="819"/>
      <c r="Q49" s="833"/>
    </row>
    <row r="50" spans="1:17" ht="15.75" customHeight="1">
      <c r="A50" s="821"/>
      <c r="B50" s="821"/>
      <c r="C50" s="821"/>
      <c r="D50" s="821">
        <v>161.57</v>
      </c>
      <c r="E50" s="821"/>
      <c r="F50" s="821"/>
      <c r="G50" s="821"/>
      <c r="H50" s="821"/>
      <c r="I50" s="821"/>
      <c r="J50" s="821"/>
      <c r="K50" s="821"/>
      <c r="L50" s="821"/>
      <c r="M50" s="821"/>
      <c r="N50" s="821"/>
      <c r="O50" s="821"/>
      <c r="P50" s="821"/>
      <c r="Q50" s="821"/>
    </row>
    <row r="51" spans="1:17" ht="15.75" customHeight="1">
      <c r="A51" s="821"/>
      <c r="B51" s="821"/>
      <c r="C51" s="821"/>
      <c r="D51" s="821">
        <v>31.98</v>
      </c>
      <c r="E51" s="821"/>
      <c r="F51" s="821"/>
      <c r="G51" s="821"/>
      <c r="H51" s="821"/>
      <c r="I51" s="821"/>
      <c r="J51" s="821"/>
      <c r="K51" s="821"/>
      <c r="L51" s="821"/>
      <c r="M51" s="821"/>
      <c r="N51" s="821"/>
      <c r="O51" s="821"/>
      <c r="P51" s="821"/>
      <c r="Q51" s="821"/>
    </row>
    <row r="52" spans="1:17" ht="15.75" customHeight="1">
      <c r="A52" s="821"/>
      <c r="B52" s="821"/>
      <c r="C52" s="821"/>
      <c r="D52" s="821"/>
      <c r="E52" s="821"/>
      <c r="F52" s="821"/>
      <c r="G52" s="821"/>
      <c r="H52" s="821"/>
      <c r="I52" s="821"/>
      <c r="J52" s="821"/>
      <c r="K52" s="821"/>
      <c r="L52" s="821"/>
      <c r="M52" s="821"/>
      <c r="N52" s="821"/>
      <c r="O52" s="821"/>
      <c r="P52" s="821"/>
      <c r="Q52" s="821"/>
    </row>
    <row r="53" spans="1:17" ht="15.75" customHeight="1">
      <c r="A53" s="820" t="s">
        <v>95</v>
      </c>
      <c r="B53" s="820"/>
      <c r="C53" s="821"/>
      <c r="D53" s="820" t="str">
        <f>'Bilancio di Verifica'!A46</f>
        <v>Mutui passivi</v>
      </c>
      <c r="E53" s="820"/>
      <c r="F53" s="821"/>
      <c r="G53" s="823" t="s">
        <v>791</v>
      </c>
      <c r="H53" s="823"/>
      <c r="I53" s="821"/>
      <c r="J53" s="837" t="s">
        <v>28</v>
      </c>
      <c r="K53" s="837"/>
      <c r="L53" s="821"/>
      <c r="M53" s="823" t="s">
        <v>29</v>
      </c>
      <c r="N53" s="823"/>
      <c r="O53" s="821"/>
      <c r="P53" s="848" t="s">
        <v>126</v>
      </c>
      <c r="Q53" s="848"/>
    </row>
    <row r="54" spans="1:17" ht="15.75" customHeight="1">
      <c r="A54" s="821">
        <v>4666.67</v>
      </c>
      <c r="B54" s="841">
        <f>SUM(A54:A57)</f>
        <v>21797.66</v>
      </c>
      <c r="C54" s="821"/>
      <c r="D54" s="835">
        <f>SUM(E54:E56)</f>
        <v>227365.73</v>
      </c>
      <c r="E54" s="855">
        <f>'Bilancio di Verifica'!C46</f>
        <v>227280.89</v>
      </c>
      <c r="F54" s="821"/>
      <c r="G54" s="826">
        <f>SUM(H55+H54)</f>
        <v>96409.67</v>
      </c>
      <c r="H54" s="856">
        <v>80000</v>
      </c>
      <c r="I54" s="821"/>
      <c r="J54" s="835">
        <v>54040</v>
      </c>
      <c r="K54" s="856">
        <v>49100</v>
      </c>
      <c r="L54" s="821"/>
      <c r="M54" s="835">
        <f>SUM(N54:N55)</f>
        <v>39966.67</v>
      </c>
      <c r="N54" s="856">
        <v>23450</v>
      </c>
      <c r="O54" s="821"/>
      <c r="P54" s="857">
        <v>40906.67</v>
      </c>
      <c r="Q54" s="824">
        <v>30680</v>
      </c>
    </row>
    <row r="55" spans="1:17" ht="15.75" customHeight="1">
      <c r="A55" s="821">
        <v>4880</v>
      </c>
      <c r="B55" s="833"/>
      <c r="C55" s="821"/>
      <c r="D55" s="821"/>
      <c r="E55" s="833">
        <v>52.86</v>
      </c>
      <c r="F55" s="821"/>
      <c r="G55" s="821"/>
      <c r="H55" s="821">
        <v>16409.669999999998</v>
      </c>
      <c r="I55" s="821"/>
      <c r="J55" s="824"/>
      <c r="K55" s="821">
        <v>4940</v>
      </c>
      <c r="L55" s="821"/>
      <c r="M55" s="821"/>
      <c r="N55" s="821">
        <v>16516.669999999998</v>
      </c>
      <c r="O55" s="821"/>
      <c r="P55" s="834"/>
      <c r="Q55" s="831">
        <v>10226.67</v>
      </c>
    </row>
    <row r="56" spans="1:17" ht="15.75" customHeight="1">
      <c r="A56" s="821">
        <v>4000.99</v>
      </c>
      <c r="B56" s="833"/>
      <c r="C56" s="821"/>
      <c r="D56" s="821"/>
      <c r="E56" s="833">
        <v>31.98</v>
      </c>
      <c r="F56" s="821"/>
      <c r="G56" s="821"/>
      <c r="H56" s="833"/>
      <c r="I56" s="821"/>
      <c r="J56" s="821"/>
      <c r="K56" s="833"/>
      <c r="L56" s="821"/>
      <c r="M56" s="821"/>
      <c r="N56" s="833"/>
      <c r="O56" s="821"/>
      <c r="P56" s="834"/>
      <c r="Q56" s="821"/>
    </row>
    <row r="57" spans="1:17" ht="15.75" customHeight="1">
      <c r="A57" s="834">
        <v>8250</v>
      </c>
      <c r="B57" s="819"/>
      <c r="C57" s="821"/>
      <c r="D57" s="858"/>
      <c r="E57" s="821"/>
      <c r="F57" s="821"/>
      <c r="G57" s="821"/>
      <c r="H57" s="821"/>
      <c r="I57" s="821"/>
      <c r="J57" s="821"/>
      <c r="K57" s="821"/>
      <c r="L57" s="821"/>
      <c r="M57" s="821"/>
      <c r="N57" s="821"/>
      <c r="O57" s="821"/>
      <c r="P57" s="821"/>
      <c r="Q57" s="821"/>
    </row>
    <row r="58" spans="1:17" ht="15.75" customHeight="1">
      <c r="A58" s="821"/>
      <c r="B58" s="821"/>
      <c r="C58" s="821"/>
      <c r="D58" s="821"/>
      <c r="E58" s="821"/>
      <c r="F58" s="821"/>
      <c r="G58" s="821"/>
      <c r="H58" s="821"/>
      <c r="I58" s="821"/>
      <c r="J58" s="821"/>
      <c r="K58" s="821"/>
      <c r="L58" s="821"/>
      <c r="M58" s="821"/>
      <c r="N58" s="821"/>
      <c r="O58" s="821"/>
      <c r="P58" s="821"/>
      <c r="Q58" s="821"/>
    </row>
    <row r="59" spans="1:17" ht="15.75" customHeight="1">
      <c r="A59" s="821"/>
      <c r="B59" s="821"/>
      <c r="C59" s="821"/>
      <c r="D59" s="821"/>
      <c r="E59" s="821"/>
      <c r="F59" s="821"/>
      <c r="G59" s="821"/>
      <c r="H59" s="821"/>
      <c r="I59" s="821"/>
      <c r="J59" s="821"/>
      <c r="K59" s="821"/>
      <c r="L59" s="821"/>
      <c r="M59" s="821"/>
      <c r="N59" s="821"/>
      <c r="O59" s="821"/>
      <c r="P59" s="821"/>
      <c r="Q59" s="821"/>
    </row>
    <row r="60" spans="1:17" ht="15.75" customHeight="1">
      <c r="A60" s="823" t="s">
        <v>142</v>
      </c>
      <c r="B60" s="823"/>
      <c r="C60" s="821"/>
      <c r="D60" s="823" t="s">
        <v>124</v>
      </c>
      <c r="E60" s="823"/>
      <c r="F60" s="821"/>
      <c r="G60" s="823" t="s">
        <v>793</v>
      </c>
      <c r="H60" s="823"/>
      <c r="I60" s="821"/>
      <c r="J60" s="820" t="s">
        <v>96</v>
      </c>
      <c r="K60" s="822"/>
      <c r="L60" s="821"/>
      <c r="M60" s="820" t="s">
        <v>91</v>
      </c>
      <c r="N60" s="820"/>
      <c r="O60" s="821"/>
      <c r="P60" s="823" t="s">
        <v>92</v>
      </c>
      <c r="Q60" s="823"/>
    </row>
    <row r="61" spans="1:17" ht="15.75" customHeight="1">
      <c r="A61" s="835">
        <f>SUM(B61:B62)</f>
        <v>25666.67</v>
      </c>
      <c r="B61" s="856">
        <v>22000</v>
      </c>
      <c r="C61" s="821"/>
      <c r="D61" s="857">
        <f>SUM(E61:E62)</f>
        <v>15678</v>
      </c>
      <c r="E61" s="824">
        <v>10578</v>
      </c>
      <c r="F61" s="821"/>
      <c r="G61" s="841">
        <f>SUM(H61:H62)</f>
        <v>24000</v>
      </c>
      <c r="H61" s="839">
        <v>18000</v>
      </c>
      <c r="I61" s="821"/>
      <c r="J61" s="827">
        <v>20400</v>
      </c>
      <c r="K61" s="821">
        <v>37720</v>
      </c>
      <c r="L61" s="821"/>
      <c r="M61" s="841">
        <v>8000</v>
      </c>
      <c r="N61" s="821">
        <v>8000</v>
      </c>
      <c r="O61" s="821"/>
      <c r="P61" s="821">
        <v>11000</v>
      </c>
      <c r="Q61" s="825">
        <v>11000</v>
      </c>
    </row>
    <row r="62" spans="1:17" ht="15.75" customHeight="1">
      <c r="A62" s="824"/>
      <c r="B62" s="821">
        <v>3666.67</v>
      </c>
      <c r="C62" s="821"/>
      <c r="D62" s="834"/>
      <c r="E62" s="831">
        <v>5100</v>
      </c>
      <c r="F62" s="821"/>
      <c r="G62" s="824"/>
      <c r="H62" s="821">
        <v>6000</v>
      </c>
      <c r="I62" s="821"/>
      <c r="J62" s="825">
        <v>17320</v>
      </c>
      <c r="K62" s="819"/>
      <c r="L62" s="821"/>
      <c r="M62" s="819"/>
      <c r="N62" s="833"/>
      <c r="O62" s="821"/>
      <c r="P62" s="821"/>
      <c r="Q62" s="819"/>
    </row>
    <row r="63" spans="1:17" ht="15.75" customHeight="1">
      <c r="A63" s="819"/>
      <c r="B63" s="819"/>
      <c r="C63" s="821"/>
      <c r="D63" s="834"/>
      <c r="E63" s="821"/>
      <c r="F63" s="821"/>
      <c r="G63" s="821"/>
      <c r="H63" s="833"/>
      <c r="I63" s="821"/>
      <c r="J63" s="821"/>
      <c r="K63" s="833"/>
      <c r="L63" s="821"/>
      <c r="M63" s="821"/>
      <c r="N63" s="833"/>
      <c r="O63" s="821"/>
      <c r="P63" s="821"/>
      <c r="Q63" s="833"/>
    </row>
    <row r="64" spans="1:17" ht="15.75" customHeight="1">
      <c r="A64" s="821"/>
      <c r="B64" s="821"/>
      <c r="C64" s="821"/>
      <c r="D64" s="821"/>
      <c r="E64" s="821"/>
      <c r="F64" s="821"/>
      <c r="G64" s="821"/>
      <c r="H64" s="821"/>
      <c r="I64" s="821"/>
      <c r="J64" s="821"/>
      <c r="K64" s="821"/>
      <c r="L64" s="821"/>
      <c r="M64" s="821"/>
      <c r="N64" s="821"/>
      <c r="O64" s="821"/>
      <c r="P64" s="821"/>
      <c r="Q64" s="821"/>
    </row>
    <row r="65" spans="1:21" ht="15.75" customHeight="1">
      <c r="A65" s="821"/>
      <c r="B65" s="821"/>
      <c r="C65" s="821"/>
      <c r="D65" s="821"/>
      <c r="E65" s="821"/>
      <c r="F65" s="821"/>
      <c r="G65" s="821"/>
      <c r="H65" s="821"/>
      <c r="I65" s="821"/>
      <c r="J65" s="821"/>
      <c r="K65" s="821"/>
      <c r="L65" s="821"/>
      <c r="M65" s="821"/>
      <c r="N65" s="821"/>
      <c r="O65" s="821"/>
      <c r="P65" s="821"/>
      <c r="Q65" s="821"/>
    </row>
    <row r="66" spans="1:21" ht="15.75" customHeight="1">
      <c r="A66" s="821"/>
      <c r="B66" s="821"/>
      <c r="C66" s="821"/>
      <c r="D66" s="821"/>
      <c r="E66" s="821"/>
      <c r="F66" s="821"/>
      <c r="G66" s="821"/>
      <c r="H66" s="821"/>
      <c r="I66" s="821"/>
      <c r="J66" s="821"/>
      <c r="K66" s="821"/>
      <c r="L66" s="821"/>
      <c r="M66" s="821"/>
      <c r="N66" s="821"/>
      <c r="O66" s="821"/>
      <c r="P66" s="821"/>
      <c r="Q66" s="821"/>
    </row>
    <row r="67" spans="1:21" ht="15.75" customHeight="1">
      <c r="A67" s="848" t="str">
        <f>'Bilancio di Verifica'!A57</f>
        <v>Fondo imposte differite</v>
      </c>
      <c r="B67" s="848"/>
      <c r="C67" s="821"/>
      <c r="D67" s="837" t="s">
        <v>99</v>
      </c>
      <c r="E67" s="837"/>
      <c r="F67" s="821"/>
      <c r="G67" s="820" t="s">
        <v>94</v>
      </c>
      <c r="H67" s="820"/>
      <c r="I67" s="821"/>
      <c r="J67" s="822" t="s">
        <v>800</v>
      </c>
      <c r="K67" s="820"/>
      <c r="L67" s="821"/>
      <c r="M67" s="822" t="s">
        <v>801</v>
      </c>
      <c r="N67" s="820"/>
      <c r="O67" s="821"/>
      <c r="P67" s="820" t="str">
        <f>'Bilancio di Verifica'!A62</f>
        <v>Prodotti c/vendite</v>
      </c>
      <c r="Q67" s="820"/>
    </row>
    <row r="68" spans="1:21" ht="15.75" customHeight="1">
      <c r="A68" s="826">
        <f>SUM(B68:B69)</f>
        <v>19690</v>
      </c>
      <c r="B68" s="856">
        <v>18120</v>
      </c>
      <c r="C68" s="821"/>
      <c r="D68" s="830">
        <v>12000</v>
      </c>
      <c r="E68" s="829">
        <v>12000</v>
      </c>
      <c r="F68" s="821"/>
      <c r="G68" s="821">
        <v>5100</v>
      </c>
      <c r="H68" s="840">
        <v>5100</v>
      </c>
      <c r="I68" s="821"/>
      <c r="J68" s="851">
        <v>235.34</v>
      </c>
      <c r="K68" s="829">
        <v>235.34</v>
      </c>
      <c r="L68" s="821"/>
      <c r="M68" s="851">
        <v>22</v>
      </c>
      <c r="N68" s="829">
        <v>22</v>
      </c>
      <c r="O68" s="821"/>
      <c r="P68" s="841">
        <v>511527</v>
      </c>
      <c r="Q68" s="855">
        <f>'Bilancio di Verifica'!C62</f>
        <v>506527</v>
      </c>
    </row>
    <row r="69" spans="1:21" ht="15.75" customHeight="1">
      <c r="A69" s="821"/>
      <c r="B69" s="839">
        <v>1570</v>
      </c>
      <c r="C69" s="821"/>
      <c r="D69" s="834"/>
      <c r="E69" s="835"/>
      <c r="F69" s="821"/>
      <c r="G69" s="821"/>
      <c r="H69" s="836"/>
      <c r="I69" s="821"/>
      <c r="J69" s="834"/>
      <c r="K69" s="835"/>
      <c r="L69" s="821"/>
      <c r="M69" s="834"/>
      <c r="N69" s="835"/>
      <c r="O69" s="821"/>
      <c r="P69" s="821"/>
      <c r="Q69" s="833">
        <v>5000</v>
      </c>
    </row>
    <row r="70" spans="1:21" ht="15.75" customHeight="1">
      <c r="A70" s="835"/>
      <c r="B70" s="833"/>
      <c r="C70" s="821"/>
      <c r="D70" s="834"/>
      <c r="E70" s="821"/>
      <c r="F70" s="821"/>
      <c r="G70" s="821"/>
      <c r="H70" s="833"/>
      <c r="I70" s="821"/>
      <c r="J70" s="821"/>
      <c r="K70" s="833"/>
      <c r="L70" s="821"/>
      <c r="M70" s="821"/>
      <c r="N70" s="833"/>
      <c r="O70" s="821"/>
      <c r="P70" s="819"/>
      <c r="Q70" s="833"/>
    </row>
    <row r="71" spans="1:21" ht="15.75" customHeight="1">
      <c r="A71" s="821"/>
      <c r="B71" s="821"/>
      <c r="C71" s="821"/>
      <c r="D71" s="821"/>
      <c r="E71" s="821"/>
      <c r="F71" s="821"/>
      <c r="G71" s="821"/>
      <c r="H71" s="821"/>
      <c r="I71" s="821"/>
      <c r="J71" s="821"/>
      <c r="K71" s="821"/>
      <c r="L71" s="821"/>
      <c r="M71" s="821"/>
      <c r="N71" s="821"/>
      <c r="O71" s="821"/>
      <c r="P71" s="821"/>
      <c r="Q71" s="821"/>
    </row>
    <row r="72" spans="1:21" ht="15.75" customHeight="1">
      <c r="A72" s="821"/>
      <c r="B72" s="821"/>
      <c r="C72" s="821"/>
      <c r="D72" s="821"/>
      <c r="E72" s="821"/>
      <c r="F72" s="821"/>
      <c r="G72" s="821"/>
      <c r="H72" s="821"/>
      <c r="I72" s="821"/>
      <c r="J72" s="821"/>
      <c r="K72" s="821"/>
      <c r="L72" s="821"/>
      <c r="M72" s="821"/>
      <c r="N72" s="821"/>
      <c r="O72" s="821"/>
      <c r="P72" s="821"/>
      <c r="Q72" s="821"/>
    </row>
    <row r="73" spans="1:21" ht="15.75" customHeight="1">
      <c r="A73" s="821"/>
      <c r="B73" s="821"/>
      <c r="C73" s="821"/>
      <c r="D73" s="821"/>
      <c r="E73" s="821"/>
      <c r="F73" s="821"/>
      <c r="G73" s="821"/>
      <c r="H73" s="821"/>
      <c r="I73" s="821"/>
      <c r="J73" s="821"/>
      <c r="K73" s="821"/>
      <c r="L73" s="821"/>
      <c r="M73" s="821"/>
      <c r="N73" s="821"/>
      <c r="O73" s="821"/>
      <c r="P73" s="821"/>
      <c r="Q73" s="821"/>
    </row>
    <row r="74" spans="1:21" ht="15.75" customHeight="1">
      <c r="A74" s="820" t="str">
        <f>'Bilancio di Verifica'!A63</f>
        <v>Altri ricavi</v>
      </c>
      <c r="B74" s="820"/>
      <c r="C74" s="821"/>
      <c r="D74" s="837" t="s">
        <v>109</v>
      </c>
      <c r="E74" s="837"/>
      <c r="F74" s="821"/>
      <c r="G74" s="837" t="s">
        <v>802</v>
      </c>
      <c r="H74" s="837"/>
      <c r="I74" s="821"/>
      <c r="J74" s="820" t="str">
        <f>'Bilancio di Verifica'!A66</f>
        <v>Interessi attivi su c/c</v>
      </c>
      <c r="K74" s="820"/>
      <c r="L74" s="821"/>
      <c r="M74" s="837" t="s">
        <v>93</v>
      </c>
      <c r="N74" s="837"/>
      <c r="O74" s="821"/>
      <c r="P74" s="859" t="s">
        <v>108</v>
      </c>
      <c r="Q74" s="859"/>
    </row>
    <row r="75" spans="1:21" ht="15.75" customHeight="1">
      <c r="A75" s="821">
        <v>8000</v>
      </c>
      <c r="B75" s="855">
        <f>'Bilancio di Verifica'!C63</f>
        <v>51801.3</v>
      </c>
      <c r="C75" s="821"/>
      <c r="D75" s="821">
        <v>10000</v>
      </c>
      <c r="E75" s="841">
        <v>10000</v>
      </c>
      <c r="F75" s="821"/>
      <c r="G75" s="826">
        <v>15000</v>
      </c>
      <c r="H75" s="827">
        <f>'Bilancio di Verifica'!C65</f>
        <v>15000</v>
      </c>
      <c r="I75" s="821"/>
      <c r="J75" s="841">
        <v>4185</v>
      </c>
      <c r="K75" s="855">
        <f>'Bilancio di Verifica'!C66</f>
        <v>2835</v>
      </c>
      <c r="L75" s="821"/>
      <c r="M75" s="826">
        <v>8300</v>
      </c>
      <c r="N75" s="827">
        <v>8300</v>
      </c>
      <c r="O75" s="821"/>
      <c r="P75" s="821">
        <v>1431.82</v>
      </c>
      <c r="Q75" s="841">
        <v>1431.82</v>
      </c>
    </row>
    <row r="76" spans="1:21" ht="15.75" customHeight="1">
      <c r="A76" s="841">
        <f>B75-A75</f>
        <v>43801.3</v>
      </c>
      <c r="B76" s="833"/>
      <c r="C76" s="821"/>
      <c r="D76" s="821"/>
      <c r="E76" s="836"/>
      <c r="F76" s="821"/>
      <c r="G76" s="819"/>
      <c r="H76" s="833"/>
      <c r="I76" s="821"/>
      <c r="J76" s="821"/>
      <c r="K76" s="833">
        <v>1350</v>
      </c>
      <c r="L76" s="821"/>
      <c r="M76" s="819"/>
      <c r="N76" s="833"/>
      <c r="O76" s="821"/>
      <c r="P76" s="821"/>
      <c r="Q76" s="836"/>
    </row>
    <row r="77" spans="1:21" ht="15.75" customHeight="1">
      <c r="A77" s="821"/>
      <c r="B77" s="833"/>
      <c r="C77" s="821"/>
      <c r="D77" s="821"/>
      <c r="E77" s="833"/>
      <c r="F77" s="821"/>
      <c r="G77" s="821"/>
      <c r="H77" s="833"/>
      <c r="I77" s="821"/>
      <c r="J77" s="819"/>
      <c r="K77" s="833"/>
      <c r="L77" s="821"/>
      <c r="M77" s="821"/>
      <c r="N77" s="833"/>
      <c r="O77" s="821"/>
      <c r="P77" s="821"/>
      <c r="Q77" s="833"/>
      <c r="R77" s="54"/>
      <c r="U77" s="54"/>
    </row>
    <row r="78" spans="1:21" ht="15.75" customHeight="1">
      <c r="A78" s="860"/>
      <c r="B78" s="860"/>
      <c r="C78" s="860"/>
      <c r="D78" s="860"/>
      <c r="E78" s="860"/>
      <c r="F78" s="860"/>
      <c r="G78" s="860"/>
      <c r="H78" s="860"/>
      <c r="I78" s="860"/>
      <c r="J78" s="860"/>
      <c r="K78" s="860"/>
      <c r="L78" s="860"/>
      <c r="M78" s="860"/>
      <c r="N78" s="860"/>
      <c r="O78" s="860"/>
      <c r="P78" s="860"/>
      <c r="Q78" s="860"/>
      <c r="R78" s="103"/>
      <c r="S78" s="103"/>
      <c r="T78" s="54"/>
      <c r="U78" s="54"/>
    </row>
    <row r="79" spans="1:21" ht="15.75" customHeight="1">
      <c r="A79" s="860"/>
      <c r="B79" s="860"/>
      <c r="C79" s="860"/>
      <c r="D79" s="860"/>
      <c r="E79" s="860"/>
      <c r="F79" s="860"/>
      <c r="G79" s="860"/>
      <c r="H79" s="860"/>
      <c r="I79" s="860"/>
      <c r="J79" s="860"/>
      <c r="K79" s="860"/>
      <c r="L79" s="860"/>
      <c r="M79" s="860"/>
      <c r="N79" s="860"/>
      <c r="O79" s="860"/>
      <c r="P79" s="860"/>
      <c r="Q79" s="860"/>
      <c r="R79" s="103"/>
      <c r="S79" s="103"/>
      <c r="T79" s="54"/>
      <c r="U79" s="54"/>
    </row>
    <row r="80" spans="1:21" ht="15.75" customHeight="1">
      <c r="A80" s="821"/>
      <c r="B80" s="821"/>
      <c r="C80" s="821"/>
      <c r="D80" s="821"/>
      <c r="E80" s="821"/>
      <c r="F80" s="821"/>
      <c r="G80" s="821"/>
      <c r="H80" s="821"/>
      <c r="I80" s="821"/>
      <c r="J80" s="821"/>
      <c r="K80" s="821"/>
      <c r="L80" s="821"/>
      <c r="M80" s="821"/>
      <c r="N80" s="821"/>
      <c r="O80" s="821"/>
      <c r="P80" s="821"/>
      <c r="Q80" s="821"/>
      <c r="R80" s="54"/>
      <c r="S80" s="54"/>
      <c r="T80" s="54"/>
      <c r="U80" s="54"/>
    </row>
    <row r="81" spans="1:21" ht="15.75" customHeight="1">
      <c r="A81" s="838" t="s">
        <v>795</v>
      </c>
      <c r="B81" s="838"/>
      <c r="C81" s="821"/>
      <c r="D81" s="848" t="s">
        <v>799</v>
      </c>
      <c r="E81" s="848"/>
      <c r="F81" s="821"/>
      <c r="G81" s="819"/>
      <c r="H81" s="819"/>
      <c r="I81" s="819"/>
      <c r="J81" s="819"/>
      <c r="K81" s="819"/>
      <c r="L81" s="821"/>
      <c r="M81" s="819"/>
      <c r="N81" s="819"/>
      <c r="O81" s="821"/>
      <c r="P81" s="819"/>
      <c r="Q81" s="819"/>
      <c r="R81" s="54"/>
      <c r="U81" s="54"/>
    </row>
    <row r="82" spans="1:21" ht="15.75" customHeight="1">
      <c r="A82" s="831">
        <v>33250</v>
      </c>
      <c r="B82" s="841">
        <v>33250</v>
      </c>
      <c r="C82" s="821"/>
      <c r="D82" s="821">
        <v>52480</v>
      </c>
      <c r="E82" s="825">
        <v>52480</v>
      </c>
      <c r="F82" s="821"/>
      <c r="G82" s="819"/>
      <c r="H82" s="819"/>
      <c r="I82" s="819"/>
      <c r="J82" s="819"/>
      <c r="K82" s="819"/>
      <c r="L82" s="821"/>
      <c r="M82" s="819"/>
      <c r="N82" s="819"/>
      <c r="O82" s="821"/>
      <c r="P82" s="819"/>
      <c r="Q82" s="819"/>
      <c r="R82" s="54"/>
      <c r="U82" s="54"/>
    </row>
    <row r="83" spans="1:21" ht="15.75" customHeight="1">
      <c r="A83" s="835"/>
      <c r="B83" s="833"/>
      <c r="C83" s="821"/>
      <c r="D83" s="821"/>
      <c r="E83" s="819"/>
      <c r="F83" s="821"/>
      <c r="G83" s="819"/>
      <c r="H83" s="819"/>
      <c r="I83" s="819"/>
      <c r="J83" s="819"/>
      <c r="K83" s="819"/>
      <c r="L83" s="821"/>
      <c r="M83" s="819"/>
      <c r="N83" s="819"/>
      <c r="O83" s="821"/>
      <c r="P83" s="819"/>
      <c r="Q83" s="819"/>
      <c r="R83" s="54"/>
      <c r="U83" s="54"/>
    </row>
    <row r="84" spans="1:21" ht="15.75" customHeight="1">
      <c r="A84" s="821"/>
      <c r="B84" s="833"/>
      <c r="C84" s="821"/>
      <c r="D84" s="821"/>
      <c r="E84" s="833"/>
      <c r="F84" s="821"/>
      <c r="G84" s="819"/>
      <c r="H84" s="819"/>
      <c r="I84" s="819"/>
      <c r="J84" s="819"/>
      <c r="K84" s="819"/>
      <c r="L84" s="821"/>
      <c r="M84" s="819"/>
      <c r="N84" s="819"/>
      <c r="O84" s="821"/>
      <c r="P84" s="819"/>
      <c r="Q84" s="819"/>
      <c r="R84" s="54"/>
      <c r="U84" s="54"/>
    </row>
    <row r="85" spans="1:21" ht="15.75" customHeight="1">
      <c r="A85" s="821"/>
      <c r="B85" s="821"/>
      <c r="C85" s="821"/>
      <c r="D85" s="821"/>
      <c r="E85" s="821"/>
      <c r="F85" s="821"/>
      <c r="G85" s="821"/>
      <c r="H85" s="821"/>
      <c r="I85" s="821"/>
      <c r="J85" s="821"/>
      <c r="K85" s="821"/>
      <c r="L85" s="821"/>
      <c r="M85" s="821"/>
      <c r="N85" s="821"/>
      <c r="O85" s="821"/>
      <c r="P85" s="821"/>
      <c r="Q85" s="821"/>
      <c r="R85" s="54"/>
      <c r="S85" s="54"/>
      <c r="T85" s="54"/>
      <c r="U85" s="54"/>
    </row>
    <row r="86" spans="1:21" ht="15.75" customHeight="1">
      <c r="A86" s="821"/>
      <c r="B86" s="821"/>
      <c r="C86" s="821"/>
      <c r="D86" s="821"/>
      <c r="E86" s="821"/>
      <c r="F86" s="821"/>
      <c r="G86" s="821"/>
      <c r="H86" s="821"/>
      <c r="I86" s="821"/>
      <c r="J86" s="821"/>
      <c r="K86" s="821"/>
      <c r="L86" s="821"/>
      <c r="M86" s="821"/>
      <c r="N86" s="821"/>
      <c r="O86" s="821"/>
      <c r="P86" s="821"/>
      <c r="Q86" s="821"/>
      <c r="R86" s="54"/>
      <c r="S86" s="54"/>
      <c r="T86" s="54"/>
      <c r="U86" s="54"/>
    </row>
    <row r="87" spans="1:21" ht="15.75" customHeight="1">
      <c r="A87" s="54"/>
      <c r="B87" s="54"/>
      <c r="C87" s="54"/>
      <c r="D87" s="54"/>
      <c r="E87" s="54"/>
      <c r="F87" s="54"/>
      <c r="G87" s="54"/>
      <c r="H87" s="54"/>
      <c r="I87" s="54"/>
      <c r="J87" s="54"/>
      <c r="K87" s="54"/>
      <c r="L87" s="54"/>
      <c r="M87" s="54"/>
      <c r="N87" s="54"/>
      <c r="O87" s="54"/>
      <c r="P87" s="54"/>
      <c r="Q87" s="54"/>
      <c r="R87" s="54"/>
      <c r="S87" s="54"/>
      <c r="T87" s="54"/>
      <c r="U87" s="54"/>
    </row>
    <row r="88" spans="1:21" ht="15.75" customHeight="1" thickBot="1">
      <c r="A88" s="103"/>
      <c r="B88" s="103"/>
      <c r="C88" s="103"/>
      <c r="D88" s="103"/>
      <c r="E88" s="103"/>
      <c r="F88" s="103"/>
      <c r="G88" s="103"/>
      <c r="H88" s="103"/>
      <c r="I88" s="103"/>
      <c r="J88" s="103"/>
      <c r="K88" s="103"/>
      <c r="L88" s="103"/>
      <c r="M88" s="103"/>
      <c r="N88" s="103"/>
      <c r="O88" s="103"/>
      <c r="P88" s="103"/>
      <c r="Q88" s="103"/>
      <c r="R88" s="96"/>
    </row>
    <row r="89" spans="1:21" ht="15.75" customHeight="1">
      <c r="A89" s="466" t="s">
        <v>811</v>
      </c>
      <c r="B89" s="467"/>
      <c r="C89" s="467"/>
      <c r="D89" s="467"/>
      <c r="E89" s="467"/>
      <c r="F89" s="467"/>
      <c r="G89" s="467"/>
      <c r="H89" s="467"/>
      <c r="I89" s="467"/>
      <c r="J89" s="467"/>
      <c r="K89" s="467"/>
      <c r="L89" s="467"/>
      <c r="M89" s="467"/>
      <c r="N89" s="467"/>
      <c r="O89" s="467"/>
      <c r="P89" s="467"/>
      <c r="Q89" s="467"/>
      <c r="R89" s="468"/>
    </row>
    <row r="90" spans="1:21" ht="15.75" customHeight="1" thickBot="1">
      <c r="A90" s="469"/>
      <c r="B90" s="470"/>
      <c r="C90" s="470"/>
      <c r="D90" s="470"/>
      <c r="E90" s="470"/>
      <c r="F90" s="470"/>
      <c r="G90" s="470"/>
      <c r="H90" s="470"/>
      <c r="I90" s="470"/>
      <c r="J90" s="470"/>
      <c r="K90" s="470"/>
      <c r="L90" s="470"/>
      <c r="M90" s="470"/>
      <c r="N90" s="470"/>
      <c r="O90" s="470"/>
      <c r="P90" s="470"/>
      <c r="Q90" s="470"/>
      <c r="R90" s="471"/>
    </row>
    <row r="91" spans="1:21" ht="15.75" customHeight="1">
      <c r="A91" s="876" t="s">
        <v>805</v>
      </c>
      <c r="B91" s="877" t="s">
        <v>816</v>
      </c>
      <c r="C91" s="877"/>
      <c r="D91" s="877"/>
      <c r="E91" s="877"/>
      <c r="F91" s="877"/>
      <c r="G91" s="96"/>
      <c r="H91" s="96"/>
      <c r="I91" s="96"/>
      <c r="J91" s="96"/>
      <c r="K91" s="96"/>
      <c r="L91" s="96"/>
      <c r="M91" s="96"/>
      <c r="N91" s="96"/>
      <c r="O91" s="103"/>
      <c r="P91" s="103"/>
      <c r="Q91" s="103"/>
      <c r="R91" s="96"/>
    </row>
    <row r="92" spans="1:21" ht="15.75" customHeight="1">
      <c r="A92" s="819"/>
      <c r="B92" s="819"/>
      <c r="C92" s="819"/>
      <c r="D92" s="819"/>
      <c r="E92" s="819"/>
      <c r="F92" s="819"/>
      <c r="G92" s="819"/>
      <c r="H92" s="819"/>
      <c r="I92" s="819"/>
      <c r="J92" s="819"/>
      <c r="K92" s="819"/>
      <c r="L92" s="819"/>
      <c r="M92" s="819"/>
      <c r="N92" s="819"/>
      <c r="O92" s="821"/>
      <c r="P92" s="821"/>
      <c r="Q92" s="821"/>
      <c r="R92" s="819"/>
      <c r="S92" s="819"/>
      <c r="T92" s="819"/>
    </row>
    <row r="93" spans="1:21" ht="15.75" customHeight="1">
      <c r="A93" s="837" t="s">
        <v>151</v>
      </c>
      <c r="B93" s="837"/>
      <c r="C93" s="819"/>
      <c r="D93" s="837" t="s">
        <v>815</v>
      </c>
      <c r="E93" s="837"/>
      <c r="F93" s="819"/>
      <c r="G93" s="837" t="s">
        <v>817</v>
      </c>
      <c r="H93" s="837"/>
      <c r="I93" s="819"/>
      <c r="J93" s="837" t="s">
        <v>817</v>
      </c>
      <c r="K93" s="837"/>
      <c r="L93" s="819"/>
      <c r="M93" s="837" t="s">
        <v>16</v>
      </c>
      <c r="N93" s="837"/>
      <c r="O93" s="821"/>
      <c r="P93" s="822" t="s">
        <v>818</v>
      </c>
      <c r="Q93" s="822"/>
      <c r="R93" s="819"/>
      <c r="S93" s="819"/>
      <c r="T93" s="819"/>
    </row>
    <row r="94" spans="1:21" ht="15.75" customHeight="1">
      <c r="A94" s="831">
        <v>35666.67</v>
      </c>
      <c r="B94" s="833"/>
      <c r="C94" s="819"/>
      <c r="D94" s="835">
        <v>35666.67</v>
      </c>
      <c r="E94" s="831">
        <v>35666.67</v>
      </c>
      <c r="F94" s="819"/>
      <c r="G94" s="831">
        <v>33616.9</v>
      </c>
      <c r="H94" s="833"/>
      <c r="I94" s="819"/>
      <c r="J94" s="835">
        <v>33616.9</v>
      </c>
      <c r="K94" s="831">
        <v>33616.9</v>
      </c>
      <c r="L94" s="819"/>
      <c r="M94" s="831">
        <v>52480</v>
      </c>
      <c r="N94" s="833"/>
      <c r="O94" s="821"/>
      <c r="P94" s="835">
        <v>52480</v>
      </c>
      <c r="Q94" s="831">
        <v>52480</v>
      </c>
      <c r="R94" s="819"/>
      <c r="S94" s="819"/>
      <c r="T94" s="819"/>
    </row>
    <row r="95" spans="1:21" ht="15.75" customHeight="1">
      <c r="A95" s="846"/>
      <c r="B95" s="821"/>
      <c r="C95" s="819"/>
      <c r="D95" s="846"/>
      <c r="E95" s="821"/>
      <c r="F95" s="819"/>
      <c r="G95" s="846"/>
      <c r="H95" s="821"/>
      <c r="I95" s="819"/>
      <c r="J95" s="846"/>
      <c r="K95" s="821"/>
      <c r="L95" s="819"/>
      <c r="M95" s="846"/>
      <c r="N95" s="821"/>
      <c r="O95" s="821"/>
      <c r="P95" s="846"/>
      <c r="Q95" s="821"/>
      <c r="R95" s="819"/>
      <c r="S95" s="819"/>
      <c r="T95" s="819"/>
    </row>
    <row r="96" spans="1:21" ht="15.75" customHeight="1">
      <c r="A96" s="821"/>
      <c r="B96" s="833"/>
      <c r="C96" s="819"/>
      <c r="D96" s="821"/>
      <c r="E96" s="833"/>
      <c r="F96" s="819"/>
      <c r="G96" s="821"/>
      <c r="H96" s="833"/>
      <c r="I96" s="819"/>
      <c r="J96" s="821"/>
      <c r="K96" s="833"/>
      <c r="L96" s="819"/>
      <c r="M96" s="821"/>
      <c r="N96" s="833"/>
      <c r="O96" s="821"/>
      <c r="P96" s="821"/>
      <c r="Q96" s="833"/>
      <c r="R96" s="819"/>
      <c r="S96" s="819"/>
      <c r="T96" s="819"/>
    </row>
    <row r="97" spans="1:20" ht="15.75" customHeight="1">
      <c r="A97" s="821"/>
      <c r="B97" s="821"/>
      <c r="C97" s="819"/>
      <c r="D97" s="819"/>
      <c r="E97" s="819"/>
      <c r="F97" s="819"/>
      <c r="G97" s="819"/>
      <c r="H97" s="819"/>
      <c r="I97" s="819"/>
      <c r="J97" s="819"/>
      <c r="K97" s="819"/>
      <c r="L97" s="819"/>
      <c r="M97" s="819"/>
      <c r="N97" s="819"/>
      <c r="O97" s="821"/>
      <c r="P97" s="821"/>
      <c r="Q97" s="821"/>
      <c r="R97" s="819"/>
      <c r="S97" s="819"/>
      <c r="T97" s="819"/>
    </row>
    <row r="98" spans="1:20" ht="15.75" customHeight="1">
      <c r="A98" s="819"/>
      <c r="B98" s="819"/>
      <c r="C98" s="819"/>
      <c r="D98" s="819"/>
      <c r="E98" s="819"/>
      <c r="F98" s="819"/>
      <c r="G98" s="819"/>
      <c r="H98" s="819"/>
      <c r="I98" s="819"/>
      <c r="J98" s="819"/>
      <c r="K98" s="819"/>
      <c r="L98" s="819"/>
      <c r="M98" s="819"/>
      <c r="N98" s="819"/>
      <c r="O98" s="821"/>
      <c r="P98" s="821"/>
      <c r="Q98" s="821"/>
      <c r="R98" s="819"/>
      <c r="S98" s="819"/>
      <c r="T98" s="819"/>
    </row>
    <row r="99" spans="1:20" ht="15.75" customHeight="1">
      <c r="A99" s="819"/>
      <c r="B99" s="819"/>
      <c r="C99" s="819"/>
      <c r="D99" s="819"/>
      <c r="E99" s="819"/>
      <c r="F99" s="819"/>
      <c r="G99" s="819"/>
      <c r="H99" s="819"/>
      <c r="I99" s="819"/>
      <c r="J99" s="819"/>
      <c r="K99" s="819"/>
      <c r="L99" s="819"/>
      <c r="M99" s="819"/>
      <c r="N99" s="819"/>
      <c r="O99" s="821"/>
      <c r="P99" s="821"/>
      <c r="Q99" s="821"/>
      <c r="R99" s="819"/>
      <c r="S99" s="819"/>
      <c r="T99" s="819"/>
    </row>
    <row r="100" spans="1:20" ht="15.75" customHeight="1">
      <c r="A100" s="822" t="s">
        <v>17</v>
      </c>
      <c r="B100" s="822"/>
      <c r="C100" s="819"/>
      <c r="D100" s="822" t="s">
        <v>95</v>
      </c>
      <c r="E100" s="822"/>
      <c r="F100" s="819"/>
      <c r="G100" s="822" t="s">
        <v>40</v>
      </c>
      <c r="H100" s="822"/>
      <c r="I100" s="819"/>
      <c r="J100" s="822" t="s">
        <v>91</v>
      </c>
      <c r="K100" s="822"/>
      <c r="L100" s="819"/>
      <c r="M100" s="822" t="s">
        <v>819</v>
      </c>
      <c r="N100" s="822"/>
      <c r="O100" s="860"/>
      <c r="P100" s="861" t="s">
        <v>820</v>
      </c>
      <c r="Q100" s="861"/>
      <c r="R100" s="735"/>
      <c r="S100" s="819"/>
      <c r="T100" s="819"/>
    </row>
    <row r="101" spans="1:20" ht="15.75" customHeight="1">
      <c r="A101" s="831">
        <v>4666.67</v>
      </c>
      <c r="B101" s="831"/>
      <c r="C101" s="819"/>
      <c r="D101" s="835">
        <f>SUM(E101:E104)</f>
        <v>21797.659999999996</v>
      </c>
      <c r="E101" s="831">
        <v>4666.67</v>
      </c>
      <c r="F101" s="819"/>
      <c r="G101" s="831"/>
      <c r="H101" s="831">
        <v>8000</v>
      </c>
      <c r="I101" s="819"/>
      <c r="J101" s="831">
        <v>8000</v>
      </c>
      <c r="K101" s="835">
        <v>8000</v>
      </c>
      <c r="L101" s="819"/>
      <c r="M101" s="831">
        <v>8250</v>
      </c>
      <c r="N101" s="835"/>
      <c r="O101" s="860"/>
      <c r="P101" s="831">
        <v>4880</v>
      </c>
      <c r="Q101" s="831"/>
      <c r="R101" s="735"/>
      <c r="S101" s="819"/>
      <c r="T101" s="819"/>
    </row>
    <row r="102" spans="1:20" ht="15.75" customHeight="1">
      <c r="A102" s="846"/>
      <c r="B102" s="821"/>
      <c r="C102" s="819"/>
      <c r="D102" s="846"/>
      <c r="E102" s="821">
        <v>8250</v>
      </c>
      <c r="F102" s="819"/>
      <c r="G102" s="846"/>
      <c r="H102" s="821"/>
      <c r="I102" s="819"/>
      <c r="J102" s="846"/>
      <c r="K102" s="821"/>
      <c r="L102" s="819"/>
      <c r="M102" s="846"/>
      <c r="N102" s="821"/>
      <c r="O102" s="860"/>
      <c r="P102" s="862">
        <v>4000.99</v>
      </c>
      <c r="Q102" s="831"/>
      <c r="R102" s="735"/>
      <c r="S102" s="819"/>
      <c r="T102" s="819"/>
    </row>
    <row r="103" spans="1:20" ht="15.75" customHeight="1">
      <c r="A103" s="821"/>
      <c r="B103" s="833"/>
      <c r="C103" s="819"/>
      <c r="D103" s="821"/>
      <c r="E103" s="833">
        <v>4880</v>
      </c>
      <c r="F103" s="819"/>
      <c r="G103" s="821"/>
      <c r="H103" s="833"/>
      <c r="I103" s="819"/>
      <c r="J103" s="821"/>
      <c r="K103" s="833"/>
      <c r="L103" s="819"/>
      <c r="M103" s="821"/>
      <c r="N103" s="833"/>
      <c r="O103" s="860"/>
      <c r="P103" s="831"/>
      <c r="Q103" s="839"/>
      <c r="R103" s="735"/>
      <c r="S103" s="819"/>
      <c r="T103" s="819"/>
    </row>
    <row r="104" spans="1:20" ht="15.75" customHeight="1">
      <c r="A104" s="819"/>
      <c r="B104" s="819"/>
      <c r="C104" s="819"/>
      <c r="D104" s="819"/>
      <c r="E104" s="819">
        <v>4000.99</v>
      </c>
      <c r="F104" s="819"/>
      <c r="G104" s="819"/>
      <c r="H104" s="819"/>
      <c r="I104" s="819"/>
      <c r="J104" s="819"/>
      <c r="K104" s="819"/>
      <c r="L104" s="819"/>
      <c r="M104" s="819"/>
      <c r="N104" s="819"/>
      <c r="O104" s="860"/>
      <c r="P104" s="860"/>
      <c r="Q104" s="860"/>
      <c r="R104" s="735"/>
      <c r="S104" s="819"/>
      <c r="T104" s="819"/>
    </row>
    <row r="105" spans="1:20" ht="15.75" customHeight="1">
      <c r="A105" s="819"/>
      <c r="B105" s="819"/>
      <c r="C105" s="819"/>
      <c r="D105" s="819"/>
      <c r="E105" s="819"/>
      <c r="F105" s="819"/>
      <c r="G105" s="819"/>
      <c r="H105" s="819"/>
      <c r="I105" s="819"/>
      <c r="J105" s="819"/>
      <c r="K105" s="819"/>
      <c r="L105" s="819"/>
      <c r="M105" s="819"/>
      <c r="N105" s="819"/>
      <c r="O105" s="860"/>
      <c r="P105" s="860"/>
      <c r="Q105" s="860"/>
      <c r="R105" s="735"/>
      <c r="S105" s="819"/>
      <c r="T105" s="819"/>
    </row>
    <row r="106" spans="1:20" ht="15.75" customHeight="1">
      <c r="A106" s="819"/>
      <c r="B106" s="819"/>
      <c r="C106" s="819"/>
      <c r="D106" s="819"/>
      <c r="E106" s="819"/>
      <c r="F106" s="819"/>
      <c r="G106" s="819"/>
      <c r="H106" s="819"/>
      <c r="I106" s="819"/>
      <c r="J106" s="819"/>
      <c r="K106" s="819"/>
      <c r="L106" s="819"/>
      <c r="M106" s="819"/>
      <c r="N106" s="819"/>
      <c r="O106" s="860"/>
      <c r="P106" s="860"/>
      <c r="Q106" s="860"/>
      <c r="R106" s="735"/>
      <c r="S106" s="819"/>
      <c r="T106" s="819"/>
    </row>
    <row r="107" spans="1:20" ht="15.75" customHeight="1">
      <c r="A107" s="863" t="s">
        <v>803</v>
      </c>
      <c r="B107" s="863"/>
      <c r="C107" s="819"/>
      <c r="D107" s="863" t="s">
        <v>804</v>
      </c>
      <c r="E107" s="863"/>
      <c r="F107" s="819"/>
      <c r="G107" s="861" t="s">
        <v>821</v>
      </c>
      <c r="H107" s="861"/>
      <c r="I107" s="819"/>
      <c r="J107" s="861" t="s">
        <v>6</v>
      </c>
      <c r="K107" s="861"/>
      <c r="L107" s="819"/>
      <c r="M107" s="822" t="s">
        <v>7</v>
      </c>
      <c r="N107" s="820"/>
      <c r="O107" s="821"/>
      <c r="P107" s="822" t="s">
        <v>8</v>
      </c>
      <c r="Q107" s="820"/>
      <c r="R107" s="821"/>
      <c r="S107" s="864"/>
      <c r="T107" s="864"/>
    </row>
    <row r="108" spans="1:20" ht="15.75" customHeight="1">
      <c r="A108" s="831">
        <v>23826.07</v>
      </c>
      <c r="B108" s="835">
        <v>23826.07</v>
      </c>
      <c r="C108" s="819"/>
      <c r="D108" s="831">
        <v>203539.66</v>
      </c>
      <c r="E108" s="835">
        <v>203539.66</v>
      </c>
      <c r="F108" s="819"/>
      <c r="G108" s="831"/>
      <c r="H108" s="831">
        <f>SUM(A108+D108)</f>
        <v>227365.73</v>
      </c>
      <c r="I108" s="819"/>
      <c r="J108" s="831">
        <v>54040</v>
      </c>
      <c r="K108" s="831"/>
      <c r="L108" s="819"/>
      <c r="M108" s="865">
        <v>39966.67</v>
      </c>
      <c r="N108" s="828"/>
      <c r="O108" s="821"/>
      <c r="P108" s="865">
        <v>40906.67</v>
      </c>
      <c r="Q108" s="819"/>
      <c r="R108" s="821"/>
      <c r="S108" s="843"/>
      <c r="T108" s="866"/>
    </row>
    <row r="109" spans="1:20" ht="15.75" customHeight="1">
      <c r="A109" s="862"/>
      <c r="B109" s="831"/>
      <c r="C109" s="819"/>
      <c r="D109" s="862"/>
      <c r="E109" s="831"/>
      <c r="F109" s="819"/>
      <c r="G109" s="862"/>
      <c r="H109" s="831"/>
      <c r="I109" s="819"/>
      <c r="J109" s="858">
        <v>44460</v>
      </c>
      <c r="K109" s="831"/>
      <c r="L109" s="819"/>
      <c r="M109" s="836">
        <v>33033.33</v>
      </c>
      <c r="N109" s="819"/>
      <c r="O109" s="821"/>
      <c r="P109" s="836">
        <v>35793.33</v>
      </c>
      <c r="Q109" s="819"/>
      <c r="R109" s="821"/>
      <c r="S109" s="860"/>
      <c r="T109" s="867"/>
    </row>
    <row r="110" spans="1:20" ht="15.75" customHeight="1">
      <c r="A110" s="831"/>
      <c r="B110" s="839"/>
      <c r="C110" s="819"/>
      <c r="D110" s="831"/>
      <c r="E110" s="839"/>
      <c r="F110" s="819"/>
      <c r="G110" s="831"/>
      <c r="H110" s="839"/>
      <c r="I110" s="819"/>
      <c r="J110" s="831"/>
      <c r="K110" s="839"/>
      <c r="L110" s="819"/>
      <c r="M110" s="821"/>
      <c r="N110" s="836"/>
      <c r="O110" s="821"/>
      <c r="P110" s="821"/>
      <c r="Q110" s="833"/>
      <c r="R110" s="821"/>
      <c r="S110" s="860"/>
      <c r="T110" s="860"/>
    </row>
    <row r="111" spans="1:20" ht="15.75" customHeight="1">
      <c r="A111" s="819"/>
      <c r="B111" s="819"/>
      <c r="C111" s="819"/>
      <c r="D111" s="819"/>
      <c r="E111" s="819"/>
      <c r="F111" s="819"/>
      <c r="G111" s="819"/>
      <c r="H111" s="819"/>
      <c r="I111" s="819"/>
      <c r="J111" s="819"/>
      <c r="K111" s="819"/>
      <c r="L111" s="819"/>
      <c r="M111" s="821"/>
      <c r="N111" s="821"/>
      <c r="O111" s="821"/>
      <c r="P111" s="821"/>
      <c r="Q111" s="821"/>
      <c r="R111" s="821"/>
      <c r="S111" s="821"/>
      <c r="T111" s="821"/>
    </row>
    <row r="112" spans="1:20" ht="15.75" customHeight="1">
      <c r="A112" s="819"/>
      <c r="B112" s="819"/>
      <c r="C112" s="819"/>
      <c r="D112" s="819"/>
      <c r="E112" s="819"/>
      <c r="F112" s="819"/>
      <c r="G112" s="819"/>
      <c r="H112" s="819"/>
      <c r="I112" s="819"/>
      <c r="J112" s="819"/>
      <c r="K112" s="819"/>
      <c r="L112" s="819"/>
      <c r="M112" s="819"/>
      <c r="N112" s="819"/>
      <c r="O112" s="860"/>
      <c r="P112" s="860"/>
      <c r="Q112" s="860"/>
      <c r="R112" s="735"/>
      <c r="S112" s="819"/>
      <c r="T112" s="819"/>
    </row>
    <row r="113" spans="1:20" ht="15.75" customHeight="1">
      <c r="A113" s="819"/>
      <c r="B113" s="819"/>
      <c r="C113" s="819"/>
      <c r="D113" s="819"/>
      <c r="E113" s="819"/>
      <c r="F113" s="819"/>
      <c r="G113" s="819"/>
      <c r="H113" s="819"/>
      <c r="I113" s="819"/>
      <c r="J113" s="819"/>
      <c r="K113" s="819"/>
      <c r="L113" s="819"/>
      <c r="M113" s="819"/>
      <c r="N113" s="819"/>
      <c r="O113" s="860"/>
      <c r="P113" s="860"/>
      <c r="Q113" s="860"/>
      <c r="R113" s="735"/>
      <c r="S113" s="819"/>
      <c r="T113" s="819"/>
    </row>
    <row r="114" spans="1:20" ht="15.75" customHeight="1">
      <c r="A114" s="822" t="s">
        <v>9</v>
      </c>
      <c r="B114" s="820"/>
      <c r="C114" s="819"/>
      <c r="D114" s="837" t="s">
        <v>28</v>
      </c>
      <c r="E114" s="837"/>
      <c r="F114" s="821"/>
      <c r="G114" s="837" t="s">
        <v>29</v>
      </c>
      <c r="H114" s="837"/>
      <c r="I114" s="821"/>
      <c r="J114" s="837" t="s">
        <v>822</v>
      </c>
      <c r="K114" s="837"/>
      <c r="L114" s="819"/>
      <c r="M114" s="837" t="s">
        <v>823</v>
      </c>
      <c r="N114" s="837"/>
      <c r="O114" s="860"/>
      <c r="P114" s="837" t="s">
        <v>824</v>
      </c>
      <c r="Q114" s="837"/>
      <c r="R114" s="735"/>
      <c r="S114" s="819"/>
      <c r="T114" s="819"/>
    </row>
    <row r="115" spans="1:20" ht="15.75" customHeight="1">
      <c r="A115" s="865">
        <v>25666.67</v>
      </c>
      <c r="B115" s="819"/>
      <c r="C115" s="819"/>
      <c r="D115" s="821"/>
      <c r="E115" s="827">
        <v>54040</v>
      </c>
      <c r="F115" s="821"/>
      <c r="G115" s="821"/>
      <c r="H115" s="827">
        <v>39966.67</v>
      </c>
      <c r="I115" s="821"/>
      <c r="J115" s="821"/>
      <c r="K115" s="827">
        <v>40906.67</v>
      </c>
      <c r="L115" s="819"/>
      <c r="M115" s="821"/>
      <c r="N115" s="827">
        <v>25666.67</v>
      </c>
      <c r="O115" s="860"/>
      <c r="P115" s="821"/>
      <c r="Q115" s="827">
        <v>15678</v>
      </c>
      <c r="R115" s="735"/>
      <c r="S115" s="819"/>
      <c r="T115" s="819"/>
    </row>
    <row r="116" spans="1:20" ht="15.75" customHeight="1">
      <c r="A116" s="836">
        <v>1833.33</v>
      </c>
      <c r="B116" s="819"/>
      <c r="C116" s="819"/>
      <c r="D116" s="821"/>
      <c r="E116" s="833"/>
      <c r="F116" s="821"/>
      <c r="G116" s="821"/>
      <c r="H116" s="833"/>
      <c r="I116" s="821"/>
      <c r="J116" s="821"/>
      <c r="K116" s="833"/>
      <c r="L116" s="819"/>
      <c r="M116" s="821"/>
      <c r="N116" s="833"/>
      <c r="O116" s="860"/>
      <c r="P116" s="821"/>
      <c r="Q116" s="833"/>
      <c r="R116" s="735"/>
      <c r="S116" s="819"/>
      <c r="T116" s="819"/>
    </row>
    <row r="117" spans="1:20" ht="15" customHeight="1">
      <c r="A117" s="821"/>
      <c r="B117" s="833"/>
      <c r="C117" s="819"/>
      <c r="D117" s="835"/>
      <c r="E117" s="833"/>
      <c r="F117" s="821"/>
      <c r="G117" s="835"/>
      <c r="H117" s="833"/>
      <c r="I117" s="821"/>
      <c r="J117" s="835"/>
      <c r="K117" s="833"/>
      <c r="L117" s="819"/>
      <c r="M117" s="835"/>
      <c r="N117" s="833"/>
      <c r="O117" s="821"/>
      <c r="P117" s="835"/>
      <c r="Q117" s="833"/>
      <c r="R117" s="819"/>
      <c r="S117" s="819"/>
      <c r="T117" s="819"/>
    </row>
    <row r="118" spans="1:20" ht="15" customHeight="1">
      <c r="A118" s="819"/>
      <c r="B118" s="819"/>
      <c r="C118" s="819"/>
      <c r="D118" s="819"/>
      <c r="E118" s="819"/>
      <c r="F118" s="819"/>
      <c r="G118" s="819"/>
      <c r="H118" s="819"/>
      <c r="I118" s="819"/>
      <c r="J118" s="819"/>
      <c r="K118" s="819"/>
      <c r="L118" s="819"/>
      <c r="M118" s="819"/>
      <c r="N118" s="819"/>
      <c r="O118" s="821"/>
      <c r="P118" s="821"/>
      <c r="Q118" s="821"/>
      <c r="R118" s="819"/>
      <c r="S118" s="819"/>
      <c r="T118" s="819"/>
    </row>
    <row r="119" spans="1:20" ht="15" customHeight="1">
      <c r="A119" s="819"/>
      <c r="B119" s="819"/>
      <c r="C119" s="819"/>
      <c r="D119" s="819"/>
      <c r="E119" s="819"/>
      <c r="F119" s="819"/>
      <c r="G119" s="819"/>
      <c r="H119" s="819"/>
      <c r="I119" s="819"/>
      <c r="J119" s="819"/>
      <c r="K119" s="819"/>
      <c r="L119" s="819"/>
      <c r="M119" s="819"/>
      <c r="N119" s="819"/>
      <c r="O119" s="821"/>
      <c r="P119" s="821"/>
      <c r="Q119" s="821"/>
      <c r="R119" s="819"/>
      <c r="S119" s="819"/>
      <c r="T119" s="819"/>
    </row>
    <row r="120" spans="1:20" ht="15" customHeight="1">
      <c r="A120" s="819"/>
      <c r="B120" s="819"/>
      <c r="C120" s="819"/>
      <c r="D120" s="819"/>
      <c r="E120" s="819"/>
      <c r="F120" s="819"/>
      <c r="G120" s="819"/>
      <c r="H120" s="819"/>
      <c r="I120" s="819"/>
      <c r="J120" s="819"/>
      <c r="K120" s="819"/>
      <c r="L120" s="819"/>
      <c r="M120" s="819"/>
      <c r="N120" s="819"/>
      <c r="O120" s="821"/>
      <c r="P120" s="821"/>
      <c r="Q120" s="821"/>
      <c r="R120" s="819"/>
      <c r="S120" s="819"/>
      <c r="T120" s="819"/>
    </row>
    <row r="121" spans="1:20" ht="15" customHeight="1">
      <c r="A121" s="822" t="s">
        <v>825</v>
      </c>
      <c r="B121" s="820"/>
      <c r="C121" s="819"/>
      <c r="D121" s="823" t="s">
        <v>826</v>
      </c>
      <c r="E121" s="823"/>
      <c r="F121" s="819"/>
      <c r="G121" s="822" t="s">
        <v>827</v>
      </c>
      <c r="H121" s="822"/>
      <c r="I121" s="819"/>
      <c r="J121" s="837" t="s">
        <v>828</v>
      </c>
      <c r="K121" s="837"/>
      <c r="L121" s="819"/>
      <c r="M121" s="837" t="s">
        <v>829</v>
      </c>
      <c r="N121" s="837"/>
      <c r="O121" s="821"/>
      <c r="P121" s="837" t="s">
        <v>3</v>
      </c>
      <c r="Q121" s="837"/>
      <c r="R121" s="819"/>
      <c r="S121" s="819"/>
      <c r="T121" s="819"/>
    </row>
    <row r="122" spans="1:20" ht="15" customHeight="1">
      <c r="A122" s="828">
        <v>154322</v>
      </c>
      <c r="B122" s="819"/>
      <c r="C122" s="819"/>
      <c r="D122" s="865">
        <v>8300</v>
      </c>
      <c r="E122" s="828">
        <v>8300</v>
      </c>
      <c r="F122" s="819"/>
      <c r="G122" s="865"/>
      <c r="H122" s="865">
        <v>8300</v>
      </c>
      <c r="I122" s="819"/>
      <c r="J122" s="865">
        <v>10000</v>
      </c>
      <c r="K122" s="819"/>
      <c r="L122" s="819"/>
      <c r="M122" s="865">
        <v>12000</v>
      </c>
      <c r="N122" s="828">
        <v>12000</v>
      </c>
      <c r="O122" s="821"/>
      <c r="P122" s="819"/>
      <c r="Q122" s="865">
        <v>9000</v>
      </c>
      <c r="R122" s="819"/>
      <c r="S122" s="819"/>
      <c r="T122" s="819"/>
    </row>
    <row r="123" spans="1:20" ht="15" customHeight="1">
      <c r="A123" s="839">
        <v>15678</v>
      </c>
      <c r="B123" s="819"/>
      <c r="C123" s="819"/>
      <c r="D123" s="839"/>
      <c r="E123" s="819"/>
      <c r="F123" s="819"/>
      <c r="G123" s="839"/>
      <c r="H123" s="821">
        <v>22000</v>
      </c>
      <c r="I123" s="819"/>
      <c r="J123" s="839"/>
      <c r="K123" s="821"/>
      <c r="L123" s="819"/>
      <c r="M123" s="839"/>
      <c r="N123" s="821"/>
      <c r="O123" s="821"/>
      <c r="P123" s="839"/>
      <c r="Q123" s="821"/>
      <c r="R123" s="819"/>
      <c r="S123" s="819"/>
      <c r="T123" s="819"/>
    </row>
    <row r="124" spans="1:20" ht="15" customHeight="1">
      <c r="A124" s="821"/>
      <c r="B124" s="833"/>
      <c r="C124" s="819"/>
      <c r="D124" s="821"/>
      <c r="E124" s="833"/>
      <c r="F124" s="819"/>
      <c r="G124" s="821"/>
      <c r="H124" s="833"/>
      <c r="I124" s="819"/>
      <c r="J124" s="821"/>
      <c r="K124" s="833"/>
      <c r="L124" s="819"/>
      <c r="M124" s="821"/>
      <c r="N124" s="833"/>
      <c r="O124" s="821"/>
      <c r="P124" s="821"/>
      <c r="Q124" s="833"/>
      <c r="R124" s="819"/>
      <c r="S124" s="819"/>
      <c r="T124" s="819"/>
    </row>
    <row r="125" spans="1:20" ht="15" customHeight="1">
      <c r="A125" s="819"/>
      <c r="B125" s="819"/>
      <c r="C125" s="819"/>
      <c r="D125" s="819"/>
      <c r="E125" s="819"/>
      <c r="F125" s="819"/>
      <c r="G125" s="819"/>
      <c r="H125" s="819"/>
      <c r="I125" s="819"/>
      <c r="J125" s="819"/>
      <c r="K125" s="819"/>
      <c r="L125" s="819"/>
      <c r="M125" s="819"/>
      <c r="N125" s="819"/>
      <c r="O125" s="821"/>
      <c r="P125" s="821"/>
      <c r="Q125" s="821"/>
      <c r="R125" s="819"/>
      <c r="S125" s="819"/>
      <c r="T125" s="819"/>
    </row>
    <row r="126" spans="1:20" ht="15" customHeight="1">
      <c r="A126" s="819"/>
      <c r="B126" s="819"/>
      <c r="C126" s="819"/>
      <c r="D126" s="819"/>
      <c r="E126" s="819"/>
      <c r="F126" s="819"/>
      <c r="G126" s="819"/>
      <c r="H126" s="819"/>
      <c r="I126" s="819"/>
      <c r="J126" s="819"/>
      <c r="K126" s="819"/>
      <c r="L126" s="819"/>
      <c r="M126" s="819"/>
      <c r="N126" s="819"/>
      <c r="O126" s="821"/>
      <c r="P126" s="821"/>
      <c r="Q126" s="821"/>
      <c r="R126" s="819"/>
      <c r="S126" s="819"/>
      <c r="T126" s="819"/>
    </row>
    <row r="127" spans="1:20" ht="15" customHeight="1">
      <c r="A127" s="821"/>
      <c r="B127" s="821"/>
      <c r="C127" s="821"/>
      <c r="D127" s="821"/>
      <c r="E127" s="821"/>
      <c r="F127" s="821"/>
      <c r="G127" s="821"/>
      <c r="H127" s="821"/>
      <c r="I127" s="821"/>
      <c r="J127" s="821"/>
      <c r="K127" s="821"/>
      <c r="L127" s="821"/>
      <c r="M127" s="821"/>
      <c r="N127" s="821"/>
      <c r="O127" s="821"/>
      <c r="P127" s="821"/>
      <c r="Q127" s="821"/>
      <c r="R127" s="819"/>
      <c r="S127" s="819"/>
      <c r="T127" s="819"/>
    </row>
    <row r="128" spans="1:20" ht="15" customHeight="1">
      <c r="A128" s="837" t="s">
        <v>100</v>
      </c>
      <c r="B128" s="837"/>
      <c r="C128" s="821"/>
      <c r="D128" s="822" t="s">
        <v>17</v>
      </c>
      <c r="E128" s="822"/>
      <c r="F128" s="821"/>
      <c r="G128" s="868" t="s">
        <v>830</v>
      </c>
      <c r="H128" s="868"/>
      <c r="I128" s="821"/>
      <c r="J128" s="837" t="s">
        <v>831</v>
      </c>
      <c r="K128" s="837"/>
      <c r="L128" s="821"/>
      <c r="M128" s="822" t="s">
        <v>832</v>
      </c>
      <c r="N128" s="822"/>
      <c r="O128" s="821"/>
      <c r="P128" s="822" t="s">
        <v>8</v>
      </c>
      <c r="Q128" s="820"/>
      <c r="R128" s="819"/>
      <c r="S128" s="819"/>
      <c r="T128" s="819"/>
    </row>
    <row r="129" spans="1:20" ht="15" customHeight="1">
      <c r="A129" s="821">
        <v>4500</v>
      </c>
      <c r="B129" s="835">
        <v>4500</v>
      </c>
      <c r="C129" s="821"/>
      <c r="D129" s="821">
        <v>4500</v>
      </c>
      <c r="E129" s="835"/>
      <c r="F129" s="821"/>
      <c r="G129" s="821">
        <v>11000</v>
      </c>
      <c r="H129" s="831">
        <v>20000</v>
      </c>
      <c r="I129" s="821"/>
      <c r="J129" s="821">
        <v>5100</v>
      </c>
      <c r="K129" s="835">
        <v>5100</v>
      </c>
      <c r="L129" s="821"/>
      <c r="M129" s="821">
        <v>3900</v>
      </c>
      <c r="N129" s="835"/>
      <c r="O129" s="821"/>
      <c r="P129" s="828">
        <v>76700</v>
      </c>
      <c r="Q129" s="865">
        <v>76700</v>
      </c>
      <c r="R129" s="819"/>
      <c r="S129" s="819"/>
      <c r="T129" s="819"/>
    </row>
    <row r="130" spans="1:20" ht="15" customHeight="1">
      <c r="A130" s="839"/>
      <c r="B130" s="821"/>
      <c r="C130" s="821"/>
      <c r="D130" s="839"/>
      <c r="E130" s="821"/>
      <c r="F130" s="821"/>
      <c r="G130" s="839">
        <v>43920</v>
      </c>
      <c r="H130" s="821"/>
      <c r="I130" s="821"/>
      <c r="J130" s="839"/>
      <c r="K130" s="821"/>
      <c r="L130" s="821"/>
      <c r="M130" s="839"/>
      <c r="N130" s="821"/>
      <c r="O130" s="821"/>
      <c r="P130" s="836"/>
      <c r="Q130" s="819"/>
      <c r="R130" s="819"/>
      <c r="S130" s="819"/>
      <c r="T130" s="819"/>
    </row>
    <row r="131" spans="1:20" ht="15" customHeight="1">
      <c r="A131" s="821"/>
      <c r="B131" s="833"/>
      <c r="C131" s="821"/>
      <c r="D131" s="821"/>
      <c r="E131" s="833"/>
      <c r="F131" s="821"/>
      <c r="G131" s="821"/>
      <c r="H131" s="833"/>
      <c r="I131" s="821"/>
      <c r="J131" s="821"/>
      <c r="K131" s="833"/>
      <c r="L131" s="821"/>
      <c r="M131" s="821"/>
      <c r="N131" s="833"/>
      <c r="O131" s="821"/>
      <c r="P131" s="821"/>
      <c r="Q131" s="833"/>
      <c r="R131" s="819"/>
      <c r="S131" s="819"/>
      <c r="T131" s="819"/>
    </row>
    <row r="132" spans="1:20" ht="15" customHeight="1">
      <c r="A132" s="821"/>
      <c r="B132" s="821"/>
      <c r="C132" s="821"/>
      <c r="D132" s="821"/>
      <c r="E132" s="821"/>
      <c r="F132" s="821"/>
      <c r="G132" s="821"/>
      <c r="H132" s="821"/>
      <c r="I132" s="821"/>
      <c r="J132" s="821"/>
      <c r="K132" s="821"/>
      <c r="L132" s="821"/>
      <c r="M132" s="821"/>
      <c r="N132" s="821"/>
      <c r="O132" s="821"/>
      <c r="P132" s="821"/>
      <c r="Q132" s="821"/>
      <c r="R132" s="819"/>
      <c r="S132" s="819"/>
      <c r="T132" s="819"/>
    </row>
    <row r="133" spans="1:20" ht="15" customHeight="1">
      <c r="A133" s="821"/>
      <c r="B133" s="821"/>
      <c r="C133" s="821"/>
      <c r="D133" s="821"/>
      <c r="E133" s="821"/>
      <c r="F133" s="821"/>
      <c r="G133" s="821"/>
      <c r="H133" s="821"/>
      <c r="I133" s="821"/>
      <c r="J133" s="821"/>
      <c r="K133" s="821"/>
      <c r="L133" s="821"/>
      <c r="M133" s="821"/>
      <c r="N133" s="821"/>
      <c r="O133" s="821"/>
      <c r="P133" s="821"/>
      <c r="Q133" s="821"/>
      <c r="R133" s="819"/>
      <c r="S133" s="819"/>
      <c r="T133" s="819"/>
    </row>
    <row r="134" spans="1:20" ht="15" customHeight="1">
      <c r="A134" s="821"/>
      <c r="B134" s="821"/>
      <c r="C134" s="821"/>
      <c r="D134" s="821"/>
      <c r="E134" s="821"/>
      <c r="F134" s="821"/>
      <c r="G134" s="821"/>
      <c r="H134" s="821"/>
      <c r="I134" s="821"/>
      <c r="J134" s="821"/>
      <c r="K134" s="821"/>
      <c r="L134" s="821"/>
      <c r="M134" s="821"/>
      <c r="N134" s="821"/>
      <c r="O134" s="821"/>
      <c r="P134" s="821"/>
      <c r="Q134" s="821"/>
      <c r="R134" s="819"/>
      <c r="S134" s="819"/>
      <c r="T134" s="819"/>
    </row>
    <row r="135" spans="1:20" ht="15" customHeight="1">
      <c r="A135" s="837" t="s">
        <v>822</v>
      </c>
      <c r="B135" s="837"/>
      <c r="C135" s="821"/>
      <c r="D135" s="848" t="s">
        <v>833</v>
      </c>
      <c r="E135" s="848"/>
      <c r="F135" s="821"/>
      <c r="G135" s="848" t="s">
        <v>834</v>
      </c>
      <c r="H135" s="848"/>
      <c r="I135" s="821"/>
      <c r="J135" s="848" t="s">
        <v>835</v>
      </c>
      <c r="K135" s="848"/>
      <c r="L135" s="821"/>
      <c r="M135" s="821"/>
      <c r="N135" s="821"/>
      <c r="O135" s="821"/>
      <c r="P135" s="821"/>
      <c r="Q135" s="821"/>
      <c r="R135" s="819"/>
      <c r="S135" s="819"/>
      <c r="T135" s="819"/>
    </row>
    <row r="136" spans="1:20" ht="15" customHeight="1">
      <c r="A136" s="827">
        <v>40906.67</v>
      </c>
      <c r="B136" s="828">
        <v>40906.67</v>
      </c>
      <c r="C136" s="821"/>
      <c r="D136" s="827">
        <v>35793.33</v>
      </c>
      <c r="E136" s="827">
        <v>35793.33</v>
      </c>
      <c r="F136" s="821"/>
      <c r="G136" s="827"/>
      <c r="H136" s="827">
        <v>7920</v>
      </c>
      <c r="I136" s="821"/>
      <c r="J136" s="827"/>
      <c r="K136" s="827">
        <v>206.67</v>
      </c>
      <c r="L136" s="821"/>
      <c r="M136" s="821"/>
      <c r="N136" s="821"/>
      <c r="O136" s="821"/>
      <c r="P136" s="821"/>
      <c r="Q136" s="821"/>
      <c r="R136" s="819"/>
      <c r="S136" s="819"/>
      <c r="T136" s="819"/>
    </row>
    <row r="137" spans="1:20" ht="15" customHeight="1">
      <c r="A137" s="821"/>
      <c r="B137" s="833"/>
      <c r="C137" s="821"/>
      <c r="D137" s="821"/>
      <c r="E137" s="833"/>
      <c r="F137" s="821"/>
      <c r="G137" s="821"/>
      <c r="H137" s="833"/>
      <c r="I137" s="821"/>
      <c r="J137" s="821"/>
      <c r="K137" s="833"/>
      <c r="L137" s="821"/>
      <c r="M137" s="821"/>
      <c r="N137" s="821"/>
      <c r="O137" s="821"/>
      <c r="P137" s="821"/>
      <c r="Q137" s="821"/>
      <c r="R137" s="819"/>
      <c r="S137" s="819"/>
      <c r="T137" s="819"/>
    </row>
    <row r="138" spans="1:20" ht="15" customHeight="1">
      <c r="A138" s="835"/>
      <c r="B138" s="833"/>
      <c r="C138" s="821"/>
      <c r="D138" s="835"/>
      <c r="E138" s="833"/>
      <c r="F138" s="821"/>
      <c r="G138" s="835"/>
      <c r="H138" s="833"/>
      <c r="I138" s="821"/>
      <c r="J138" s="835"/>
      <c r="K138" s="833"/>
      <c r="L138" s="821"/>
      <c r="M138" s="821"/>
      <c r="N138" s="821"/>
      <c r="O138" s="821"/>
      <c r="P138" s="821"/>
      <c r="Q138" s="821"/>
      <c r="R138" s="819"/>
      <c r="S138" s="819"/>
      <c r="T138" s="819"/>
    </row>
    <row r="139" spans="1:20" ht="15" customHeight="1">
      <c r="A139" s="54"/>
      <c r="B139" s="54"/>
      <c r="C139" s="54"/>
      <c r="D139" s="54"/>
      <c r="E139" s="54"/>
      <c r="F139" s="54"/>
      <c r="G139" s="54"/>
      <c r="H139" s="54"/>
      <c r="I139" s="54"/>
      <c r="J139" s="54"/>
      <c r="K139" s="54"/>
      <c r="L139" s="54"/>
      <c r="M139" s="54"/>
      <c r="N139" s="54"/>
      <c r="O139" s="54"/>
      <c r="P139" s="54"/>
      <c r="Q139" s="54"/>
    </row>
    <row r="140" spans="1:20" ht="15" customHeight="1">
      <c r="A140" s="54"/>
      <c r="B140" s="54"/>
      <c r="C140" s="54"/>
      <c r="D140" s="54"/>
      <c r="E140" s="54"/>
      <c r="F140" s="54"/>
      <c r="G140" s="54"/>
      <c r="H140" s="54"/>
      <c r="I140" s="54"/>
      <c r="J140" s="54"/>
      <c r="K140" s="54"/>
      <c r="L140" s="54"/>
      <c r="M140" s="54"/>
      <c r="N140" s="54"/>
      <c r="O140" s="54"/>
      <c r="P140" s="54"/>
      <c r="Q140" s="54"/>
    </row>
    <row r="141" spans="1:20" ht="15" customHeight="1">
      <c r="A141" s="54"/>
      <c r="B141" s="54"/>
      <c r="C141" s="54"/>
      <c r="D141" s="54"/>
      <c r="E141" s="54"/>
      <c r="F141" s="54"/>
      <c r="G141" s="54"/>
      <c r="H141" s="54"/>
      <c r="I141" s="54"/>
      <c r="J141" s="54"/>
      <c r="K141" s="54"/>
      <c r="L141" s="54"/>
      <c r="M141" s="54"/>
      <c r="N141" s="54"/>
      <c r="O141" s="54"/>
      <c r="P141" s="54"/>
      <c r="Q141" s="54"/>
    </row>
    <row r="143" spans="1:20" ht="15" customHeight="1">
      <c r="A143" s="103"/>
      <c r="B143" s="103"/>
      <c r="C143" s="103"/>
      <c r="D143" s="103"/>
      <c r="E143" s="103"/>
      <c r="F143" s="103"/>
      <c r="G143" s="103"/>
      <c r="H143" s="103"/>
      <c r="I143" s="103"/>
      <c r="J143" s="103"/>
      <c r="K143" s="103"/>
      <c r="L143" s="103"/>
      <c r="M143" s="103"/>
      <c r="N143" s="103"/>
      <c r="O143" s="103"/>
    </row>
    <row r="144" spans="1:20" ht="15" customHeight="1">
      <c r="A144" s="103"/>
      <c r="B144" s="103"/>
      <c r="C144" s="103"/>
      <c r="D144" s="103"/>
      <c r="E144" s="103"/>
      <c r="F144" s="103"/>
      <c r="G144" s="103"/>
      <c r="H144" s="103"/>
      <c r="I144" s="103"/>
      <c r="J144" s="103"/>
      <c r="K144" s="103"/>
      <c r="L144" s="103"/>
      <c r="M144" s="103"/>
      <c r="N144" s="103"/>
      <c r="O144" s="103"/>
    </row>
    <row r="145" spans="1:15" ht="15" customHeight="1">
      <c r="A145" s="103"/>
      <c r="B145" s="103"/>
      <c r="C145" s="103"/>
      <c r="D145" s="103"/>
      <c r="E145" s="103"/>
      <c r="F145" s="103"/>
      <c r="G145" s="103"/>
      <c r="H145" s="103"/>
      <c r="I145" s="103"/>
      <c r="J145" s="103"/>
      <c r="K145" s="103"/>
      <c r="L145" s="103"/>
      <c r="M145" s="103"/>
      <c r="N145" s="103"/>
      <c r="O145" s="103"/>
    </row>
    <row r="146" spans="1:15" ht="15" customHeight="1">
      <c r="A146" s="103"/>
      <c r="B146" s="103"/>
      <c r="C146" s="103"/>
      <c r="D146" s="103"/>
      <c r="E146" s="103"/>
      <c r="F146" s="103"/>
      <c r="G146" s="103"/>
      <c r="H146" s="103"/>
      <c r="I146" s="103"/>
      <c r="J146" s="103"/>
      <c r="K146" s="103"/>
      <c r="L146" s="103"/>
      <c r="M146" s="103"/>
      <c r="N146" s="103"/>
      <c r="O146" s="103"/>
    </row>
    <row r="147" spans="1:15" ht="15" customHeight="1">
      <c r="A147" s="103"/>
      <c r="B147" s="103"/>
      <c r="C147" s="103"/>
      <c r="D147" s="103"/>
      <c r="E147" s="103"/>
      <c r="F147" s="103"/>
      <c r="G147" s="103"/>
      <c r="H147" s="103"/>
      <c r="I147" s="103"/>
      <c r="J147" s="103"/>
      <c r="K147" s="103"/>
      <c r="L147" s="103"/>
      <c r="M147" s="103"/>
      <c r="N147" s="103"/>
      <c r="O147" s="103"/>
    </row>
    <row r="148" spans="1:15" ht="15" customHeight="1">
      <c r="A148" s="103"/>
      <c r="B148" s="103"/>
      <c r="C148" s="103"/>
      <c r="D148" s="103"/>
      <c r="E148" s="103"/>
      <c r="F148" s="103"/>
      <c r="G148" s="103"/>
      <c r="H148" s="103"/>
      <c r="I148" s="103"/>
      <c r="J148" s="103"/>
      <c r="K148" s="103"/>
      <c r="L148" s="103"/>
      <c r="M148" s="103"/>
      <c r="N148" s="103"/>
      <c r="O148" s="103"/>
    </row>
    <row r="149" spans="1:15" ht="15" customHeight="1">
      <c r="A149" s="103"/>
      <c r="B149" s="103"/>
      <c r="C149" s="103"/>
      <c r="D149" s="103"/>
      <c r="E149" s="103"/>
      <c r="F149" s="103"/>
      <c r="G149" s="103"/>
      <c r="H149" s="103"/>
      <c r="I149" s="103"/>
      <c r="J149" s="103"/>
      <c r="K149" s="103"/>
      <c r="L149" s="103"/>
      <c r="M149" s="103"/>
      <c r="N149" s="103"/>
      <c r="O149" s="103"/>
    </row>
    <row r="150" spans="1:15" ht="15" customHeight="1">
      <c r="A150" s="103"/>
      <c r="B150" s="103"/>
      <c r="C150" s="103"/>
      <c r="D150" s="103"/>
      <c r="E150" s="103"/>
      <c r="F150" s="103"/>
      <c r="G150" s="103"/>
      <c r="H150" s="103"/>
      <c r="I150" s="103"/>
      <c r="J150" s="103"/>
      <c r="K150" s="103"/>
      <c r="L150" s="103"/>
      <c r="M150" s="103"/>
      <c r="N150" s="103"/>
      <c r="O150" s="103"/>
    </row>
    <row r="151" spans="1:15" ht="15" customHeight="1">
      <c r="A151" s="103"/>
      <c r="B151" s="103"/>
      <c r="C151" s="103"/>
      <c r="D151" s="103"/>
      <c r="E151" s="103"/>
      <c r="F151" s="103"/>
      <c r="G151" s="103"/>
      <c r="H151" s="103"/>
      <c r="I151" s="103"/>
      <c r="J151" s="103"/>
      <c r="K151" s="103"/>
      <c r="L151" s="103"/>
      <c r="M151" s="103"/>
      <c r="N151" s="103"/>
      <c r="O151" s="103"/>
    </row>
    <row r="152" spans="1:15" ht="15" customHeight="1">
      <c r="A152" s="103"/>
      <c r="B152" s="103"/>
      <c r="C152" s="103"/>
      <c r="D152" s="103"/>
      <c r="E152" s="103"/>
      <c r="F152" s="103"/>
      <c r="G152" s="103"/>
      <c r="H152" s="103"/>
      <c r="I152" s="103"/>
      <c r="J152" s="103"/>
      <c r="K152" s="103"/>
      <c r="L152" s="103"/>
      <c r="M152" s="103"/>
      <c r="N152" s="103"/>
      <c r="O152" s="103"/>
    </row>
    <row r="153" spans="1:15" ht="15" customHeight="1">
      <c r="A153" s="103"/>
      <c r="B153" s="103"/>
      <c r="C153" s="103"/>
      <c r="D153" s="103"/>
      <c r="E153" s="103"/>
      <c r="F153" s="103"/>
      <c r="G153" s="103"/>
      <c r="H153" s="103"/>
      <c r="I153" s="103"/>
      <c r="J153" s="103"/>
      <c r="K153" s="103"/>
      <c r="L153" s="103"/>
      <c r="M153" s="103"/>
      <c r="N153" s="103"/>
      <c r="O153" s="103"/>
    </row>
    <row r="154" spans="1:15" ht="15" customHeight="1">
      <c r="A154" s="103"/>
      <c r="B154" s="103"/>
      <c r="C154" s="103"/>
      <c r="D154" s="103"/>
      <c r="E154" s="103"/>
      <c r="F154" s="103"/>
      <c r="G154" s="103"/>
      <c r="H154" s="103"/>
      <c r="I154" s="103"/>
      <c r="J154" s="103"/>
      <c r="K154" s="103"/>
      <c r="L154" s="103"/>
      <c r="M154" s="103"/>
      <c r="N154" s="103"/>
      <c r="O154" s="103"/>
    </row>
    <row r="155" spans="1:15" ht="15" customHeight="1">
      <c r="A155" s="103"/>
      <c r="B155" s="103"/>
      <c r="C155" s="103"/>
      <c r="D155" s="103"/>
      <c r="E155" s="103"/>
      <c r="F155" s="103"/>
      <c r="G155" s="103"/>
      <c r="H155" s="103"/>
      <c r="I155" s="103"/>
      <c r="J155" s="103"/>
      <c r="K155" s="103"/>
      <c r="L155" s="103"/>
      <c r="M155" s="103"/>
      <c r="N155" s="103"/>
      <c r="O155" s="103"/>
    </row>
    <row r="156" spans="1:15" ht="15" customHeight="1">
      <c r="A156" s="103"/>
      <c r="B156" s="103"/>
      <c r="C156" s="103"/>
      <c r="D156" s="103"/>
      <c r="E156" s="103"/>
      <c r="F156" s="103"/>
      <c r="G156" s="103"/>
      <c r="H156" s="103"/>
      <c r="I156" s="103"/>
      <c r="J156" s="103"/>
      <c r="K156" s="103"/>
      <c r="L156" s="103"/>
      <c r="M156" s="103"/>
      <c r="N156" s="103"/>
      <c r="O156" s="103"/>
    </row>
    <row r="157" spans="1:15" ht="15" customHeight="1">
      <c r="A157" s="103"/>
      <c r="B157" s="103"/>
      <c r="C157" s="103"/>
      <c r="D157" s="103"/>
      <c r="E157" s="103"/>
      <c r="F157" s="103"/>
      <c r="G157" s="103"/>
      <c r="H157" s="103"/>
      <c r="I157" s="103"/>
      <c r="J157" s="103"/>
      <c r="K157" s="103"/>
      <c r="L157" s="103"/>
      <c r="M157" s="103"/>
      <c r="N157" s="103"/>
      <c r="O157" s="103"/>
    </row>
    <row r="158" spans="1:15" ht="15" customHeight="1">
      <c r="A158" s="103"/>
      <c r="B158" s="103"/>
      <c r="C158" s="103"/>
      <c r="D158" s="103"/>
      <c r="E158" s="103"/>
      <c r="F158" s="103"/>
      <c r="G158" s="103"/>
      <c r="H158" s="103"/>
      <c r="I158" s="103"/>
      <c r="J158" s="103"/>
      <c r="K158" s="103"/>
      <c r="L158" s="103"/>
      <c r="M158" s="103"/>
      <c r="N158" s="103"/>
      <c r="O158" s="103"/>
    </row>
    <row r="159" spans="1:15" ht="15" customHeight="1">
      <c r="A159" s="103"/>
      <c r="B159" s="103"/>
      <c r="C159" s="103"/>
      <c r="D159" s="103"/>
      <c r="E159" s="103"/>
      <c r="F159" s="103"/>
      <c r="G159" s="103"/>
      <c r="H159" s="103"/>
      <c r="I159" s="103"/>
      <c r="J159" s="103"/>
      <c r="K159" s="103"/>
      <c r="L159" s="103"/>
      <c r="M159" s="103"/>
      <c r="N159" s="103"/>
      <c r="O159" s="103"/>
    </row>
    <row r="160" spans="1:15" ht="15" customHeight="1">
      <c r="A160" s="103"/>
      <c r="B160" s="103"/>
      <c r="C160" s="103"/>
      <c r="D160" s="103"/>
      <c r="E160" s="103"/>
      <c r="F160" s="103"/>
      <c r="G160" s="103"/>
      <c r="H160" s="103"/>
      <c r="I160" s="103"/>
      <c r="J160" s="103"/>
      <c r="K160" s="103"/>
      <c r="L160" s="103"/>
      <c r="M160" s="103"/>
      <c r="N160" s="103"/>
      <c r="O160" s="103"/>
    </row>
    <row r="161" spans="1:15" ht="15" customHeight="1">
      <c r="A161" s="103"/>
      <c r="B161" s="103"/>
      <c r="C161" s="103"/>
      <c r="D161" s="103"/>
      <c r="E161" s="103"/>
      <c r="F161" s="103"/>
      <c r="G161" s="103"/>
      <c r="H161" s="103"/>
      <c r="I161" s="103"/>
      <c r="J161" s="103"/>
      <c r="K161" s="103"/>
      <c r="L161" s="103"/>
      <c r="M161" s="103"/>
      <c r="N161" s="103"/>
      <c r="O161" s="103"/>
    </row>
    <row r="162" spans="1:15" ht="15" customHeight="1">
      <c r="A162" s="103"/>
      <c r="B162" s="103"/>
      <c r="C162" s="103"/>
      <c r="D162" s="103"/>
      <c r="E162" s="103"/>
      <c r="F162" s="103"/>
      <c r="G162" s="103"/>
      <c r="H162" s="103"/>
      <c r="I162" s="103"/>
      <c r="J162" s="103"/>
      <c r="K162" s="103"/>
      <c r="L162" s="103"/>
      <c r="M162" s="103"/>
      <c r="N162" s="103"/>
      <c r="O162" s="103"/>
    </row>
    <row r="163" spans="1:15" ht="15" customHeight="1">
      <c r="A163" s="103"/>
      <c r="B163" s="103"/>
      <c r="C163" s="103"/>
      <c r="D163" s="103"/>
      <c r="E163" s="103"/>
      <c r="F163" s="103"/>
      <c r="G163" s="103"/>
      <c r="H163" s="103"/>
      <c r="I163" s="103"/>
      <c r="J163" s="103"/>
      <c r="K163" s="103"/>
      <c r="L163" s="103"/>
      <c r="M163" s="103"/>
      <c r="N163" s="103"/>
      <c r="O163" s="103"/>
    </row>
    <row r="164" spans="1:15" ht="15" customHeight="1">
      <c r="A164" s="103"/>
      <c r="B164" s="103"/>
      <c r="C164" s="103"/>
      <c r="D164" s="103"/>
      <c r="E164" s="103"/>
      <c r="F164" s="103"/>
      <c r="G164" s="103"/>
      <c r="H164" s="103"/>
      <c r="I164" s="103"/>
      <c r="J164" s="103"/>
      <c r="K164" s="103"/>
      <c r="L164" s="103"/>
      <c r="M164" s="103"/>
      <c r="N164" s="103"/>
      <c r="O164" s="103"/>
    </row>
    <row r="165" spans="1:15" ht="15" customHeight="1">
      <c r="A165" s="103"/>
      <c r="B165" s="103"/>
      <c r="C165" s="103"/>
      <c r="D165" s="103"/>
      <c r="E165" s="103"/>
      <c r="F165" s="103"/>
      <c r="G165" s="103"/>
      <c r="H165" s="103"/>
      <c r="I165" s="103"/>
      <c r="J165" s="103"/>
      <c r="K165" s="103"/>
      <c r="L165" s="103"/>
      <c r="M165" s="103"/>
      <c r="N165" s="103"/>
      <c r="O165" s="103"/>
    </row>
    <row r="166" spans="1:15" ht="15" customHeight="1">
      <c r="A166" s="103"/>
      <c r="B166" s="103"/>
      <c r="C166" s="103"/>
      <c r="D166" s="103"/>
      <c r="E166" s="103"/>
      <c r="F166" s="103"/>
      <c r="G166" s="103"/>
      <c r="H166" s="103"/>
      <c r="I166" s="103"/>
      <c r="J166" s="103"/>
      <c r="K166" s="103"/>
      <c r="L166" s="103"/>
      <c r="M166" s="103"/>
      <c r="N166" s="103"/>
      <c r="O166" s="103"/>
    </row>
    <row r="167" spans="1:15" ht="15" customHeight="1">
      <c r="A167" s="103"/>
      <c r="B167" s="103"/>
      <c r="C167" s="103"/>
      <c r="D167" s="103"/>
      <c r="E167" s="103"/>
      <c r="F167" s="103"/>
      <c r="G167" s="103"/>
      <c r="H167" s="103"/>
      <c r="I167" s="103"/>
      <c r="J167" s="103"/>
      <c r="K167" s="103"/>
      <c r="L167" s="103"/>
      <c r="M167" s="103"/>
      <c r="N167" s="103"/>
      <c r="O167" s="103"/>
    </row>
    <row r="168" spans="1:15" ht="15" customHeight="1">
      <c r="A168" s="103"/>
      <c r="B168" s="103"/>
      <c r="C168" s="103"/>
      <c r="D168" s="103"/>
      <c r="E168" s="103"/>
      <c r="F168" s="103"/>
      <c r="G168" s="103"/>
      <c r="H168" s="103"/>
      <c r="I168" s="103"/>
      <c r="J168" s="103"/>
      <c r="K168" s="103"/>
      <c r="L168" s="103"/>
      <c r="M168" s="103"/>
      <c r="N168" s="103"/>
      <c r="O168" s="103"/>
    </row>
    <row r="169" spans="1:15" ht="15" customHeight="1">
      <c r="A169" s="103"/>
      <c r="B169" s="103"/>
      <c r="C169" s="103"/>
      <c r="D169" s="103"/>
      <c r="E169" s="103"/>
      <c r="F169" s="103"/>
      <c r="G169" s="103"/>
      <c r="H169" s="103"/>
      <c r="I169" s="103"/>
      <c r="J169" s="103"/>
      <c r="K169" s="103"/>
      <c r="L169" s="103"/>
      <c r="M169" s="103"/>
      <c r="N169" s="103"/>
      <c r="O169" s="103"/>
    </row>
    <row r="170" spans="1:15" ht="15" customHeight="1">
      <c r="A170" s="103"/>
      <c r="B170" s="103"/>
      <c r="C170" s="103"/>
      <c r="D170" s="103"/>
      <c r="E170" s="103"/>
      <c r="F170" s="103"/>
      <c r="G170" s="103"/>
      <c r="H170" s="103"/>
      <c r="I170" s="103"/>
      <c r="J170" s="103"/>
      <c r="K170" s="103"/>
      <c r="L170" s="103"/>
      <c r="M170" s="103"/>
      <c r="N170" s="103"/>
      <c r="O170" s="103"/>
    </row>
    <row r="171" spans="1:15" ht="15" customHeight="1">
      <c r="A171" s="103"/>
      <c r="B171" s="103"/>
      <c r="C171" s="103"/>
      <c r="D171" s="103"/>
      <c r="E171" s="103"/>
      <c r="F171" s="103"/>
      <c r="G171" s="103"/>
      <c r="H171" s="103"/>
      <c r="I171" s="103"/>
      <c r="J171" s="103"/>
      <c r="K171" s="103"/>
      <c r="L171" s="103"/>
      <c r="M171" s="103"/>
      <c r="N171" s="103"/>
      <c r="O171" s="103"/>
    </row>
    <row r="172" spans="1:15" ht="15" customHeight="1">
      <c r="A172" s="103"/>
      <c r="B172" s="103"/>
      <c r="C172" s="103"/>
      <c r="D172" s="103"/>
      <c r="E172" s="103"/>
      <c r="F172" s="103"/>
      <c r="G172" s="103"/>
      <c r="H172" s="103"/>
      <c r="I172" s="103"/>
      <c r="J172" s="103"/>
      <c r="K172" s="103"/>
      <c r="L172" s="103"/>
      <c r="M172" s="103"/>
      <c r="N172" s="103"/>
      <c r="O172" s="103"/>
    </row>
    <row r="173" spans="1:15" ht="15" customHeight="1">
      <c r="A173" s="103"/>
      <c r="B173" s="103"/>
      <c r="C173" s="103"/>
      <c r="D173" s="103"/>
      <c r="E173" s="103"/>
      <c r="F173" s="103"/>
      <c r="G173" s="103"/>
      <c r="H173" s="103"/>
      <c r="I173" s="103"/>
      <c r="J173" s="103"/>
      <c r="K173" s="103"/>
      <c r="L173" s="103"/>
      <c r="M173" s="103"/>
      <c r="N173" s="103"/>
      <c r="O173" s="103"/>
    </row>
    <row r="174" spans="1:15" ht="15" customHeight="1">
      <c r="A174" s="103"/>
      <c r="B174" s="103"/>
      <c r="C174" s="103"/>
      <c r="D174" s="103"/>
      <c r="E174" s="103"/>
      <c r="F174" s="103"/>
      <c r="G174" s="103"/>
      <c r="H174" s="103"/>
      <c r="I174" s="103"/>
      <c r="J174" s="103"/>
      <c r="K174" s="103"/>
      <c r="L174" s="103"/>
      <c r="M174" s="103"/>
      <c r="N174" s="103"/>
      <c r="O174" s="103"/>
    </row>
    <row r="175" spans="1:15" ht="15" customHeight="1">
      <c r="A175" s="103"/>
      <c r="B175" s="103"/>
      <c r="C175" s="103"/>
      <c r="D175" s="103"/>
      <c r="E175" s="103"/>
      <c r="F175" s="103"/>
      <c r="G175" s="103"/>
      <c r="H175" s="103"/>
      <c r="I175" s="103"/>
      <c r="J175" s="103"/>
      <c r="K175" s="103"/>
      <c r="L175" s="103"/>
      <c r="M175" s="103"/>
      <c r="N175" s="103"/>
      <c r="O175" s="103"/>
    </row>
    <row r="176" spans="1:15" ht="15" customHeight="1">
      <c r="A176" s="103"/>
      <c r="B176" s="103"/>
      <c r="C176" s="103"/>
      <c r="D176" s="103"/>
      <c r="E176" s="103"/>
      <c r="F176" s="103"/>
      <c r="G176" s="103"/>
      <c r="H176" s="103"/>
      <c r="I176" s="103"/>
      <c r="J176" s="103"/>
      <c r="K176" s="103"/>
      <c r="L176" s="103"/>
      <c r="M176" s="103"/>
      <c r="N176" s="103"/>
      <c r="O176" s="103"/>
    </row>
    <row r="177" spans="1:15" ht="15" customHeight="1">
      <c r="A177" s="103"/>
      <c r="B177" s="103"/>
      <c r="C177" s="103"/>
      <c r="D177" s="103"/>
      <c r="E177" s="103"/>
      <c r="F177" s="103"/>
      <c r="G177" s="103"/>
      <c r="H177" s="103"/>
      <c r="I177" s="103"/>
      <c r="J177" s="103"/>
      <c r="K177" s="103"/>
      <c r="L177" s="103"/>
      <c r="M177" s="103"/>
      <c r="N177" s="103"/>
      <c r="O177" s="103"/>
    </row>
    <row r="178" spans="1:15" ht="15" customHeight="1">
      <c r="A178" s="103"/>
      <c r="B178" s="103"/>
      <c r="C178" s="103"/>
      <c r="D178" s="103"/>
      <c r="E178" s="103"/>
      <c r="F178" s="103"/>
      <c r="G178" s="103"/>
      <c r="H178" s="103"/>
      <c r="I178" s="103"/>
      <c r="J178" s="103"/>
      <c r="K178" s="103"/>
      <c r="L178" s="103"/>
      <c r="M178" s="103"/>
      <c r="N178" s="103"/>
      <c r="O178" s="103"/>
    </row>
    <row r="179" spans="1:15" ht="15" customHeight="1">
      <c r="A179" s="103"/>
      <c r="B179" s="103"/>
      <c r="C179" s="103"/>
      <c r="D179" s="103"/>
      <c r="E179" s="103"/>
      <c r="F179" s="103"/>
      <c r="G179" s="103"/>
      <c r="H179" s="103"/>
      <c r="I179" s="103"/>
      <c r="J179" s="103"/>
      <c r="K179" s="103"/>
      <c r="L179" s="103"/>
      <c r="M179" s="103"/>
      <c r="N179" s="103"/>
      <c r="O179" s="103"/>
    </row>
  </sheetData>
  <mergeCells count="115">
    <mergeCell ref="B91:F91"/>
    <mergeCell ref="A1:B1"/>
    <mergeCell ref="C1:D1"/>
    <mergeCell ref="K1:L1"/>
    <mergeCell ref="M1:N1"/>
    <mergeCell ref="P32:Q32"/>
    <mergeCell ref="G32:H32"/>
    <mergeCell ref="D60:E60"/>
    <mergeCell ref="P53:Q53"/>
    <mergeCell ref="D81:E81"/>
    <mergeCell ref="J67:K67"/>
    <mergeCell ref="D67:E67"/>
    <mergeCell ref="M18:N18"/>
    <mergeCell ref="M11:N11"/>
    <mergeCell ref="P4:Q4"/>
    <mergeCell ref="M67:N67"/>
    <mergeCell ref="M4:N4"/>
    <mergeCell ref="D74:E74"/>
    <mergeCell ref="A81:B81"/>
    <mergeCell ref="G11:H11"/>
    <mergeCell ref="J11:K11"/>
    <mergeCell ref="J32:K32"/>
    <mergeCell ref="D46:E46"/>
    <mergeCell ref="M25:N25"/>
    <mergeCell ref="P74:Q74"/>
    <mergeCell ref="A46:B46"/>
    <mergeCell ref="J39:K39"/>
    <mergeCell ref="D4:E4"/>
    <mergeCell ref="A39:B39"/>
    <mergeCell ref="G67:H67"/>
    <mergeCell ref="A53:B53"/>
    <mergeCell ref="J60:K60"/>
    <mergeCell ref="M46:N46"/>
    <mergeCell ref="M60:N60"/>
    <mergeCell ref="P60:Q60"/>
    <mergeCell ref="M74:N74"/>
    <mergeCell ref="A74:B74"/>
    <mergeCell ref="G74:H74"/>
    <mergeCell ref="J74:K74"/>
    <mergeCell ref="A67:B67"/>
    <mergeCell ref="P67:Q67"/>
    <mergeCell ref="D53:E53"/>
    <mergeCell ref="P46:Q46"/>
    <mergeCell ref="D39:E39"/>
    <mergeCell ref="M39:N39"/>
    <mergeCell ref="P39:Q39"/>
    <mergeCell ref="A32:B32"/>
    <mergeCell ref="D32:E32"/>
    <mergeCell ref="M32:N32"/>
    <mergeCell ref="A25:B25"/>
    <mergeCell ref="D25:E25"/>
    <mergeCell ref="P25:Q25"/>
    <mergeCell ref="P18:Q18"/>
    <mergeCell ref="G46:H46"/>
    <mergeCell ref="G39:H39"/>
    <mergeCell ref="J25:K25"/>
    <mergeCell ref="J46:K46"/>
    <mergeCell ref="G53:H53"/>
    <mergeCell ref="A11:B11"/>
    <mergeCell ref="J53:K53"/>
    <mergeCell ref="M53:N53"/>
    <mergeCell ref="A60:B60"/>
    <mergeCell ref="G25:H25"/>
    <mergeCell ref="G60:H60"/>
    <mergeCell ref="P107:Q107"/>
    <mergeCell ref="A128:B128"/>
    <mergeCell ref="D128:E128"/>
    <mergeCell ref="G128:H128"/>
    <mergeCell ref="J128:K128"/>
    <mergeCell ref="A89:R90"/>
    <mergeCell ref="A4:B4"/>
    <mergeCell ref="G4:H4"/>
    <mergeCell ref="J4:K4"/>
    <mergeCell ref="A18:B18"/>
    <mergeCell ref="D18:E18"/>
    <mergeCell ref="G18:H18"/>
    <mergeCell ref="J18:K18"/>
    <mergeCell ref="D11:E11"/>
    <mergeCell ref="P11:Q11"/>
    <mergeCell ref="A93:B93"/>
    <mergeCell ref="D93:E93"/>
    <mergeCell ref="G93:H93"/>
    <mergeCell ref="J93:K93"/>
    <mergeCell ref="M93:N93"/>
    <mergeCell ref="P93:Q93"/>
    <mergeCell ref="D100:E100"/>
    <mergeCell ref="G100:H100"/>
    <mergeCell ref="J100:K100"/>
    <mergeCell ref="A100:B100"/>
    <mergeCell ref="M100:N100"/>
    <mergeCell ref="P100:Q100"/>
    <mergeCell ref="M128:N128"/>
    <mergeCell ref="P128:Q128"/>
    <mergeCell ref="A135:B135"/>
    <mergeCell ref="D135:E135"/>
    <mergeCell ref="G135:H135"/>
    <mergeCell ref="J135:K135"/>
    <mergeCell ref="S107:T107"/>
    <mergeCell ref="A114:B114"/>
    <mergeCell ref="D114:E114"/>
    <mergeCell ref="G114:H114"/>
    <mergeCell ref="J114:K114"/>
    <mergeCell ref="M114:N114"/>
    <mergeCell ref="P114:Q114"/>
    <mergeCell ref="A121:B121"/>
    <mergeCell ref="D121:E121"/>
    <mergeCell ref="G121:H121"/>
    <mergeCell ref="J121:K121"/>
    <mergeCell ref="M121:N121"/>
    <mergeCell ref="P121:Q121"/>
    <mergeCell ref="A107:B107"/>
    <mergeCell ref="D107:E107"/>
    <mergeCell ref="G107:H107"/>
    <mergeCell ref="J107:K107"/>
    <mergeCell ref="M107:N107"/>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S411"/>
  <sheetViews>
    <sheetView zoomScale="90" workbookViewId="0">
      <selection activeCell="Q57" sqref="Q57:R57"/>
    </sheetView>
  </sheetViews>
  <sheetFormatPr baseColWidth="10" defaultColWidth="10.83203125" defaultRowHeight="15" customHeight="1"/>
  <cols>
    <col min="1" max="1" width="8.83203125" customWidth="1"/>
    <col min="2" max="2" width="7.33203125" customWidth="1"/>
    <col min="3" max="3" width="45.5" customWidth="1"/>
    <col min="4" max="4" width="9.6640625" customWidth="1"/>
    <col min="5" max="5" width="13" customWidth="1"/>
    <col min="6" max="9" width="10.83203125" customWidth="1"/>
    <col min="10" max="10" width="3.6640625" customWidth="1"/>
    <col min="11" max="11" width="8.83203125" customWidth="1"/>
    <col min="17" max="17" width="12.1640625" customWidth="1"/>
    <col min="18" max="18" width="14" customWidth="1"/>
  </cols>
  <sheetData>
    <row r="1" spans="2:19" ht="15" customHeight="1" thickBot="1"/>
    <row r="2" spans="2:19" ht="15" customHeight="1">
      <c r="B2" s="96"/>
      <c r="C2" s="526" t="s">
        <v>131</v>
      </c>
      <c r="D2" s="528" t="s">
        <v>132</v>
      </c>
      <c r="E2" s="530" t="s">
        <v>133</v>
      </c>
      <c r="F2" s="532" t="s">
        <v>1</v>
      </c>
      <c r="G2" s="507"/>
      <c r="H2" s="507"/>
      <c r="I2" s="507"/>
      <c r="J2" s="507" t="s">
        <v>776</v>
      </c>
      <c r="K2" s="507" t="s">
        <v>2</v>
      </c>
      <c r="L2" s="507"/>
      <c r="M2" s="507"/>
      <c r="N2" s="508"/>
      <c r="O2" s="520" t="s">
        <v>782</v>
      </c>
      <c r="P2" s="521"/>
      <c r="Q2" s="520" t="s">
        <v>783</v>
      </c>
      <c r="R2" s="524"/>
    </row>
    <row r="3" spans="2:19" ht="16" thickBot="1">
      <c r="B3" s="96"/>
      <c r="C3" s="527"/>
      <c r="D3" s="529"/>
      <c r="E3" s="531"/>
      <c r="F3" s="533"/>
      <c r="G3" s="509"/>
      <c r="H3" s="509"/>
      <c r="I3" s="509"/>
      <c r="J3" s="509"/>
      <c r="K3" s="509"/>
      <c r="L3" s="509"/>
      <c r="M3" s="509"/>
      <c r="N3" s="510"/>
      <c r="O3" s="522"/>
      <c r="P3" s="523"/>
      <c r="Q3" s="522"/>
      <c r="R3" s="525"/>
      <c r="S3" s="96"/>
    </row>
    <row r="4" spans="2:19" ht="16" thickBot="1">
      <c r="B4" s="96"/>
      <c r="C4" s="124" t="s">
        <v>134</v>
      </c>
      <c r="D4" s="3">
        <v>1</v>
      </c>
      <c r="E4" s="135">
        <v>44561</v>
      </c>
      <c r="F4" s="550" t="s">
        <v>135</v>
      </c>
      <c r="G4" s="502"/>
      <c r="H4" s="502"/>
      <c r="I4" s="502"/>
      <c r="J4" s="478" t="s">
        <v>776</v>
      </c>
      <c r="K4" s="483" t="s">
        <v>778</v>
      </c>
      <c r="L4" s="483"/>
      <c r="M4" s="483"/>
      <c r="N4" s="493"/>
      <c r="O4" s="477"/>
      <c r="P4" s="472"/>
      <c r="Q4" s="472">
        <v>6100</v>
      </c>
      <c r="R4" s="473"/>
      <c r="S4" s="96"/>
    </row>
    <row r="5" spans="2:19">
      <c r="B5" s="96"/>
      <c r="C5" s="125"/>
      <c r="D5" s="4"/>
      <c r="E5" s="96"/>
      <c r="F5" s="541"/>
      <c r="G5" s="542"/>
      <c r="H5" s="542"/>
      <c r="I5" s="542"/>
      <c r="J5" s="479"/>
      <c r="K5" s="480" t="s">
        <v>128</v>
      </c>
      <c r="L5" s="480"/>
      <c r="M5" s="480"/>
      <c r="N5" s="482"/>
      <c r="O5" s="477">
        <v>1100</v>
      </c>
      <c r="P5" s="472"/>
      <c r="Q5" s="472"/>
      <c r="R5" s="473"/>
      <c r="S5" s="96"/>
    </row>
    <row r="6" spans="2:19">
      <c r="B6" s="96"/>
      <c r="C6" s="125"/>
      <c r="D6" s="4"/>
      <c r="E6" s="96"/>
      <c r="F6" s="541"/>
      <c r="G6" s="542"/>
      <c r="H6" s="542"/>
      <c r="I6" s="542"/>
      <c r="J6" s="479"/>
      <c r="K6" s="480" t="s">
        <v>137</v>
      </c>
      <c r="L6" s="480"/>
      <c r="M6" s="480"/>
      <c r="N6" s="482"/>
      <c r="O6" s="477">
        <v>5000</v>
      </c>
      <c r="P6" s="472"/>
      <c r="Q6" s="472"/>
      <c r="R6" s="473"/>
      <c r="S6" s="96"/>
    </row>
    <row r="7" spans="2:19" ht="16" thickBot="1">
      <c r="B7" s="96"/>
      <c r="C7" s="126"/>
      <c r="D7" s="112"/>
      <c r="E7" s="118"/>
      <c r="F7" s="503"/>
      <c r="G7" s="504"/>
      <c r="H7" s="504"/>
      <c r="I7" s="504"/>
      <c r="J7" s="492"/>
      <c r="K7" s="504"/>
      <c r="L7" s="504"/>
      <c r="M7" s="504"/>
      <c r="N7" s="506"/>
      <c r="O7" s="497"/>
      <c r="P7" s="489"/>
      <c r="Q7" s="489"/>
      <c r="R7" s="490"/>
      <c r="S7" s="96"/>
    </row>
    <row r="8" spans="2:19" ht="16" thickBot="1">
      <c r="B8" s="96"/>
      <c r="C8" s="127" t="s">
        <v>138</v>
      </c>
      <c r="D8" s="113">
        <v>2</v>
      </c>
      <c r="E8" s="136">
        <v>44561</v>
      </c>
      <c r="F8" s="491" t="s">
        <v>40</v>
      </c>
      <c r="G8" s="483"/>
      <c r="H8" s="483"/>
      <c r="I8" s="483"/>
      <c r="J8" s="478" t="s">
        <v>776</v>
      </c>
      <c r="K8" s="484" t="s">
        <v>91</v>
      </c>
      <c r="L8" s="484"/>
      <c r="M8" s="484"/>
      <c r="N8" s="485"/>
      <c r="O8" s="486"/>
      <c r="P8" s="487"/>
      <c r="Q8" s="487">
        <v>8000</v>
      </c>
      <c r="R8" s="488"/>
      <c r="S8" s="96"/>
    </row>
    <row r="9" spans="2:19" ht="16" thickBot="1">
      <c r="B9" s="96"/>
      <c r="C9" s="126"/>
      <c r="D9" s="112"/>
      <c r="E9" s="118"/>
      <c r="F9" s="494"/>
      <c r="G9" s="495"/>
      <c r="H9" s="495"/>
      <c r="I9" s="495"/>
      <c r="J9" s="492"/>
      <c r="K9" s="495"/>
      <c r="L9" s="495"/>
      <c r="M9" s="495"/>
      <c r="N9" s="496"/>
      <c r="O9" s="497"/>
      <c r="P9" s="489"/>
      <c r="Q9" s="489"/>
      <c r="R9" s="490"/>
      <c r="S9" s="96"/>
    </row>
    <row r="10" spans="2:19" ht="16" thickBot="1">
      <c r="B10" s="96"/>
      <c r="C10" s="128" t="s">
        <v>134</v>
      </c>
      <c r="D10" s="113">
        <v>3</v>
      </c>
      <c r="E10" s="136">
        <v>44561</v>
      </c>
      <c r="F10" s="505" t="s">
        <v>92</v>
      </c>
      <c r="G10" s="484"/>
      <c r="H10" s="484"/>
      <c r="I10" s="484"/>
      <c r="J10" s="478" t="s">
        <v>776</v>
      </c>
      <c r="K10" s="483" t="s">
        <v>160</v>
      </c>
      <c r="L10" s="483"/>
      <c r="M10" s="483"/>
      <c r="N10" s="493"/>
      <c r="O10" s="486"/>
      <c r="P10" s="487"/>
      <c r="Q10" s="487">
        <v>11000</v>
      </c>
      <c r="R10" s="488"/>
      <c r="S10" s="96"/>
    </row>
    <row r="11" spans="2:19" ht="16" thickBot="1">
      <c r="B11" s="96"/>
      <c r="C11" s="126"/>
      <c r="D11" s="112"/>
      <c r="E11" s="118"/>
      <c r="F11" s="494"/>
      <c r="G11" s="495"/>
      <c r="H11" s="495"/>
      <c r="I11" s="495"/>
      <c r="J11" s="492"/>
      <c r="K11" s="495"/>
      <c r="L11" s="495"/>
      <c r="M11" s="495"/>
      <c r="N11" s="496"/>
      <c r="O11" s="497"/>
      <c r="P11" s="489"/>
      <c r="Q11" s="489"/>
      <c r="R11" s="490"/>
      <c r="S11" s="96"/>
    </row>
    <row r="12" spans="2:19" ht="16" thickBot="1">
      <c r="B12" s="96"/>
      <c r="C12" s="128" t="s">
        <v>134</v>
      </c>
      <c r="D12" s="113">
        <v>4</v>
      </c>
      <c r="E12" s="136">
        <v>44561</v>
      </c>
      <c r="F12" s="491" t="s">
        <v>778</v>
      </c>
      <c r="G12" s="483"/>
      <c r="H12" s="483"/>
      <c r="I12" s="483"/>
      <c r="J12" s="478" t="s">
        <v>776</v>
      </c>
      <c r="K12" s="484" t="s">
        <v>43</v>
      </c>
      <c r="L12" s="484"/>
      <c r="M12" s="484"/>
      <c r="N12" s="485"/>
      <c r="O12" s="486"/>
      <c r="P12" s="487"/>
      <c r="Q12" s="487">
        <v>1350</v>
      </c>
      <c r="R12" s="488"/>
      <c r="S12" s="96"/>
    </row>
    <row r="13" spans="2:19">
      <c r="B13" s="96"/>
      <c r="C13" s="125"/>
      <c r="D13" s="4"/>
      <c r="E13" s="96"/>
      <c r="F13" s="481" t="s">
        <v>3</v>
      </c>
      <c r="G13" s="480"/>
      <c r="H13" s="480"/>
      <c r="I13" s="480"/>
      <c r="J13" s="479"/>
      <c r="K13" s="480"/>
      <c r="L13" s="480"/>
      <c r="M13" s="480"/>
      <c r="N13" s="482"/>
      <c r="O13" s="477">
        <v>999</v>
      </c>
      <c r="P13" s="472"/>
      <c r="Q13" s="481"/>
      <c r="R13" s="498"/>
      <c r="S13" s="96"/>
    </row>
    <row r="14" spans="2:19">
      <c r="B14" s="96"/>
      <c r="C14" s="125"/>
      <c r="D14" s="4"/>
      <c r="E14" s="96"/>
      <c r="F14" s="481" t="s">
        <v>5</v>
      </c>
      <c r="G14" s="480"/>
      <c r="H14" s="480"/>
      <c r="I14" s="480"/>
      <c r="J14" s="479"/>
      <c r="K14" s="480"/>
      <c r="L14" s="480"/>
      <c r="M14" s="480"/>
      <c r="N14" s="482"/>
      <c r="O14" s="477">
        <v>351</v>
      </c>
      <c r="P14" s="472"/>
      <c r="Q14" s="472"/>
      <c r="R14" s="473"/>
      <c r="S14" s="96"/>
    </row>
    <row r="15" spans="2:19" ht="16" thickBot="1">
      <c r="B15" s="96"/>
      <c r="C15" s="126"/>
      <c r="D15" s="112"/>
      <c r="E15" s="118"/>
      <c r="F15" s="494"/>
      <c r="G15" s="495"/>
      <c r="H15" s="495"/>
      <c r="I15" s="495"/>
      <c r="J15" s="492"/>
      <c r="K15" s="495"/>
      <c r="L15" s="495"/>
      <c r="M15" s="495"/>
      <c r="N15" s="496"/>
      <c r="O15" s="497"/>
      <c r="P15" s="489"/>
      <c r="Q15" s="489"/>
      <c r="R15" s="490"/>
      <c r="S15" s="96"/>
    </row>
    <row r="16" spans="2:19" ht="16" thickBot="1">
      <c r="B16" s="96"/>
      <c r="C16" s="128" t="s">
        <v>134</v>
      </c>
      <c r="D16" s="113">
        <v>5</v>
      </c>
      <c r="E16" s="136">
        <v>44561</v>
      </c>
      <c r="F16" s="505" t="s">
        <v>139</v>
      </c>
      <c r="G16" s="484"/>
      <c r="H16" s="484"/>
      <c r="I16" s="484"/>
      <c r="J16" s="478" t="s">
        <v>776</v>
      </c>
      <c r="K16" s="483" t="s">
        <v>778</v>
      </c>
      <c r="L16" s="483"/>
      <c r="M16" s="483"/>
      <c r="N16" s="493"/>
      <c r="O16" s="486"/>
      <c r="P16" s="487"/>
      <c r="Q16" s="487">
        <v>16766.669999999998</v>
      </c>
      <c r="R16" s="488"/>
      <c r="S16" s="96"/>
    </row>
    <row r="17" spans="2:19">
      <c r="B17" s="96"/>
      <c r="C17" s="125"/>
      <c r="D17" s="4"/>
      <c r="E17" s="96"/>
      <c r="F17" s="481"/>
      <c r="G17" s="480"/>
      <c r="H17" s="480"/>
      <c r="I17" s="480"/>
      <c r="J17" s="479"/>
      <c r="K17" s="475" t="s">
        <v>791</v>
      </c>
      <c r="L17" s="475"/>
      <c r="M17" s="475"/>
      <c r="N17" s="476"/>
      <c r="O17" s="477">
        <v>16409.669999999998</v>
      </c>
      <c r="P17" s="472"/>
      <c r="Q17" s="472"/>
      <c r="R17" s="473"/>
      <c r="S17" s="96"/>
    </row>
    <row r="18" spans="2:19">
      <c r="B18" s="96"/>
      <c r="C18" s="125"/>
      <c r="D18" s="4"/>
      <c r="E18" s="96"/>
      <c r="F18" s="481"/>
      <c r="G18" s="480"/>
      <c r="H18" s="480"/>
      <c r="I18" s="480"/>
      <c r="J18" s="479"/>
      <c r="K18" s="480" t="s">
        <v>102</v>
      </c>
      <c r="L18" s="480"/>
      <c r="M18" s="480"/>
      <c r="N18" s="482"/>
      <c r="O18" s="477">
        <v>357</v>
      </c>
      <c r="P18" s="472"/>
      <c r="Q18" s="472"/>
      <c r="R18" s="473"/>
      <c r="S18" s="96"/>
    </row>
    <row r="19" spans="2:19" ht="15.75" customHeight="1" thickBot="1">
      <c r="B19" s="96"/>
      <c r="C19" s="126"/>
      <c r="D19" s="112"/>
      <c r="E19" s="118"/>
      <c r="F19" s="494"/>
      <c r="G19" s="495"/>
      <c r="H19" s="495"/>
      <c r="I19" s="495"/>
      <c r="J19" s="492"/>
      <c r="K19" s="495"/>
      <c r="L19" s="495"/>
      <c r="M19" s="495"/>
      <c r="N19" s="496"/>
      <c r="O19" s="497"/>
      <c r="P19" s="489"/>
      <c r="Q19" s="489"/>
      <c r="R19" s="490"/>
      <c r="S19" s="96"/>
    </row>
    <row r="20" spans="2:19" ht="15.75" customHeight="1" thickBot="1">
      <c r="B20" s="96"/>
      <c r="C20" s="128" t="s">
        <v>134</v>
      </c>
      <c r="D20" s="113">
        <v>6</v>
      </c>
      <c r="E20" s="136">
        <v>44561</v>
      </c>
      <c r="F20" s="505" t="s">
        <v>140</v>
      </c>
      <c r="G20" s="484"/>
      <c r="H20" s="484"/>
      <c r="I20" s="484"/>
      <c r="J20" s="478" t="s">
        <v>776</v>
      </c>
      <c r="K20" s="484" t="s">
        <v>120</v>
      </c>
      <c r="L20" s="484"/>
      <c r="M20" s="484"/>
      <c r="N20" s="485"/>
      <c r="O20" s="486"/>
      <c r="P20" s="487"/>
      <c r="Q20" s="487">
        <v>8300</v>
      </c>
      <c r="R20" s="488"/>
      <c r="S20" s="96"/>
    </row>
    <row r="21" spans="2:19" ht="15.75" customHeight="1" thickBot="1">
      <c r="B21" s="96"/>
      <c r="C21" s="126"/>
      <c r="D21" s="112"/>
      <c r="E21" s="118"/>
      <c r="F21" s="494"/>
      <c r="G21" s="495"/>
      <c r="H21" s="495"/>
      <c r="I21" s="495"/>
      <c r="J21" s="492"/>
      <c r="K21" s="495"/>
      <c r="L21" s="495"/>
      <c r="M21" s="495"/>
      <c r="N21" s="496"/>
      <c r="O21" s="497"/>
      <c r="P21" s="489"/>
      <c r="Q21" s="489"/>
      <c r="R21" s="490"/>
      <c r="S21" s="96"/>
    </row>
    <row r="22" spans="2:19" ht="15.75" customHeight="1" thickBot="1">
      <c r="B22" s="96"/>
      <c r="C22" s="127" t="s">
        <v>138</v>
      </c>
      <c r="D22" s="113">
        <v>7</v>
      </c>
      <c r="E22" s="136">
        <v>44561</v>
      </c>
      <c r="F22" s="505" t="s">
        <v>94</v>
      </c>
      <c r="G22" s="484"/>
      <c r="H22" s="484"/>
      <c r="I22" s="484"/>
      <c r="J22" s="478" t="s">
        <v>776</v>
      </c>
      <c r="K22" s="484" t="s">
        <v>31</v>
      </c>
      <c r="L22" s="484"/>
      <c r="M22" s="484"/>
      <c r="N22" s="485"/>
      <c r="O22" s="486"/>
      <c r="P22" s="487"/>
      <c r="Q22" s="487">
        <v>5100</v>
      </c>
      <c r="R22" s="488"/>
      <c r="S22" s="96"/>
    </row>
    <row r="23" spans="2:19" ht="15.75" customHeight="1" thickBot="1">
      <c r="B23" s="96"/>
      <c r="C23" s="126"/>
      <c r="D23" s="112"/>
      <c r="E23" s="118"/>
      <c r="F23" s="494"/>
      <c r="G23" s="495"/>
      <c r="H23" s="495"/>
      <c r="I23" s="495"/>
      <c r="J23" s="492"/>
      <c r="K23" s="495"/>
      <c r="L23" s="495"/>
      <c r="M23" s="495"/>
      <c r="N23" s="496"/>
      <c r="O23" s="497"/>
      <c r="P23" s="489"/>
      <c r="Q23" s="489"/>
      <c r="R23" s="490"/>
      <c r="S23" s="96"/>
    </row>
    <row r="24" spans="2:19" ht="15.75" customHeight="1" thickBot="1">
      <c r="B24" s="96"/>
      <c r="C24" s="127" t="s">
        <v>138</v>
      </c>
      <c r="D24" s="113">
        <v>8</v>
      </c>
      <c r="E24" s="136">
        <v>44561</v>
      </c>
      <c r="F24" s="505" t="s">
        <v>95</v>
      </c>
      <c r="G24" s="484"/>
      <c r="H24" s="484"/>
      <c r="I24" s="484"/>
      <c r="J24" s="478" t="s">
        <v>776</v>
      </c>
      <c r="K24" s="484" t="s">
        <v>17</v>
      </c>
      <c r="L24" s="484"/>
      <c r="M24" s="484"/>
      <c r="N24" s="485"/>
      <c r="O24" s="486"/>
      <c r="P24" s="487"/>
      <c r="Q24" s="487">
        <v>4666.67</v>
      </c>
      <c r="R24" s="488"/>
      <c r="S24" s="96"/>
    </row>
    <row r="25" spans="2:19" ht="15.75" customHeight="1" thickBot="1">
      <c r="B25" s="96"/>
      <c r="C25" s="126"/>
      <c r="D25" s="112"/>
      <c r="E25" s="118"/>
      <c r="F25" s="494"/>
      <c r="G25" s="495"/>
      <c r="H25" s="495"/>
      <c r="I25" s="495"/>
      <c r="J25" s="492"/>
      <c r="K25" s="495"/>
      <c r="L25" s="495"/>
      <c r="M25" s="495"/>
      <c r="N25" s="496"/>
      <c r="O25" s="497"/>
      <c r="P25" s="489"/>
      <c r="Q25" s="489"/>
      <c r="R25" s="490"/>
      <c r="S25" s="96"/>
    </row>
    <row r="26" spans="2:19" ht="15.75" customHeight="1" thickBot="1">
      <c r="B26" s="96"/>
      <c r="C26" s="141" t="s">
        <v>862</v>
      </c>
      <c r="D26" s="114" t="s">
        <v>836</v>
      </c>
      <c r="E26" s="136">
        <v>44561</v>
      </c>
      <c r="F26" s="505" t="s">
        <v>96</v>
      </c>
      <c r="G26" s="484"/>
      <c r="H26" s="484"/>
      <c r="I26" s="484"/>
      <c r="J26" s="478" t="s">
        <v>776</v>
      </c>
      <c r="K26" s="483" t="s">
        <v>792</v>
      </c>
      <c r="L26" s="483"/>
      <c r="M26" s="483"/>
      <c r="N26" s="493"/>
      <c r="O26" s="486"/>
      <c r="P26" s="487"/>
      <c r="Q26" s="487">
        <v>20400</v>
      </c>
      <c r="R26" s="488"/>
      <c r="S26" s="96"/>
    </row>
    <row r="27" spans="2:19" ht="15.75" customHeight="1">
      <c r="B27" s="96"/>
      <c r="C27" s="125"/>
      <c r="D27" s="6"/>
      <c r="E27" s="96"/>
      <c r="F27" s="481"/>
      <c r="G27" s="480"/>
      <c r="H27" s="480"/>
      <c r="I27" s="480"/>
      <c r="J27" s="479"/>
      <c r="K27" s="480"/>
      <c r="L27" s="480"/>
      <c r="M27" s="480"/>
      <c r="N27" s="482"/>
      <c r="O27" s="477"/>
      <c r="P27" s="472"/>
      <c r="Q27" s="472"/>
      <c r="R27" s="473"/>
      <c r="S27" s="96"/>
    </row>
    <row r="28" spans="2:19" ht="15.75" customHeight="1">
      <c r="B28" s="96"/>
      <c r="C28" s="125"/>
      <c r="D28" s="108" t="s">
        <v>837</v>
      </c>
      <c r="E28" s="96"/>
      <c r="F28" s="481" t="s">
        <v>128</v>
      </c>
      <c r="G28" s="480"/>
      <c r="H28" s="480"/>
      <c r="I28" s="480"/>
      <c r="J28" s="479" t="s">
        <v>776</v>
      </c>
      <c r="K28" s="480" t="s">
        <v>96</v>
      </c>
      <c r="L28" s="480"/>
      <c r="M28" s="480"/>
      <c r="N28" s="482"/>
      <c r="O28" s="477"/>
      <c r="P28" s="472"/>
      <c r="Q28" s="472">
        <v>37720</v>
      </c>
      <c r="R28" s="473"/>
      <c r="S28" s="96"/>
    </row>
    <row r="29" spans="2:19" ht="15.75" customHeight="1" thickBot="1">
      <c r="B29" s="96"/>
      <c r="C29" s="126"/>
      <c r="D29" s="112"/>
      <c r="E29" s="118"/>
      <c r="F29" s="494"/>
      <c r="G29" s="495"/>
      <c r="H29" s="495"/>
      <c r="I29" s="495"/>
      <c r="J29" s="492"/>
      <c r="K29" s="495"/>
      <c r="L29" s="495"/>
      <c r="M29" s="495"/>
      <c r="N29" s="496"/>
      <c r="O29" s="497"/>
      <c r="P29" s="489"/>
      <c r="Q29" s="489"/>
      <c r="R29" s="490"/>
      <c r="S29" s="96"/>
    </row>
    <row r="30" spans="2:19" ht="15.75" customHeight="1" thickBot="1">
      <c r="B30" s="96"/>
      <c r="C30" s="128" t="s">
        <v>134</v>
      </c>
      <c r="D30" s="113">
        <v>10</v>
      </c>
      <c r="E30" s="136">
        <v>44561</v>
      </c>
      <c r="F30" s="505" t="s">
        <v>95</v>
      </c>
      <c r="G30" s="484"/>
      <c r="H30" s="484"/>
      <c r="I30" s="484"/>
      <c r="J30" s="478" t="s">
        <v>776</v>
      </c>
      <c r="K30" s="483" t="s">
        <v>819</v>
      </c>
      <c r="L30" s="483"/>
      <c r="M30" s="483"/>
      <c r="N30" s="493"/>
      <c r="O30" s="486"/>
      <c r="P30" s="487"/>
      <c r="Q30" s="487">
        <v>8250</v>
      </c>
      <c r="R30" s="488"/>
      <c r="S30" s="96"/>
    </row>
    <row r="31" spans="2:19" ht="15.75" customHeight="1" thickBot="1">
      <c r="B31" s="96"/>
      <c r="C31" s="126"/>
      <c r="D31" s="112"/>
      <c r="E31" s="118"/>
      <c r="F31" s="494"/>
      <c r="G31" s="495"/>
      <c r="H31" s="495"/>
      <c r="I31" s="495"/>
      <c r="J31" s="492"/>
      <c r="K31" s="495"/>
      <c r="L31" s="495"/>
      <c r="M31" s="495"/>
      <c r="N31" s="496"/>
      <c r="O31" s="497"/>
      <c r="P31" s="489"/>
      <c r="Q31" s="489"/>
      <c r="R31" s="490"/>
      <c r="S31" s="96"/>
    </row>
    <row r="32" spans="2:19" ht="15.75" customHeight="1" thickBot="1">
      <c r="B32" s="96"/>
      <c r="C32" s="127" t="s">
        <v>138</v>
      </c>
      <c r="D32" s="116" t="s">
        <v>838</v>
      </c>
      <c r="E32" s="137">
        <v>44561</v>
      </c>
      <c r="F32" s="505" t="s">
        <v>104</v>
      </c>
      <c r="G32" s="484"/>
      <c r="H32" s="484"/>
      <c r="I32" s="484"/>
      <c r="J32" s="478" t="s">
        <v>776</v>
      </c>
      <c r="K32" s="484" t="s">
        <v>28</v>
      </c>
      <c r="L32" s="484"/>
      <c r="M32" s="484"/>
      <c r="N32" s="485"/>
      <c r="O32" s="486"/>
      <c r="P32" s="487"/>
      <c r="Q32" s="487">
        <v>4940</v>
      </c>
      <c r="R32" s="488"/>
      <c r="S32" s="96"/>
    </row>
    <row r="33" spans="2:19" ht="15.75" customHeight="1">
      <c r="B33" s="96"/>
      <c r="C33" s="125"/>
      <c r="D33" s="109"/>
      <c r="E33" s="2"/>
      <c r="F33" s="481"/>
      <c r="G33" s="480"/>
      <c r="H33" s="480"/>
      <c r="I33" s="480"/>
      <c r="J33" s="479"/>
      <c r="K33" s="480"/>
      <c r="L33" s="480"/>
      <c r="M33" s="480"/>
      <c r="N33" s="482"/>
      <c r="O33" s="477"/>
      <c r="P33" s="472"/>
      <c r="Q33" s="472"/>
      <c r="R33" s="473"/>
      <c r="S33" s="96"/>
    </row>
    <row r="34" spans="2:19" ht="15.75" customHeight="1">
      <c r="B34" s="96"/>
      <c r="C34" s="125"/>
      <c r="D34" s="110" t="s">
        <v>839</v>
      </c>
      <c r="E34" s="2"/>
      <c r="F34" s="481" t="s">
        <v>103</v>
      </c>
      <c r="G34" s="480"/>
      <c r="H34" s="480"/>
      <c r="I34" s="480"/>
      <c r="J34" s="479" t="s">
        <v>776</v>
      </c>
      <c r="K34" s="480" t="s">
        <v>29</v>
      </c>
      <c r="L34" s="480"/>
      <c r="M34" s="480"/>
      <c r="N34" s="482"/>
      <c r="O34" s="477"/>
      <c r="P34" s="472"/>
      <c r="Q34" s="472">
        <v>16516.669999999998</v>
      </c>
      <c r="R34" s="473"/>
      <c r="S34" s="96"/>
    </row>
    <row r="35" spans="2:19" ht="15.75" customHeight="1">
      <c r="B35" s="96"/>
      <c r="C35" s="125"/>
      <c r="D35" s="109"/>
      <c r="E35" s="2"/>
      <c r="F35" s="481"/>
      <c r="G35" s="480"/>
      <c r="H35" s="480"/>
      <c r="I35" s="480"/>
      <c r="J35" s="479"/>
      <c r="K35" s="480"/>
      <c r="L35" s="480"/>
      <c r="M35" s="480"/>
      <c r="N35" s="482"/>
      <c r="O35" s="477"/>
      <c r="P35" s="472"/>
      <c r="Q35" s="472"/>
      <c r="R35" s="473"/>
      <c r="S35" s="96"/>
    </row>
    <row r="36" spans="2:19" ht="15.75" customHeight="1">
      <c r="B36" s="96"/>
      <c r="C36" s="125"/>
      <c r="D36" s="144" t="s">
        <v>840</v>
      </c>
      <c r="E36" s="96"/>
      <c r="F36" s="481" t="s">
        <v>105</v>
      </c>
      <c r="G36" s="480"/>
      <c r="H36" s="480"/>
      <c r="I36" s="480"/>
      <c r="J36" s="479" t="s">
        <v>776</v>
      </c>
      <c r="K36" s="96" t="s">
        <v>142</v>
      </c>
      <c r="L36" s="96"/>
      <c r="M36" s="96"/>
      <c r="N36" s="111"/>
      <c r="O36" s="477"/>
      <c r="P36" s="472"/>
      <c r="Q36" s="539">
        <v>3666.67</v>
      </c>
      <c r="R36" s="540"/>
      <c r="S36" s="96"/>
    </row>
    <row r="37" spans="2:19" ht="15.75" customHeight="1">
      <c r="B37" s="96"/>
      <c r="C37" s="125"/>
      <c r="D37" s="6"/>
      <c r="E37" s="96"/>
      <c r="F37" s="481"/>
      <c r="G37" s="480"/>
      <c r="H37" s="480"/>
      <c r="I37" s="480"/>
      <c r="J37" s="479"/>
      <c r="K37" s="480"/>
      <c r="L37" s="480"/>
      <c r="M37" s="480"/>
      <c r="N37" s="482"/>
      <c r="O37" s="477"/>
      <c r="P37" s="472"/>
      <c r="Q37" s="472"/>
      <c r="R37" s="473"/>
      <c r="S37" s="96"/>
    </row>
    <row r="38" spans="2:19" ht="15.75" customHeight="1">
      <c r="B38" s="96"/>
      <c r="C38" s="125"/>
      <c r="D38" s="108" t="s">
        <v>841</v>
      </c>
      <c r="E38" s="96"/>
      <c r="F38" s="481" t="s">
        <v>141</v>
      </c>
      <c r="G38" s="480"/>
      <c r="H38" s="480"/>
      <c r="I38" s="480"/>
      <c r="J38" s="479" t="s">
        <v>776</v>
      </c>
      <c r="K38" s="480" t="s">
        <v>30</v>
      </c>
      <c r="L38" s="480"/>
      <c r="M38" s="480"/>
      <c r="N38" s="482"/>
      <c r="O38" s="477"/>
      <c r="P38" s="472"/>
      <c r="Q38" s="472">
        <v>10226.67</v>
      </c>
      <c r="R38" s="473"/>
      <c r="S38" s="96"/>
    </row>
    <row r="39" spans="2:19" ht="15.75" customHeight="1" thickBot="1">
      <c r="B39" s="96"/>
      <c r="C39" s="126"/>
      <c r="D39" s="112"/>
      <c r="E39" s="118"/>
      <c r="F39" s="494"/>
      <c r="G39" s="495"/>
      <c r="H39" s="495"/>
      <c r="I39" s="495"/>
      <c r="J39" s="492"/>
      <c r="K39" s="495"/>
      <c r="L39" s="495"/>
      <c r="M39" s="495"/>
      <c r="N39" s="496"/>
      <c r="O39" s="497"/>
      <c r="P39" s="489"/>
      <c r="Q39" s="489"/>
      <c r="R39" s="490"/>
      <c r="S39" s="96"/>
    </row>
    <row r="40" spans="2:19" ht="15.75" customHeight="1" thickBot="1">
      <c r="B40" s="96"/>
      <c r="C40" s="128" t="s">
        <v>134</v>
      </c>
      <c r="D40" s="113">
        <v>12</v>
      </c>
      <c r="E40" s="137">
        <v>44561</v>
      </c>
      <c r="F40" s="505" t="s">
        <v>10</v>
      </c>
      <c r="G40" s="484"/>
      <c r="H40" s="484"/>
      <c r="I40" s="484"/>
      <c r="J40" s="478" t="s">
        <v>776</v>
      </c>
      <c r="K40" s="484" t="s">
        <v>98</v>
      </c>
      <c r="L40" s="484"/>
      <c r="M40" s="484"/>
      <c r="N40" s="485"/>
      <c r="O40" s="486"/>
      <c r="P40" s="487"/>
      <c r="Q40" s="487">
        <v>18000</v>
      </c>
      <c r="R40" s="488"/>
      <c r="S40" s="96"/>
    </row>
    <row r="41" spans="2:19" ht="15.75" customHeight="1" thickBot="1">
      <c r="B41" s="96"/>
      <c r="C41" s="126"/>
      <c r="D41" s="112"/>
      <c r="E41" s="118"/>
      <c r="F41" s="494"/>
      <c r="G41" s="495"/>
      <c r="H41" s="495"/>
      <c r="I41" s="495"/>
      <c r="J41" s="492"/>
      <c r="K41" s="495"/>
      <c r="L41" s="495"/>
      <c r="M41" s="495"/>
      <c r="N41" s="496"/>
      <c r="O41" s="497"/>
      <c r="P41" s="489"/>
      <c r="Q41" s="489"/>
      <c r="R41" s="490"/>
      <c r="S41" s="96"/>
    </row>
    <row r="42" spans="2:19" ht="15.75" customHeight="1" thickBot="1">
      <c r="B42" s="96"/>
      <c r="C42" s="127" t="s">
        <v>138</v>
      </c>
      <c r="D42" s="114" t="s">
        <v>842</v>
      </c>
      <c r="E42" s="137">
        <v>44561</v>
      </c>
      <c r="F42" s="505" t="s">
        <v>107</v>
      </c>
      <c r="G42" s="484"/>
      <c r="H42" s="484"/>
      <c r="I42" s="484"/>
      <c r="J42" s="478" t="s">
        <v>776</v>
      </c>
      <c r="K42" s="484" t="s">
        <v>11</v>
      </c>
      <c r="L42" s="484"/>
      <c r="M42" s="484"/>
      <c r="N42" s="485"/>
      <c r="O42" s="486"/>
      <c r="P42" s="487"/>
      <c r="Q42" s="487">
        <v>2333.33</v>
      </c>
      <c r="R42" s="488"/>
      <c r="S42" s="96"/>
    </row>
    <row r="43" spans="2:19" ht="15.75" customHeight="1">
      <c r="B43" s="96"/>
      <c r="C43" s="125"/>
      <c r="D43" s="6"/>
      <c r="E43" s="96"/>
      <c r="F43" s="481"/>
      <c r="G43" s="480"/>
      <c r="H43" s="480"/>
      <c r="I43" s="480"/>
      <c r="J43" s="479"/>
      <c r="K43" s="480"/>
      <c r="L43" s="480"/>
      <c r="M43" s="480"/>
      <c r="N43" s="482"/>
      <c r="O43" s="477"/>
      <c r="P43" s="472"/>
      <c r="Q43" s="472"/>
      <c r="R43" s="473"/>
      <c r="S43" s="96"/>
    </row>
    <row r="44" spans="2:19" ht="15.75" customHeight="1">
      <c r="B44" s="96"/>
      <c r="C44" s="125"/>
      <c r="D44" s="108" t="s">
        <v>843</v>
      </c>
      <c r="E44" s="96"/>
      <c r="F44" s="481" t="s">
        <v>108</v>
      </c>
      <c r="G44" s="480"/>
      <c r="H44" s="480"/>
      <c r="I44" s="480"/>
      <c r="J44" s="479" t="s">
        <v>776</v>
      </c>
      <c r="K44" s="480" t="s">
        <v>12</v>
      </c>
      <c r="L44" s="480"/>
      <c r="M44" s="480"/>
      <c r="N44" s="482"/>
      <c r="O44" s="477"/>
      <c r="P44" s="472"/>
      <c r="Q44" s="472">
        <v>1431.82</v>
      </c>
      <c r="R44" s="473"/>
      <c r="S44" s="96"/>
    </row>
    <row r="45" spans="2:19" ht="15.75" customHeight="1">
      <c r="B45" s="96"/>
      <c r="C45" s="125"/>
      <c r="D45" s="6"/>
      <c r="E45" s="96"/>
      <c r="F45" s="481"/>
      <c r="G45" s="480"/>
      <c r="H45" s="480"/>
      <c r="I45" s="480"/>
      <c r="J45" s="479"/>
      <c r="K45" s="480"/>
      <c r="L45" s="480"/>
      <c r="M45" s="480"/>
      <c r="N45" s="482"/>
      <c r="O45" s="477"/>
      <c r="P45" s="472"/>
      <c r="Q45" s="472"/>
      <c r="R45" s="473"/>
      <c r="S45" s="96"/>
    </row>
    <row r="46" spans="2:19" ht="15.75" customHeight="1">
      <c r="B46" s="96"/>
      <c r="C46" s="125"/>
      <c r="D46" s="108" t="s">
        <v>844</v>
      </c>
      <c r="E46" s="96"/>
      <c r="F46" s="481" t="s">
        <v>109</v>
      </c>
      <c r="G46" s="480"/>
      <c r="H46" s="480"/>
      <c r="I46" s="480"/>
      <c r="J46" s="479" t="s">
        <v>776</v>
      </c>
      <c r="K46" s="480" t="s">
        <v>13</v>
      </c>
      <c r="L46" s="480"/>
      <c r="M46" s="480"/>
      <c r="N46" s="482"/>
      <c r="O46" s="477"/>
      <c r="P46" s="472"/>
      <c r="Q46" s="472">
        <v>10000</v>
      </c>
      <c r="R46" s="473"/>
      <c r="S46" s="96"/>
    </row>
    <row r="47" spans="2:19" ht="15.75" customHeight="1" thickBot="1">
      <c r="B47" s="96"/>
      <c r="C47" s="126"/>
      <c r="D47" s="117"/>
      <c r="E47" s="118"/>
      <c r="F47" s="494"/>
      <c r="G47" s="495"/>
      <c r="H47" s="495"/>
      <c r="I47" s="495"/>
      <c r="J47" s="492"/>
      <c r="K47" s="495"/>
      <c r="L47" s="495"/>
      <c r="M47" s="495"/>
      <c r="N47" s="496"/>
      <c r="O47" s="547"/>
      <c r="P47" s="497"/>
      <c r="Q47" s="548"/>
      <c r="R47" s="549"/>
      <c r="S47" s="96"/>
    </row>
    <row r="48" spans="2:19" ht="15.75" customHeight="1" thickBot="1">
      <c r="B48" s="96"/>
      <c r="C48" s="128" t="s">
        <v>134</v>
      </c>
      <c r="D48" s="114" t="s">
        <v>845</v>
      </c>
      <c r="E48" s="137">
        <v>44561</v>
      </c>
      <c r="F48" s="491" t="s">
        <v>19</v>
      </c>
      <c r="G48" s="484"/>
      <c r="H48" s="484"/>
      <c r="I48" s="484"/>
      <c r="J48" s="478" t="s">
        <v>776</v>
      </c>
      <c r="K48" s="483" t="s">
        <v>802</v>
      </c>
      <c r="L48" s="484"/>
      <c r="M48" s="484"/>
      <c r="N48" s="485"/>
      <c r="O48" s="544"/>
      <c r="P48" s="486"/>
      <c r="Q48" s="545">
        <v>15000</v>
      </c>
      <c r="R48" s="546"/>
      <c r="S48" s="96"/>
    </row>
    <row r="49" spans="2:19" ht="15.75" customHeight="1" thickBot="1">
      <c r="B49" s="96"/>
      <c r="C49" s="125"/>
      <c r="D49" s="6"/>
      <c r="E49" s="96"/>
      <c r="F49" s="481"/>
      <c r="G49" s="480"/>
      <c r="H49" s="480"/>
      <c r="I49" s="480"/>
      <c r="J49" s="479"/>
      <c r="K49" s="480"/>
      <c r="L49" s="480"/>
      <c r="M49" s="480"/>
      <c r="N49" s="482"/>
      <c r="O49" s="477"/>
      <c r="P49" s="472"/>
      <c r="Q49" s="472"/>
      <c r="R49" s="473"/>
      <c r="S49" s="96"/>
    </row>
    <row r="50" spans="2:19" ht="15.75" customHeight="1" thickBot="1">
      <c r="B50" s="96"/>
      <c r="C50" s="127" t="s">
        <v>138</v>
      </c>
      <c r="D50" s="115" t="s">
        <v>846</v>
      </c>
      <c r="E50" s="96"/>
      <c r="F50" s="481" t="s">
        <v>110</v>
      </c>
      <c r="G50" s="480"/>
      <c r="H50" s="480"/>
      <c r="I50" s="480"/>
      <c r="J50" s="479" t="s">
        <v>776</v>
      </c>
      <c r="K50" s="480" t="s">
        <v>19</v>
      </c>
      <c r="L50" s="480"/>
      <c r="M50" s="480"/>
      <c r="N50" s="482"/>
      <c r="O50" s="477"/>
      <c r="P50" s="472"/>
      <c r="Q50" s="472">
        <v>3000</v>
      </c>
      <c r="R50" s="473"/>
      <c r="S50" s="96"/>
    </row>
    <row r="51" spans="2:19" ht="15.75" customHeight="1" thickBot="1">
      <c r="B51" s="96"/>
      <c r="C51" s="129"/>
      <c r="D51" s="112"/>
      <c r="E51" s="118"/>
      <c r="F51" s="494"/>
      <c r="G51" s="495"/>
      <c r="H51" s="495"/>
      <c r="I51" s="495"/>
      <c r="J51" s="492"/>
      <c r="K51" s="495"/>
      <c r="L51" s="495"/>
      <c r="M51" s="495"/>
      <c r="N51" s="496"/>
      <c r="O51" s="497"/>
      <c r="P51" s="489"/>
      <c r="Q51" s="489"/>
      <c r="R51" s="490"/>
      <c r="S51" s="96"/>
    </row>
    <row r="52" spans="2:19" ht="15.75" customHeight="1" thickBot="1">
      <c r="B52" s="96"/>
      <c r="C52" s="127" t="s">
        <v>138</v>
      </c>
      <c r="D52" s="113">
        <v>15</v>
      </c>
      <c r="E52" s="137">
        <v>44561</v>
      </c>
      <c r="F52" s="140" t="s">
        <v>794</v>
      </c>
      <c r="G52" s="119"/>
      <c r="H52" s="119"/>
      <c r="I52" s="119"/>
      <c r="J52" s="478" t="s">
        <v>776</v>
      </c>
      <c r="K52" s="534" t="s">
        <v>795</v>
      </c>
      <c r="L52" s="534"/>
      <c r="M52" s="534"/>
      <c r="N52" s="535"/>
      <c r="O52" s="486"/>
      <c r="P52" s="487"/>
      <c r="Q52" s="487">
        <v>33250</v>
      </c>
      <c r="R52" s="488"/>
      <c r="S52" s="96"/>
    </row>
    <row r="53" spans="2:19" ht="15.75" customHeight="1" thickBot="1">
      <c r="B53" s="96"/>
      <c r="C53" s="126"/>
      <c r="D53" s="112"/>
      <c r="E53" s="118"/>
      <c r="F53" s="494"/>
      <c r="G53" s="495"/>
      <c r="H53" s="495"/>
      <c r="I53" s="495"/>
      <c r="J53" s="492"/>
      <c r="K53" s="495"/>
      <c r="L53" s="495"/>
      <c r="M53" s="495"/>
      <c r="N53" s="496"/>
      <c r="O53" s="497"/>
      <c r="P53" s="489"/>
      <c r="Q53" s="489"/>
      <c r="R53" s="490"/>
      <c r="S53" s="96"/>
    </row>
    <row r="54" spans="2:19" ht="15.75" customHeight="1" thickBot="1">
      <c r="B54" s="96"/>
      <c r="C54" s="127" t="s">
        <v>138</v>
      </c>
      <c r="D54" s="114" t="s">
        <v>849</v>
      </c>
      <c r="E54" s="137">
        <v>44561</v>
      </c>
      <c r="F54" s="140" t="s">
        <v>848</v>
      </c>
      <c r="G54" s="119"/>
      <c r="H54" s="119"/>
      <c r="I54" s="119"/>
      <c r="J54" s="478" t="s">
        <v>776</v>
      </c>
      <c r="K54" s="483" t="s">
        <v>847</v>
      </c>
      <c r="L54" s="483"/>
      <c r="M54" s="483"/>
      <c r="N54" s="493"/>
      <c r="O54" s="486"/>
      <c r="P54" s="487"/>
      <c r="Q54" s="487">
        <v>12000</v>
      </c>
      <c r="R54" s="488"/>
      <c r="S54" s="96"/>
    </row>
    <row r="55" spans="2:19" ht="15.75" customHeight="1" thickBot="1">
      <c r="B55" s="96"/>
      <c r="C55" s="125"/>
      <c r="D55" s="6"/>
      <c r="E55" s="96"/>
      <c r="F55" s="481"/>
      <c r="G55" s="480"/>
      <c r="H55" s="480"/>
      <c r="I55" s="480"/>
      <c r="J55" s="479"/>
      <c r="K55" s="480"/>
      <c r="L55" s="480"/>
      <c r="M55" s="480"/>
      <c r="N55" s="482"/>
      <c r="O55" s="477"/>
      <c r="P55" s="472"/>
      <c r="Q55" s="472"/>
      <c r="R55" s="473"/>
      <c r="S55" s="96"/>
    </row>
    <row r="56" spans="2:19" ht="15.75" customHeight="1" thickBot="1">
      <c r="B56" s="96"/>
      <c r="C56" s="128" t="s">
        <v>134</v>
      </c>
      <c r="D56" s="108" t="s">
        <v>850</v>
      </c>
      <c r="E56" s="96"/>
      <c r="F56" s="481" t="s">
        <v>7</v>
      </c>
      <c r="G56" s="480"/>
      <c r="H56" s="480"/>
      <c r="I56" s="480"/>
      <c r="J56" s="479" t="s">
        <v>776</v>
      </c>
      <c r="K56" s="96" t="s">
        <v>144</v>
      </c>
      <c r="L56" s="96"/>
      <c r="M56" s="96"/>
      <c r="N56" s="111"/>
      <c r="O56" s="477"/>
      <c r="P56" s="472"/>
      <c r="Q56" s="472">
        <v>6000</v>
      </c>
      <c r="R56" s="473"/>
      <c r="S56" s="96"/>
    </row>
    <row r="57" spans="2:19" ht="15.75" customHeight="1" thickBot="1">
      <c r="B57" s="96"/>
      <c r="C57" s="126"/>
      <c r="D57" s="112"/>
      <c r="E57" s="118"/>
      <c r="F57" s="494"/>
      <c r="G57" s="495"/>
      <c r="H57" s="495"/>
      <c r="I57" s="495"/>
      <c r="J57" s="492"/>
      <c r="K57" s="495"/>
      <c r="L57" s="495"/>
      <c r="M57" s="495"/>
      <c r="N57" s="496"/>
      <c r="O57" s="497"/>
      <c r="P57" s="489"/>
      <c r="Q57" s="489"/>
      <c r="R57" s="490"/>
      <c r="S57" s="96"/>
    </row>
    <row r="58" spans="2:19" ht="15.75" customHeight="1">
      <c r="B58" s="96"/>
      <c r="C58" s="130"/>
      <c r="D58" s="143">
        <v>17</v>
      </c>
      <c r="E58" s="137">
        <v>44561</v>
      </c>
      <c r="F58" s="505" t="s">
        <v>17</v>
      </c>
      <c r="G58" s="484"/>
      <c r="H58" s="484"/>
      <c r="I58" s="484"/>
      <c r="J58" s="478" t="s">
        <v>776</v>
      </c>
      <c r="K58" s="484" t="s">
        <v>100</v>
      </c>
      <c r="L58" s="484"/>
      <c r="M58" s="484"/>
      <c r="N58" s="485"/>
      <c r="O58" s="486"/>
      <c r="P58" s="487"/>
      <c r="Q58" s="487">
        <v>4500</v>
      </c>
      <c r="R58" s="488"/>
      <c r="S58" s="96"/>
    </row>
    <row r="59" spans="2:19" ht="15.75" customHeight="1" thickBot="1">
      <c r="B59" s="96"/>
      <c r="C59" s="126"/>
      <c r="D59" s="112"/>
      <c r="E59" s="118"/>
      <c r="F59" s="494"/>
      <c r="G59" s="495"/>
      <c r="H59" s="495"/>
      <c r="I59" s="495"/>
      <c r="J59" s="492"/>
      <c r="K59" s="495"/>
      <c r="L59" s="495"/>
      <c r="M59" s="495"/>
      <c r="N59" s="496"/>
      <c r="O59" s="497"/>
      <c r="P59" s="489"/>
      <c r="Q59" s="489"/>
      <c r="R59" s="490"/>
      <c r="S59" s="96"/>
    </row>
    <row r="60" spans="2:19" ht="15.75" customHeight="1">
      <c r="B60" s="96"/>
      <c r="C60" s="131"/>
      <c r="D60" s="120">
        <v>18</v>
      </c>
      <c r="E60" s="137">
        <v>44561</v>
      </c>
      <c r="F60" s="538" t="s">
        <v>851</v>
      </c>
      <c r="G60" s="534"/>
      <c r="H60" s="534"/>
      <c r="I60" s="534"/>
      <c r="J60" s="534"/>
      <c r="K60" s="534"/>
      <c r="L60" s="534"/>
      <c r="M60" s="534"/>
      <c r="N60" s="535"/>
      <c r="O60" s="536" t="s">
        <v>852</v>
      </c>
      <c r="P60" s="487"/>
      <c r="Q60" s="537" t="s">
        <v>852</v>
      </c>
      <c r="R60" s="488"/>
      <c r="S60" s="96"/>
    </row>
    <row r="61" spans="2:19" ht="15.75" customHeight="1" thickBot="1">
      <c r="B61" s="96"/>
      <c r="C61" s="126"/>
      <c r="D61" s="112"/>
      <c r="E61" s="118"/>
      <c r="F61" s="494"/>
      <c r="G61" s="495"/>
      <c r="H61" s="495"/>
      <c r="I61" s="495"/>
      <c r="J61" s="495"/>
      <c r="K61" s="495"/>
      <c r="L61" s="495"/>
      <c r="M61" s="495"/>
      <c r="N61" s="496"/>
      <c r="O61" s="497"/>
      <c r="P61" s="489"/>
      <c r="Q61" s="489"/>
      <c r="R61" s="490"/>
      <c r="S61" s="96"/>
    </row>
    <row r="62" spans="2:19" ht="15.75" customHeight="1" thickBot="1">
      <c r="B62" s="96"/>
      <c r="C62" s="128" t="s">
        <v>134</v>
      </c>
      <c r="D62" s="121" t="s">
        <v>145</v>
      </c>
      <c r="E62" s="137">
        <v>44561</v>
      </c>
      <c r="F62" s="505" t="s">
        <v>25</v>
      </c>
      <c r="G62" s="484"/>
      <c r="H62" s="484"/>
      <c r="I62" s="484"/>
      <c r="J62" s="478" t="s">
        <v>776</v>
      </c>
      <c r="K62" s="483" t="s">
        <v>778</v>
      </c>
      <c r="L62" s="483"/>
      <c r="M62" s="483"/>
      <c r="N62" s="493"/>
      <c r="O62" s="486"/>
      <c r="P62" s="487"/>
      <c r="Q62" s="487">
        <f>O63+O64</f>
        <v>427.86</v>
      </c>
      <c r="R62" s="488"/>
      <c r="S62" s="96"/>
    </row>
    <row r="63" spans="2:19" ht="15.75" customHeight="1">
      <c r="B63" s="96"/>
      <c r="C63" s="125"/>
      <c r="D63" s="4"/>
      <c r="E63" s="96"/>
      <c r="F63" s="481"/>
      <c r="G63" s="480"/>
      <c r="H63" s="480"/>
      <c r="I63" s="480"/>
      <c r="J63" s="479"/>
      <c r="K63" s="480" t="s">
        <v>100</v>
      </c>
      <c r="L63" s="480"/>
      <c r="M63" s="480"/>
      <c r="N63" s="482"/>
      <c r="O63" s="477">
        <v>375</v>
      </c>
      <c r="P63" s="472"/>
      <c r="Q63" s="472"/>
      <c r="R63" s="473"/>
      <c r="S63" s="96"/>
    </row>
    <row r="64" spans="2:19" ht="15.75" customHeight="1">
      <c r="B64" s="96"/>
      <c r="C64" s="125"/>
      <c r="D64" s="4"/>
      <c r="E64" s="2"/>
      <c r="F64" s="481"/>
      <c r="G64" s="480"/>
      <c r="H64" s="480"/>
      <c r="I64" s="480"/>
      <c r="J64" s="479"/>
      <c r="K64" s="480" t="s">
        <v>27</v>
      </c>
      <c r="L64" s="480"/>
      <c r="M64" s="480"/>
      <c r="N64" s="482"/>
      <c r="O64" s="477">
        <v>52.86</v>
      </c>
      <c r="P64" s="472"/>
      <c r="Q64" s="472"/>
      <c r="R64" s="473"/>
      <c r="S64" s="96"/>
    </row>
    <row r="65" spans="2:19" ht="15.75" customHeight="1">
      <c r="B65" s="96"/>
      <c r="C65" s="125"/>
      <c r="D65" s="4"/>
      <c r="E65" s="2"/>
      <c r="F65" s="481"/>
      <c r="G65" s="480"/>
      <c r="H65" s="480"/>
      <c r="I65" s="480"/>
      <c r="J65" s="479"/>
      <c r="K65" s="480"/>
      <c r="L65" s="480"/>
      <c r="M65" s="480"/>
      <c r="N65" s="482"/>
      <c r="O65" s="543"/>
      <c r="P65" s="477"/>
      <c r="Q65" s="499"/>
      <c r="R65" s="500"/>
      <c r="S65" s="96"/>
    </row>
    <row r="66" spans="2:19" ht="15.75" customHeight="1">
      <c r="B66" s="96"/>
      <c r="C66" s="125"/>
      <c r="D66" s="6" t="s">
        <v>146</v>
      </c>
      <c r="E66" s="2"/>
      <c r="F66" s="481" t="s">
        <v>25</v>
      </c>
      <c r="G66" s="480"/>
      <c r="H66" s="480"/>
      <c r="I66" s="480"/>
      <c r="J66" s="479" t="s">
        <v>776</v>
      </c>
      <c r="K66" s="475" t="s">
        <v>778</v>
      </c>
      <c r="L66" s="475"/>
      <c r="M66" s="475"/>
      <c r="N66" s="476"/>
      <c r="O66" s="477"/>
      <c r="P66" s="472"/>
      <c r="Q66" s="472">
        <f>O67+O68</f>
        <v>193.54999999999998</v>
      </c>
      <c r="R66" s="473"/>
      <c r="S66" s="96"/>
    </row>
    <row r="67" spans="2:19" ht="15.75" customHeight="1">
      <c r="B67" s="96"/>
      <c r="C67" s="125"/>
      <c r="D67" s="4"/>
      <c r="E67" s="2"/>
      <c r="F67" s="481"/>
      <c r="G67" s="480"/>
      <c r="H67" s="480"/>
      <c r="I67" s="480"/>
      <c r="J67" s="479"/>
      <c r="K67" s="480" t="s">
        <v>100</v>
      </c>
      <c r="L67" s="480"/>
      <c r="M67" s="480"/>
      <c r="N67" s="482"/>
      <c r="O67" s="477">
        <v>161.57</v>
      </c>
      <c r="P67" s="472"/>
      <c r="Q67" s="472"/>
      <c r="R67" s="473"/>
      <c r="S67" s="96"/>
    </row>
    <row r="68" spans="2:19" ht="15.75" customHeight="1">
      <c r="B68" s="96"/>
      <c r="C68" s="125"/>
      <c r="D68" s="4"/>
      <c r="E68" s="2"/>
      <c r="F68" s="481"/>
      <c r="G68" s="480"/>
      <c r="H68" s="480"/>
      <c r="I68" s="480"/>
      <c r="J68" s="479"/>
      <c r="K68" s="480" t="s">
        <v>27</v>
      </c>
      <c r="L68" s="480"/>
      <c r="M68" s="480"/>
      <c r="N68" s="482"/>
      <c r="O68" s="477">
        <v>31.98</v>
      </c>
      <c r="P68" s="472"/>
      <c r="Q68" s="472"/>
      <c r="R68" s="473"/>
      <c r="S68" s="96"/>
    </row>
    <row r="69" spans="2:19" ht="15.75" customHeight="1" thickBot="1">
      <c r="B69" s="96"/>
      <c r="C69" s="126"/>
      <c r="D69" s="112"/>
      <c r="E69" s="138"/>
      <c r="F69" s="494"/>
      <c r="G69" s="495"/>
      <c r="H69" s="495"/>
      <c r="I69" s="495"/>
      <c r="J69" s="492"/>
      <c r="K69" s="495"/>
      <c r="L69" s="495"/>
      <c r="M69" s="495"/>
      <c r="N69" s="496"/>
      <c r="O69" s="497"/>
      <c r="P69" s="489"/>
      <c r="Q69" s="489"/>
      <c r="R69" s="490"/>
      <c r="S69" s="96"/>
    </row>
    <row r="70" spans="2:19" ht="15.75" customHeight="1" thickBot="1">
      <c r="B70" s="96"/>
      <c r="C70" s="128" t="s">
        <v>134</v>
      </c>
      <c r="D70" s="120">
        <v>20</v>
      </c>
      <c r="E70" s="137">
        <v>44561</v>
      </c>
      <c r="F70" s="505" t="s">
        <v>147</v>
      </c>
      <c r="G70" s="484"/>
      <c r="H70" s="484"/>
      <c r="I70" s="484"/>
      <c r="J70" s="478" t="s">
        <v>776</v>
      </c>
      <c r="K70" s="484" t="s">
        <v>148</v>
      </c>
      <c r="L70" s="484"/>
      <c r="M70" s="484"/>
      <c r="N70" s="485"/>
      <c r="O70" s="486"/>
      <c r="P70" s="487"/>
      <c r="Q70" s="487">
        <v>553.4</v>
      </c>
      <c r="R70" s="488"/>
      <c r="S70" s="96"/>
    </row>
    <row r="71" spans="2:19" ht="15.75" customHeight="1" thickBot="1">
      <c r="B71" s="96"/>
      <c r="C71" s="126"/>
      <c r="D71" s="112"/>
      <c r="E71" s="118"/>
      <c r="F71" s="494"/>
      <c r="G71" s="495"/>
      <c r="H71" s="495"/>
      <c r="I71" s="495"/>
      <c r="J71" s="492"/>
      <c r="K71" s="495"/>
      <c r="L71" s="495"/>
      <c r="M71" s="495"/>
      <c r="N71" s="496"/>
      <c r="O71" s="497"/>
      <c r="P71" s="489"/>
      <c r="Q71" s="489"/>
      <c r="R71" s="490"/>
      <c r="S71" s="96"/>
    </row>
    <row r="72" spans="2:19" ht="15.75" customHeight="1" thickBot="1">
      <c r="B72" s="96"/>
      <c r="C72" s="128" t="s">
        <v>134</v>
      </c>
      <c r="D72" s="113">
        <v>21</v>
      </c>
      <c r="E72" s="137">
        <v>44561</v>
      </c>
      <c r="F72" s="505" t="s">
        <v>95</v>
      </c>
      <c r="G72" s="484"/>
      <c r="H72" s="484"/>
      <c r="I72" s="484"/>
      <c r="J72" s="478" t="s">
        <v>776</v>
      </c>
      <c r="K72" s="484" t="s">
        <v>22</v>
      </c>
      <c r="L72" s="484"/>
      <c r="M72" s="484"/>
      <c r="N72" s="485"/>
      <c r="O72" s="486"/>
      <c r="P72" s="487"/>
      <c r="Q72" s="487">
        <v>8880.99</v>
      </c>
      <c r="R72" s="488"/>
      <c r="S72" s="96"/>
    </row>
    <row r="73" spans="2:19" ht="15.75" customHeight="1">
      <c r="B73" s="96"/>
      <c r="C73" s="125"/>
      <c r="D73" s="4"/>
      <c r="E73" s="96"/>
      <c r="F73" s="481"/>
      <c r="G73" s="480"/>
      <c r="H73" s="480"/>
      <c r="I73" s="480"/>
      <c r="J73" s="479"/>
      <c r="K73" s="480"/>
      <c r="L73" s="480"/>
      <c r="M73" s="480"/>
      <c r="N73" s="482"/>
      <c r="O73" s="477">
        <v>4880</v>
      </c>
      <c r="P73" s="472"/>
      <c r="Q73" s="472"/>
      <c r="R73" s="473"/>
      <c r="S73" s="96"/>
    </row>
    <row r="74" spans="2:19" ht="15.75" customHeight="1">
      <c r="B74" s="96"/>
      <c r="C74" s="125"/>
      <c r="D74" s="4"/>
      <c r="E74" s="96"/>
      <c r="F74" s="481"/>
      <c r="G74" s="480"/>
      <c r="H74" s="480"/>
      <c r="I74" s="480"/>
      <c r="J74" s="479"/>
      <c r="K74" s="480"/>
      <c r="L74" s="480"/>
      <c r="M74" s="480"/>
      <c r="N74" s="482"/>
      <c r="O74" s="543">
        <v>4000.99</v>
      </c>
      <c r="P74" s="477"/>
      <c r="Q74" s="499"/>
      <c r="R74" s="500"/>
      <c r="S74" s="96"/>
    </row>
    <row r="75" spans="2:19" ht="15.75" customHeight="1" thickBot="1">
      <c r="B75" s="96"/>
      <c r="C75" s="129"/>
      <c r="D75" s="142"/>
      <c r="E75" s="118"/>
      <c r="F75" s="494"/>
      <c r="G75" s="495"/>
      <c r="H75" s="495"/>
      <c r="I75" s="495"/>
      <c r="J75" s="492"/>
      <c r="K75" s="495"/>
      <c r="L75" s="495"/>
      <c r="M75" s="495"/>
      <c r="N75" s="496"/>
      <c r="O75" s="497"/>
      <c r="P75" s="489"/>
      <c r="Q75" s="489"/>
      <c r="R75" s="490"/>
      <c r="S75" s="96"/>
    </row>
    <row r="76" spans="2:19" ht="15.75" customHeight="1" thickBot="1">
      <c r="B76" s="96"/>
      <c r="C76" s="128" t="s">
        <v>134</v>
      </c>
      <c r="D76" s="114" t="s">
        <v>853</v>
      </c>
      <c r="E76" s="137">
        <v>44561</v>
      </c>
      <c r="F76" s="505" t="s">
        <v>149</v>
      </c>
      <c r="G76" s="484"/>
      <c r="H76" s="484"/>
      <c r="I76" s="484"/>
      <c r="J76" s="478" t="s">
        <v>776</v>
      </c>
      <c r="K76" s="484" t="s">
        <v>102</v>
      </c>
      <c r="L76" s="484"/>
      <c r="M76" s="484"/>
      <c r="N76" s="485"/>
      <c r="O76" s="486"/>
      <c r="P76" s="487"/>
      <c r="Q76" s="487">
        <v>22460</v>
      </c>
      <c r="R76" s="488"/>
      <c r="S76" s="96"/>
    </row>
    <row r="77" spans="2:19" ht="15.75" customHeight="1">
      <c r="B77" s="96"/>
      <c r="C77" s="125"/>
      <c r="D77" s="6"/>
      <c r="E77" s="135"/>
      <c r="F77" s="481"/>
      <c r="G77" s="480"/>
      <c r="H77" s="480"/>
      <c r="I77" s="480"/>
      <c r="J77" s="479"/>
      <c r="K77" s="480"/>
      <c r="L77" s="480"/>
      <c r="M77" s="480"/>
      <c r="N77" s="482"/>
      <c r="O77" s="477"/>
      <c r="P77" s="472"/>
      <c r="Q77" s="472"/>
      <c r="R77" s="473"/>
      <c r="S77" s="96"/>
    </row>
    <row r="78" spans="2:19" ht="15.75" customHeight="1">
      <c r="B78" s="96"/>
      <c r="C78" s="125"/>
      <c r="D78" s="108" t="s">
        <v>854</v>
      </c>
      <c r="E78" s="135"/>
      <c r="F78" s="474" t="s">
        <v>150</v>
      </c>
      <c r="G78" s="475"/>
      <c r="H78" s="475"/>
      <c r="I78" s="475"/>
      <c r="J78" s="479" t="s">
        <v>776</v>
      </c>
      <c r="K78" s="475" t="s">
        <v>35</v>
      </c>
      <c r="L78" s="475"/>
      <c r="M78" s="475"/>
      <c r="N78" s="476"/>
      <c r="O78" s="477"/>
      <c r="P78" s="472"/>
      <c r="Q78" s="472">
        <v>1570</v>
      </c>
      <c r="R78" s="473"/>
      <c r="S78" s="96"/>
    </row>
    <row r="79" spans="2:19" ht="15.75" customHeight="1" thickBot="1">
      <c r="B79" s="96"/>
      <c r="C79" s="126"/>
      <c r="D79" s="112"/>
      <c r="E79" s="139"/>
      <c r="F79" s="494"/>
      <c r="G79" s="495"/>
      <c r="H79" s="495"/>
      <c r="I79" s="495"/>
      <c r="J79" s="492"/>
      <c r="K79" s="495"/>
      <c r="L79" s="495"/>
      <c r="M79" s="495"/>
      <c r="N79" s="496"/>
      <c r="O79" s="497"/>
      <c r="P79" s="489"/>
      <c r="Q79" s="489"/>
      <c r="R79" s="490"/>
      <c r="S79" s="96"/>
    </row>
    <row r="80" spans="2:19" ht="15.75" customHeight="1" thickBot="1">
      <c r="B80" s="96"/>
      <c r="C80" s="127" t="s">
        <v>138</v>
      </c>
      <c r="D80" s="116" t="s">
        <v>855</v>
      </c>
      <c r="E80" s="137">
        <v>44561</v>
      </c>
      <c r="F80" s="505" t="s">
        <v>117</v>
      </c>
      <c r="G80" s="484"/>
      <c r="H80" s="484"/>
      <c r="I80" s="484"/>
      <c r="J80" s="478" t="s">
        <v>776</v>
      </c>
      <c r="K80" s="484" t="s">
        <v>151</v>
      </c>
      <c r="L80" s="484"/>
      <c r="M80" s="484"/>
      <c r="N80" s="485"/>
      <c r="O80" s="486"/>
      <c r="P80" s="487"/>
      <c r="Q80" s="487">
        <v>35666.370000000003</v>
      </c>
      <c r="R80" s="488"/>
      <c r="S80" s="96"/>
    </row>
    <row r="81" spans="2:19" ht="15.75" customHeight="1">
      <c r="B81" s="96"/>
      <c r="C81" s="125"/>
      <c r="D81" s="6"/>
      <c r="E81" s="96"/>
      <c r="F81" s="481"/>
      <c r="G81" s="480"/>
      <c r="H81" s="480"/>
      <c r="I81" s="480"/>
      <c r="J81" s="479"/>
      <c r="K81" s="480"/>
      <c r="L81" s="480"/>
      <c r="M81" s="480"/>
      <c r="N81" s="482"/>
      <c r="O81" s="477"/>
      <c r="P81" s="472"/>
      <c r="Q81" s="472"/>
      <c r="R81" s="473"/>
      <c r="S81" s="96"/>
    </row>
    <row r="82" spans="2:19" ht="15.75" customHeight="1">
      <c r="B82" s="96"/>
      <c r="C82" s="125"/>
      <c r="D82" s="108" t="s">
        <v>856</v>
      </c>
      <c r="E82" s="96"/>
      <c r="F82" s="481" t="s">
        <v>118</v>
      </c>
      <c r="G82" s="480"/>
      <c r="H82" s="480"/>
      <c r="I82" s="480"/>
      <c r="J82" s="479" t="s">
        <v>776</v>
      </c>
      <c r="K82" s="480" t="s">
        <v>15</v>
      </c>
      <c r="L82" s="480"/>
      <c r="M82" s="480"/>
      <c r="N82" s="482"/>
      <c r="O82" s="477"/>
      <c r="P82" s="472"/>
      <c r="Q82" s="472">
        <v>33616.9</v>
      </c>
      <c r="R82" s="473"/>
      <c r="S82" s="96"/>
    </row>
    <row r="83" spans="2:19" ht="15.75" customHeight="1">
      <c r="B83" s="96"/>
      <c r="C83" s="125"/>
      <c r="D83" s="6"/>
      <c r="E83" s="96"/>
      <c r="F83" s="481"/>
      <c r="G83" s="480"/>
      <c r="H83" s="480"/>
      <c r="I83" s="480"/>
      <c r="J83" s="479"/>
      <c r="K83" s="480"/>
      <c r="L83" s="480"/>
      <c r="M83" s="480"/>
      <c r="N83" s="482"/>
      <c r="O83" s="477"/>
      <c r="P83" s="472"/>
      <c r="Q83" s="472"/>
      <c r="R83" s="473"/>
      <c r="S83" s="96"/>
    </row>
    <row r="84" spans="2:19" ht="15.75" customHeight="1">
      <c r="B84" s="96"/>
      <c r="C84" s="125"/>
      <c r="D84" s="108" t="s">
        <v>857</v>
      </c>
      <c r="E84" s="96"/>
      <c r="F84" s="481" t="s">
        <v>119</v>
      </c>
      <c r="G84" s="480"/>
      <c r="H84" s="480"/>
      <c r="I84" s="480"/>
      <c r="J84" s="479" t="s">
        <v>776</v>
      </c>
      <c r="K84" s="480" t="s">
        <v>152</v>
      </c>
      <c r="L84" s="480"/>
      <c r="M84" s="480"/>
      <c r="N84" s="482"/>
      <c r="O84" s="477"/>
      <c r="P84" s="472"/>
      <c r="Q84" s="472">
        <v>52480</v>
      </c>
      <c r="R84" s="473"/>
      <c r="S84" s="96"/>
    </row>
    <row r="85" spans="2:19" ht="15.75" customHeight="1" thickBot="1">
      <c r="B85" s="96"/>
      <c r="C85" s="126"/>
      <c r="D85" s="122"/>
      <c r="E85" s="118"/>
      <c r="F85" s="494"/>
      <c r="G85" s="495"/>
      <c r="H85" s="495"/>
      <c r="I85" s="495"/>
      <c r="J85" s="492"/>
      <c r="K85" s="495"/>
      <c r="L85" s="495"/>
      <c r="M85" s="495"/>
      <c r="N85" s="496"/>
      <c r="O85" s="497"/>
      <c r="P85" s="489"/>
      <c r="Q85" s="489"/>
      <c r="R85" s="490"/>
      <c r="S85" s="96"/>
    </row>
    <row r="86" spans="2:19" ht="15.75" customHeight="1" thickBot="1">
      <c r="B86" s="96"/>
      <c r="C86" s="128" t="s">
        <v>134</v>
      </c>
      <c r="D86" s="123" t="s">
        <v>860</v>
      </c>
      <c r="E86" s="137">
        <v>44561</v>
      </c>
      <c r="F86" s="505" t="s">
        <v>153</v>
      </c>
      <c r="G86" s="484"/>
      <c r="H86" s="484"/>
      <c r="I86" s="484"/>
      <c r="J86" s="478" t="s">
        <v>776</v>
      </c>
      <c r="K86" s="483" t="s">
        <v>858</v>
      </c>
      <c r="L86" s="483"/>
      <c r="M86" s="483"/>
      <c r="N86" s="493"/>
      <c r="O86" s="486"/>
      <c r="P86" s="487"/>
      <c r="Q86" s="487">
        <v>235.34</v>
      </c>
      <c r="R86" s="488"/>
      <c r="S86" s="96"/>
    </row>
    <row r="87" spans="2:19" ht="15.75" customHeight="1">
      <c r="B87" s="96"/>
      <c r="C87" s="125"/>
      <c r="D87" s="6"/>
      <c r="E87" s="96"/>
      <c r="F87" s="481"/>
      <c r="G87" s="480"/>
      <c r="H87" s="480"/>
      <c r="I87" s="480"/>
      <c r="J87" s="479"/>
      <c r="K87" s="480"/>
      <c r="L87" s="480"/>
      <c r="M87" s="480"/>
      <c r="N87" s="482"/>
      <c r="O87" s="477"/>
      <c r="P87" s="472"/>
      <c r="Q87" s="472"/>
      <c r="R87" s="473"/>
      <c r="S87" s="96"/>
    </row>
    <row r="88" spans="2:19" ht="15.75" customHeight="1">
      <c r="B88" s="96"/>
      <c r="C88" s="125"/>
      <c r="D88" s="108" t="s">
        <v>861</v>
      </c>
      <c r="E88" s="96"/>
      <c r="F88" s="481" t="s">
        <v>154</v>
      </c>
      <c r="G88" s="480"/>
      <c r="H88" s="480"/>
      <c r="I88" s="480"/>
      <c r="J88" s="479" t="s">
        <v>776</v>
      </c>
      <c r="K88" s="475" t="s">
        <v>859</v>
      </c>
      <c r="L88" s="480"/>
      <c r="M88" s="480"/>
      <c r="N88" s="482"/>
      <c r="O88" s="477"/>
      <c r="P88" s="472"/>
      <c r="Q88" s="472">
        <v>22</v>
      </c>
      <c r="R88" s="473"/>
      <c r="S88" s="96"/>
    </row>
    <row r="89" spans="2:19" ht="15.75" customHeight="1" thickBot="1">
      <c r="B89" s="96"/>
      <c r="C89" s="126"/>
      <c r="D89" s="134"/>
      <c r="E89" s="138"/>
      <c r="F89" s="494"/>
      <c r="G89" s="495"/>
      <c r="H89" s="495"/>
      <c r="I89" s="495"/>
      <c r="J89" s="492"/>
      <c r="K89" s="495"/>
      <c r="L89" s="495"/>
      <c r="M89" s="495"/>
      <c r="N89" s="496"/>
      <c r="O89" s="497"/>
      <c r="P89" s="489"/>
      <c r="Q89" s="489"/>
      <c r="R89" s="490"/>
      <c r="S89" s="96"/>
    </row>
    <row r="90" spans="2:19" ht="15.75" customHeight="1">
      <c r="B90" s="96"/>
      <c r="C90" s="96"/>
      <c r="D90" s="96"/>
      <c r="E90" s="96"/>
      <c r="F90" s="96"/>
      <c r="G90" s="96"/>
      <c r="H90" s="96"/>
      <c r="I90" s="96"/>
      <c r="J90" s="105"/>
      <c r="K90" s="96"/>
      <c r="L90" s="96"/>
      <c r="M90" s="96"/>
      <c r="N90" s="96"/>
      <c r="O90" s="543"/>
      <c r="P90" s="543"/>
      <c r="Q90" s="543"/>
      <c r="R90" s="543"/>
      <c r="S90" s="96"/>
    </row>
    <row r="91" spans="2:19" ht="15.75" customHeight="1">
      <c r="C91" s="132"/>
      <c r="D91" s="96"/>
      <c r="E91" s="96"/>
      <c r="F91" s="97"/>
      <c r="G91" s="96"/>
      <c r="H91" s="96"/>
      <c r="I91" s="96"/>
      <c r="J91" s="98"/>
      <c r="K91" s="96"/>
      <c r="L91" s="96"/>
      <c r="M91" s="99"/>
      <c r="N91" s="99"/>
      <c r="O91" s="96"/>
      <c r="P91" s="96"/>
      <c r="Q91" s="96"/>
      <c r="R91" s="96"/>
      <c r="S91" s="96"/>
    </row>
    <row r="92" spans="2:19" ht="15.75" customHeight="1">
      <c r="C92" s="96"/>
      <c r="D92" s="96"/>
      <c r="E92" s="96"/>
      <c r="F92" s="97"/>
      <c r="G92" s="96"/>
      <c r="H92" s="96"/>
      <c r="I92" s="96"/>
      <c r="J92" s="98"/>
      <c r="K92" s="96"/>
      <c r="L92" s="96"/>
      <c r="M92" s="99"/>
      <c r="N92" s="99"/>
      <c r="P92" s="96"/>
      <c r="Q92" s="96"/>
      <c r="R92" s="96"/>
      <c r="S92" s="96"/>
    </row>
    <row r="93" spans="2:19" ht="15.75" customHeight="1">
      <c r="C93" s="96"/>
      <c r="D93" s="96"/>
      <c r="E93" s="96"/>
      <c r="F93" s="97"/>
      <c r="G93" s="96"/>
      <c r="H93" s="96"/>
      <c r="I93" s="96"/>
      <c r="J93" s="98"/>
      <c r="K93" s="96"/>
      <c r="L93" s="96"/>
      <c r="M93" s="99"/>
      <c r="N93" s="99"/>
      <c r="P93" s="96"/>
      <c r="Q93" s="96"/>
      <c r="R93" s="96"/>
      <c r="S93" s="96"/>
    </row>
    <row r="94" spans="2:19" ht="15.75" customHeight="1">
      <c r="C94" s="96"/>
      <c r="D94" s="96"/>
      <c r="E94" s="96"/>
      <c r="F94" s="97"/>
      <c r="G94" s="96"/>
      <c r="H94" s="96"/>
      <c r="I94" s="96"/>
      <c r="J94" s="98"/>
      <c r="K94" s="96"/>
      <c r="L94" s="96"/>
      <c r="M94" s="99"/>
      <c r="N94" s="99"/>
      <c r="P94" s="96"/>
      <c r="Q94" s="96"/>
      <c r="R94" s="96"/>
      <c r="S94" s="96"/>
    </row>
    <row r="95" spans="2:19" ht="15.75" customHeight="1">
      <c r="E95" s="96"/>
      <c r="F95" s="97"/>
      <c r="G95" s="96"/>
      <c r="H95" s="96"/>
      <c r="I95" s="96"/>
      <c r="J95" s="98"/>
      <c r="K95" s="96"/>
      <c r="L95" s="96"/>
      <c r="M95" s="99"/>
      <c r="N95" s="99"/>
      <c r="P95" s="96"/>
      <c r="Q95" s="96"/>
      <c r="R95" s="96"/>
      <c r="S95" s="96"/>
    </row>
    <row r="96" spans="2:19" ht="15.75" customHeight="1">
      <c r="C96" s="511" t="s">
        <v>863</v>
      </c>
      <c r="D96" s="512"/>
      <c r="E96" s="512"/>
      <c r="F96" s="512"/>
      <c r="G96" s="512"/>
      <c r="H96" s="512"/>
      <c r="I96" s="512"/>
      <c r="J96" s="512"/>
      <c r="K96" s="512"/>
      <c r="L96" s="512"/>
      <c r="M96" s="512"/>
      <c r="N96" s="512"/>
      <c r="O96" s="512"/>
      <c r="P96" s="512"/>
      <c r="Q96" s="512"/>
      <c r="R96" s="513"/>
      <c r="S96" s="96"/>
    </row>
    <row r="97" spans="3:19" ht="15.75" customHeight="1">
      <c r="C97" s="514"/>
      <c r="D97" s="515"/>
      <c r="E97" s="515"/>
      <c r="F97" s="515"/>
      <c r="G97" s="515"/>
      <c r="H97" s="515"/>
      <c r="I97" s="515"/>
      <c r="J97" s="515"/>
      <c r="K97" s="515"/>
      <c r="L97" s="515"/>
      <c r="M97" s="515"/>
      <c r="N97" s="515"/>
      <c r="O97" s="515"/>
      <c r="P97" s="515"/>
      <c r="Q97" s="515"/>
      <c r="R97" s="516"/>
      <c r="S97" s="96"/>
    </row>
    <row r="98" spans="3:19" ht="15.75" customHeight="1">
      <c r="C98" s="517"/>
      <c r="D98" s="518"/>
      <c r="E98" s="518"/>
      <c r="F98" s="518"/>
      <c r="G98" s="518"/>
      <c r="H98" s="518"/>
      <c r="I98" s="518"/>
      <c r="J98" s="518"/>
      <c r="K98" s="518"/>
      <c r="L98" s="518"/>
      <c r="M98" s="518"/>
      <c r="N98" s="518"/>
      <c r="O98" s="518"/>
      <c r="P98" s="518"/>
      <c r="Q98" s="518"/>
      <c r="R98" s="519"/>
      <c r="S98" s="96"/>
    </row>
    <row r="99" spans="3:19" ht="15.75" customHeight="1">
      <c r="E99" s="96"/>
      <c r="F99" s="96"/>
      <c r="G99" s="96"/>
      <c r="H99" s="96"/>
      <c r="I99" s="96"/>
      <c r="J99" s="96"/>
      <c r="K99" s="96"/>
      <c r="L99" s="96"/>
      <c r="M99" s="96"/>
      <c r="N99" s="96"/>
    </row>
    <row r="100" spans="3:19" ht="15.75" customHeight="1">
      <c r="E100" s="96"/>
      <c r="F100" s="96"/>
      <c r="G100" s="96"/>
      <c r="H100" s="96"/>
      <c r="I100" s="96"/>
      <c r="J100" s="96"/>
      <c r="K100" s="96"/>
      <c r="L100" s="96"/>
      <c r="M100" s="96"/>
      <c r="N100" s="96"/>
    </row>
    <row r="101" spans="3:19" ht="15.75" customHeight="1">
      <c r="E101" s="96"/>
    </row>
    <row r="102" spans="3:19" ht="15.75" customHeight="1" thickBot="1"/>
    <row r="103" spans="3:19" ht="15.75" customHeight="1">
      <c r="C103" s="526" t="s">
        <v>131</v>
      </c>
      <c r="D103" s="528" t="s">
        <v>132</v>
      </c>
      <c r="E103" s="530" t="s">
        <v>133</v>
      </c>
      <c r="F103" s="532" t="s">
        <v>1</v>
      </c>
      <c r="G103" s="507"/>
      <c r="H103" s="507"/>
      <c r="I103" s="507"/>
      <c r="J103" s="507" t="s">
        <v>776</v>
      </c>
      <c r="K103" s="507" t="s">
        <v>2</v>
      </c>
      <c r="L103" s="507"/>
      <c r="M103" s="507"/>
      <c r="N103" s="508"/>
      <c r="O103" s="520" t="s">
        <v>782</v>
      </c>
      <c r="P103" s="521"/>
      <c r="Q103" s="520" t="s">
        <v>783</v>
      </c>
      <c r="R103" s="524"/>
    </row>
    <row r="104" spans="3:19" ht="15.75" customHeight="1" thickBot="1">
      <c r="C104" s="527"/>
      <c r="D104" s="529"/>
      <c r="E104" s="531"/>
      <c r="F104" s="533"/>
      <c r="G104" s="509"/>
      <c r="H104" s="509"/>
      <c r="I104" s="509"/>
      <c r="J104" s="509"/>
      <c r="K104" s="509"/>
      <c r="L104" s="509"/>
      <c r="M104" s="509"/>
      <c r="N104" s="510"/>
      <c r="O104" s="522"/>
      <c r="P104" s="523"/>
      <c r="Q104" s="522"/>
      <c r="R104" s="525"/>
    </row>
    <row r="105" spans="3:19" ht="15.75" customHeight="1" thickBot="1">
      <c r="C105" s="148" t="s">
        <v>1144</v>
      </c>
      <c r="D105" s="3">
        <v>1</v>
      </c>
      <c r="E105" s="135">
        <v>44579</v>
      </c>
      <c r="F105" s="501" t="s">
        <v>826</v>
      </c>
      <c r="G105" s="502"/>
      <c r="H105" s="502"/>
      <c r="I105" s="502"/>
      <c r="J105" s="478" t="s">
        <v>776</v>
      </c>
      <c r="K105" s="483" t="s">
        <v>864</v>
      </c>
      <c r="L105" s="483"/>
      <c r="M105" s="483"/>
      <c r="N105" s="493"/>
      <c r="O105" s="477"/>
      <c r="P105" s="472"/>
      <c r="Q105" s="472">
        <v>8300</v>
      </c>
      <c r="R105" s="473"/>
    </row>
    <row r="106" spans="3:19" ht="15.75" customHeight="1" thickBot="1">
      <c r="C106" s="126"/>
      <c r="D106" s="112"/>
      <c r="E106" s="118"/>
      <c r="F106" s="503"/>
      <c r="G106" s="504"/>
      <c r="H106" s="504"/>
      <c r="I106" s="504"/>
      <c r="J106" s="492"/>
      <c r="K106" s="504"/>
      <c r="L106" s="504"/>
      <c r="M106" s="504"/>
      <c r="N106" s="506"/>
      <c r="O106" s="497"/>
      <c r="P106" s="489"/>
      <c r="Q106" s="489"/>
      <c r="R106" s="490"/>
    </row>
    <row r="107" spans="3:19" ht="15.75" customHeight="1" thickBot="1">
      <c r="C107" s="148" t="s">
        <v>1144</v>
      </c>
      <c r="D107" s="113">
        <v>2</v>
      </c>
      <c r="E107" s="136">
        <v>44607</v>
      </c>
      <c r="F107" s="491" t="s">
        <v>778</v>
      </c>
      <c r="G107" s="483"/>
      <c r="H107" s="483"/>
      <c r="I107" s="483"/>
      <c r="J107" s="478" t="s">
        <v>776</v>
      </c>
      <c r="K107" s="483" t="s">
        <v>864</v>
      </c>
      <c r="L107" s="483"/>
      <c r="M107" s="483"/>
      <c r="N107" s="493"/>
      <c r="O107" s="486"/>
      <c r="P107" s="487"/>
      <c r="Q107" s="487">
        <v>22000</v>
      </c>
      <c r="R107" s="488"/>
    </row>
    <row r="108" spans="3:19" ht="15.75" customHeight="1">
      <c r="C108" s="125"/>
      <c r="D108" s="3"/>
      <c r="E108" s="135"/>
      <c r="F108" s="474" t="s">
        <v>828</v>
      </c>
      <c r="G108" s="475"/>
      <c r="H108" s="475"/>
      <c r="I108" s="475"/>
      <c r="J108" s="479"/>
      <c r="K108" s="480"/>
      <c r="L108" s="480"/>
      <c r="M108" s="480"/>
      <c r="N108" s="482"/>
      <c r="O108" s="499">
        <v>10000</v>
      </c>
      <c r="P108" s="477"/>
      <c r="Q108" s="499"/>
      <c r="R108" s="500"/>
    </row>
    <row r="109" spans="3:19" ht="15.75" customHeight="1">
      <c r="C109" s="125"/>
      <c r="D109" s="3"/>
      <c r="E109" s="135"/>
      <c r="F109" s="474" t="s">
        <v>865</v>
      </c>
      <c r="G109" s="475"/>
      <c r="H109" s="475"/>
      <c r="I109" s="475"/>
      <c r="J109" s="479"/>
      <c r="K109" s="480"/>
      <c r="L109" s="480"/>
      <c r="M109" s="480"/>
      <c r="N109" s="482"/>
      <c r="O109" s="499">
        <v>12000</v>
      </c>
      <c r="P109" s="477"/>
      <c r="Q109" s="499"/>
      <c r="R109" s="500"/>
    </row>
    <row r="110" spans="3:19" ht="15.75" customHeight="1" thickBot="1">
      <c r="C110" s="126"/>
      <c r="D110" s="112"/>
      <c r="E110" s="118"/>
      <c r="F110" s="494"/>
      <c r="G110" s="495"/>
      <c r="H110" s="495"/>
      <c r="I110" s="495"/>
      <c r="J110" s="492"/>
      <c r="K110" s="495"/>
      <c r="L110" s="495"/>
      <c r="M110" s="495"/>
      <c r="N110" s="496"/>
      <c r="O110" s="497"/>
      <c r="P110" s="489"/>
      <c r="Q110" s="489"/>
      <c r="R110" s="490"/>
    </row>
    <row r="111" spans="3:19" ht="15.75" customHeight="1" thickBot="1">
      <c r="C111" s="148" t="s">
        <v>1144</v>
      </c>
      <c r="D111" s="113">
        <v>3</v>
      </c>
      <c r="E111" s="136">
        <v>44652</v>
      </c>
      <c r="F111" s="491" t="s">
        <v>778</v>
      </c>
      <c r="G111" s="483"/>
      <c r="H111" s="483"/>
      <c r="I111" s="483"/>
      <c r="J111" s="478" t="s">
        <v>776</v>
      </c>
      <c r="K111" s="483" t="s">
        <v>3</v>
      </c>
      <c r="L111" s="484"/>
      <c r="M111" s="484"/>
      <c r="N111" s="485"/>
      <c r="O111" s="486"/>
      <c r="P111" s="487"/>
      <c r="Q111" s="487">
        <v>9000</v>
      </c>
      <c r="R111" s="488"/>
    </row>
    <row r="112" spans="3:19" ht="15.75" customHeight="1">
      <c r="C112" s="125"/>
      <c r="D112" s="4"/>
      <c r="E112" s="96"/>
      <c r="F112" s="474" t="s">
        <v>100</v>
      </c>
      <c r="G112" s="480"/>
      <c r="H112" s="480"/>
      <c r="I112" s="480"/>
      <c r="J112" s="479"/>
      <c r="K112" s="480"/>
      <c r="L112" s="480"/>
      <c r="M112" s="480"/>
      <c r="N112" s="482"/>
      <c r="O112" s="477">
        <v>4500</v>
      </c>
      <c r="P112" s="472"/>
      <c r="Q112" s="481"/>
      <c r="R112" s="498"/>
    </row>
    <row r="113" spans="3:18" ht="15.75" customHeight="1">
      <c r="C113" s="125"/>
      <c r="D113" s="4"/>
      <c r="E113" s="96"/>
      <c r="F113" s="474" t="s">
        <v>17</v>
      </c>
      <c r="G113" s="480"/>
      <c r="H113" s="480"/>
      <c r="I113" s="480"/>
      <c r="J113" s="479"/>
      <c r="K113" s="480"/>
      <c r="L113" s="480"/>
      <c r="M113" s="480"/>
      <c r="N113" s="482"/>
      <c r="O113" s="477">
        <v>4500</v>
      </c>
      <c r="P113" s="472"/>
      <c r="Q113" s="472"/>
      <c r="R113" s="473"/>
    </row>
    <row r="114" spans="3:18" ht="15.75" customHeight="1" thickBot="1">
      <c r="C114" s="126"/>
      <c r="D114" s="112"/>
      <c r="E114" s="118"/>
      <c r="F114" s="494"/>
      <c r="G114" s="495"/>
      <c r="H114" s="495"/>
      <c r="I114" s="495"/>
      <c r="J114" s="492"/>
      <c r="K114" s="495"/>
      <c r="L114" s="495"/>
      <c r="M114" s="495"/>
      <c r="N114" s="496"/>
      <c r="O114" s="497"/>
      <c r="P114" s="489"/>
      <c r="Q114" s="489"/>
      <c r="R114" s="490"/>
    </row>
    <row r="115" spans="3:18" ht="15.75" customHeight="1" thickBot="1">
      <c r="C115" s="148" t="s">
        <v>1144</v>
      </c>
      <c r="D115" s="113">
        <v>4</v>
      </c>
      <c r="E115" s="136">
        <v>44666</v>
      </c>
      <c r="F115" s="491" t="s">
        <v>778</v>
      </c>
      <c r="G115" s="484"/>
      <c r="H115" s="484"/>
      <c r="I115" s="484"/>
      <c r="J115" s="478" t="s">
        <v>776</v>
      </c>
      <c r="K115" s="483" t="s">
        <v>866</v>
      </c>
      <c r="L115" s="483"/>
      <c r="M115" s="483"/>
      <c r="N115" s="493"/>
      <c r="O115" s="486"/>
      <c r="P115" s="487"/>
      <c r="Q115" s="487">
        <v>20000</v>
      </c>
      <c r="R115" s="488"/>
    </row>
    <row r="116" spans="3:18" ht="15.75" customHeight="1">
      <c r="C116" s="125"/>
      <c r="D116" s="4"/>
      <c r="E116" s="96"/>
      <c r="F116" s="474" t="s">
        <v>31</v>
      </c>
      <c r="G116" s="480"/>
      <c r="H116" s="480"/>
      <c r="I116" s="480"/>
      <c r="J116" s="479"/>
      <c r="K116" s="475"/>
      <c r="L116" s="475"/>
      <c r="M116" s="475"/>
      <c r="N116" s="476"/>
      <c r="O116" s="477">
        <v>5100</v>
      </c>
      <c r="P116" s="472"/>
      <c r="Q116" s="472"/>
      <c r="R116" s="473"/>
    </row>
    <row r="117" spans="3:18" ht="15.75" customHeight="1">
      <c r="C117" s="125"/>
      <c r="D117" s="4"/>
      <c r="E117" s="96"/>
      <c r="F117" s="474" t="s">
        <v>866</v>
      </c>
      <c r="G117" s="480"/>
      <c r="H117" s="480"/>
      <c r="I117" s="480"/>
      <c r="J117" s="479"/>
      <c r="K117" s="480"/>
      <c r="L117" s="480"/>
      <c r="M117" s="480"/>
      <c r="N117" s="482"/>
      <c r="O117" s="477">
        <v>11000</v>
      </c>
      <c r="P117" s="472"/>
      <c r="Q117" s="472"/>
      <c r="R117" s="473"/>
    </row>
    <row r="118" spans="3:18" ht="15.75" customHeight="1">
      <c r="C118" s="125"/>
      <c r="D118" s="4"/>
      <c r="E118" s="96"/>
      <c r="F118" s="474" t="s">
        <v>832</v>
      </c>
      <c r="G118" s="480"/>
      <c r="H118" s="480"/>
      <c r="I118" s="480"/>
      <c r="J118" s="479"/>
      <c r="K118" s="480"/>
      <c r="L118" s="480"/>
      <c r="M118" s="480"/>
      <c r="N118" s="482"/>
      <c r="O118" s="477">
        <v>3900</v>
      </c>
      <c r="P118" s="472"/>
      <c r="Q118" s="472"/>
      <c r="R118" s="473"/>
    </row>
    <row r="119" spans="3:18" ht="15.75" customHeight="1" thickBot="1">
      <c r="C119" s="126"/>
      <c r="D119" s="112"/>
      <c r="E119" s="118"/>
      <c r="F119" s="494"/>
      <c r="G119" s="495"/>
      <c r="H119" s="495"/>
      <c r="I119" s="495"/>
      <c r="J119" s="492"/>
      <c r="K119" s="495"/>
      <c r="L119" s="495"/>
      <c r="M119" s="495"/>
      <c r="N119" s="496"/>
      <c r="O119" s="497"/>
      <c r="P119" s="489"/>
      <c r="Q119" s="489"/>
      <c r="R119" s="490"/>
    </row>
    <row r="120" spans="3:18" ht="15.75" customHeight="1" thickBot="1">
      <c r="C120" s="148" t="s">
        <v>1144</v>
      </c>
      <c r="D120" s="114" t="s">
        <v>867</v>
      </c>
      <c r="E120" s="136">
        <v>44683</v>
      </c>
      <c r="F120" s="491" t="s">
        <v>778</v>
      </c>
      <c r="G120" s="484"/>
      <c r="H120" s="484"/>
      <c r="I120" s="484"/>
      <c r="J120" s="478" t="s">
        <v>776</v>
      </c>
      <c r="K120" s="483" t="s">
        <v>8</v>
      </c>
      <c r="L120" s="484"/>
      <c r="M120" s="484"/>
      <c r="N120" s="485"/>
      <c r="O120" s="486"/>
      <c r="P120" s="487"/>
      <c r="Q120" s="487">
        <v>76700</v>
      </c>
      <c r="R120" s="488"/>
    </row>
    <row r="121" spans="3:18" ht="15.75" customHeight="1">
      <c r="C121" s="125"/>
      <c r="D121" s="6"/>
      <c r="E121" s="96"/>
      <c r="F121" s="474" t="s">
        <v>30</v>
      </c>
      <c r="G121" s="480"/>
      <c r="H121" s="480"/>
      <c r="I121" s="480"/>
      <c r="J121" s="479"/>
      <c r="K121" s="480"/>
      <c r="L121" s="480"/>
      <c r="M121" s="480"/>
      <c r="N121" s="482"/>
      <c r="O121" s="477">
        <v>40906.67</v>
      </c>
      <c r="P121" s="472"/>
      <c r="Q121" s="472"/>
      <c r="R121" s="473"/>
    </row>
    <row r="122" spans="3:18" ht="15.75" customHeight="1">
      <c r="C122" s="125"/>
      <c r="D122" s="6"/>
      <c r="F122" s="474" t="s">
        <v>833</v>
      </c>
      <c r="G122" s="480"/>
      <c r="H122" s="480"/>
      <c r="I122" s="480"/>
      <c r="J122" s="479"/>
      <c r="K122" s="480"/>
      <c r="L122" s="480"/>
      <c r="M122" s="480"/>
      <c r="N122" s="482"/>
      <c r="O122" s="477">
        <v>35793.33</v>
      </c>
      <c r="P122" s="472"/>
      <c r="Q122" s="472"/>
      <c r="R122" s="473"/>
    </row>
    <row r="123" spans="3:18" ht="15.75" customHeight="1">
      <c r="C123" s="125"/>
      <c r="D123" s="6"/>
      <c r="F123" s="481"/>
      <c r="G123" s="480"/>
      <c r="H123" s="480"/>
      <c r="I123" s="480"/>
      <c r="J123" s="479"/>
      <c r="K123" s="480"/>
      <c r="L123" s="480"/>
      <c r="M123" s="480"/>
      <c r="N123" s="482"/>
      <c r="O123" s="477"/>
      <c r="P123" s="472"/>
      <c r="Q123" s="472"/>
      <c r="R123" s="473"/>
    </row>
    <row r="124" spans="3:18" ht="15.75" customHeight="1">
      <c r="C124" s="125"/>
      <c r="D124" s="736" t="s">
        <v>868</v>
      </c>
      <c r="E124" s="135">
        <v>44683</v>
      </c>
      <c r="F124" s="474" t="s">
        <v>866</v>
      </c>
      <c r="G124" s="480"/>
      <c r="H124" s="480"/>
      <c r="I124" s="480"/>
      <c r="J124" s="479" t="s">
        <v>776</v>
      </c>
      <c r="K124" s="475" t="s">
        <v>778</v>
      </c>
      <c r="L124" s="480"/>
      <c r="M124" s="480"/>
      <c r="N124" s="482"/>
      <c r="O124" s="477"/>
      <c r="P124" s="472"/>
      <c r="Q124" s="472">
        <v>43920</v>
      </c>
      <c r="R124" s="473"/>
    </row>
    <row r="125" spans="3:18" ht="15.75" customHeight="1">
      <c r="C125" s="125"/>
      <c r="D125" s="736"/>
      <c r="E125" s="135"/>
      <c r="F125" s="474"/>
      <c r="G125" s="475"/>
      <c r="H125" s="475"/>
      <c r="I125" s="475"/>
      <c r="J125" s="479"/>
      <c r="K125" s="475" t="s">
        <v>833</v>
      </c>
      <c r="L125" s="475"/>
      <c r="M125" s="475"/>
      <c r="N125" s="476"/>
      <c r="O125" s="477">
        <v>35793.33</v>
      </c>
      <c r="P125" s="472"/>
      <c r="Q125" s="472"/>
      <c r="R125" s="473"/>
    </row>
    <row r="126" spans="3:18" ht="15.75" customHeight="1">
      <c r="C126" s="125"/>
      <c r="D126" s="736"/>
      <c r="E126" s="135"/>
      <c r="F126" s="474"/>
      <c r="G126" s="475"/>
      <c r="H126" s="475"/>
      <c r="I126" s="475"/>
      <c r="J126" s="479"/>
      <c r="K126" s="475" t="s">
        <v>834</v>
      </c>
      <c r="L126" s="475"/>
      <c r="M126" s="475"/>
      <c r="N126" s="476"/>
      <c r="O126" s="477">
        <v>7920</v>
      </c>
      <c r="P126" s="472"/>
      <c r="Q126" s="472"/>
      <c r="R126" s="473"/>
    </row>
    <row r="127" spans="3:18" ht="15.75" customHeight="1">
      <c r="C127" s="125"/>
      <c r="D127" s="736"/>
      <c r="E127" s="135"/>
      <c r="F127" s="474"/>
      <c r="G127" s="475"/>
      <c r="H127" s="475"/>
      <c r="I127" s="475"/>
      <c r="J127" s="479"/>
      <c r="K127" s="475" t="s">
        <v>869</v>
      </c>
      <c r="L127" s="475"/>
      <c r="M127" s="475"/>
      <c r="N127" s="476"/>
      <c r="O127" s="477">
        <v>206.67</v>
      </c>
      <c r="P127" s="472"/>
      <c r="Q127" s="472"/>
      <c r="R127" s="473"/>
    </row>
    <row r="128" spans="3:18" ht="15.75" customHeight="1" thickBot="1">
      <c r="C128" s="126"/>
      <c r="D128" s="112"/>
      <c r="E128" s="118"/>
      <c r="F128" s="494"/>
      <c r="G128" s="495"/>
      <c r="H128" s="495"/>
      <c r="I128" s="495"/>
      <c r="J128" s="492"/>
      <c r="K128" s="495"/>
      <c r="L128" s="495"/>
      <c r="M128" s="495"/>
      <c r="N128" s="496"/>
      <c r="O128" s="497"/>
      <c r="P128" s="489"/>
      <c r="Q128" s="489"/>
      <c r="R128" s="490"/>
    </row>
    <row r="129" spans="2:19" ht="15.75" customHeight="1"/>
    <row r="130" spans="2:19" ht="15.75" customHeight="1">
      <c r="B130" s="96"/>
      <c r="C130" s="96"/>
      <c r="D130" s="96"/>
      <c r="E130" s="96"/>
      <c r="F130" s="96"/>
      <c r="G130" s="96"/>
      <c r="H130" s="96"/>
      <c r="I130" s="96"/>
      <c r="J130" s="96"/>
      <c r="K130" s="96"/>
      <c r="L130" s="96"/>
      <c r="M130" s="96"/>
      <c r="N130" s="96"/>
      <c r="O130" s="96"/>
      <c r="P130" s="96"/>
      <c r="Q130" s="96"/>
      <c r="R130" s="96"/>
      <c r="S130" s="96"/>
    </row>
    <row r="131" spans="2:19" ht="15.75" customHeight="1">
      <c r="B131" s="96"/>
      <c r="C131" s="132"/>
      <c r="D131" s="96"/>
      <c r="E131" s="135"/>
      <c r="F131" s="96"/>
      <c r="G131" s="96"/>
      <c r="H131" s="96"/>
      <c r="I131" s="96"/>
      <c r="J131" s="146"/>
      <c r="K131" s="96"/>
      <c r="L131" s="96"/>
      <c r="M131" s="96"/>
      <c r="N131" s="96"/>
      <c r="O131" s="147"/>
      <c r="P131" s="147"/>
      <c r="Q131" s="147"/>
      <c r="R131" s="147"/>
      <c r="S131" s="96"/>
    </row>
    <row r="132" spans="2:19" ht="15.75" customHeight="1">
      <c r="B132" s="96"/>
      <c r="C132" s="96"/>
      <c r="D132" s="96"/>
      <c r="E132" s="96"/>
      <c r="F132" s="96"/>
      <c r="G132" s="96"/>
      <c r="H132" s="96"/>
      <c r="I132" s="96"/>
      <c r="J132" s="146"/>
      <c r="K132" s="96"/>
      <c r="L132" s="96"/>
      <c r="M132" s="96"/>
      <c r="N132" s="96"/>
      <c r="O132" s="147"/>
      <c r="P132" s="147"/>
      <c r="Q132" s="147"/>
      <c r="R132" s="147"/>
      <c r="S132" s="96"/>
    </row>
    <row r="133" spans="2:19" ht="15.75" customHeight="1">
      <c r="B133" s="96"/>
      <c r="C133" s="132"/>
      <c r="D133" s="115"/>
      <c r="E133" s="135"/>
      <c r="F133" s="104"/>
      <c r="G133" s="104"/>
      <c r="H133" s="104"/>
      <c r="I133" s="104"/>
      <c r="J133" s="107"/>
      <c r="K133" s="106"/>
      <c r="L133" s="106"/>
      <c r="M133" s="106"/>
      <c r="N133" s="106"/>
      <c r="O133" s="133"/>
      <c r="P133" s="133"/>
      <c r="Q133" s="133"/>
      <c r="R133" s="133"/>
      <c r="S133" s="96"/>
    </row>
    <row r="134" spans="2:19" ht="15.75" customHeight="1">
      <c r="B134" s="96"/>
      <c r="C134" s="96"/>
      <c r="D134" s="145"/>
      <c r="E134" s="96"/>
      <c r="F134" s="104"/>
      <c r="G134" s="104"/>
      <c r="H134" s="104"/>
      <c r="I134" s="104"/>
      <c r="J134" s="107"/>
      <c r="K134" s="104"/>
      <c r="L134" s="104"/>
      <c r="M134" s="104"/>
      <c r="N134" s="104"/>
      <c r="O134" s="133"/>
      <c r="P134" s="133"/>
      <c r="Q134" s="133"/>
      <c r="R134" s="133"/>
      <c r="S134" s="96"/>
    </row>
    <row r="135" spans="2:19" ht="15.75" customHeight="1">
      <c r="B135" s="96"/>
      <c r="C135" s="96"/>
      <c r="D135" s="115"/>
      <c r="E135" s="96"/>
      <c r="F135" s="104"/>
      <c r="G135" s="104"/>
      <c r="H135" s="104"/>
      <c r="I135" s="104"/>
      <c r="J135" s="107"/>
      <c r="K135" s="104"/>
      <c r="L135" s="104"/>
      <c r="M135" s="104"/>
      <c r="N135" s="104"/>
      <c r="O135" s="133"/>
      <c r="P135" s="133"/>
      <c r="Q135" s="133"/>
      <c r="R135" s="133"/>
      <c r="S135" s="96"/>
    </row>
    <row r="136" spans="2:19" ht="15.75" customHeight="1">
      <c r="B136" s="96"/>
      <c r="C136" s="96"/>
      <c r="D136" s="96"/>
      <c r="E136" s="96"/>
      <c r="F136" s="104"/>
      <c r="G136" s="104"/>
      <c r="H136" s="104"/>
      <c r="I136" s="104"/>
      <c r="J136" s="107"/>
      <c r="K136" s="104"/>
      <c r="L136" s="104"/>
      <c r="M136" s="104"/>
      <c r="N136" s="104"/>
      <c r="O136" s="133"/>
      <c r="P136" s="133"/>
      <c r="Q136" s="133"/>
      <c r="R136" s="133"/>
      <c r="S136" s="96"/>
    </row>
    <row r="137" spans="2:19" ht="15.75" customHeight="1">
      <c r="B137" s="96"/>
      <c r="C137" s="96"/>
      <c r="D137" s="96"/>
      <c r="E137" s="96"/>
      <c r="F137" s="96"/>
      <c r="G137" s="96"/>
      <c r="H137" s="96"/>
      <c r="I137" s="96"/>
      <c r="J137" s="96"/>
      <c r="K137" s="96"/>
      <c r="L137" s="96"/>
      <c r="M137" s="96"/>
      <c r="N137" s="96"/>
      <c r="O137" s="96"/>
      <c r="P137" s="96"/>
      <c r="Q137" s="96"/>
      <c r="R137" s="96"/>
      <c r="S137" s="96"/>
    </row>
    <row r="138" spans="2:19" ht="15.75" customHeight="1">
      <c r="B138" s="96"/>
      <c r="C138" s="96"/>
      <c r="D138" s="96"/>
      <c r="E138" s="96"/>
      <c r="F138" s="96"/>
      <c r="G138" s="96"/>
      <c r="H138" s="96"/>
      <c r="I138" s="96"/>
      <c r="J138" s="96"/>
      <c r="K138" s="96"/>
      <c r="L138" s="96"/>
      <c r="M138" s="96"/>
      <c r="N138" s="96"/>
      <c r="O138" s="96"/>
      <c r="P138" s="96"/>
      <c r="Q138" s="96"/>
      <c r="R138" s="96"/>
      <c r="S138" s="96"/>
    </row>
    <row r="139" spans="2:19" ht="15.75" customHeight="1">
      <c r="B139" s="96"/>
      <c r="C139" s="96"/>
      <c r="D139" s="96"/>
      <c r="E139" s="96"/>
      <c r="F139" s="96"/>
      <c r="G139" s="96"/>
      <c r="H139" s="96"/>
      <c r="I139" s="96"/>
      <c r="J139" s="96"/>
      <c r="K139" s="96"/>
      <c r="L139" s="96"/>
      <c r="M139" s="96"/>
      <c r="N139" s="96"/>
      <c r="O139" s="96"/>
      <c r="P139" s="96"/>
      <c r="Q139" s="96"/>
      <c r="R139" s="96"/>
      <c r="S139" s="96"/>
    </row>
    <row r="140" spans="2:19" ht="15.75" customHeight="1">
      <c r="B140" s="96"/>
      <c r="C140" s="96"/>
      <c r="D140" s="96"/>
      <c r="E140" s="96"/>
      <c r="F140" s="96"/>
      <c r="G140" s="96"/>
      <c r="H140" s="96"/>
      <c r="I140" s="96"/>
      <c r="J140" s="96"/>
      <c r="K140" s="96"/>
      <c r="L140" s="96"/>
      <c r="M140" s="96"/>
      <c r="N140" s="96"/>
      <c r="O140" s="96"/>
      <c r="P140" s="96"/>
      <c r="Q140" s="96"/>
      <c r="R140" s="96"/>
      <c r="S140" s="96"/>
    </row>
    <row r="141" spans="2:19" ht="15.75" customHeight="1">
      <c r="B141" s="96"/>
      <c r="C141" s="96"/>
      <c r="D141" s="96"/>
      <c r="E141" s="96"/>
      <c r="F141" s="96"/>
      <c r="G141" s="96"/>
      <c r="H141" s="96"/>
      <c r="I141" s="96"/>
      <c r="J141" s="96"/>
      <c r="K141" s="96"/>
      <c r="L141" s="96"/>
      <c r="M141" s="96"/>
      <c r="N141" s="96"/>
      <c r="O141" s="96"/>
      <c r="P141" s="96"/>
      <c r="Q141" s="96"/>
      <c r="R141" s="96"/>
      <c r="S141" s="96"/>
    </row>
    <row r="142" spans="2:19" ht="15.75" customHeight="1"/>
    <row r="143" spans="2:19" ht="15.75" customHeight="1"/>
    <row r="144" spans="2:19"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84" spans="3:18" ht="15" customHeight="1" thickBot="1"/>
    <row r="285" spans="3:18" ht="15" customHeight="1" thickBot="1">
      <c r="C285" s="8" t="s">
        <v>155</v>
      </c>
      <c r="D285" s="3"/>
      <c r="E285" s="5">
        <v>44196</v>
      </c>
      <c r="F285" t="s">
        <v>31</v>
      </c>
      <c r="I285" s="3"/>
      <c r="J285" s="95" t="s">
        <v>776</v>
      </c>
      <c r="Q285" s="55">
        <v>16611</v>
      </c>
      <c r="R285" s="55"/>
    </row>
    <row r="286" spans="3:18" ht="15" customHeight="1">
      <c r="C286" s="4"/>
      <c r="D286" s="4"/>
      <c r="E286" s="4"/>
      <c r="J286" s="95" t="s">
        <v>776</v>
      </c>
      <c r="K286" t="s">
        <v>125</v>
      </c>
      <c r="N286" s="3"/>
      <c r="Q286" s="55"/>
      <c r="R286" s="55">
        <v>170000</v>
      </c>
    </row>
    <row r="287" spans="3:18" ht="15" customHeight="1">
      <c r="C287" s="4"/>
      <c r="D287" s="4"/>
      <c r="E287" s="4"/>
      <c r="J287" s="95" t="s">
        <v>776</v>
      </c>
      <c r="K287" t="s">
        <v>156</v>
      </c>
      <c r="N287" s="3"/>
      <c r="Q287" s="55"/>
      <c r="R287" s="55">
        <v>25499.98</v>
      </c>
    </row>
    <row r="288" spans="3:18" ht="15" customHeight="1">
      <c r="C288" s="4"/>
      <c r="D288" s="4"/>
      <c r="E288" s="4"/>
      <c r="J288" s="95" t="s">
        <v>776</v>
      </c>
      <c r="K288" t="s">
        <v>157</v>
      </c>
      <c r="N288" s="3"/>
      <c r="Q288" s="55"/>
      <c r="R288" s="55">
        <v>20000</v>
      </c>
    </row>
    <row r="289" spans="3:18" ht="15" customHeight="1">
      <c r="C289" s="4"/>
      <c r="D289" s="4"/>
      <c r="E289" s="4"/>
      <c r="I289" s="3"/>
      <c r="J289" s="95" t="s">
        <v>776</v>
      </c>
      <c r="K289" t="s">
        <v>90</v>
      </c>
      <c r="Q289" s="55"/>
      <c r="R289" s="55">
        <v>6100</v>
      </c>
    </row>
    <row r="290" spans="3:18" ht="15" customHeight="1">
      <c r="C290" s="4"/>
      <c r="D290" s="4"/>
      <c r="E290" s="4"/>
      <c r="F290" s="95" t="s">
        <v>778</v>
      </c>
      <c r="I290" s="3"/>
      <c r="J290" s="95"/>
      <c r="K290" s="95" t="s">
        <v>778</v>
      </c>
      <c r="Q290" s="55"/>
      <c r="R290" s="55"/>
    </row>
    <row r="291" spans="3:18" ht="15" customHeight="1">
      <c r="C291" s="4"/>
      <c r="D291" s="4"/>
      <c r="E291" s="4"/>
      <c r="F291" t="s">
        <v>28</v>
      </c>
      <c r="I291" s="3"/>
      <c r="J291" s="95" t="s">
        <v>776</v>
      </c>
      <c r="Q291" s="55">
        <v>4490.91</v>
      </c>
      <c r="R291" s="55"/>
    </row>
    <row r="292" spans="3:18" ht="15" customHeight="1">
      <c r="C292" s="4"/>
      <c r="D292" s="4"/>
      <c r="E292" s="4"/>
      <c r="F292" t="s">
        <v>29</v>
      </c>
      <c r="I292" s="3"/>
      <c r="J292" s="95" t="s">
        <v>776</v>
      </c>
      <c r="Q292" s="55">
        <v>8258.33</v>
      </c>
      <c r="R292" s="55"/>
    </row>
    <row r="293" spans="3:18" ht="15" customHeight="1">
      <c r="C293" s="4"/>
      <c r="D293" s="4"/>
      <c r="E293" s="4"/>
      <c r="F293" t="s">
        <v>142</v>
      </c>
      <c r="I293" s="3"/>
      <c r="J293" s="95" t="s">
        <v>776</v>
      </c>
      <c r="Q293" s="55">
        <v>5916.67</v>
      </c>
      <c r="R293" s="55"/>
    </row>
    <row r="294" spans="3:18" ht="15" customHeight="1">
      <c r="C294" s="4"/>
      <c r="D294" s="4"/>
      <c r="E294" s="4"/>
      <c r="F294" t="s">
        <v>30</v>
      </c>
      <c r="I294" s="3"/>
      <c r="J294" s="95" t="s">
        <v>776</v>
      </c>
      <c r="Q294" s="55">
        <v>1833.33</v>
      </c>
      <c r="R294" s="55"/>
    </row>
    <row r="295" spans="3:18" ht="15" customHeight="1">
      <c r="C295" s="4"/>
      <c r="D295" s="4"/>
      <c r="E295" s="4"/>
      <c r="I295" s="3"/>
      <c r="J295" s="95" t="s">
        <v>776</v>
      </c>
      <c r="K295" t="s">
        <v>6</v>
      </c>
      <c r="Q295" s="55"/>
      <c r="R295" s="55">
        <v>4490.91</v>
      </c>
    </row>
    <row r="296" spans="3:18" ht="15" customHeight="1">
      <c r="C296" s="4"/>
      <c r="D296" s="4"/>
      <c r="E296" s="4"/>
      <c r="I296" s="3"/>
      <c r="J296" s="95" t="s">
        <v>776</v>
      </c>
      <c r="K296" t="s">
        <v>7</v>
      </c>
      <c r="Q296" s="55"/>
      <c r="R296" s="55">
        <v>8258.33</v>
      </c>
    </row>
    <row r="297" spans="3:18" ht="15" customHeight="1">
      <c r="C297" s="4"/>
      <c r="D297" s="4"/>
      <c r="E297" s="4"/>
      <c r="I297" s="3"/>
      <c r="J297" s="95" t="s">
        <v>776</v>
      </c>
      <c r="K297" t="s">
        <v>9</v>
      </c>
      <c r="Q297" s="55"/>
      <c r="R297" s="55">
        <v>5916.67</v>
      </c>
    </row>
    <row r="298" spans="3:18" ht="15" customHeight="1">
      <c r="C298" s="4"/>
      <c r="D298" s="4"/>
      <c r="E298" s="4"/>
      <c r="I298" s="3"/>
      <c r="J298" s="95" t="s">
        <v>776</v>
      </c>
      <c r="K298" t="s">
        <v>8</v>
      </c>
      <c r="Q298" s="55"/>
      <c r="R298" s="55">
        <v>1833.33</v>
      </c>
    </row>
    <row r="299" spans="3:18" ht="15" customHeight="1">
      <c r="C299" s="4"/>
      <c r="D299" s="4"/>
      <c r="E299" s="4"/>
      <c r="F299" t="s">
        <v>137</v>
      </c>
      <c r="I299" s="3"/>
      <c r="J299" s="95" t="s">
        <v>776</v>
      </c>
      <c r="K299" t="s">
        <v>158</v>
      </c>
      <c r="Q299" s="55">
        <v>511527</v>
      </c>
      <c r="R299" s="55"/>
    </row>
    <row r="300" spans="3:18" ht="15" customHeight="1">
      <c r="C300" s="4"/>
      <c r="D300" s="4"/>
      <c r="E300" s="4"/>
      <c r="I300" s="3"/>
      <c r="J300" s="95" t="s">
        <v>776</v>
      </c>
      <c r="Q300" s="55"/>
      <c r="R300" s="55">
        <v>6000</v>
      </c>
    </row>
    <row r="301" spans="3:18" ht="15" customHeight="1">
      <c r="C301" s="4"/>
      <c r="D301" s="4"/>
      <c r="E301" s="4"/>
      <c r="F301" t="s">
        <v>121</v>
      </c>
      <c r="I301" s="3"/>
      <c r="J301" s="95" t="s">
        <v>776</v>
      </c>
      <c r="Q301" s="55">
        <v>155000</v>
      </c>
      <c r="R301" s="55"/>
    </row>
    <row r="302" spans="3:18" ht="15" customHeight="1">
      <c r="C302" s="4"/>
      <c r="D302" s="4"/>
      <c r="E302" s="4"/>
      <c r="F302" t="s">
        <v>159</v>
      </c>
      <c r="I302" s="3"/>
      <c r="J302" s="95" t="s">
        <v>776</v>
      </c>
      <c r="Q302" s="55">
        <v>60200</v>
      </c>
      <c r="R302" s="55"/>
    </row>
    <row r="303" spans="3:18" ht="15" customHeight="1">
      <c r="C303" s="4"/>
      <c r="D303" s="4"/>
      <c r="E303" s="4"/>
      <c r="F303" t="s">
        <v>102</v>
      </c>
      <c r="I303" s="3"/>
      <c r="J303" s="95" t="s">
        <v>776</v>
      </c>
      <c r="Q303" s="55">
        <v>357</v>
      </c>
      <c r="R303" s="55"/>
    </row>
    <row r="304" spans="3:18" ht="15" customHeight="1">
      <c r="C304" s="4"/>
      <c r="D304" s="4"/>
      <c r="E304" s="4"/>
      <c r="F304" t="s">
        <v>27</v>
      </c>
      <c r="I304" s="3"/>
      <c r="J304" s="95" t="s">
        <v>776</v>
      </c>
      <c r="Q304" s="55">
        <v>227498.71</v>
      </c>
      <c r="R304" s="55"/>
    </row>
    <row r="305" spans="3:18" ht="15" customHeight="1">
      <c r="C305" s="4"/>
      <c r="D305" s="4"/>
      <c r="E305" s="4"/>
      <c r="F305" t="s">
        <v>160</v>
      </c>
      <c r="I305" s="3"/>
      <c r="J305" s="95" t="s">
        <v>776</v>
      </c>
      <c r="Q305" s="55">
        <v>11000</v>
      </c>
      <c r="R305" s="55"/>
    </row>
    <row r="306" spans="3:18" ht="15" customHeight="1" thickBot="1">
      <c r="C306" s="9"/>
      <c r="D306" s="4"/>
      <c r="E306" s="7"/>
      <c r="I306" s="3"/>
      <c r="J306" s="95" t="s">
        <v>776</v>
      </c>
      <c r="Q306" s="55"/>
      <c r="R306" s="55"/>
    </row>
    <row r="307" spans="3:18" ht="15" customHeight="1" thickBot="1">
      <c r="C307" s="10" t="s">
        <v>161</v>
      </c>
      <c r="D307" s="3"/>
      <c r="E307" s="5">
        <v>44196</v>
      </c>
      <c r="F307" t="s">
        <v>129</v>
      </c>
      <c r="I307" s="3"/>
      <c r="J307" s="95" t="s">
        <v>776</v>
      </c>
      <c r="Q307" s="55">
        <f>SUM(R308:R331)</f>
        <v>849762.5</v>
      </c>
      <c r="R307" s="55"/>
    </row>
    <row r="308" spans="3:18" ht="15" customHeight="1">
      <c r="C308" s="4"/>
      <c r="D308" s="4"/>
      <c r="E308" s="4"/>
      <c r="F308" t="s">
        <v>14</v>
      </c>
      <c r="I308" s="3"/>
      <c r="J308" s="95" t="s">
        <v>776</v>
      </c>
      <c r="Q308" s="55"/>
      <c r="R308" s="55">
        <v>382000</v>
      </c>
    </row>
    <row r="309" spans="3:18" ht="15" customHeight="1">
      <c r="C309" s="4"/>
      <c r="D309" s="4"/>
      <c r="E309" s="4"/>
      <c r="F309" t="s">
        <v>17</v>
      </c>
      <c r="I309" s="3"/>
      <c r="J309" s="95" t="s">
        <v>776</v>
      </c>
      <c r="Q309" s="55"/>
      <c r="R309" s="55">
        <v>24333</v>
      </c>
    </row>
    <row r="310" spans="3:18" ht="15" customHeight="1">
      <c r="C310" s="4"/>
      <c r="D310" s="4"/>
      <c r="E310" s="4"/>
      <c r="F310" t="s">
        <v>18</v>
      </c>
      <c r="I310" s="3"/>
      <c r="J310" s="95" t="s">
        <v>776</v>
      </c>
      <c r="Q310" s="55"/>
      <c r="R310" s="55">
        <v>32500</v>
      </c>
    </row>
    <row r="311" spans="3:18" ht="15" customHeight="1">
      <c r="C311" s="4"/>
      <c r="D311" s="4"/>
      <c r="E311" s="4"/>
      <c r="F311" t="s">
        <v>19</v>
      </c>
      <c r="I311" s="3"/>
      <c r="J311" s="95" t="s">
        <v>776</v>
      </c>
      <c r="Q311" s="55"/>
      <c r="R311" s="55">
        <v>12000</v>
      </c>
    </row>
    <row r="312" spans="3:18" ht="15" customHeight="1">
      <c r="C312" s="4"/>
      <c r="D312" s="4"/>
      <c r="E312" s="4"/>
      <c r="F312" t="s">
        <v>20</v>
      </c>
      <c r="I312" s="3"/>
      <c r="J312" s="95" t="s">
        <v>776</v>
      </c>
      <c r="Q312" s="55"/>
      <c r="R312" s="55">
        <v>5500</v>
      </c>
    </row>
    <row r="313" spans="3:18" ht="15" customHeight="1">
      <c r="C313" s="4"/>
      <c r="D313" s="4"/>
      <c r="E313" s="4"/>
      <c r="F313" t="s">
        <v>21</v>
      </c>
      <c r="I313" s="3"/>
      <c r="J313" s="95" t="s">
        <v>776</v>
      </c>
      <c r="Q313" s="55"/>
      <c r="R313" s="55">
        <v>6750</v>
      </c>
    </row>
    <row r="314" spans="3:18" ht="15" customHeight="1">
      <c r="C314" s="4"/>
      <c r="D314" s="4"/>
      <c r="E314" s="4"/>
      <c r="F314" t="s">
        <v>22</v>
      </c>
      <c r="I314" s="3"/>
      <c r="J314" s="95" t="s">
        <v>776</v>
      </c>
      <c r="Q314" s="55"/>
      <c r="R314" s="55">
        <v>19670.7</v>
      </c>
    </row>
    <row r="315" spans="3:18" ht="15" customHeight="1">
      <c r="C315" s="4"/>
      <c r="D315" s="4"/>
      <c r="E315" s="3"/>
      <c r="F315" t="s">
        <v>162</v>
      </c>
      <c r="I315" s="3"/>
      <c r="J315" s="95" t="s">
        <v>776</v>
      </c>
      <c r="Q315" s="55"/>
      <c r="R315" s="55">
        <v>14400</v>
      </c>
    </row>
    <row r="316" spans="3:18" ht="15" customHeight="1">
      <c r="C316" s="4"/>
      <c r="D316" s="4"/>
      <c r="E316" s="3"/>
      <c r="F316" t="s">
        <v>23</v>
      </c>
      <c r="I316" s="3"/>
      <c r="J316" s="95" t="s">
        <v>776</v>
      </c>
      <c r="Q316" s="55"/>
      <c r="R316" s="55">
        <v>198000</v>
      </c>
    </row>
    <row r="317" spans="3:18" ht="15" customHeight="1">
      <c r="C317" s="4"/>
      <c r="D317" s="4"/>
      <c r="E317" s="3"/>
      <c r="F317" t="s">
        <v>25</v>
      </c>
      <c r="I317" s="3"/>
      <c r="J317" s="95" t="s">
        <v>776</v>
      </c>
      <c r="Q317" s="55"/>
      <c r="R317" s="55">
        <v>2326.59</v>
      </c>
    </row>
    <row r="318" spans="3:18" ht="15" customHeight="1">
      <c r="C318" s="4"/>
      <c r="D318" s="4"/>
      <c r="E318" s="3"/>
      <c r="F318" t="s">
        <v>24</v>
      </c>
      <c r="I318" s="3"/>
      <c r="J318" s="95" t="s">
        <v>776</v>
      </c>
      <c r="Q318" s="55"/>
      <c r="R318" s="55">
        <v>54500</v>
      </c>
    </row>
    <row r="319" spans="3:18" ht="15" customHeight="1">
      <c r="C319" s="4"/>
      <c r="D319" s="4"/>
      <c r="E319" s="3"/>
      <c r="F319" t="s">
        <v>163</v>
      </c>
      <c r="I319" s="3"/>
      <c r="J319" s="95" t="s">
        <v>776</v>
      </c>
      <c r="Q319" s="55"/>
      <c r="R319" s="55">
        <v>16766.669999999998</v>
      </c>
    </row>
    <row r="320" spans="3:18" ht="15" customHeight="1">
      <c r="C320" s="4"/>
      <c r="D320" s="4"/>
      <c r="E320" s="3"/>
      <c r="F320" t="s">
        <v>94</v>
      </c>
      <c r="I320" s="3"/>
      <c r="J320" s="95" t="s">
        <v>776</v>
      </c>
      <c r="Q320" s="55"/>
      <c r="R320" s="55">
        <v>6033</v>
      </c>
    </row>
    <row r="321" spans="3:18" ht="15" customHeight="1">
      <c r="C321" s="4"/>
      <c r="D321" s="4"/>
      <c r="E321" s="3"/>
      <c r="F321" t="s">
        <v>104</v>
      </c>
      <c r="I321" s="3"/>
      <c r="J321" s="95" t="s">
        <v>776</v>
      </c>
      <c r="Q321" s="55"/>
      <c r="R321" s="55">
        <v>4490.91</v>
      </c>
    </row>
    <row r="322" spans="3:18" ht="15" customHeight="1">
      <c r="C322" s="4"/>
      <c r="D322" s="4"/>
      <c r="E322" s="3"/>
      <c r="F322" t="s">
        <v>103</v>
      </c>
      <c r="I322" s="3"/>
      <c r="J322" s="95" t="s">
        <v>776</v>
      </c>
      <c r="Q322" s="55"/>
      <c r="R322" s="55">
        <v>8258.33</v>
      </c>
    </row>
    <row r="323" spans="3:18" ht="15" customHeight="1">
      <c r="C323" s="4"/>
      <c r="D323" s="4"/>
      <c r="E323" s="3"/>
      <c r="F323" t="s">
        <v>105</v>
      </c>
      <c r="I323" s="3"/>
      <c r="J323" s="95" t="s">
        <v>776</v>
      </c>
      <c r="Q323" s="55"/>
      <c r="R323" s="55">
        <v>5916.67</v>
      </c>
    </row>
    <row r="324" spans="3:18" ht="15" customHeight="1">
      <c r="C324" s="4"/>
      <c r="D324" s="4"/>
      <c r="E324" s="3"/>
      <c r="F324" t="s">
        <v>141</v>
      </c>
      <c r="I324" s="3"/>
      <c r="J324" s="95" t="s">
        <v>776</v>
      </c>
      <c r="Q324" s="55"/>
      <c r="R324" s="55">
        <v>1833.33</v>
      </c>
    </row>
    <row r="325" spans="3:18" ht="15" customHeight="1">
      <c r="C325" s="4"/>
      <c r="D325" s="4"/>
      <c r="E325" s="3"/>
      <c r="F325" t="s">
        <v>107</v>
      </c>
      <c r="I325" s="3"/>
      <c r="J325" s="95" t="s">
        <v>776</v>
      </c>
      <c r="Q325" s="55"/>
      <c r="R325" s="55">
        <v>1750</v>
      </c>
    </row>
    <row r="326" spans="3:18" ht="15" customHeight="1">
      <c r="C326" s="4"/>
      <c r="D326" s="4"/>
      <c r="E326" s="3"/>
      <c r="F326" t="s">
        <v>108</v>
      </c>
      <c r="I326" s="3"/>
      <c r="J326" s="95" t="s">
        <v>776</v>
      </c>
      <c r="Q326" s="55"/>
      <c r="R326" s="55">
        <v>1312.5</v>
      </c>
    </row>
    <row r="327" spans="3:18" ht="15" customHeight="1">
      <c r="C327" s="4"/>
      <c r="D327" s="4"/>
      <c r="E327" s="3"/>
      <c r="F327" t="s">
        <v>109</v>
      </c>
      <c r="I327" s="3"/>
      <c r="J327" s="95" t="s">
        <v>776</v>
      </c>
      <c r="Q327" s="55"/>
      <c r="R327" s="55">
        <v>8000</v>
      </c>
    </row>
    <row r="328" spans="3:18" ht="15" customHeight="1">
      <c r="C328" s="4"/>
      <c r="D328" s="4"/>
      <c r="E328" s="3"/>
      <c r="F328" t="s">
        <v>164</v>
      </c>
      <c r="I328" s="3"/>
      <c r="J328" s="95" t="s">
        <v>776</v>
      </c>
      <c r="Q328" s="55"/>
      <c r="R328" s="55">
        <v>327.8</v>
      </c>
    </row>
    <row r="329" spans="3:18" ht="15" customHeight="1">
      <c r="C329" s="4"/>
      <c r="D329" s="4"/>
      <c r="E329" s="3"/>
      <c r="F329" t="s">
        <v>165</v>
      </c>
      <c r="I329" s="3"/>
      <c r="J329" s="95" t="s">
        <v>776</v>
      </c>
      <c r="Q329" s="55"/>
      <c r="R329" s="55">
        <v>24023</v>
      </c>
    </row>
    <row r="330" spans="3:18" ht="15" customHeight="1">
      <c r="C330" s="4"/>
      <c r="D330" s="4"/>
      <c r="E330" s="3"/>
      <c r="F330" t="s">
        <v>150</v>
      </c>
      <c r="I330" s="3"/>
      <c r="J330" s="95" t="s">
        <v>776</v>
      </c>
      <c r="Q330" s="55"/>
      <c r="R330" s="55">
        <v>1570</v>
      </c>
    </row>
    <row r="331" spans="3:18" ht="15" customHeight="1">
      <c r="C331" s="4"/>
      <c r="D331" s="4"/>
      <c r="E331" s="3"/>
      <c r="F331" t="s">
        <v>112</v>
      </c>
      <c r="I331" s="3"/>
      <c r="J331" s="95" t="s">
        <v>776</v>
      </c>
      <c r="Q331" s="55"/>
      <c r="R331" s="55">
        <v>17500</v>
      </c>
    </row>
    <row r="332" spans="3:18" ht="15" customHeight="1">
      <c r="C332" s="4"/>
      <c r="D332" s="4"/>
      <c r="E332" s="3"/>
      <c r="F332" t="s">
        <v>137</v>
      </c>
      <c r="I332" s="3"/>
      <c r="J332" s="95" t="s">
        <v>776</v>
      </c>
      <c r="Q332" s="55">
        <v>511527</v>
      </c>
      <c r="R332" s="55"/>
    </row>
    <row r="333" spans="3:18" ht="15" customHeight="1">
      <c r="C333" s="4"/>
      <c r="D333" s="4"/>
      <c r="E333" s="3"/>
      <c r="F333" t="s">
        <v>40</v>
      </c>
      <c r="I333" s="3"/>
      <c r="J333" s="95" t="s">
        <v>776</v>
      </c>
      <c r="Q333" s="55">
        <v>51801.3</v>
      </c>
      <c r="R333" s="55"/>
    </row>
    <row r="334" spans="3:18" ht="15" customHeight="1">
      <c r="C334" s="4"/>
      <c r="D334" s="4"/>
      <c r="E334" s="3"/>
      <c r="F334" t="s">
        <v>41</v>
      </c>
      <c r="I334" s="3"/>
      <c r="J334" s="95" t="s">
        <v>776</v>
      </c>
      <c r="Q334" s="55">
        <v>18320</v>
      </c>
      <c r="R334" s="55"/>
    </row>
    <row r="335" spans="3:18" ht="15" customHeight="1">
      <c r="C335" s="4"/>
      <c r="D335" s="4"/>
      <c r="E335" s="3"/>
      <c r="F335" t="s">
        <v>42</v>
      </c>
      <c r="I335" s="3"/>
      <c r="J335" s="95" t="s">
        <v>776</v>
      </c>
      <c r="Q335" s="55">
        <v>15000</v>
      </c>
      <c r="R335" s="55"/>
    </row>
    <row r="336" spans="3:18" ht="15" customHeight="1">
      <c r="C336" s="4"/>
      <c r="D336" s="4"/>
      <c r="E336" s="3"/>
      <c r="F336" t="s">
        <v>43</v>
      </c>
      <c r="I336" s="3"/>
      <c r="J336" s="95" t="s">
        <v>776</v>
      </c>
      <c r="Q336" s="55">
        <v>4185</v>
      </c>
      <c r="R336" s="55"/>
    </row>
    <row r="337" spans="3:18" ht="15" customHeight="1">
      <c r="C337" s="4"/>
      <c r="D337" s="4"/>
      <c r="E337" s="3"/>
      <c r="F337" t="s">
        <v>44</v>
      </c>
      <c r="I337" s="3"/>
      <c r="J337" s="95" t="s">
        <v>776</v>
      </c>
      <c r="Q337" s="55">
        <v>5530</v>
      </c>
      <c r="R337" s="55"/>
    </row>
    <row r="338" spans="3:18" ht="15" customHeight="1">
      <c r="C338" s="4"/>
      <c r="D338" s="4"/>
      <c r="E338" s="3"/>
      <c r="F338" t="s">
        <v>45</v>
      </c>
      <c r="I338" s="3"/>
      <c r="J338" s="95" t="s">
        <v>776</v>
      </c>
      <c r="Q338" s="55">
        <v>4560</v>
      </c>
      <c r="R338" s="55"/>
    </row>
    <row r="339" spans="3:18" ht="15" customHeight="1">
      <c r="C339" s="4"/>
      <c r="D339" s="4"/>
      <c r="E339" s="3"/>
      <c r="F339" t="s">
        <v>166</v>
      </c>
      <c r="I339" s="3"/>
      <c r="J339" s="95" t="s">
        <v>776</v>
      </c>
      <c r="Q339" s="55">
        <v>827.779</v>
      </c>
      <c r="R339" s="55"/>
    </row>
    <row r="340" spans="3:18" ht="15" customHeight="1">
      <c r="C340" s="4"/>
      <c r="D340" s="4"/>
      <c r="E340" s="3"/>
      <c r="F340" t="s">
        <v>167</v>
      </c>
      <c r="I340" s="3"/>
      <c r="J340" s="95" t="s">
        <v>776</v>
      </c>
      <c r="Q340" s="55">
        <v>25</v>
      </c>
      <c r="R340" s="55"/>
    </row>
    <row r="341" spans="3:18" ht="15" customHeight="1">
      <c r="C341" s="4"/>
      <c r="D341" s="4"/>
      <c r="E341" s="3"/>
      <c r="F341" t="s">
        <v>143</v>
      </c>
      <c r="I341" s="3"/>
      <c r="J341" s="95" t="s">
        <v>776</v>
      </c>
      <c r="Q341" s="55">
        <v>32250</v>
      </c>
      <c r="R341" s="55"/>
    </row>
    <row r="342" spans="3:18" ht="15" customHeight="1">
      <c r="C342" s="4"/>
      <c r="D342" s="4"/>
      <c r="E342" s="3"/>
      <c r="F342" t="s">
        <v>151</v>
      </c>
      <c r="I342" s="3"/>
      <c r="J342" s="95" t="s">
        <v>776</v>
      </c>
      <c r="Q342" s="55">
        <v>4730</v>
      </c>
      <c r="R342" s="55"/>
    </row>
    <row r="343" spans="3:18" ht="15" customHeight="1">
      <c r="C343" s="4"/>
      <c r="D343" s="4"/>
      <c r="E343" s="3"/>
      <c r="F343" t="s">
        <v>15</v>
      </c>
      <c r="I343" s="3"/>
      <c r="J343" s="95" t="s">
        <v>776</v>
      </c>
      <c r="Q343" s="55">
        <v>61200</v>
      </c>
      <c r="R343" s="55"/>
    </row>
    <row r="344" spans="3:18" ht="15" customHeight="1">
      <c r="C344" s="4"/>
      <c r="D344" s="4"/>
      <c r="E344" s="3"/>
      <c r="F344" t="s">
        <v>16</v>
      </c>
      <c r="I344" s="3"/>
      <c r="J344" s="95" t="s">
        <v>776</v>
      </c>
      <c r="Q344" s="55">
        <v>7730</v>
      </c>
      <c r="R344" s="55"/>
    </row>
    <row r="345" spans="3:18" ht="15" customHeight="1">
      <c r="C345" s="4"/>
      <c r="D345" s="4"/>
      <c r="E345" s="3"/>
      <c r="F345" t="s">
        <v>168</v>
      </c>
      <c r="I345" s="3"/>
      <c r="J345" s="95" t="s">
        <v>776</v>
      </c>
      <c r="Q345" s="55">
        <v>24000</v>
      </c>
      <c r="R345" s="55"/>
    </row>
    <row r="346" spans="3:18" ht="15" customHeight="1">
      <c r="C346" s="4"/>
      <c r="D346" s="4"/>
      <c r="E346" s="3"/>
      <c r="F346" t="s">
        <v>129</v>
      </c>
      <c r="I346" s="3"/>
      <c r="J346" s="95" t="s">
        <v>776</v>
      </c>
      <c r="Q346" s="55"/>
      <c r="R346" s="55">
        <f>Q332+Q333+Q334+Q335+Q336+Q337+Q338+Q339+Q340+Q341+Q342+Q343+Q344+Q345</f>
        <v>741686.07900000003</v>
      </c>
    </row>
    <row r="347" spans="3:18" ht="15" customHeight="1">
      <c r="C347" s="4"/>
      <c r="D347" s="4"/>
      <c r="E347" s="3"/>
      <c r="I347" s="3"/>
      <c r="J347" s="95" t="s">
        <v>776</v>
      </c>
      <c r="Q347" s="55"/>
      <c r="R347" s="55"/>
    </row>
    <row r="348" spans="3:18" ht="15" customHeight="1">
      <c r="C348" s="4"/>
      <c r="D348" s="4"/>
      <c r="E348" s="3"/>
      <c r="F348" t="s">
        <v>169</v>
      </c>
      <c r="I348" s="3"/>
      <c r="J348" s="95" t="s">
        <v>776</v>
      </c>
      <c r="Q348" s="55">
        <v>-100920.7</v>
      </c>
      <c r="R348" s="55"/>
    </row>
    <row r="349" spans="3:18" ht="15" customHeight="1">
      <c r="C349" s="4"/>
      <c r="D349" s="4"/>
      <c r="E349" s="3"/>
      <c r="F349" t="s">
        <v>129</v>
      </c>
      <c r="I349" s="3"/>
      <c r="J349" s="95" t="s">
        <v>776</v>
      </c>
      <c r="Q349" s="55"/>
      <c r="R349" s="55">
        <v>-100920.7</v>
      </c>
    </row>
    <row r="350" spans="3:18" ht="15" customHeight="1">
      <c r="C350" s="4"/>
      <c r="D350" s="4"/>
      <c r="E350" s="3"/>
      <c r="I350" s="3"/>
      <c r="J350" s="95" t="s">
        <v>776</v>
      </c>
      <c r="Q350" s="55"/>
      <c r="R350" s="55"/>
    </row>
    <row r="351" spans="3:18" ht="15" customHeight="1" thickBot="1">
      <c r="C351" s="4"/>
      <c r="D351" s="4"/>
      <c r="E351" s="3"/>
      <c r="I351" s="3"/>
      <c r="J351" s="95" t="s">
        <v>776</v>
      </c>
      <c r="Q351" s="55"/>
      <c r="R351" s="55"/>
    </row>
    <row r="352" spans="3:18" ht="15" customHeight="1" thickBot="1">
      <c r="C352" s="11" t="s">
        <v>170</v>
      </c>
      <c r="D352" s="3"/>
      <c r="E352" s="3"/>
      <c r="F352" t="s">
        <v>130</v>
      </c>
      <c r="I352" s="3"/>
      <c r="J352" s="95" t="s">
        <v>776</v>
      </c>
      <c r="Q352" s="55">
        <f>R353+R354+R355+R356+R357+R358+R359+R360+R361+R362+R363+R364+R365+R366+R367+R368+R369+R370</f>
        <v>640630.5</v>
      </c>
      <c r="R352" s="55"/>
    </row>
    <row r="353" spans="3:18" ht="15" customHeight="1">
      <c r="C353" s="4"/>
      <c r="D353" s="4"/>
      <c r="E353" s="3"/>
      <c r="F353" t="s">
        <v>3</v>
      </c>
      <c r="I353" s="3"/>
      <c r="J353" s="95" t="s">
        <v>776</v>
      </c>
      <c r="Q353" s="55"/>
      <c r="R353" s="55">
        <v>70999</v>
      </c>
    </row>
    <row r="354" spans="3:18" ht="15" customHeight="1">
      <c r="C354" s="4"/>
      <c r="D354" s="4"/>
      <c r="E354" s="3"/>
      <c r="F354" t="s">
        <v>4</v>
      </c>
      <c r="I354" s="3"/>
      <c r="J354" s="95" t="s">
        <v>776</v>
      </c>
      <c r="Q354" s="55"/>
      <c r="R354" s="55">
        <v>25117.7</v>
      </c>
    </row>
    <row r="355" spans="3:18" ht="15" customHeight="1">
      <c r="C355" s="4"/>
      <c r="D355" s="4"/>
      <c r="E355" s="3"/>
      <c r="F355" t="s">
        <v>171</v>
      </c>
      <c r="I355" s="3"/>
      <c r="J355" s="95" t="s">
        <v>776</v>
      </c>
      <c r="Q355" s="55"/>
      <c r="R355" s="55">
        <v>4851</v>
      </c>
    </row>
    <row r="356" spans="3:18" ht="15" customHeight="1">
      <c r="C356" s="4"/>
      <c r="D356" s="4"/>
      <c r="E356" s="3"/>
      <c r="F356" t="s">
        <v>172</v>
      </c>
      <c r="I356" s="3"/>
      <c r="J356" s="95" t="s">
        <v>776</v>
      </c>
      <c r="Q356" s="55"/>
      <c r="R356" s="55">
        <v>5100</v>
      </c>
    </row>
    <row r="357" spans="3:18" ht="15" customHeight="1">
      <c r="C357" s="4"/>
      <c r="D357" s="4"/>
      <c r="E357" s="3"/>
      <c r="F357" t="s">
        <v>6</v>
      </c>
      <c r="I357" s="3"/>
      <c r="J357" s="95" t="s">
        <v>776</v>
      </c>
      <c r="Q357" s="55"/>
      <c r="R357" s="55">
        <v>98500</v>
      </c>
    </row>
    <row r="358" spans="3:18" ht="15" customHeight="1">
      <c r="C358" s="4"/>
      <c r="D358" s="4"/>
      <c r="E358" s="3"/>
      <c r="F358" t="s">
        <v>7</v>
      </c>
      <c r="I358" s="3"/>
      <c r="J358" s="95" t="s">
        <v>776</v>
      </c>
      <c r="Q358" s="55"/>
      <c r="R358" s="55">
        <v>73000</v>
      </c>
    </row>
    <row r="359" spans="3:18" ht="15" customHeight="1">
      <c r="C359" s="4"/>
      <c r="D359" s="4"/>
      <c r="E359" s="3"/>
      <c r="F359" t="s">
        <v>9</v>
      </c>
      <c r="I359" s="3"/>
      <c r="J359" s="95" t="s">
        <v>776</v>
      </c>
      <c r="Q359" s="55"/>
      <c r="R359" s="55">
        <v>27500</v>
      </c>
    </row>
    <row r="360" spans="3:18" ht="15" customHeight="1">
      <c r="C360" s="4"/>
      <c r="D360" s="4"/>
      <c r="E360" s="3"/>
      <c r="F360" t="s">
        <v>8</v>
      </c>
      <c r="I360" s="3"/>
      <c r="J360" s="95" t="s">
        <v>776</v>
      </c>
      <c r="Q360" s="55"/>
      <c r="R360" s="55">
        <v>76700</v>
      </c>
    </row>
    <row r="361" spans="3:18" ht="15" customHeight="1">
      <c r="C361" s="4"/>
      <c r="D361" s="4"/>
      <c r="E361" s="3"/>
      <c r="F361" t="s">
        <v>10</v>
      </c>
      <c r="I361" s="3"/>
      <c r="J361" s="95" t="s">
        <v>776</v>
      </c>
      <c r="Q361" s="55"/>
      <c r="R361" s="55">
        <v>27330</v>
      </c>
    </row>
    <row r="362" spans="3:18" ht="15" customHeight="1">
      <c r="C362" s="4"/>
      <c r="D362" s="4"/>
      <c r="E362" s="3"/>
      <c r="F362" t="s">
        <v>11</v>
      </c>
      <c r="I362" s="3"/>
      <c r="J362" s="95" t="s">
        <v>776</v>
      </c>
      <c r="Q362" s="55"/>
      <c r="R362" s="55">
        <v>5250</v>
      </c>
    </row>
    <row r="363" spans="3:18" ht="15" customHeight="1">
      <c r="C363" s="4"/>
      <c r="D363" s="4"/>
      <c r="E363" s="3"/>
      <c r="F363" t="s">
        <v>12</v>
      </c>
      <c r="I363" s="3"/>
      <c r="J363" s="95" t="s">
        <v>776</v>
      </c>
      <c r="Q363" s="55"/>
      <c r="R363" s="55">
        <v>15750</v>
      </c>
    </row>
    <row r="364" spans="3:18" ht="15" customHeight="1">
      <c r="C364" s="4"/>
      <c r="D364" s="4"/>
      <c r="E364" s="3"/>
      <c r="F364" t="s">
        <v>13</v>
      </c>
      <c r="I364" s="3"/>
      <c r="J364" s="95" t="s">
        <v>776</v>
      </c>
      <c r="Q364" s="55"/>
      <c r="R364" s="55">
        <v>32000</v>
      </c>
    </row>
    <row r="365" spans="3:18" ht="15" customHeight="1">
      <c r="C365" s="4"/>
      <c r="D365" s="4"/>
      <c r="E365" s="3"/>
      <c r="F365" t="s">
        <v>95</v>
      </c>
      <c r="I365" s="3"/>
      <c r="J365" s="95" t="s">
        <v>776</v>
      </c>
      <c r="Q365" s="55"/>
      <c r="R365" s="55">
        <v>17985.3</v>
      </c>
    </row>
    <row r="366" spans="3:18" ht="15" customHeight="1">
      <c r="C366" s="4"/>
      <c r="D366" s="4"/>
      <c r="E366" s="3"/>
      <c r="F366" t="s">
        <v>173</v>
      </c>
      <c r="I366" s="3"/>
      <c r="J366" s="95" t="s">
        <v>776</v>
      </c>
      <c r="Q366" s="55"/>
      <c r="R366" s="55">
        <v>36317.5</v>
      </c>
    </row>
    <row r="367" spans="3:18" ht="15" customHeight="1">
      <c r="C367" s="4"/>
      <c r="D367" s="4"/>
      <c r="E367" s="3"/>
      <c r="F367" t="s">
        <v>118</v>
      </c>
      <c r="I367" s="3"/>
      <c r="J367" s="95" t="s">
        <v>776</v>
      </c>
      <c r="Q367" s="55"/>
      <c r="R367" s="55">
        <v>32400</v>
      </c>
    </row>
    <row r="368" spans="3:18" ht="15" customHeight="1">
      <c r="C368" s="4"/>
      <c r="D368" s="2"/>
      <c r="E368" s="4"/>
      <c r="F368" t="s">
        <v>119</v>
      </c>
      <c r="I368" s="3"/>
      <c r="J368" s="95" t="s">
        <v>776</v>
      </c>
      <c r="Q368" s="55"/>
      <c r="R368" s="55">
        <v>52480</v>
      </c>
    </row>
    <row r="369" spans="3:18" ht="15" customHeight="1">
      <c r="C369" s="4"/>
      <c r="D369" s="2"/>
      <c r="E369" s="4"/>
      <c r="F369" t="s">
        <v>111</v>
      </c>
      <c r="I369" s="3"/>
      <c r="J369" s="95" t="s">
        <v>776</v>
      </c>
      <c r="Q369" s="55"/>
      <c r="R369" s="55">
        <v>33250</v>
      </c>
    </row>
    <row r="370" spans="3:18" ht="15" customHeight="1">
      <c r="C370" s="4"/>
      <c r="D370" s="2"/>
      <c r="E370" s="4"/>
      <c r="F370" t="s">
        <v>174</v>
      </c>
      <c r="I370" s="3"/>
      <c r="J370" s="95" t="s">
        <v>776</v>
      </c>
      <c r="Q370" s="55"/>
      <c r="R370" s="55">
        <v>6100</v>
      </c>
    </row>
    <row r="371" spans="3:18" ht="15" customHeight="1">
      <c r="C371" s="4"/>
      <c r="E371" s="4"/>
      <c r="F371" t="s">
        <v>169</v>
      </c>
      <c r="I371" s="3"/>
      <c r="J371" s="95" t="s">
        <v>776</v>
      </c>
      <c r="Q371" s="55"/>
      <c r="R371" s="55">
        <v>-100920.7</v>
      </c>
    </row>
    <row r="372" spans="3:18" ht="15" customHeight="1">
      <c r="C372" s="4"/>
      <c r="E372" s="4"/>
      <c r="F372" t="s">
        <v>26</v>
      </c>
      <c r="I372" s="3"/>
      <c r="J372" s="95" t="s">
        <v>776</v>
      </c>
      <c r="Q372" s="55">
        <v>10850</v>
      </c>
      <c r="R372" s="55"/>
    </row>
    <row r="373" spans="3:18" ht="15" customHeight="1">
      <c r="C373" s="4"/>
      <c r="E373" s="4"/>
      <c r="F373" t="s">
        <v>175</v>
      </c>
      <c r="I373" s="3"/>
      <c r="J373" s="95" t="s">
        <v>776</v>
      </c>
      <c r="Q373" s="55">
        <v>40270</v>
      </c>
      <c r="R373" s="55"/>
    </row>
    <row r="374" spans="3:18" ht="15" customHeight="1">
      <c r="C374" s="4"/>
      <c r="E374" s="4"/>
      <c r="F374" t="s">
        <v>176</v>
      </c>
      <c r="I374" s="3"/>
      <c r="J374" s="95" t="s">
        <v>776</v>
      </c>
      <c r="Q374" s="55">
        <v>23857</v>
      </c>
      <c r="R374" s="55"/>
    </row>
    <row r="375" spans="3:18" ht="15" customHeight="1">
      <c r="C375" s="4"/>
      <c r="E375" s="4"/>
      <c r="F375" t="s">
        <v>177</v>
      </c>
      <c r="I375" s="3"/>
      <c r="J375" s="95" t="s">
        <v>776</v>
      </c>
      <c r="Q375" s="55">
        <v>96409.67</v>
      </c>
      <c r="R375" s="55"/>
    </row>
    <row r="376" spans="3:18" ht="15" customHeight="1">
      <c r="C376" s="4"/>
      <c r="E376" s="4"/>
      <c r="F376" t="s">
        <v>32</v>
      </c>
      <c r="I376" s="3"/>
      <c r="J376" s="95" t="s">
        <v>776</v>
      </c>
      <c r="Q376" s="55">
        <v>19500</v>
      </c>
      <c r="R376" s="55"/>
    </row>
    <row r="377" spans="3:18" ht="15" customHeight="1">
      <c r="C377" s="4"/>
      <c r="E377" s="4"/>
      <c r="F377" t="s">
        <v>33</v>
      </c>
      <c r="I377" s="3"/>
      <c r="J377" s="95" t="s">
        <v>776</v>
      </c>
      <c r="Q377" s="55">
        <v>38370</v>
      </c>
      <c r="R377" s="55"/>
    </row>
    <row r="378" spans="3:18" ht="15" customHeight="1">
      <c r="C378" s="4"/>
      <c r="E378" s="4"/>
      <c r="F378" t="s">
        <v>34</v>
      </c>
      <c r="I378" s="3"/>
      <c r="J378" s="95" t="s">
        <v>776</v>
      </c>
      <c r="Q378" s="55">
        <v>25740</v>
      </c>
      <c r="R378" s="55"/>
    </row>
    <row r="379" spans="3:18" ht="15" customHeight="1">
      <c r="C379" s="4"/>
      <c r="E379" s="4"/>
      <c r="F379" t="s">
        <v>178</v>
      </c>
      <c r="I379" s="3"/>
      <c r="J379" s="95" t="s">
        <v>776</v>
      </c>
      <c r="Q379" s="55">
        <v>19690</v>
      </c>
      <c r="R379" s="55"/>
    </row>
    <row r="380" spans="3:18" ht="15" customHeight="1">
      <c r="C380" s="4"/>
      <c r="E380" s="4"/>
      <c r="F380" t="s">
        <v>36</v>
      </c>
      <c r="I380" s="3"/>
      <c r="J380" s="95" t="s">
        <v>776</v>
      </c>
      <c r="Q380" s="55">
        <v>127000</v>
      </c>
      <c r="R380" s="55"/>
    </row>
    <row r="381" spans="3:18" ht="15" customHeight="1">
      <c r="C381" s="4"/>
      <c r="E381" s="4"/>
      <c r="F381" t="s">
        <v>37</v>
      </c>
      <c r="I381" s="3"/>
      <c r="J381" s="95" t="s">
        <v>776</v>
      </c>
      <c r="Q381" s="55">
        <v>12670</v>
      </c>
      <c r="R381" s="55"/>
    </row>
    <row r="382" spans="3:18" ht="15" customHeight="1">
      <c r="C382" s="4"/>
      <c r="E382" s="4"/>
      <c r="F382" t="s">
        <v>38</v>
      </c>
      <c r="I382" s="3"/>
      <c r="J382" s="95" t="s">
        <v>776</v>
      </c>
      <c r="Q382" s="55">
        <v>11800</v>
      </c>
      <c r="R382" s="55"/>
    </row>
    <row r="383" spans="3:18" ht="15" customHeight="1">
      <c r="C383" s="4"/>
      <c r="E383" s="4"/>
      <c r="F383" t="s">
        <v>39</v>
      </c>
      <c r="I383" s="3"/>
      <c r="J383" s="95" t="s">
        <v>776</v>
      </c>
      <c r="Q383" s="55">
        <v>16253</v>
      </c>
      <c r="R383" s="55"/>
    </row>
    <row r="384" spans="3:18" ht="15" customHeight="1">
      <c r="C384" s="4"/>
      <c r="E384" s="4"/>
      <c r="F384" t="s">
        <v>91</v>
      </c>
      <c r="I384" s="3"/>
      <c r="J384" s="95" t="s">
        <v>776</v>
      </c>
      <c r="Q384" s="55">
        <v>8000</v>
      </c>
      <c r="R384" s="55"/>
    </row>
    <row r="385" spans="3:18" ht="15" customHeight="1">
      <c r="C385" s="4"/>
      <c r="E385" s="4"/>
      <c r="F385" t="s">
        <v>100</v>
      </c>
      <c r="I385" s="3"/>
      <c r="J385" s="95" t="s">
        <v>776</v>
      </c>
      <c r="Q385" s="55">
        <v>5036.57</v>
      </c>
      <c r="R385" s="55"/>
    </row>
    <row r="386" spans="3:18" ht="15" customHeight="1">
      <c r="C386" s="4"/>
      <c r="E386" s="4"/>
      <c r="F386" t="s">
        <v>179</v>
      </c>
      <c r="I386" s="3"/>
      <c r="J386" s="95" t="s">
        <v>776</v>
      </c>
      <c r="Q386" s="55">
        <v>17320</v>
      </c>
      <c r="R386" s="55"/>
    </row>
    <row r="387" spans="3:18" ht="15" customHeight="1">
      <c r="C387" s="4"/>
      <c r="E387" s="4"/>
      <c r="F387" t="s">
        <v>102</v>
      </c>
      <c r="I387" s="3"/>
      <c r="J387" s="95" t="s">
        <v>776</v>
      </c>
      <c r="Q387" s="55">
        <v>24387</v>
      </c>
      <c r="R387" s="55"/>
    </row>
    <row r="388" spans="3:18" ht="15" customHeight="1">
      <c r="C388" s="4"/>
      <c r="E388" s="4"/>
      <c r="F388" t="s">
        <v>113</v>
      </c>
      <c r="I388" s="3"/>
      <c r="J388" s="95" t="s">
        <v>776</v>
      </c>
      <c r="Q388" s="55">
        <v>17500</v>
      </c>
      <c r="R388" s="55"/>
    </row>
    <row r="389" spans="3:18" ht="15" customHeight="1">
      <c r="C389" s="4"/>
      <c r="E389" s="4"/>
      <c r="F389" t="s">
        <v>93</v>
      </c>
      <c r="I389" s="3"/>
      <c r="J389" s="95" t="s">
        <v>776</v>
      </c>
      <c r="Q389" s="55">
        <v>8300</v>
      </c>
      <c r="R389" s="55"/>
    </row>
    <row r="390" spans="3:18" ht="15" customHeight="1">
      <c r="C390" s="4"/>
      <c r="E390" s="4"/>
      <c r="F390" t="s">
        <v>130</v>
      </c>
      <c r="I390" s="3"/>
      <c r="J390" s="95" t="s">
        <v>776</v>
      </c>
      <c r="Q390" s="55"/>
      <c r="R390" s="55">
        <f>Q389+Q388+Q387+Q386+Q385+Q384+Q383+Q382+Q381+Q380+Q379+Q378+Q377+Q376+Q375+Q374++Q373+Q372</f>
        <v>522953.24</v>
      </c>
    </row>
    <row r="391" spans="3:18" ht="15" customHeight="1" thickBot="1">
      <c r="C391" s="9"/>
      <c r="D391" s="3"/>
      <c r="E391" s="4"/>
      <c r="I391" s="3"/>
      <c r="J391" s="95" t="s">
        <v>776</v>
      </c>
      <c r="Q391" s="55"/>
      <c r="R391" s="55"/>
    </row>
    <row r="392" spans="3:18" ht="15" customHeight="1" thickBot="1">
      <c r="C392" s="12" t="s">
        <v>180</v>
      </c>
      <c r="D392" s="3"/>
      <c r="E392" s="13">
        <v>44579</v>
      </c>
      <c r="F392" t="s">
        <v>93</v>
      </c>
      <c r="I392" s="3"/>
      <c r="J392" s="95" t="s">
        <v>776</v>
      </c>
      <c r="Q392" s="55">
        <v>8300</v>
      </c>
      <c r="R392" s="55"/>
    </row>
    <row r="393" spans="3:18" ht="15" customHeight="1">
      <c r="C393" s="4"/>
      <c r="D393" s="3"/>
      <c r="E393" s="4"/>
      <c r="F393" t="s">
        <v>122</v>
      </c>
      <c r="I393" s="3"/>
      <c r="J393" s="95" t="s">
        <v>776</v>
      </c>
      <c r="Q393" s="55">
        <v>1826</v>
      </c>
      <c r="R393" s="55"/>
    </row>
    <row r="394" spans="3:18" ht="15" customHeight="1">
      <c r="C394" s="4"/>
      <c r="D394" s="3"/>
      <c r="E394" s="4"/>
      <c r="F394" t="s">
        <v>121</v>
      </c>
      <c r="I394" s="3"/>
      <c r="J394" s="95" t="s">
        <v>776</v>
      </c>
      <c r="Q394" s="55"/>
      <c r="R394" s="55">
        <v>10126</v>
      </c>
    </row>
    <row r="395" spans="3:18" ht="15" customHeight="1">
      <c r="C395" s="4"/>
      <c r="D395" s="3"/>
      <c r="E395" s="13">
        <v>44607</v>
      </c>
      <c r="F395" t="s">
        <v>99</v>
      </c>
      <c r="I395" s="3"/>
      <c r="J395" s="95" t="s">
        <v>776</v>
      </c>
      <c r="Q395" s="55">
        <v>18000</v>
      </c>
      <c r="R395" s="55"/>
    </row>
    <row r="396" spans="3:18" ht="15" customHeight="1">
      <c r="C396" s="4"/>
      <c r="D396" s="3"/>
      <c r="E396" s="4"/>
      <c r="F396" t="s">
        <v>123</v>
      </c>
      <c r="I396" s="3"/>
      <c r="J396" s="95" t="s">
        <v>776</v>
      </c>
      <c r="Q396" s="55">
        <v>4000</v>
      </c>
      <c r="R396" s="55"/>
    </row>
    <row r="397" spans="3:18" ht="15" customHeight="1">
      <c r="C397" s="4"/>
      <c r="D397" s="3"/>
      <c r="E397" s="4"/>
      <c r="F397" t="s">
        <v>122</v>
      </c>
      <c r="I397" s="3"/>
      <c r="J397" s="95" t="s">
        <v>776</v>
      </c>
      <c r="Q397" s="55">
        <v>4840</v>
      </c>
      <c r="R397" s="55"/>
    </row>
    <row r="398" spans="3:18" ht="15" customHeight="1">
      <c r="C398" s="4"/>
      <c r="D398" s="3"/>
      <c r="E398" s="4"/>
      <c r="F398" t="s">
        <v>121</v>
      </c>
      <c r="I398" s="3"/>
      <c r="J398" s="95" t="s">
        <v>776</v>
      </c>
      <c r="Q398" s="55"/>
      <c r="R398" s="55">
        <v>26840</v>
      </c>
    </row>
    <row r="399" spans="3:18" ht="15" customHeight="1">
      <c r="C399" s="4"/>
      <c r="D399" s="3"/>
      <c r="E399" s="13">
        <v>44652</v>
      </c>
      <c r="F399" t="s">
        <v>100</v>
      </c>
      <c r="I399" s="3"/>
      <c r="J399" s="95" t="s">
        <v>776</v>
      </c>
      <c r="Q399" s="55"/>
      <c r="R399" s="55"/>
    </row>
    <row r="400" spans="3:18" ht="15" customHeight="1">
      <c r="C400" s="4"/>
      <c r="D400" s="3"/>
      <c r="E400" s="4"/>
      <c r="F400" t="s">
        <v>17</v>
      </c>
      <c r="I400" s="3"/>
      <c r="J400" s="95" t="s">
        <v>776</v>
      </c>
      <c r="Q400" s="55"/>
      <c r="R400" s="55"/>
    </row>
    <row r="401" spans="3:18" ht="15" customHeight="1">
      <c r="C401" s="4"/>
      <c r="D401" s="4"/>
      <c r="E401" s="3"/>
      <c r="F401" t="s">
        <v>3</v>
      </c>
      <c r="I401" s="3"/>
      <c r="J401" s="95" t="s">
        <v>776</v>
      </c>
      <c r="Q401" s="55"/>
      <c r="R401" s="55"/>
    </row>
    <row r="402" spans="3:18" ht="15" customHeight="1">
      <c r="C402" s="4"/>
      <c r="D402" s="4"/>
      <c r="E402" s="13">
        <v>44666</v>
      </c>
      <c r="F402" t="s">
        <v>124</v>
      </c>
      <c r="I402" s="3"/>
      <c r="J402" s="95" t="s">
        <v>776</v>
      </c>
      <c r="Q402" s="55">
        <v>6033</v>
      </c>
      <c r="R402" s="55"/>
    </row>
    <row r="403" spans="3:18" ht="15" customHeight="1">
      <c r="C403" s="4"/>
      <c r="D403" s="4"/>
      <c r="E403" s="4"/>
      <c r="F403" t="s">
        <v>3</v>
      </c>
      <c r="I403" s="3"/>
      <c r="J403" s="95" t="s">
        <v>776</v>
      </c>
      <c r="Q403" s="55">
        <v>11000</v>
      </c>
      <c r="R403" s="55"/>
    </row>
    <row r="404" spans="3:18" ht="15" customHeight="1">
      <c r="C404" s="4"/>
      <c r="D404" s="4"/>
      <c r="E404" s="4"/>
      <c r="F404" t="s">
        <v>181</v>
      </c>
      <c r="I404" s="3"/>
      <c r="J404" s="95" t="s">
        <v>776</v>
      </c>
      <c r="Q404" s="55">
        <v>2967</v>
      </c>
      <c r="R404" s="55"/>
    </row>
    <row r="405" spans="3:18" ht="15" customHeight="1">
      <c r="C405" s="4"/>
      <c r="D405" s="4"/>
      <c r="E405" s="4"/>
      <c r="F405" t="s">
        <v>125</v>
      </c>
      <c r="I405" s="3"/>
      <c r="J405" s="95" t="s">
        <v>776</v>
      </c>
      <c r="Q405" s="55"/>
      <c r="R405" s="55">
        <v>20000</v>
      </c>
    </row>
    <row r="406" spans="3:18" ht="15" customHeight="1">
      <c r="C406" s="4"/>
      <c r="D406" s="4"/>
      <c r="E406" s="13">
        <v>44683</v>
      </c>
      <c r="F406" t="s">
        <v>182</v>
      </c>
      <c r="I406" s="3"/>
      <c r="J406" s="95" t="s">
        <v>776</v>
      </c>
      <c r="Q406" s="55">
        <v>41200</v>
      </c>
      <c r="R406" s="55"/>
    </row>
    <row r="407" spans="3:18" ht="15" customHeight="1">
      <c r="C407" s="4"/>
      <c r="D407" s="4"/>
      <c r="E407" s="4"/>
      <c r="F407" t="s">
        <v>8</v>
      </c>
      <c r="I407" s="3"/>
      <c r="J407" s="95" t="s">
        <v>776</v>
      </c>
      <c r="Q407" s="55"/>
      <c r="R407" s="55">
        <v>41200</v>
      </c>
    </row>
    <row r="408" spans="3:18" ht="15" customHeight="1">
      <c r="C408" s="4"/>
      <c r="D408" s="4"/>
      <c r="E408" s="4"/>
      <c r="F408" t="s">
        <v>125</v>
      </c>
      <c r="I408" s="3"/>
      <c r="J408" s="95" t="s">
        <v>776</v>
      </c>
      <c r="Q408" s="55">
        <v>43920</v>
      </c>
      <c r="R408" s="55"/>
    </row>
    <row r="409" spans="3:18" ht="15" customHeight="1">
      <c r="C409" s="4"/>
      <c r="D409" s="4"/>
      <c r="E409" s="4"/>
      <c r="F409" t="s">
        <v>127</v>
      </c>
      <c r="I409" s="3"/>
      <c r="J409" s="95" t="s">
        <v>776</v>
      </c>
      <c r="Q409" s="55">
        <v>500</v>
      </c>
      <c r="R409" s="55"/>
    </row>
    <row r="410" spans="3:18" ht="15" customHeight="1">
      <c r="C410" s="4"/>
      <c r="D410" s="4"/>
      <c r="E410" s="4"/>
      <c r="F410" t="s">
        <v>8</v>
      </c>
      <c r="I410" s="3"/>
      <c r="J410" s="95" t="s">
        <v>776</v>
      </c>
      <c r="Q410" s="55"/>
      <c r="R410" s="55">
        <v>35500</v>
      </c>
    </row>
    <row r="411" spans="3:18" ht="15" customHeight="1">
      <c r="C411" s="7"/>
      <c r="D411" s="1"/>
      <c r="E411" s="14"/>
      <c r="F411" s="1" t="s">
        <v>128</v>
      </c>
      <c r="G411" s="1"/>
      <c r="H411" s="1"/>
      <c r="I411" s="1"/>
      <c r="J411" s="95" t="s">
        <v>776</v>
      </c>
      <c r="K411" s="2"/>
      <c r="Q411" s="56"/>
      <c r="R411" s="57">
        <v>35500</v>
      </c>
    </row>
  </sheetData>
  <mergeCells count="495">
    <mergeCell ref="F4:I4"/>
    <mergeCell ref="K4:N4"/>
    <mergeCell ref="K5:N5"/>
    <mergeCell ref="K6:N6"/>
    <mergeCell ref="J4:J7"/>
    <mergeCell ref="O4:P4"/>
    <mergeCell ref="Q4:R4"/>
    <mergeCell ref="O5:P5"/>
    <mergeCell ref="Q5:R5"/>
    <mergeCell ref="O6:P6"/>
    <mergeCell ref="O9:P9"/>
    <mergeCell ref="Q9:R9"/>
    <mergeCell ref="O10:P10"/>
    <mergeCell ref="Q10:R10"/>
    <mergeCell ref="Q6:R6"/>
    <mergeCell ref="O7:P7"/>
    <mergeCell ref="Q7:R7"/>
    <mergeCell ref="O8:P8"/>
    <mergeCell ref="Q8:R8"/>
    <mergeCell ref="O13:P13"/>
    <mergeCell ref="Q16:R16"/>
    <mergeCell ref="O14:P14"/>
    <mergeCell ref="Q14:R14"/>
    <mergeCell ref="O15:P15"/>
    <mergeCell ref="Q15:R15"/>
    <mergeCell ref="O11:P11"/>
    <mergeCell ref="Q11:R11"/>
    <mergeCell ref="O12:P12"/>
    <mergeCell ref="Q12:R12"/>
    <mergeCell ref="O19:P19"/>
    <mergeCell ref="Q19:R19"/>
    <mergeCell ref="O20:P20"/>
    <mergeCell ref="Q20:R20"/>
    <mergeCell ref="O21:P21"/>
    <mergeCell ref="Q21:R21"/>
    <mergeCell ref="O16:P16"/>
    <mergeCell ref="O17:P17"/>
    <mergeCell ref="Q17:R17"/>
    <mergeCell ref="O18:P18"/>
    <mergeCell ref="Q18:R18"/>
    <mergeCell ref="O26:P26"/>
    <mergeCell ref="Q26:R26"/>
    <mergeCell ref="O27:P27"/>
    <mergeCell ref="Q27:R27"/>
    <mergeCell ref="O24:P24"/>
    <mergeCell ref="Q24:R24"/>
    <mergeCell ref="O25:P25"/>
    <mergeCell ref="Q25:R25"/>
    <mergeCell ref="O22:P22"/>
    <mergeCell ref="Q22:R22"/>
    <mergeCell ref="O23:P23"/>
    <mergeCell ref="Q23:R23"/>
    <mergeCell ref="O32:P32"/>
    <mergeCell ref="Q32:R32"/>
    <mergeCell ref="O33:P33"/>
    <mergeCell ref="Q33:R33"/>
    <mergeCell ref="O30:P30"/>
    <mergeCell ref="Q30:R30"/>
    <mergeCell ref="O31:P31"/>
    <mergeCell ref="Q31:R31"/>
    <mergeCell ref="O28:P28"/>
    <mergeCell ref="Q28:R28"/>
    <mergeCell ref="O29:P29"/>
    <mergeCell ref="Q29:R29"/>
    <mergeCell ref="O43:P43"/>
    <mergeCell ref="Q43:R43"/>
    <mergeCell ref="O44:P44"/>
    <mergeCell ref="Q44:R44"/>
    <mergeCell ref="O45:P45"/>
    <mergeCell ref="Q45:R45"/>
    <mergeCell ref="O34:P34"/>
    <mergeCell ref="Q34:R34"/>
    <mergeCell ref="O35:P35"/>
    <mergeCell ref="Q35:R35"/>
    <mergeCell ref="O36:P36"/>
    <mergeCell ref="Q38:R38"/>
    <mergeCell ref="Q56:R56"/>
    <mergeCell ref="O46:P46"/>
    <mergeCell ref="Q46:R46"/>
    <mergeCell ref="O49:P49"/>
    <mergeCell ref="Q49:R49"/>
    <mergeCell ref="O48:P48"/>
    <mergeCell ref="Q48:R48"/>
    <mergeCell ref="O47:P47"/>
    <mergeCell ref="Q47:R47"/>
    <mergeCell ref="O54:P54"/>
    <mergeCell ref="Q54:R54"/>
    <mergeCell ref="O52:P52"/>
    <mergeCell ref="Q52:R52"/>
    <mergeCell ref="O53:P53"/>
    <mergeCell ref="Q53:R53"/>
    <mergeCell ref="O50:P50"/>
    <mergeCell ref="Q50:R50"/>
    <mergeCell ref="O51:P51"/>
    <mergeCell ref="Q51:R51"/>
    <mergeCell ref="O64:P64"/>
    <mergeCell ref="Q64:R64"/>
    <mergeCell ref="O66:P66"/>
    <mergeCell ref="Q66:R66"/>
    <mergeCell ref="O67:P67"/>
    <mergeCell ref="Q67:R67"/>
    <mergeCell ref="O65:P65"/>
    <mergeCell ref="Q65:R65"/>
    <mergeCell ref="O61:P61"/>
    <mergeCell ref="Q61:R61"/>
    <mergeCell ref="O62:P62"/>
    <mergeCell ref="Q62:R62"/>
    <mergeCell ref="O63:P63"/>
    <mergeCell ref="Q63:R63"/>
    <mergeCell ref="O72:P72"/>
    <mergeCell ref="Q72:R72"/>
    <mergeCell ref="O73:P73"/>
    <mergeCell ref="Q73:R73"/>
    <mergeCell ref="O71:P71"/>
    <mergeCell ref="Q71:R71"/>
    <mergeCell ref="O68:P68"/>
    <mergeCell ref="Q68:R68"/>
    <mergeCell ref="O69:P69"/>
    <mergeCell ref="Q69:R69"/>
    <mergeCell ref="O70:P70"/>
    <mergeCell ref="Q70:R70"/>
    <mergeCell ref="O78:P78"/>
    <mergeCell ref="Q78:R78"/>
    <mergeCell ref="O79:P79"/>
    <mergeCell ref="Q79:R79"/>
    <mergeCell ref="O74:P74"/>
    <mergeCell ref="Q74:R74"/>
    <mergeCell ref="O76:P76"/>
    <mergeCell ref="Q76:R76"/>
    <mergeCell ref="O77:P77"/>
    <mergeCell ref="Q77:R77"/>
    <mergeCell ref="Q75:R75"/>
    <mergeCell ref="O83:P83"/>
    <mergeCell ref="Q83:R83"/>
    <mergeCell ref="O84:P84"/>
    <mergeCell ref="Q84:R84"/>
    <mergeCell ref="O85:P85"/>
    <mergeCell ref="Q85:R85"/>
    <mergeCell ref="O80:P80"/>
    <mergeCell ref="Q80:R80"/>
    <mergeCell ref="O81:P81"/>
    <mergeCell ref="Q81:R81"/>
    <mergeCell ref="O82:P82"/>
    <mergeCell ref="Q82:R82"/>
    <mergeCell ref="O88:P88"/>
    <mergeCell ref="Q88:R88"/>
    <mergeCell ref="O89:P89"/>
    <mergeCell ref="Q89:R89"/>
    <mergeCell ref="O90:P90"/>
    <mergeCell ref="Q90:R90"/>
    <mergeCell ref="O86:P86"/>
    <mergeCell ref="Q86:R86"/>
    <mergeCell ref="O87:P87"/>
    <mergeCell ref="Q87:R87"/>
    <mergeCell ref="F9:I9"/>
    <mergeCell ref="K9:N9"/>
    <mergeCell ref="J8:J9"/>
    <mergeCell ref="K8:N8"/>
    <mergeCell ref="K10:N10"/>
    <mergeCell ref="F10:I10"/>
    <mergeCell ref="F5:I5"/>
    <mergeCell ref="F6:I6"/>
    <mergeCell ref="F7:I7"/>
    <mergeCell ref="K7:N7"/>
    <mergeCell ref="F8:I8"/>
    <mergeCell ref="O2:P3"/>
    <mergeCell ref="Q2:R3"/>
    <mergeCell ref="K16:N16"/>
    <mergeCell ref="K17:N17"/>
    <mergeCell ref="K18:N18"/>
    <mergeCell ref="Q13:R13"/>
    <mergeCell ref="C2:C3"/>
    <mergeCell ref="D2:D3"/>
    <mergeCell ref="E2:E3"/>
    <mergeCell ref="F2:I3"/>
    <mergeCell ref="K2:N3"/>
    <mergeCell ref="J2:J3"/>
    <mergeCell ref="F15:I15"/>
    <mergeCell ref="K13:N13"/>
    <mergeCell ref="K14:N14"/>
    <mergeCell ref="K15:N15"/>
    <mergeCell ref="K12:N12"/>
    <mergeCell ref="J12:J15"/>
    <mergeCell ref="F11:I11"/>
    <mergeCell ref="K11:N11"/>
    <mergeCell ref="F12:I12"/>
    <mergeCell ref="F13:I13"/>
    <mergeCell ref="F14:I14"/>
    <mergeCell ref="J10:J11"/>
    <mergeCell ref="J20:J21"/>
    <mergeCell ref="J22:J23"/>
    <mergeCell ref="F21:I21"/>
    <mergeCell ref="F20:I20"/>
    <mergeCell ref="K20:N20"/>
    <mergeCell ref="K21:N21"/>
    <mergeCell ref="F22:I22"/>
    <mergeCell ref="F16:I16"/>
    <mergeCell ref="F17:I17"/>
    <mergeCell ref="F18:I18"/>
    <mergeCell ref="F19:I19"/>
    <mergeCell ref="K19:N19"/>
    <mergeCell ref="J16:J19"/>
    <mergeCell ref="F24:I24"/>
    <mergeCell ref="F25:I25"/>
    <mergeCell ref="K24:N24"/>
    <mergeCell ref="K25:N25"/>
    <mergeCell ref="F26:I26"/>
    <mergeCell ref="J24:J25"/>
    <mergeCell ref="F23:I23"/>
    <mergeCell ref="K23:N23"/>
    <mergeCell ref="K22:N22"/>
    <mergeCell ref="F30:I30"/>
    <mergeCell ref="F31:I31"/>
    <mergeCell ref="K30:N30"/>
    <mergeCell ref="K31:N31"/>
    <mergeCell ref="F32:I32"/>
    <mergeCell ref="F27:I27"/>
    <mergeCell ref="F29:I29"/>
    <mergeCell ref="F28:I28"/>
    <mergeCell ref="K26:N26"/>
    <mergeCell ref="K27:N27"/>
    <mergeCell ref="K28:N28"/>
    <mergeCell ref="K29:N29"/>
    <mergeCell ref="J26:J27"/>
    <mergeCell ref="J28:J29"/>
    <mergeCell ref="J30:J31"/>
    <mergeCell ref="K33:N33"/>
    <mergeCell ref="K34:N34"/>
    <mergeCell ref="K35:N35"/>
    <mergeCell ref="K37:N37"/>
    <mergeCell ref="K39:N39"/>
    <mergeCell ref="K38:N38"/>
    <mergeCell ref="K32:N32"/>
    <mergeCell ref="F38:I38"/>
    <mergeCell ref="F34:I34"/>
    <mergeCell ref="F36:I36"/>
    <mergeCell ref="F33:I33"/>
    <mergeCell ref="F35:I35"/>
    <mergeCell ref="F37:I37"/>
    <mergeCell ref="J32:J33"/>
    <mergeCell ref="J34:J35"/>
    <mergeCell ref="J36:J37"/>
    <mergeCell ref="J38:J39"/>
    <mergeCell ref="K42:N42"/>
    <mergeCell ref="K43:N43"/>
    <mergeCell ref="K45:N45"/>
    <mergeCell ref="K40:N40"/>
    <mergeCell ref="F40:I40"/>
    <mergeCell ref="Q36:R36"/>
    <mergeCell ref="F42:I42"/>
    <mergeCell ref="F43:I43"/>
    <mergeCell ref="F41:I41"/>
    <mergeCell ref="K41:N41"/>
    <mergeCell ref="F39:I39"/>
    <mergeCell ref="O41:P41"/>
    <mergeCell ref="Q41:R41"/>
    <mergeCell ref="O42:P42"/>
    <mergeCell ref="Q42:R42"/>
    <mergeCell ref="O40:P40"/>
    <mergeCell ref="Q40:R40"/>
    <mergeCell ref="O37:P37"/>
    <mergeCell ref="Q37:R37"/>
    <mergeCell ref="O38:P38"/>
    <mergeCell ref="O39:P39"/>
    <mergeCell ref="Q39:R39"/>
    <mergeCell ref="K44:N44"/>
    <mergeCell ref="F44:I44"/>
    <mergeCell ref="K49:N49"/>
    <mergeCell ref="K46:N46"/>
    <mergeCell ref="F49:I49"/>
    <mergeCell ref="F50:I50"/>
    <mergeCell ref="K50:N50"/>
    <mergeCell ref="F48:I48"/>
    <mergeCell ref="F47:I47"/>
    <mergeCell ref="K47:N47"/>
    <mergeCell ref="K48:N48"/>
    <mergeCell ref="F46:I46"/>
    <mergeCell ref="J48:J49"/>
    <mergeCell ref="J50:J51"/>
    <mergeCell ref="K51:N51"/>
    <mergeCell ref="K52:N52"/>
    <mergeCell ref="O60:P60"/>
    <mergeCell ref="Q60:R60"/>
    <mergeCell ref="F60:N60"/>
    <mergeCell ref="F57:I57"/>
    <mergeCell ref="F55:I55"/>
    <mergeCell ref="K57:N57"/>
    <mergeCell ref="K55:N55"/>
    <mergeCell ref="K53:N53"/>
    <mergeCell ref="F53:I53"/>
    <mergeCell ref="J56:J57"/>
    <mergeCell ref="F58:I58"/>
    <mergeCell ref="F56:I56"/>
    <mergeCell ref="K54:N54"/>
    <mergeCell ref="O58:P58"/>
    <mergeCell ref="Q58:R58"/>
    <mergeCell ref="O59:P59"/>
    <mergeCell ref="Q59:R59"/>
    <mergeCell ref="O55:P55"/>
    <mergeCell ref="Q55:R55"/>
    <mergeCell ref="O56:P56"/>
    <mergeCell ref="O57:P57"/>
    <mergeCell ref="Q57:R57"/>
    <mergeCell ref="K59:N59"/>
    <mergeCell ref="K63:N63"/>
    <mergeCell ref="K64:N64"/>
    <mergeCell ref="F66:I66"/>
    <mergeCell ref="K66:N66"/>
    <mergeCell ref="K67:N67"/>
    <mergeCell ref="K68:N68"/>
    <mergeCell ref="J58:J59"/>
    <mergeCell ref="F61:N61"/>
    <mergeCell ref="K62:N62"/>
    <mergeCell ref="F62:I62"/>
    <mergeCell ref="F63:I63"/>
    <mergeCell ref="F64:I64"/>
    <mergeCell ref="F65:I65"/>
    <mergeCell ref="K65:N65"/>
    <mergeCell ref="J62:J65"/>
    <mergeCell ref="K88:N88"/>
    <mergeCell ref="F87:I87"/>
    <mergeCell ref="F86:I86"/>
    <mergeCell ref="K87:N87"/>
    <mergeCell ref="J82:J83"/>
    <mergeCell ref="J84:J85"/>
    <mergeCell ref="J86:J87"/>
    <mergeCell ref="J88:J89"/>
    <mergeCell ref="K80:N80"/>
    <mergeCell ref="F81:I81"/>
    <mergeCell ref="K81:N81"/>
    <mergeCell ref="F84:I84"/>
    <mergeCell ref="K84:N84"/>
    <mergeCell ref="K82:N82"/>
    <mergeCell ref="F82:I82"/>
    <mergeCell ref="F83:I83"/>
    <mergeCell ref="J40:J41"/>
    <mergeCell ref="J42:J43"/>
    <mergeCell ref="J44:J45"/>
    <mergeCell ref="J46:J47"/>
    <mergeCell ref="C103:C104"/>
    <mergeCell ref="D103:D104"/>
    <mergeCell ref="E103:E104"/>
    <mergeCell ref="F103:I104"/>
    <mergeCell ref="J103:J104"/>
    <mergeCell ref="J52:J53"/>
    <mergeCell ref="J54:J55"/>
    <mergeCell ref="F85:I85"/>
    <mergeCell ref="F67:I67"/>
    <mergeCell ref="F68:I68"/>
    <mergeCell ref="F69:I69"/>
    <mergeCell ref="F59:I59"/>
    <mergeCell ref="F45:I45"/>
    <mergeCell ref="F51:I51"/>
    <mergeCell ref="K103:N104"/>
    <mergeCell ref="C96:R98"/>
    <mergeCell ref="J66:J69"/>
    <mergeCell ref="J70:J71"/>
    <mergeCell ref="J72:J75"/>
    <mergeCell ref="J76:J77"/>
    <mergeCell ref="J78:J79"/>
    <mergeCell ref="F89:I89"/>
    <mergeCell ref="K89:N89"/>
    <mergeCell ref="F88:I88"/>
    <mergeCell ref="J80:J81"/>
    <mergeCell ref="F79:I79"/>
    <mergeCell ref="K79:N79"/>
    <mergeCell ref="F80:I80"/>
    <mergeCell ref="F77:I77"/>
    <mergeCell ref="F76:I76"/>
    <mergeCell ref="K76:N76"/>
    <mergeCell ref="K77:N77"/>
    <mergeCell ref="K78:N78"/>
    <mergeCell ref="O103:P104"/>
    <mergeCell ref="Q103:R104"/>
    <mergeCell ref="K85:N85"/>
    <mergeCell ref="K83:N83"/>
    <mergeCell ref="K86:N86"/>
    <mergeCell ref="F105:I105"/>
    <mergeCell ref="J105:J106"/>
    <mergeCell ref="K105:N105"/>
    <mergeCell ref="O105:P105"/>
    <mergeCell ref="Q105:R105"/>
    <mergeCell ref="F106:I106"/>
    <mergeCell ref="K58:N58"/>
    <mergeCell ref="K70:N70"/>
    <mergeCell ref="F78:I78"/>
    <mergeCell ref="F74:I74"/>
    <mergeCell ref="K74:N74"/>
    <mergeCell ref="F75:I75"/>
    <mergeCell ref="K75:N75"/>
    <mergeCell ref="O75:P75"/>
    <mergeCell ref="F70:I70"/>
    <mergeCell ref="F71:I71"/>
    <mergeCell ref="K71:N71"/>
    <mergeCell ref="F72:I72"/>
    <mergeCell ref="F73:I73"/>
    <mergeCell ref="K72:N72"/>
    <mergeCell ref="K73:N73"/>
    <mergeCell ref="K69:N69"/>
    <mergeCell ref="K106:N106"/>
    <mergeCell ref="O106:P106"/>
    <mergeCell ref="F116:I116"/>
    <mergeCell ref="K116:N116"/>
    <mergeCell ref="O116:P116"/>
    <mergeCell ref="Q116:R116"/>
    <mergeCell ref="F117:I117"/>
    <mergeCell ref="Q106:R106"/>
    <mergeCell ref="F107:I107"/>
    <mergeCell ref="J107:J110"/>
    <mergeCell ref="K107:N107"/>
    <mergeCell ref="O107:P107"/>
    <mergeCell ref="Q107:R107"/>
    <mergeCell ref="F110:I110"/>
    <mergeCell ref="K110:N110"/>
    <mergeCell ref="O110:P110"/>
    <mergeCell ref="Q110:R110"/>
    <mergeCell ref="F108:I108"/>
    <mergeCell ref="F109:I109"/>
    <mergeCell ref="K108:N108"/>
    <mergeCell ref="K109:N109"/>
    <mergeCell ref="O108:P108"/>
    <mergeCell ref="O109:P109"/>
    <mergeCell ref="Q108:R108"/>
    <mergeCell ref="Q109:R109"/>
    <mergeCell ref="Q118:R118"/>
    <mergeCell ref="F126:I126"/>
    <mergeCell ref="O119:P119"/>
    <mergeCell ref="Q119:R119"/>
    <mergeCell ref="F120:I120"/>
    <mergeCell ref="F119:I119"/>
    <mergeCell ref="K119:N119"/>
    <mergeCell ref="F111:I111"/>
    <mergeCell ref="J111:J114"/>
    <mergeCell ref="K111:N111"/>
    <mergeCell ref="O111:P111"/>
    <mergeCell ref="Q111:R111"/>
    <mergeCell ref="F112:I112"/>
    <mergeCell ref="K112:N112"/>
    <mergeCell ref="O112:P112"/>
    <mergeCell ref="Q112:R112"/>
    <mergeCell ref="F113:I113"/>
    <mergeCell ref="K113:N113"/>
    <mergeCell ref="O113:P113"/>
    <mergeCell ref="Q113:R113"/>
    <mergeCell ref="F114:I114"/>
    <mergeCell ref="K114:N114"/>
    <mergeCell ref="O114:P114"/>
    <mergeCell ref="Q115:R115"/>
    <mergeCell ref="Q114:R114"/>
    <mergeCell ref="F115:I115"/>
    <mergeCell ref="J115:J119"/>
    <mergeCell ref="K115:N115"/>
    <mergeCell ref="O115:P115"/>
    <mergeCell ref="K117:N117"/>
    <mergeCell ref="O117:P117"/>
    <mergeCell ref="Q117:R117"/>
    <mergeCell ref="F127:I127"/>
    <mergeCell ref="F124:I124"/>
    <mergeCell ref="J124:J128"/>
    <mergeCell ref="K124:N124"/>
    <mergeCell ref="O124:P124"/>
    <mergeCell ref="Q124:R124"/>
    <mergeCell ref="F128:I128"/>
    <mergeCell ref="K128:N128"/>
    <mergeCell ref="O128:P128"/>
    <mergeCell ref="Q128:R128"/>
    <mergeCell ref="K127:N127"/>
    <mergeCell ref="O127:P127"/>
    <mergeCell ref="Q127:R127"/>
    <mergeCell ref="F118:I118"/>
    <mergeCell ref="K118:N118"/>
    <mergeCell ref="O118:P118"/>
    <mergeCell ref="Q122:R122"/>
    <mergeCell ref="Q123:R123"/>
    <mergeCell ref="F125:I125"/>
    <mergeCell ref="K125:N125"/>
    <mergeCell ref="K126:N126"/>
    <mergeCell ref="O125:P125"/>
    <mergeCell ref="O126:P126"/>
    <mergeCell ref="Q125:R125"/>
    <mergeCell ref="Q126:R126"/>
    <mergeCell ref="J120:J123"/>
    <mergeCell ref="F122:I122"/>
    <mergeCell ref="F123:I123"/>
    <mergeCell ref="K122:N122"/>
    <mergeCell ref="K123:N123"/>
    <mergeCell ref="O122:P122"/>
    <mergeCell ref="O123:P123"/>
    <mergeCell ref="K120:N120"/>
    <mergeCell ref="O120:P120"/>
    <mergeCell ref="Q120:R120"/>
    <mergeCell ref="F121:I121"/>
    <mergeCell ref="K121:N121"/>
    <mergeCell ref="O121:P121"/>
    <mergeCell ref="Q121:R12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19C80-01D7-7545-98E1-32DD80898068}">
  <dimension ref="A1:I36"/>
  <sheetViews>
    <sheetView workbookViewId="0">
      <selection activeCell="G37" sqref="G37"/>
    </sheetView>
  </sheetViews>
  <sheetFormatPr baseColWidth="10" defaultRowHeight="15"/>
  <cols>
    <col min="1" max="1" width="10.1640625" bestFit="1" customWidth="1"/>
    <col min="2" max="2" width="40.1640625" customWidth="1"/>
    <col min="3" max="3" width="43.83203125" customWidth="1"/>
    <col min="4" max="4" width="2.83203125" customWidth="1"/>
    <col min="5" max="5" width="43.5" customWidth="1"/>
    <col min="6" max="6" width="17" customWidth="1"/>
    <col min="7" max="7" width="17" bestFit="1" customWidth="1"/>
    <col min="9" max="9" width="10.83203125" customWidth="1"/>
  </cols>
  <sheetData>
    <row r="1" spans="1:9" ht="17" thickBot="1">
      <c r="B1" s="160"/>
      <c r="C1" s="229" t="s">
        <v>781</v>
      </c>
      <c r="D1" s="100"/>
      <c r="E1" s="100"/>
      <c r="F1" s="100"/>
      <c r="G1" s="100"/>
      <c r="H1" s="100"/>
      <c r="I1" s="100"/>
    </row>
    <row r="2" spans="1:9">
      <c r="A2" s="100"/>
      <c r="B2" s="100"/>
      <c r="C2" s="100"/>
      <c r="D2" s="100"/>
      <c r="E2" s="100"/>
      <c r="F2" s="100"/>
      <c r="G2" s="100"/>
      <c r="H2" s="100"/>
      <c r="I2" s="100"/>
    </row>
    <row r="3" spans="1:9">
      <c r="A3" s="563"/>
      <c r="B3" s="563"/>
      <c r="C3" s="564" t="s">
        <v>1</v>
      </c>
      <c r="D3" s="551" t="s">
        <v>776</v>
      </c>
      <c r="E3" s="551" t="s">
        <v>2</v>
      </c>
      <c r="F3" s="551" t="s">
        <v>782</v>
      </c>
      <c r="G3" s="551" t="s">
        <v>783</v>
      </c>
      <c r="H3" s="100"/>
      <c r="I3" s="100"/>
    </row>
    <row r="4" spans="1:9">
      <c r="A4" s="563"/>
      <c r="B4" s="563"/>
      <c r="C4" s="564"/>
      <c r="D4" s="551"/>
      <c r="E4" s="551"/>
      <c r="F4" s="551"/>
      <c r="G4" s="551"/>
      <c r="H4" s="100"/>
      <c r="I4" s="100"/>
    </row>
    <row r="5" spans="1:9">
      <c r="A5" s="101"/>
      <c r="B5" s="101"/>
      <c r="C5" s="161" t="s">
        <v>28</v>
      </c>
      <c r="D5" s="149" t="s">
        <v>776</v>
      </c>
      <c r="E5" s="150" t="s">
        <v>6</v>
      </c>
      <c r="F5" s="151"/>
      <c r="G5" s="151">
        <v>54040</v>
      </c>
      <c r="H5" s="100"/>
      <c r="I5" s="100"/>
    </row>
    <row r="6" spans="1:9">
      <c r="A6" s="101"/>
      <c r="B6" s="101"/>
      <c r="C6" s="161" t="s">
        <v>29</v>
      </c>
      <c r="D6" s="149" t="s">
        <v>776</v>
      </c>
      <c r="E6" s="150" t="s">
        <v>7</v>
      </c>
      <c r="F6" s="151"/>
      <c r="G6" s="151">
        <v>39966.67</v>
      </c>
      <c r="H6" s="100"/>
      <c r="I6" s="100"/>
    </row>
    <row r="7" spans="1:9">
      <c r="A7" s="101"/>
      <c r="B7" s="101"/>
      <c r="C7" s="161" t="s">
        <v>30</v>
      </c>
      <c r="D7" s="149" t="s">
        <v>776</v>
      </c>
      <c r="E7" s="150" t="s">
        <v>8</v>
      </c>
      <c r="F7" s="151"/>
      <c r="G7" s="151">
        <v>40906.67</v>
      </c>
      <c r="H7" s="100"/>
      <c r="I7" s="100"/>
    </row>
    <row r="8" spans="1:9">
      <c r="A8" s="101"/>
      <c r="B8" s="101"/>
      <c r="C8" s="161" t="s">
        <v>142</v>
      </c>
      <c r="D8" s="149" t="s">
        <v>776</v>
      </c>
      <c r="E8" s="150" t="s">
        <v>9</v>
      </c>
      <c r="F8" s="151"/>
      <c r="G8" s="151">
        <v>25666.67</v>
      </c>
      <c r="H8" s="100"/>
      <c r="I8" s="100"/>
    </row>
    <row r="9" spans="1:9">
      <c r="A9" s="101"/>
      <c r="B9" s="102"/>
      <c r="C9" s="162" t="s">
        <v>31</v>
      </c>
      <c r="D9" s="152" t="s">
        <v>776</v>
      </c>
      <c r="E9" s="153" t="s">
        <v>866</v>
      </c>
      <c r="F9" s="151"/>
      <c r="G9" s="151">
        <v>15678</v>
      </c>
      <c r="H9" s="100"/>
      <c r="I9" s="100"/>
    </row>
    <row r="10" spans="1:9">
      <c r="A10" s="97"/>
      <c r="B10" s="97"/>
      <c r="C10" s="162" t="s">
        <v>27</v>
      </c>
      <c r="D10" s="554" t="s">
        <v>776</v>
      </c>
      <c r="E10" s="154" t="s">
        <v>778</v>
      </c>
      <c r="F10" s="155"/>
      <c r="G10" s="151">
        <v>227365.73</v>
      </c>
      <c r="H10" s="100"/>
      <c r="I10" s="100"/>
    </row>
    <row r="11" spans="1:9">
      <c r="A11" s="97"/>
      <c r="B11" s="101"/>
      <c r="C11" s="163"/>
      <c r="D11" s="555"/>
      <c r="E11" s="156" t="s">
        <v>803</v>
      </c>
      <c r="F11" s="155">
        <v>23826.07</v>
      </c>
      <c r="G11" s="151"/>
      <c r="H11" s="100"/>
      <c r="I11" s="100"/>
    </row>
    <row r="12" spans="1:9">
      <c r="A12" s="97"/>
      <c r="B12" s="97"/>
      <c r="C12" s="164"/>
      <c r="D12" s="556"/>
      <c r="E12" s="157" t="s">
        <v>804</v>
      </c>
      <c r="F12" s="155">
        <v>203539.66</v>
      </c>
      <c r="G12" s="151"/>
      <c r="H12" s="100"/>
      <c r="I12" s="100"/>
    </row>
    <row r="13" spans="1:9">
      <c r="A13" s="100"/>
      <c r="B13" s="100"/>
      <c r="C13" s="100"/>
      <c r="D13" s="100"/>
      <c r="E13" s="100"/>
      <c r="F13" s="100"/>
      <c r="G13" s="100"/>
      <c r="H13" s="100"/>
      <c r="I13" s="100"/>
    </row>
    <row r="14" spans="1:9" ht="16">
      <c r="A14" s="96"/>
      <c r="B14" s="158"/>
      <c r="C14" s="158" t="s">
        <v>784</v>
      </c>
      <c r="D14" s="159"/>
      <c r="E14" s="159"/>
      <c r="F14" s="100"/>
      <c r="G14" s="100"/>
      <c r="H14" s="100"/>
      <c r="I14" s="100"/>
    </row>
    <row r="15" spans="1:9">
      <c r="A15" s="100"/>
      <c r="B15" s="100"/>
      <c r="C15" s="100"/>
      <c r="D15" s="100"/>
      <c r="E15" s="100"/>
      <c r="F15" s="100"/>
      <c r="G15" s="100"/>
      <c r="H15" s="100"/>
      <c r="I15" s="100"/>
    </row>
    <row r="16" spans="1:9" ht="16" thickBot="1">
      <c r="A16" s="100"/>
      <c r="B16" s="100"/>
      <c r="C16" s="100"/>
      <c r="D16" s="100"/>
      <c r="E16" s="100"/>
      <c r="F16" s="100"/>
      <c r="G16" s="100"/>
      <c r="H16" s="100"/>
      <c r="I16" s="100"/>
    </row>
    <row r="17" spans="1:9" ht="17" thickBot="1">
      <c r="C17" s="552" t="s">
        <v>785</v>
      </c>
      <c r="D17" s="553"/>
      <c r="E17" s="100"/>
      <c r="F17" s="100"/>
      <c r="G17" s="100"/>
      <c r="H17" s="100"/>
      <c r="I17" s="100"/>
    </row>
    <row r="18" spans="1:9">
      <c r="A18" s="100"/>
      <c r="B18" s="100"/>
      <c r="C18" s="100"/>
      <c r="D18" s="100"/>
      <c r="E18" s="100"/>
      <c r="F18" s="100"/>
      <c r="G18" s="100"/>
      <c r="H18" s="100"/>
      <c r="I18" s="100"/>
    </row>
    <row r="19" spans="1:9" ht="15" customHeight="1">
      <c r="A19" s="563"/>
      <c r="B19" s="558" t="s">
        <v>786</v>
      </c>
      <c r="C19" s="557" t="s">
        <v>1</v>
      </c>
      <c r="D19" s="557" t="s">
        <v>776</v>
      </c>
      <c r="E19" s="557" t="s">
        <v>2</v>
      </c>
      <c r="F19" s="557" t="s">
        <v>782</v>
      </c>
      <c r="G19" s="557" t="s">
        <v>783</v>
      </c>
      <c r="H19" s="100"/>
    </row>
    <row r="20" spans="1:9" ht="16" customHeight="1">
      <c r="A20" s="563"/>
      <c r="B20" s="558"/>
      <c r="C20" s="557"/>
      <c r="D20" s="557"/>
      <c r="E20" s="557"/>
      <c r="F20" s="557"/>
      <c r="G20" s="557"/>
      <c r="H20" s="100"/>
    </row>
    <row r="21" spans="1:9">
      <c r="A21" s="101"/>
      <c r="B21" s="232" t="s">
        <v>787</v>
      </c>
      <c r="C21" s="166" t="s">
        <v>151</v>
      </c>
      <c r="D21" s="168" t="s">
        <v>776</v>
      </c>
      <c r="E21" s="166" t="s">
        <v>815</v>
      </c>
      <c r="F21" s="165"/>
      <c r="G21" s="165">
        <v>35666.370000000003</v>
      </c>
      <c r="H21" s="100"/>
    </row>
    <row r="22" spans="1:9">
      <c r="A22" s="101"/>
      <c r="B22" s="232" t="s">
        <v>787</v>
      </c>
      <c r="C22" s="166" t="s">
        <v>15</v>
      </c>
      <c r="D22" s="168" t="s">
        <v>776</v>
      </c>
      <c r="E22" s="166" t="s">
        <v>870</v>
      </c>
      <c r="F22" s="165"/>
      <c r="G22" s="165">
        <v>33616.9</v>
      </c>
      <c r="H22" s="100"/>
    </row>
    <row r="23" spans="1:9">
      <c r="A23" s="101"/>
      <c r="B23" s="232" t="s">
        <v>787</v>
      </c>
      <c r="C23" s="166" t="s">
        <v>16</v>
      </c>
      <c r="D23" s="168" t="s">
        <v>776</v>
      </c>
      <c r="E23" s="166" t="s">
        <v>818</v>
      </c>
      <c r="F23" s="165"/>
      <c r="G23" s="165">
        <v>52480</v>
      </c>
      <c r="H23" s="100"/>
    </row>
    <row r="24" spans="1:9">
      <c r="A24" s="101"/>
      <c r="B24" s="232" t="s">
        <v>787</v>
      </c>
      <c r="C24" s="166" t="s">
        <v>91</v>
      </c>
      <c r="D24" s="168" t="s">
        <v>776</v>
      </c>
      <c r="E24" s="167" t="s">
        <v>40</v>
      </c>
      <c r="F24" s="165"/>
      <c r="G24" s="165">
        <f>'[1]Libro giornale'!H5</f>
        <v>5000</v>
      </c>
      <c r="H24" s="100"/>
    </row>
    <row r="25" spans="1:9">
      <c r="A25" s="101"/>
      <c r="B25" s="232" t="s">
        <v>787</v>
      </c>
      <c r="C25" s="166" t="s">
        <v>17</v>
      </c>
      <c r="D25" s="168" t="s">
        <v>776</v>
      </c>
      <c r="E25" s="167" t="s">
        <v>95</v>
      </c>
      <c r="F25" s="165"/>
      <c r="G25" s="165">
        <v>4666.67</v>
      </c>
      <c r="H25" s="100"/>
    </row>
    <row r="26" spans="1:9">
      <c r="A26" s="101"/>
      <c r="B26" s="232" t="s">
        <v>787</v>
      </c>
      <c r="C26" s="166" t="s">
        <v>819</v>
      </c>
      <c r="D26" s="168" t="s">
        <v>776</v>
      </c>
      <c r="E26" s="167" t="s">
        <v>95</v>
      </c>
      <c r="F26" s="165"/>
      <c r="G26" s="165">
        <v>8250</v>
      </c>
      <c r="H26" s="100"/>
    </row>
    <row r="27" spans="1:9">
      <c r="A27" s="101"/>
      <c r="B27" s="232" t="s">
        <v>787</v>
      </c>
      <c r="C27" s="166" t="s">
        <v>22</v>
      </c>
      <c r="D27" s="168" t="s">
        <v>776</v>
      </c>
      <c r="E27" s="167" t="s">
        <v>95</v>
      </c>
      <c r="F27" s="165"/>
      <c r="G27" s="165">
        <v>8880.99</v>
      </c>
      <c r="H27" s="100"/>
    </row>
    <row r="28" spans="1:9">
      <c r="A28" s="101"/>
      <c r="B28" s="559" t="s">
        <v>788</v>
      </c>
      <c r="C28" s="172" t="s">
        <v>778</v>
      </c>
      <c r="D28" s="560" t="s">
        <v>776</v>
      </c>
      <c r="E28" s="169" t="s">
        <v>27</v>
      </c>
      <c r="F28" s="173"/>
      <c r="G28" s="173">
        <f>G10</f>
        <v>227365.73</v>
      </c>
      <c r="H28" s="100"/>
    </row>
    <row r="29" spans="1:9">
      <c r="A29" s="101"/>
      <c r="B29" s="559"/>
      <c r="C29" s="174" t="s">
        <v>803</v>
      </c>
      <c r="D29" s="561"/>
      <c r="E29" s="170"/>
      <c r="F29" s="175">
        <f>F11</f>
        <v>23826.07</v>
      </c>
      <c r="G29" s="175"/>
      <c r="H29" s="100"/>
    </row>
    <row r="30" spans="1:9">
      <c r="A30" s="101"/>
      <c r="B30" s="559"/>
      <c r="C30" s="176" t="str">
        <f>E12</f>
        <v>MUTUI PASSIVI SCADENTI OLTRE ANNO</v>
      </c>
      <c r="D30" s="562"/>
      <c r="E30" s="171"/>
      <c r="F30" s="177">
        <f>F12</f>
        <v>203539.66</v>
      </c>
      <c r="G30" s="177"/>
      <c r="H30" s="100"/>
    </row>
    <row r="31" spans="1:9">
      <c r="A31" s="101"/>
      <c r="B31" s="230" t="s">
        <v>789</v>
      </c>
      <c r="C31" s="166" t="str">
        <f>E5</f>
        <v>TERRENI E FABBRICATI</v>
      </c>
      <c r="D31" s="168" t="s">
        <v>776</v>
      </c>
      <c r="E31" s="167" t="str">
        <f>C5</f>
        <v>FONDO AMMORTAMENTO TERRENI E FABBRICATI</v>
      </c>
      <c r="F31" s="165"/>
      <c r="G31" s="165">
        <f>G5</f>
        <v>54040</v>
      </c>
      <c r="H31" s="100"/>
    </row>
    <row r="32" spans="1:9">
      <c r="A32" s="101"/>
      <c r="B32" s="230" t="s">
        <v>789</v>
      </c>
      <c r="C32" s="166" t="str">
        <f t="shared" ref="C32:C35" si="0">E6</f>
        <v>IMPIANTI</v>
      </c>
      <c r="D32" s="168" t="s">
        <v>776</v>
      </c>
      <c r="E32" s="167" t="str">
        <f t="shared" ref="E32:E35" si="1">C6</f>
        <v>FONDO AMMORTAMENTO IMPIANTI</v>
      </c>
      <c r="F32" s="165"/>
      <c r="G32" s="165">
        <f t="shared" ref="G32:G35" si="2">G6</f>
        <v>39966.67</v>
      </c>
      <c r="H32" s="100"/>
    </row>
    <row r="33" spans="1:9">
      <c r="A33" s="101"/>
      <c r="B33" s="230" t="s">
        <v>789</v>
      </c>
      <c r="C33" s="166" t="str">
        <f t="shared" si="0"/>
        <v>MACCHINARI</v>
      </c>
      <c r="D33" s="168" t="s">
        <v>776</v>
      </c>
      <c r="E33" s="167" t="str">
        <f t="shared" si="1"/>
        <v>FONDO AMMORTAMENTO MACCHINARI</v>
      </c>
      <c r="F33" s="165"/>
      <c r="G33" s="165">
        <f t="shared" si="2"/>
        <v>40906.67</v>
      </c>
      <c r="H33" s="100"/>
    </row>
    <row r="34" spans="1:9">
      <c r="A34" s="101"/>
      <c r="B34" s="230" t="s">
        <v>789</v>
      </c>
      <c r="C34" s="166" t="str">
        <f t="shared" si="0"/>
        <v>ATTREZZATURE INDUSTRIALI</v>
      </c>
      <c r="D34" s="168" t="s">
        <v>776</v>
      </c>
      <c r="E34" s="167" t="str">
        <f t="shared" si="1"/>
        <v>FONDO AMMORTAMENTO ATTREZZATURE INDUSTRIALI</v>
      </c>
      <c r="F34" s="165"/>
      <c r="G34" s="165">
        <f t="shared" si="2"/>
        <v>25666.67</v>
      </c>
      <c r="H34" s="100"/>
    </row>
    <row r="35" spans="1:9">
      <c r="A35" s="102"/>
      <c r="B35" s="231" t="s">
        <v>790</v>
      </c>
      <c r="C35" s="166" t="str">
        <f t="shared" si="0"/>
        <v>CREDITI V/ CLIENTI</v>
      </c>
      <c r="D35" s="168" t="s">
        <v>776</v>
      </c>
      <c r="E35" s="167" t="str">
        <f t="shared" si="1"/>
        <v>FONDO SVALUTAZIONE CREDITI</v>
      </c>
      <c r="F35" s="165"/>
      <c r="G35" s="165">
        <f t="shared" si="2"/>
        <v>15678</v>
      </c>
      <c r="H35" s="100"/>
    </row>
    <row r="36" spans="1:9">
      <c r="A36" s="100"/>
      <c r="B36" s="100"/>
      <c r="C36" s="100"/>
      <c r="D36" s="100"/>
      <c r="E36" s="100"/>
      <c r="F36" s="100"/>
      <c r="G36" s="100"/>
      <c r="H36" s="100"/>
      <c r="I36" s="100"/>
    </row>
  </sheetData>
  <mergeCells count="18">
    <mergeCell ref="A3:A4"/>
    <mergeCell ref="B3:B4"/>
    <mergeCell ref="C3:C4"/>
    <mergeCell ref="D3:D4"/>
    <mergeCell ref="A19:A20"/>
    <mergeCell ref="C19:C20"/>
    <mergeCell ref="D19:D20"/>
    <mergeCell ref="E19:E20"/>
    <mergeCell ref="F19:F20"/>
    <mergeCell ref="B19:B20"/>
    <mergeCell ref="G19:G20"/>
    <mergeCell ref="B28:B30"/>
    <mergeCell ref="D28:D30"/>
    <mergeCell ref="F3:F4"/>
    <mergeCell ref="G3:G4"/>
    <mergeCell ref="C17:D17"/>
    <mergeCell ref="E3:E4"/>
    <mergeCell ref="D10:D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BF222-35CB-6045-8859-9523B4EA1A5C}">
  <dimension ref="B2:J58"/>
  <sheetViews>
    <sheetView topLeftCell="A10" workbookViewId="0">
      <selection activeCell="E50" sqref="E50"/>
    </sheetView>
  </sheetViews>
  <sheetFormatPr baseColWidth="10" defaultColWidth="9.1640625" defaultRowHeight="16"/>
  <cols>
    <col min="1" max="1" width="9.1640625" style="178"/>
    <col min="2" max="2" width="55.6640625" style="179" bestFit="1" customWidth="1"/>
    <col min="3" max="3" width="2.6640625" style="178" bestFit="1" customWidth="1"/>
    <col min="4" max="4" width="46.83203125" style="178" bestFit="1" customWidth="1"/>
    <col min="5" max="5" width="16" style="178" bestFit="1" customWidth="1"/>
    <col min="6" max="6" width="18.1640625" style="178" bestFit="1" customWidth="1"/>
    <col min="7" max="9" width="9.1640625" style="178"/>
    <col min="10" max="10" width="12" style="178" bestFit="1" customWidth="1"/>
    <col min="11" max="16384" width="9.1640625" style="178"/>
  </cols>
  <sheetData>
    <row r="2" spans="2:10">
      <c r="B2" s="565" t="s">
        <v>1</v>
      </c>
      <c r="C2" s="565" t="s">
        <v>776</v>
      </c>
      <c r="D2" s="565" t="s">
        <v>2</v>
      </c>
      <c r="E2" s="565" t="s">
        <v>782</v>
      </c>
      <c r="F2" s="565" t="s">
        <v>783</v>
      </c>
    </row>
    <row r="3" spans="2:10">
      <c r="B3" s="565"/>
      <c r="C3" s="565"/>
      <c r="D3" s="565"/>
      <c r="E3" s="565"/>
      <c r="F3" s="565"/>
    </row>
    <row r="4" spans="2:10">
      <c r="B4" s="233" t="s">
        <v>129</v>
      </c>
      <c r="C4" s="569" t="s">
        <v>776</v>
      </c>
      <c r="D4" s="234" t="s">
        <v>778</v>
      </c>
      <c r="E4" s="235"/>
      <c r="F4" s="235">
        <f>SUM(E5:E28)</f>
        <v>848467.96129633498</v>
      </c>
      <c r="H4" s="769"/>
      <c r="J4" s="770"/>
    </row>
    <row r="5" spans="2:10">
      <c r="B5" s="236"/>
      <c r="C5" s="570"/>
      <c r="D5" s="234" t="s">
        <v>14</v>
      </c>
      <c r="E5" s="235">
        <f>'[1]Bilancio di verifica'!C25</f>
        <v>382000</v>
      </c>
      <c r="F5" s="235"/>
    </row>
    <row r="6" spans="2:10">
      <c r="B6" s="236"/>
      <c r="C6" s="570"/>
      <c r="D6" s="234" t="s">
        <v>1126</v>
      </c>
      <c r="E6" s="235">
        <f>'[1]Bilancio di verifica'!C26</f>
        <v>6000</v>
      </c>
      <c r="F6" s="235"/>
      <c r="H6" s="769"/>
      <c r="J6" s="770"/>
    </row>
    <row r="7" spans="2:10">
      <c r="B7" s="236"/>
      <c r="C7" s="570"/>
      <c r="D7" s="234" t="s">
        <v>17</v>
      </c>
      <c r="E7" s="235">
        <f>'[1]Libro mastro'!G76</f>
        <v>24333.33</v>
      </c>
      <c r="F7" s="235"/>
    </row>
    <row r="8" spans="2:10">
      <c r="B8" s="236"/>
      <c r="C8" s="570"/>
      <c r="D8" s="234" t="s">
        <v>18</v>
      </c>
      <c r="E8" s="235">
        <f>'[1]Bilancio di verifica'!C31</f>
        <v>32500</v>
      </c>
      <c r="F8" s="235"/>
    </row>
    <row r="9" spans="2:10">
      <c r="B9" s="236"/>
      <c r="C9" s="570"/>
      <c r="D9" s="234" t="s">
        <v>1127</v>
      </c>
      <c r="E9" s="235">
        <f>'[1]Bilancio di verifica'!C33</f>
        <v>5500</v>
      </c>
      <c r="F9" s="235"/>
    </row>
    <row r="10" spans="2:10">
      <c r="B10" s="236"/>
      <c r="C10" s="570"/>
      <c r="D10" s="234" t="s">
        <v>21</v>
      </c>
      <c r="E10" s="235">
        <f>'[1]Bilancio di verifica'!C34</f>
        <v>15000</v>
      </c>
      <c r="F10" s="235"/>
    </row>
    <row r="11" spans="2:10">
      <c r="B11" s="236"/>
      <c r="C11" s="570"/>
      <c r="D11" s="234" t="s">
        <v>22</v>
      </c>
      <c r="E11" s="235">
        <f>'[1]Libro mastro'!C198</f>
        <v>5721.4083333333328</v>
      </c>
      <c r="F11" s="235"/>
    </row>
    <row r="12" spans="2:10">
      <c r="B12" s="236"/>
      <c r="C12" s="570"/>
      <c r="D12" s="234" t="s">
        <v>1128</v>
      </c>
      <c r="E12" s="235">
        <f>'[1]Libro mastro'!K52</f>
        <v>14400</v>
      </c>
      <c r="F12" s="235"/>
    </row>
    <row r="13" spans="2:10">
      <c r="B13" s="236"/>
      <c r="C13" s="570"/>
      <c r="D13" s="234" t="s">
        <v>23</v>
      </c>
      <c r="E13" s="235">
        <f>198000</f>
        <v>198000</v>
      </c>
      <c r="F13" s="235"/>
    </row>
    <row r="14" spans="2:10">
      <c r="B14" s="236"/>
      <c r="C14" s="570"/>
      <c r="D14" s="234" t="s">
        <v>1129</v>
      </c>
      <c r="E14" s="235">
        <f>54500</f>
        <v>54500</v>
      </c>
      <c r="F14" s="235"/>
    </row>
    <row r="15" spans="2:10">
      <c r="B15" s="236"/>
      <c r="C15" s="570"/>
      <c r="D15" s="234" t="s">
        <v>25</v>
      </c>
      <c r="E15" s="235">
        <f>'[1]Libro mastro'!C184</f>
        <v>2948.0047112149309</v>
      </c>
      <c r="F15" s="235"/>
    </row>
    <row r="16" spans="2:10">
      <c r="B16" s="236"/>
      <c r="C16" s="570"/>
      <c r="D16" s="234" t="s">
        <v>1130</v>
      </c>
      <c r="E16" s="235">
        <f>'[1]Libro mastro'!K40</f>
        <v>16766.669999999998</v>
      </c>
      <c r="F16" s="235"/>
    </row>
    <row r="17" spans="2:6">
      <c r="B17" s="236"/>
      <c r="C17" s="570"/>
      <c r="D17" s="234" t="s">
        <v>94</v>
      </c>
      <c r="E17" s="235">
        <f>'[1]Libro mastro'!G64</f>
        <v>5100</v>
      </c>
      <c r="F17" s="235"/>
    </row>
    <row r="18" spans="2:6">
      <c r="B18" s="236"/>
      <c r="C18" s="570"/>
      <c r="D18" s="234" t="s">
        <v>103</v>
      </c>
      <c r="E18" s="235">
        <f>'[1]Libro mastro'!G100</f>
        <v>16516.666666666668</v>
      </c>
      <c r="F18" s="235"/>
    </row>
    <row r="19" spans="2:6">
      <c r="B19" s="236"/>
      <c r="C19" s="570"/>
      <c r="D19" s="234" t="s">
        <v>104</v>
      </c>
      <c r="E19" s="235">
        <f>'[1]Libro mastro'!K88</f>
        <v>4940</v>
      </c>
      <c r="F19" s="235"/>
    </row>
    <row r="20" spans="2:6">
      <c r="B20" s="236"/>
      <c r="C20" s="570"/>
      <c r="D20" s="234" t="s">
        <v>141</v>
      </c>
      <c r="E20" s="235">
        <f>'[1]Libro mastro'!C112</f>
        <v>10226.666666666666</v>
      </c>
      <c r="F20" s="235"/>
    </row>
    <row r="21" spans="2:6">
      <c r="B21" s="236"/>
      <c r="C21" s="570"/>
      <c r="D21" s="234" t="s">
        <v>105</v>
      </c>
      <c r="E21" s="235">
        <f>'[1]Libro mastro'!K112</f>
        <v>3666.6666666666665</v>
      </c>
      <c r="F21" s="235"/>
    </row>
    <row r="22" spans="2:6">
      <c r="B22" s="236"/>
      <c r="C22" s="570"/>
      <c r="D22" s="234" t="s">
        <v>107</v>
      </c>
      <c r="E22" s="235">
        <f>'[1]Libro mastro'!C136</f>
        <v>2333.3333333333335</v>
      </c>
      <c r="F22" s="235"/>
    </row>
    <row r="23" spans="2:6">
      <c r="B23" s="236"/>
      <c r="C23" s="570"/>
      <c r="D23" s="234" t="s">
        <v>1131</v>
      </c>
      <c r="E23" s="235">
        <f>'[1]Libro mastro'!K136</f>
        <v>1431.8181818181818</v>
      </c>
      <c r="F23" s="235"/>
    </row>
    <row r="24" spans="2:6">
      <c r="B24" s="236"/>
      <c r="C24" s="570"/>
      <c r="D24" s="234" t="s">
        <v>109</v>
      </c>
      <c r="E24" s="235">
        <f>'[1]Libro mastro'!G148</f>
        <v>10000</v>
      </c>
      <c r="F24" s="235"/>
    </row>
    <row r="25" spans="2:6">
      <c r="B25" s="236"/>
      <c r="C25" s="570"/>
      <c r="D25" s="234" t="s">
        <v>1132</v>
      </c>
      <c r="E25" s="235">
        <f>'[1]Libro mastro'!G184</f>
        <v>553.39673663527174</v>
      </c>
      <c r="F25" s="235"/>
    </row>
    <row r="26" spans="2:6">
      <c r="B26" s="236"/>
      <c r="C26" s="570"/>
      <c r="D26" s="234" t="s">
        <v>165</v>
      </c>
      <c r="E26" s="235">
        <f>'[1]Libro mastro'!G196</f>
        <v>22460</v>
      </c>
      <c r="F26" s="235"/>
    </row>
    <row r="27" spans="2:6">
      <c r="B27" s="236"/>
      <c r="C27" s="570"/>
      <c r="D27" s="234" t="s">
        <v>150</v>
      </c>
      <c r="E27" s="235">
        <f>'[1]Libro mastro'!C208</f>
        <v>1570</v>
      </c>
      <c r="F27" s="235"/>
    </row>
    <row r="28" spans="2:6">
      <c r="B28" s="237"/>
      <c r="C28" s="571"/>
      <c r="D28" s="234" t="s">
        <v>1133</v>
      </c>
      <c r="E28" s="235">
        <f>'[1]Libro mastro'!K160</f>
        <v>12000</v>
      </c>
      <c r="F28" s="235"/>
    </row>
    <row r="29" spans="2:6">
      <c r="B29" s="238" t="s">
        <v>778</v>
      </c>
      <c r="C29" s="569" t="s">
        <v>776</v>
      </c>
      <c r="D29" s="566" t="s">
        <v>129</v>
      </c>
      <c r="E29" s="235"/>
      <c r="F29" s="235">
        <f>SUM(E30:E46)+E51</f>
        <v>711306.40611294121</v>
      </c>
    </row>
    <row r="30" spans="2:6">
      <c r="B30" s="238" t="s">
        <v>1134</v>
      </c>
      <c r="C30" s="570"/>
      <c r="D30" s="567"/>
      <c r="E30" s="235">
        <f>'[1]Libro mastro'!B16</f>
        <v>511527</v>
      </c>
      <c r="F30" s="235"/>
    </row>
    <row r="31" spans="2:6">
      <c r="B31" s="238" t="s">
        <v>40</v>
      </c>
      <c r="C31" s="570"/>
      <c r="D31" s="567"/>
      <c r="E31" s="235">
        <f>'[1]Libro mastro'!F17</f>
        <v>43801.3</v>
      </c>
      <c r="F31" s="235"/>
    </row>
    <row r="32" spans="2:6">
      <c r="B32" s="238" t="s">
        <v>41</v>
      </c>
      <c r="C32" s="570"/>
      <c r="D32" s="567"/>
      <c r="E32" s="235">
        <f>'[1]Bilancio di verifica'!D65</f>
        <v>18320</v>
      </c>
      <c r="F32" s="235"/>
    </row>
    <row r="33" spans="2:6">
      <c r="B33" s="238" t="s">
        <v>1135</v>
      </c>
      <c r="C33" s="570"/>
      <c r="D33" s="567"/>
      <c r="E33" s="235">
        <f>'[1]Bilancio di verifica'!D66</f>
        <v>15000</v>
      </c>
      <c r="F33" s="235"/>
    </row>
    <row r="34" spans="2:6">
      <c r="B34" s="238" t="s">
        <v>43</v>
      </c>
      <c r="C34" s="570"/>
      <c r="D34" s="567"/>
      <c r="E34" s="235">
        <f>'[1]Libro mastro'!J28</f>
        <v>4185</v>
      </c>
      <c r="F34" s="235"/>
    </row>
    <row r="35" spans="2:6">
      <c r="B35" s="238" t="s">
        <v>44</v>
      </c>
      <c r="C35" s="570"/>
      <c r="D35" s="567"/>
      <c r="E35" s="235">
        <f>'[1]Bilancio di verifica'!D68</f>
        <v>5530</v>
      </c>
      <c r="F35" s="235"/>
    </row>
    <row r="36" spans="2:6">
      <c r="B36" s="238" t="s">
        <v>45</v>
      </c>
      <c r="C36" s="570"/>
      <c r="D36" s="567"/>
      <c r="E36" s="235">
        <f>'[1]Bilancio di verifica'!D69</f>
        <v>4560</v>
      </c>
      <c r="F36" s="235"/>
    </row>
    <row r="37" spans="2:6">
      <c r="B37" s="238" t="s">
        <v>160</v>
      </c>
      <c r="C37" s="570"/>
      <c r="D37" s="567"/>
      <c r="E37" s="235">
        <f>'[1]Libro mastro'!F28</f>
        <v>11000</v>
      </c>
      <c r="F37" s="235"/>
    </row>
    <row r="38" spans="2:6">
      <c r="B38" s="238" t="s">
        <v>819</v>
      </c>
      <c r="C38" s="570"/>
      <c r="D38" s="567"/>
      <c r="E38" s="235">
        <f>'[1]Libro mastro'!F88</f>
        <v>8250</v>
      </c>
      <c r="F38" s="235"/>
    </row>
    <row r="39" spans="2:6">
      <c r="B39" s="238" t="s">
        <v>1136</v>
      </c>
      <c r="C39" s="570"/>
      <c r="D39" s="567"/>
      <c r="E39" s="235">
        <f>'[1]Libro mastro'!J124</f>
        <v>24000</v>
      </c>
      <c r="F39" s="235"/>
    </row>
    <row r="40" spans="2:6">
      <c r="B40" s="238" t="s">
        <v>1137</v>
      </c>
      <c r="C40" s="570"/>
      <c r="D40" s="567"/>
      <c r="E40" s="235">
        <f>'[1]Libro mastro'!F160</f>
        <v>33250</v>
      </c>
      <c r="F40" s="235"/>
    </row>
    <row r="41" spans="2:6">
      <c r="B41" s="238" t="s">
        <v>151</v>
      </c>
      <c r="C41" s="570"/>
      <c r="D41" s="567"/>
      <c r="E41" s="235">
        <f>'[1]Libro mastro'!B220</f>
        <v>4078.8685933793968</v>
      </c>
      <c r="F41" s="235"/>
    </row>
    <row r="42" spans="2:6">
      <c r="B42" s="238" t="s">
        <v>15</v>
      </c>
      <c r="C42" s="570"/>
      <c r="D42" s="567"/>
      <c r="E42" s="235">
        <f>'[1]Libro mastro'!J220</f>
        <v>4816.9014084506998</v>
      </c>
      <c r="F42" s="235"/>
    </row>
    <row r="43" spans="2:6">
      <c r="B43" s="238" t="s">
        <v>16</v>
      </c>
      <c r="C43" s="570"/>
      <c r="D43" s="567"/>
      <c r="E43" s="235">
        <f>'[1]Libro mastro'!F231</f>
        <v>7730</v>
      </c>
      <c r="F43" s="235"/>
    </row>
    <row r="44" spans="2:6">
      <c r="B44" s="238" t="s">
        <v>802</v>
      </c>
      <c r="C44" s="570"/>
      <c r="D44" s="567"/>
      <c r="E44" s="235">
        <f>'[1]Libro mastro'!J241</f>
        <v>15000</v>
      </c>
      <c r="F44" s="235"/>
    </row>
    <row r="45" spans="2:6">
      <c r="B45" s="238" t="s">
        <v>1138</v>
      </c>
      <c r="C45" s="570"/>
      <c r="D45" s="567"/>
      <c r="E45" s="235">
        <f>'[1]Libro mastro'!B241</f>
        <v>235.33611111111168</v>
      </c>
      <c r="F45" s="235"/>
    </row>
    <row r="46" spans="2:6">
      <c r="B46" s="238" t="s">
        <v>1139</v>
      </c>
      <c r="C46" s="571"/>
      <c r="D46" s="568"/>
      <c r="E46" s="235">
        <f>'[1]Libro mastro'!F241</f>
        <v>22</v>
      </c>
      <c r="F46" s="235"/>
    </row>
    <row r="47" spans="2:6">
      <c r="B47" s="239"/>
      <c r="C47" s="239"/>
      <c r="D47" s="239"/>
      <c r="E47" s="239"/>
      <c r="F47" s="239"/>
    </row>
    <row r="48" spans="2:6">
      <c r="B48" s="240" t="s">
        <v>1140</v>
      </c>
      <c r="C48" s="241" t="s">
        <v>776</v>
      </c>
      <c r="D48" s="240" t="s">
        <v>129</v>
      </c>
      <c r="E48" s="242"/>
      <c r="F48" s="242">
        <f>-(F29-F4)</f>
        <v>137161.55518339376</v>
      </c>
    </row>
    <row r="49" spans="2:5">
      <c r="B49" s="178"/>
    </row>
    <row r="50" spans="2:5">
      <c r="B50" s="178"/>
    </row>
    <row r="51" spans="2:5">
      <c r="B51" s="769"/>
      <c r="E51" s="770"/>
    </row>
    <row r="52" spans="2:5">
      <c r="B52" s="178"/>
    </row>
    <row r="53" spans="2:5">
      <c r="B53" s="178"/>
    </row>
    <row r="54" spans="2:5">
      <c r="B54" s="178"/>
    </row>
    <row r="55" spans="2:5">
      <c r="B55" s="178"/>
    </row>
    <row r="56" spans="2:5">
      <c r="B56" s="178"/>
    </row>
    <row r="57" spans="2:5">
      <c r="B57" s="178"/>
    </row>
    <row r="58" spans="2:5">
      <c r="B58" s="178"/>
    </row>
  </sheetData>
  <mergeCells count="8">
    <mergeCell ref="E2:E3"/>
    <mergeCell ref="F2:F3"/>
    <mergeCell ref="D29:D46"/>
    <mergeCell ref="B2:B3"/>
    <mergeCell ref="C2:C3"/>
    <mergeCell ref="D2:D3"/>
    <mergeCell ref="C4:C28"/>
    <mergeCell ref="C29:C4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ECC9B-4583-F74A-8FED-E7D8467ADDC7}">
  <dimension ref="B2:H58"/>
  <sheetViews>
    <sheetView topLeftCell="A15" zoomScale="90" workbookViewId="0">
      <selection activeCell="E61" sqref="E61"/>
    </sheetView>
  </sheetViews>
  <sheetFormatPr baseColWidth="10" defaultColWidth="8.83203125" defaultRowHeight="15"/>
  <cols>
    <col min="1" max="1" width="8.83203125" style="58"/>
    <col min="2" max="2" width="55.6640625" style="58" bestFit="1" customWidth="1"/>
    <col min="3" max="3" width="2.6640625" style="58" bestFit="1" customWidth="1"/>
    <col min="4" max="4" width="47.6640625" style="58" bestFit="1" customWidth="1"/>
    <col min="5" max="5" width="16" style="58" bestFit="1" customWidth="1"/>
    <col min="6" max="6" width="18.1640625" style="58" bestFit="1" customWidth="1"/>
    <col min="7" max="7" width="8.83203125" style="58"/>
    <col min="8" max="8" width="15.33203125" style="58" bestFit="1" customWidth="1"/>
    <col min="9" max="16384" width="8.83203125" style="58"/>
  </cols>
  <sheetData>
    <row r="2" spans="2:6">
      <c r="B2" s="575" t="s">
        <v>1</v>
      </c>
      <c r="C2" s="575" t="s">
        <v>776</v>
      </c>
      <c r="D2" s="575" t="s">
        <v>2</v>
      </c>
      <c r="E2" s="575" t="s">
        <v>782</v>
      </c>
      <c r="F2" s="575" t="s">
        <v>783</v>
      </c>
    </row>
    <row r="3" spans="2:6">
      <c r="B3" s="575"/>
      <c r="C3" s="575"/>
      <c r="D3" s="575"/>
      <c r="E3" s="575"/>
      <c r="F3" s="575"/>
    </row>
    <row r="4" spans="2:6" ht="16">
      <c r="B4" s="243" t="s">
        <v>872</v>
      </c>
      <c r="C4" s="572" t="s">
        <v>776</v>
      </c>
      <c r="D4" s="244" t="s">
        <v>777</v>
      </c>
      <c r="E4" s="245"/>
      <c r="F4" s="245">
        <f>SUM(E5:E33)</f>
        <v>1035791.9747112148</v>
      </c>
    </row>
    <row r="5" spans="2:6" ht="16">
      <c r="B5" s="246"/>
      <c r="C5" s="573"/>
      <c r="D5" s="244" t="str">
        <f>'[1]Bilancio di verifica'!B24</f>
        <v>Partecipazioni in imprese collegate</v>
      </c>
      <c r="E5" s="245">
        <f>'[1]Bilancio di verifica'!C24</f>
        <v>135000</v>
      </c>
      <c r="F5" s="245"/>
    </row>
    <row r="6" spans="2:6" ht="16">
      <c r="B6" s="246"/>
      <c r="C6" s="573"/>
      <c r="D6" s="244" t="s">
        <v>65</v>
      </c>
      <c r="E6" s="245">
        <f>'[1]Libro mastro'!G40</f>
        <v>70999</v>
      </c>
      <c r="F6" s="245"/>
    </row>
    <row r="7" spans="2:6" ht="16">
      <c r="B7" s="246"/>
      <c r="C7" s="573"/>
      <c r="D7" s="244" t="s">
        <v>66</v>
      </c>
      <c r="E7" s="245">
        <f>'[1]Bilancio di verifica'!C5</f>
        <v>25117.7</v>
      </c>
      <c r="F7" s="245"/>
    </row>
    <row r="8" spans="2:6" ht="16">
      <c r="B8" s="246"/>
      <c r="C8" s="573"/>
      <c r="D8" s="244" t="s">
        <v>770</v>
      </c>
      <c r="E8" s="245">
        <f>'[1]Libro mastro'!C276</f>
        <v>154322</v>
      </c>
      <c r="F8" s="245"/>
    </row>
    <row r="9" spans="2:6" ht="16">
      <c r="B9" s="246"/>
      <c r="C9" s="573"/>
      <c r="D9" s="244" t="s">
        <v>769</v>
      </c>
      <c r="E9" s="245">
        <f>'[1]Libro mastro'!K185</f>
        <v>24446.603263364726</v>
      </c>
      <c r="F9" s="245"/>
    </row>
    <row r="10" spans="2:6" ht="16">
      <c r="B10" s="246"/>
      <c r="C10" s="573"/>
      <c r="D10" s="244" t="s">
        <v>768</v>
      </c>
      <c r="E10" s="245">
        <f>'[1]Bilancio di verifica'!C8</f>
        <v>20000</v>
      </c>
      <c r="F10" s="245"/>
    </row>
    <row r="11" spans="2:6" ht="16">
      <c r="B11" s="246"/>
      <c r="C11" s="573"/>
      <c r="D11" s="244" t="s">
        <v>59</v>
      </c>
      <c r="E11" s="245">
        <f>'[1]Bilancio di verifica'!C9</f>
        <v>4000</v>
      </c>
      <c r="F11" s="245"/>
    </row>
    <row r="12" spans="2:6" ht="16">
      <c r="B12" s="246"/>
      <c r="C12" s="573"/>
      <c r="D12" s="244" t="s">
        <v>61</v>
      </c>
      <c r="E12" s="245">
        <f>'[1]Libro mastro'!C40</f>
        <v>4851</v>
      </c>
      <c r="F12" s="245"/>
    </row>
    <row r="13" spans="2:6" ht="16">
      <c r="B13" s="246"/>
      <c r="C13" s="573"/>
      <c r="D13" s="244" t="s">
        <v>766</v>
      </c>
      <c r="E13" s="245">
        <f>'[1]Bilancio di verifica'!C12</f>
        <v>5100</v>
      </c>
      <c r="F13" s="245"/>
    </row>
    <row r="14" spans="2:6" ht="16">
      <c r="B14" s="246"/>
      <c r="C14" s="573"/>
      <c r="D14" s="244" t="s">
        <v>873</v>
      </c>
      <c r="E14" s="245">
        <f>'[1]Bilancio di verifica'!C13</f>
        <v>16000</v>
      </c>
      <c r="F14" s="245"/>
    </row>
    <row r="15" spans="2:6" ht="16">
      <c r="B15" s="246"/>
      <c r="C15" s="573"/>
      <c r="D15" s="244" t="s">
        <v>874</v>
      </c>
      <c r="E15" s="245">
        <f>'[1]Bilancio di verifica'!C14</f>
        <v>4000</v>
      </c>
      <c r="F15" s="245"/>
    </row>
    <row r="16" spans="2:6" ht="16">
      <c r="B16" s="246"/>
      <c r="C16" s="573"/>
      <c r="D16" s="244" t="s">
        <v>64</v>
      </c>
      <c r="E16" s="245">
        <f>'[1]Libro mastro'!K230</f>
        <v>19448.336111111112</v>
      </c>
      <c r="F16" s="245"/>
    </row>
    <row r="17" spans="2:6" ht="16">
      <c r="B17" s="246"/>
      <c r="C17" s="573"/>
      <c r="D17" s="244" t="s">
        <v>763</v>
      </c>
      <c r="E17" s="245">
        <f>'[1]Libro mastro'!G253</f>
        <v>44460</v>
      </c>
      <c r="F17" s="245"/>
    </row>
    <row r="18" spans="2:6" ht="16">
      <c r="B18" s="246"/>
      <c r="C18" s="573"/>
      <c r="D18" s="244" t="s">
        <v>52</v>
      </c>
      <c r="E18" s="245">
        <f>'[1]Libro mastro'!G173</f>
        <v>33033.333333333328</v>
      </c>
      <c r="F18" s="245"/>
    </row>
    <row r="19" spans="2:6" ht="16">
      <c r="B19" s="246"/>
      <c r="C19" s="573"/>
      <c r="D19" s="244" t="s">
        <v>53</v>
      </c>
      <c r="E19" s="245">
        <f>'[1]Libro mastro'!K253</f>
        <v>35793.333333333336</v>
      </c>
      <c r="F19" s="245"/>
    </row>
    <row r="20" spans="2:6" ht="16">
      <c r="B20" s="246"/>
      <c r="C20" s="573"/>
      <c r="D20" s="244" t="s">
        <v>875</v>
      </c>
      <c r="E20" s="245">
        <f>'[1]Libro mastro'!C265</f>
        <v>1833.3333333333321</v>
      </c>
      <c r="F20" s="245"/>
    </row>
    <row r="21" spans="2:6" ht="16">
      <c r="B21" s="246"/>
      <c r="C21" s="573"/>
      <c r="D21" s="244" t="s">
        <v>876</v>
      </c>
      <c r="E21" s="245">
        <f>'[1]Libro mastro'!G124</f>
        <v>27330</v>
      </c>
      <c r="F21" s="245"/>
    </row>
    <row r="22" spans="2:6" ht="16">
      <c r="B22" s="246"/>
      <c r="C22" s="573"/>
      <c r="D22" s="244" t="s">
        <v>48</v>
      </c>
      <c r="E22" s="245">
        <f>'[1]Libro mastro'!G137</f>
        <v>4666.6666666666661</v>
      </c>
      <c r="F22" s="245"/>
    </row>
    <row r="23" spans="2:6" ht="16">
      <c r="B23" s="246"/>
      <c r="C23" s="573"/>
      <c r="D23" s="244" t="str">
        <f>'[1]Libro mastro'!J195</f>
        <v>Costi di sviluppo</v>
      </c>
      <c r="E23" s="245">
        <f>'[1]Libro mastro'!K196</f>
        <v>30000</v>
      </c>
      <c r="F23" s="245"/>
    </row>
    <row r="24" spans="2:6" ht="16">
      <c r="B24" s="246"/>
      <c r="C24" s="573"/>
      <c r="D24" s="244" t="s">
        <v>762</v>
      </c>
      <c r="E24" s="245">
        <f>'[1]Libro mastro'!C149</f>
        <v>14318.181818181818</v>
      </c>
      <c r="F24" s="245"/>
    </row>
    <row r="25" spans="2:6" ht="16">
      <c r="B25" s="246"/>
      <c r="C25" s="573"/>
      <c r="D25" s="244" t="s">
        <v>49</v>
      </c>
      <c r="E25" s="245">
        <f>'[1]Libro mastro'!K149</f>
        <v>30000</v>
      </c>
      <c r="F25" s="245"/>
    </row>
    <row r="26" spans="2:6" ht="16">
      <c r="B26" s="246"/>
      <c r="C26" s="573"/>
      <c r="D26" s="244" t="s">
        <v>877</v>
      </c>
      <c r="E26" s="245">
        <f>'[1]Libro mastro'!G4</f>
        <v>6100</v>
      </c>
      <c r="F26" s="245"/>
    </row>
    <row r="27" spans="2:6" ht="16">
      <c r="B27" s="246"/>
      <c r="C27" s="573"/>
      <c r="D27" s="244" t="s">
        <v>878</v>
      </c>
      <c r="E27" s="245">
        <f>'[1]Libro mastro'!C28</f>
        <v>11000</v>
      </c>
      <c r="F27" s="245"/>
    </row>
    <row r="28" spans="2:6" ht="16">
      <c r="B28" s="246"/>
      <c r="C28" s="573"/>
      <c r="D28" s="244" t="s">
        <v>879</v>
      </c>
      <c r="E28" s="245">
        <f>'[1]Libro mastro'!C160</f>
        <v>33250</v>
      </c>
      <c r="F28" s="245"/>
    </row>
    <row r="29" spans="2:6" ht="16">
      <c r="B29" s="246"/>
      <c r="C29" s="573"/>
      <c r="D29" s="244" t="s">
        <v>880</v>
      </c>
      <c r="E29" s="245">
        <f>'[1]Libro mastro'!K208</f>
        <v>35666.368593379397</v>
      </c>
      <c r="F29" s="245"/>
    </row>
    <row r="30" spans="2:6" ht="16">
      <c r="B30" s="246"/>
      <c r="C30" s="573"/>
      <c r="D30" s="244" t="s">
        <v>881</v>
      </c>
      <c r="E30" s="245">
        <f>'[1]Libro mastro'!G219</f>
        <v>33616.9014084507</v>
      </c>
      <c r="F30" s="245"/>
    </row>
    <row r="31" spans="2:6" ht="16">
      <c r="B31" s="246"/>
      <c r="C31" s="573"/>
      <c r="D31" s="244" t="s">
        <v>882</v>
      </c>
      <c r="E31" s="245">
        <f>'[1]Libro mastro'!C230</f>
        <v>52480</v>
      </c>
      <c r="F31" s="245"/>
    </row>
    <row r="32" spans="2:6" ht="16">
      <c r="B32" s="246"/>
      <c r="C32" s="573"/>
      <c r="D32" s="247" t="str">
        <f>'[1]Libro mastro'!B75</f>
        <v>Risconti attivi</v>
      </c>
      <c r="E32" s="245">
        <f>'[1]Libro mastro'!C76</f>
        <v>21797.661666666667</v>
      </c>
      <c r="F32" s="245"/>
    </row>
    <row r="33" spans="2:8" ht="16">
      <c r="B33" s="246"/>
      <c r="C33" s="574"/>
      <c r="D33" s="247" t="s">
        <v>871</v>
      </c>
      <c r="E33" s="245">
        <f>'Scritture di riepilogo'!F48</f>
        <v>137161.55518339376</v>
      </c>
      <c r="F33" s="245"/>
    </row>
    <row r="34" spans="2:8" ht="16">
      <c r="B34" s="244" t="s">
        <v>777</v>
      </c>
      <c r="C34" s="572" t="s">
        <v>776</v>
      </c>
      <c r="D34" s="243" t="s">
        <v>872</v>
      </c>
      <c r="E34" s="245"/>
      <c r="F34" s="245">
        <f>SUM(E35:E58)</f>
        <v>1035791.9747112148</v>
      </c>
      <c r="H34" s="180"/>
    </row>
    <row r="35" spans="2:8" ht="16">
      <c r="B35" s="244" t="s">
        <v>73</v>
      </c>
      <c r="C35" s="573"/>
      <c r="D35" s="246"/>
      <c r="E35" s="245">
        <f>'[1]Bilancio di verifica'!D40</f>
        <v>155000</v>
      </c>
      <c r="F35" s="245"/>
    </row>
    <row r="36" spans="2:8" ht="16">
      <c r="B36" s="244" t="s">
        <v>74</v>
      </c>
      <c r="C36" s="573"/>
      <c r="D36" s="246"/>
      <c r="E36" s="245">
        <f>'[1]Bilancio di verifica'!D41</f>
        <v>65700</v>
      </c>
      <c r="F36" s="245"/>
    </row>
    <row r="37" spans="2:8" ht="16">
      <c r="B37" s="244" t="s">
        <v>78</v>
      </c>
      <c r="C37" s="573"/>
      <c r="D37" s="246"/>
      <c r="E37" s="245">
        <f>'[1]Bilancio di verifica'!D42</f>
        <v>60200</v>
      </c>
      <c r="F37" s="245"/>
    </row>
    <row r="38" spans="2:8" ht="16">
      <c r="B38" s="244" t="s">
        <v>883</v>
      </c>
      <c r="C38" s="573"/>
      <c r="D38" s="246"/>
      <c r="E38" s="245">
        <f>'[1]Bilancio di verifica'!D43</f>
        <v>10850</v>
      </c>
      <c r="F38" s="245"/>
    </row>
    <row r="39" spans="2:8" ht="16">
      <c r="B39" s="244" t="s">
        <v>884</v>
      </c>
      <c r="C39" s="573"/>
      <c r="D39" s="246"/>
      <c r="E39" s="245">
        <f>'[1]Bilancio di verifica'!D44</f>
        <v>40270</v>
      </c>
      <c r="F39" s="245"/>
    </row>
    <row r="40" spans="2:8" ht="16">
      <c r="B40" s="244" t="s">
        <v>75</v>
      </c>
      <c r="C40" s="573"/>
      <c r="D40" s="246"/>
      <c r="E40" s="245">
        <f>'[1]Bilancio di verifica'!D46</f>
        <v>23500</v>
      </c>
      <c r="F40" s="245"/>
    </row>
    <row r="41" spans="2:8" ht="16">
      <c r="B41" s="244" t="s">
        <v>753</v>
      </c>
      <c r="C41" s="573"/>
      <c r="D41" s="246"/>
      <c r="E41" s="245">
        <f>'[1]Libro mastro'!B52</f>
        <v>96409.67</v>
      </c>
      <c r="F41" s="245"/>
    </row>
    <row r="42" spans="2:8" ht="16">
      <c r="B42" s="244" t="s">
        <v>748</v>
      </c>
      <c r="C42" s="573"/>
      <c r="D42" s="246"/>
      <c r="E42" s="245">
        <f>'[1]Bilancio di verifica'!D54</f>
        <v>19500</v>
      </c>
      <c r="F42" s="245"/>
    </row>
    <row r="43" spans="2:8" ht="16">
      <c r="B43" s="244" t="s">
        <v>747</v>
      </c>
      <c r="C43" s="573"/>
      <c r="D43" s="246"/>
      <c r="E43" s="245">
        <f>'[1]Bilancio di verifica'!D55</f>
        <v>38370</v>
      </c>
      <c r="F43" s="245"/>
    </row>
    <row r="44" spans="2:8" ht="16">
      <c r="B44" s="244" t="s">
        <v>71</v>
      </c>
      <c r="C44" s="573"/>
      <c r="D44" s="246"/>
      <c r="E44" s="245">
        <f>'[1]Bilancio di verifica'!D56</f>
        <v>25740</v>
      </c>
      <c r="F44" s="245"/>
    </row>
    <row r="45" spans="2:8" ht="16">
      <c r="B45" s="244" t="s">
        <v>72</v>
      </c>
      <c r="C45" s="573"/>
      <c r="D45" s="246"/>
      <c r="E45" s="245">
        <f>'[1]Bilancio di verifica'!D57</f>
        <v>12000</v>
      </c>
      <c r="F45" s="245"/>
    </row>
    <row r="46" spans="2:8" ht="16">
      <c r="B46" s="244" t="s">
        <v>746</v>
      </c>
      <c r="C46" s="573"/>
      <c r="D46" s="246"/>
      <c r="E46" s="245">
        <f>'[1]Libro mastro'!F208</f>
        <v>19690</v>
      </c>
      <c r="F46" s="245"/>
    </row>
    <row r="47" spans="2:8" ht="16">
      <c r="B47" s="244" t="s">
        <v>67</v>
      </c>
      <c r="C47" s="573"/>
      <c r="D47" s="246"/>
      <c r="E47" s="245">
        <f>'[1]Bilancio di verifica'!D59</f>
        <v>127000</v>
      </c>
      <c r="F47" s="245"/>
    </row>
    <row r="48" spans="2:8" ht="16">
      <c r="B48" s="244" t="s">
        <v>885</v>
      </c>
      <c r="C48" s="573"/>
      <c r="D48" s="246"/>
      <c r="E48" s="245">
        <f>'[1]Bilancio di verifica'!D60</f>
        <v>12670</v>
      </c>
      <c r="F48" s="245"/>
    </row>
    <row r="49" spans="2:6" ht="16">
      <c r="B49" s="244" t="s">
        <v>745</v>
      </c>
      <c r="C49" s="573"/>
      <c r="D49" s="246"/>
      <c r="E49" s="245">
        <f>'[1]Bilancio di verifica'!D61</f>
        <v>11800</v>
      </c>
      <c r="F49" s="245"/>
    </row>
    <row r="50" spans="2:6" ht="16">
      <c r="B50" s="244" t="s">
        <v>69</v>
      </c>
      <c r="C50" s="573"/>
      <c r="D50" s="246"/>
      <c r="E50" s="245">
        <f>'[1]Bilancio di verifica'!D62</f>
        <v>16253</v>
      </c>
      <c r="F50" s="245"/>
    </row>
    <row r="51" spans="2:6" ht="16">
      <c r="B51" s="244" t="s">
        <v>813</v>
      </c>
      <c r="C51" s="573"/>
      <c r="D51" s="246"/>
      <c r="E51" s="245">
        <f>'[1]Libro mastro'!B64</f>
        <v>8300</v>
      </c>
      <c r="F51" s="245"/>
    </row>
    <row r="52" spans="2:6" ht="16">
      <c r="B52" s="244" t="s">
        <v>886</v>
      </c>
      <c r="C52" s="573"/>
      <c r="D52" s="246"/>
      <c r="E52" s="245">
        <f>'[1]Libro mastro'!F52</f>
        <v>22817</v>
      </c>
      <c r="F52" s="245"/>
    </row>
    <row r="53" spans="2:6" ht="16">
      <c r="B53" s="244" t="s">
        <v>887</v>
      </c>
      <c r="C53" s="573"/>
      <c r="D53" s="246"/>
      <c r="E53" s="245">
        <f>'[1]Libro mastro'!B89</f>
        <v>17320</v>
      </c>
      <c r="F53" s="245"/>
    </row>
    <row r="54" spans="2:6" ht="16">
      <c r="B54" s="244" t="s">
        <v>888</v>
      </c>
      <c r="C54" s="573"/>
      <c r="D54" s="246"/>
      <c r="E54" s="245">
        <f>'[1]Libro mastro'!B172</f>
        <v>12000</v>
      </c>
      <c r="F54" s="245"/>
    </row>
    <row r="55" spans="2:6" ht="16">
      <c r="B55" s="244" t="s">
        <v>814</v>
      </c>
      <c r="C55" s="573"/>
      <c r="D55" s="246"/>
      <c r="E55" s="245">
        <f>'[1]Libro mastro'!J172</f>
        <v>5036.5709795833336</v>
      </c>
      <c r="F55" s="245"/>
    </row>
    <row r="56" spans="2:6" ht="16">
      <c r="B56" s="244" t="str">
        <f>'[1]Libro mastro'!J15</f>
        <v>Risconti passivi</v>
      </c>
      <c r="C56" s="573"/>
      <c r="D56" s="246"/>
      <c r="E56" s="245">
        <f>'[1]Libro mastro'!J16</f>
        <v>8000</v>
      </c>
      <c r="F56" s="245"/>
    </row>
    <row r="57" spans="2:6" ht="16">
      <c r="B57" s="244" t="s">
        <v>779</v>
      </c>
      <c r="C57" s="573"/>
      <c r="D57" s="246"/>
      <c r="E57" s="245">
        <f>'[1]Libro mastro'!F264</f>
        <v>23826.074348050221</v>
      </c>
      <c r="F57" s="245"/>
    </row>
    <row r="58" spans="2:6" ht="16">
      <c r="B58" s="244" t="s">
        <v>780</v>
      </c>
      <c r="C58" s="574"/>
      <c r="D58" s="249"/>
      <c r="E58" s="245">
        <f>'[1]Libro mastro'!J264</f>
        <v>203539.6593835814</v>
      </c>
      <c r="F58" s="245"/>
    </row>
  </sheetData>
  <mergeCells count="7">
    <mergeCell ref="E2:E3"/>
    <mergeCell ref="F2:F3"/>
    <mergeCell ref="C4:C33"/>
    <mergeCell ref="C34:C58"/>
    <mergeCell ref="B2:B3"/>
    <mergeCell ref="C2:C3"/>
    <mergeCell ref="D2:D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431C3-C2CA-6648-8B95-E3FE597DE0C9}">
  <dimension ref="B2:F58"/>
  <sheetViews>
    <sheetView topLeftCell="A20" workbookViewId="0">
      <selection activeCell="E60" sqref="E60"/>
    </sheetView>
  </sheetViews>
  <sheetFormatPr baseColWidth="10" defaultColWidth="8.83203125" defaultRowHeight="15"/>
  <cols>
    <col min="1" max="1" width="8.83203125" style="58"/>
    <col min="2" max="2" width="44.83203125" style="58" bestFit="1" customWidth="1"/>
    <col min="3" max="3" width="2.6640625" style="58" bestFit="1" customWidth="1"/>
    <col min="4" max="4" width="36.83203125" style="58" bestFit="1" customWidth="1"/>
    <col min="5" max="5" width="16" style="58" bestFit="1" customWidth="1"/>
    <col min="6" max="6" width="18.1640625" style="58" bestFit="1" customWidth="1"/>
    <col min="7" max="16384" width="8.83203125" style="58"/>
  </cols>
  <sheetData>
    <row r="2" spans="2:6">
      <c r="B2" s="575" t="s">
        <v>1</v>
      </c>
      <c r="C2" s="575" t="s">
        <v>776</v>
      </c>
      <c r="D2" s="575" t="s">
        <v>2</v>
      </c>
      <c r="E2" s="575" t="s">
        <v>782</v>
      </c>
      <c r="F2" s="575" t="s">
        <v>783</v>
      </c>
    </row>
    <row r="3" spans="2:6">
      <c r="B3" s="575"/>
      <c r="C3" s="575"/>
      <c r="D3" s="575"/>
      <c r="E3" s="575"/>
      <c r="F3" s="575"/>
    </row>
    <row r="4" spans="2:6" ht="16">
      <c r="B4" s="244" t="s">
        <v>777</v>
      </c>
      <c r="C4" s="572" t="s">
        <v>776</v>
      </c>
      <c r="D4" s="243" t="s">
        <v>889</v>
      </c>
      <c r="E4" s="245"/>
      <c r="F4" s="250">
        <f>SUM(E5:E33)</f>
        <v>1035791.9747112148</v>
      </c>
    </row>
    <row r="5" spans="2:6" ht="16">
      <c r="B5" s="244" t="str">
        <f>'[1]Scritture finali'!D5</f>
        <v>Partecipazioni in imprese collegate</v>
      </c>
      <c r="C5" s="573"/>
      <c r="D5" s="246"/>
      <c r="E5" s="251">
        <f>'[1]Bilancio di verifica'!C24</f>
        <v>135000</v>
      </c>
      <c r="F5" s="245"/>
    </row>
    <row r="6" spans="2:6" ht="16">
      <c r="B6" s="244" t="s">
        <v>65</v>
      </c>
      <c r="C6" s="573"/>
      <c r="D6" s="246"/>
      <c r="E6" s="245">
        <f>'[1]Libro mastro'!G40</f>
        <v>70999</v>
      </c>
      <c r="F6" s="252"/>
    </row>
    <row r="7" spans="2:6" ht="16">
      <c r="B7" s="244" t="s">
        <v>66</v>
      </c>
      <c r="C7" s="573"/>
      <c r="D7" s="246"/>
      <c r="E7" s="245">
        <f>'[1]Bilancio di verifica'!C5</f>
        <v>25117.7</v>
      </c>
      <c r="F7" s="245"/>
    </row>
    <row r="8" spans="2:6" ht="16">
      <c r="B8" s="244" t="s">
        <v>770</v>
      </c>
      <c r="C8" s="573"/>
      <c r="D8" s="246"/>
      <c r="E8" s="245">
        <f>'[1]Libro mastro'!C276</f>
        <v>154322</v>
      </c>
      <c r="F8" s="245"/>
    </row>
    <row r="9" spans="2:6" ht="16">
      <c r="B9" s="244" t="s">
        <v>769</v>
      </c>
      <c r="C9" s="573"/>
      <c r="D9" s="246"/>
      <c r="E9" s="245">
        <f>'[1]Libro mastro'!K185</f>
        <v>24446.603263364726</v>
      </c>
      <c r="F9" s="245"/>
    </row>
    <row r="10" spans="2:6" ht="16">
      <c r="B10" s="244" t="s">
        <v>768</v>
      </c>
      <c r="C10" s="573"/>
      <c r="D10" s="246"/>
      <c r="E10" s="245">
        <f>'[1]Bilancio di verifica'!C8</f>
        <v>20000</v>
      </c>
      <c r="F10" s="245"/>
    </row>
    <row r="11" spans="2:6" ht="16">
      <c r="B11" s="244" t="s">
        <v>59</v>
      </c>
      <c r="C11" s="573"/>
      <c r="D11" s="246"/>
      <c r="E11" s="245">
        <f>'[1]Bilancio di verifica'!C9</f>
        <v>4000</v>
      </c>
      <c r="F11" s="245"/>
    </row>
    <row r="12" spans="2:6" ht="16">
      <c r="B12" s="244" t="s">
        <v>61</v>
      </c>
      <c r="C12" s="573"/>
      <c r="D12" s="246"/>
      <c r="E12" s="245">
        <f>'[1]Libro mastro'!C40</f>
        <v>4851</v>
      </c>
      <c r="F12" s="245"/>
    </row>
    <row r="13" spans="2:6" ht="16">
      <c r="B13" s="244" t="s">
        <v>766</v>
      </c>
      <c r="C13" s="573"/>
      <c r="D13" s="246"/>
      <c r="E13" s="245">
        <f>'[1]Bilancio di verifica'!C12</f>
        <v>5100</v>
      </c>
      <c r="F13" s="245"/>
    </row>
    <row r="14" spans="2:6" ht="16">
      <c r="B14" s="244" t="s">
        <v>873</v>
      </c>
      <c r="C14" s="573"/>
      <c r="D14" s="246"/>
      <c r="E14" s="245">
        <f>'[1]Bilancio di verifica'!C13</f>
        <v>16000</v>
      </c>
      <c r="F14" s="245"/>
    </row>
    <row r="15" spans="2:6" ht="16">
      <c r="B15" s="244" t="s">
        <v>874</v>
      </c>
      <c r="C15" s="573"/>
      <c r="D15" s="246"/>
      <c r="E15" s="245">
        <f>'[1]Bilancio di verifica'!C14</f>
        <v>4000</v>
      </c>
      <c r="F15" s="245"/>
    </row>
    <row r="16" spans="2:6" ht="16">
      <c r="B16" s="244" t="s">
        <v>64</v>
      </c>
      <c r="C16" s="573"/>
      <c r="D16" s="246"/>
      <c r="E16" s="245">
        <f>'[1]Libro mastro'!K230</f>
        <v>19448.336111111112</v>
      </c>
      <c r="F16" s="245"/>
    </row>
    <row r="17" spans="2:6" ht="16">
      <c r="B17" s="244" t="s">
        <v>763</v>
      </c>
      <c r="C17" s="573"/>
      <c r="D17" s="246"/>
      <c r="E17" s="245">
        <f>'[1]Libro mastro'!G253</f>
        <v>44460</v>
      </c>
      <c r="F17" s="245"/>
    </row>
    <row r="18" spans="2:6" ht="16">
      <c r="B18" s="244" t="s">
        <v>52</v>
      </c>
      <c r="C18" s="573"/>
      <c r="D18" s="246"/>
      <c r="E18" s="245">
        <f>'[1]Libro mastro'!G173</f>
        <v>33033.333333333328</v>
      </c>
      <c r="F18" s="245"/>
    </row>
    <row r="19" spans="2:6" ht="16">
      <c r="B19" s="244" t="s">
        <v>53</v>
      </c>
      <c r="C19" s="573"/>
      <c r="D19" s="246"/>
      <c r="E19" s="245">
        <f>'[1]Libro mastro'!K253</f>
        <v>35793.333333333336</v>
      </c>
      <c r="F19" s="245"/>
    </row>
    <row r="20" spans="2:6" ht="16">
      <c r="B20" s="244" t="s">
        <v>875</v>
      </c>
      <c r="C20" s="573"/>
      <c r="D20" s="246"/>
      <c r="E20" s="245">
        <f>'[1]Libro mastro'!C265</f>
        <v>1833.3333333333321</v>
      </c>
      <c r="F20" s="245"/>
    </row>
    <row r="21" spans="2:6" ht="16">
      <c r="B21" s="244" t="s">
        <v>876</v>
      </c>
      <c r="C21" s="573"/>
      <c r="D21" s="246"/>
      <c r="E21" s="245">
        <f>'[1]Libro mastro'!G124</f>
        <v>27330</v>
      </c>
      <c r="F21" s="245"/>
    </row>
    <row r="22" spans="2:6" ht="16">
      <c r="B22" s="244" t="s">
        <v>48</v>
      </c>
      <c r="C22" s="573"/>
      <c r="D22" s="246"/>
      <c r="E22" s="245">
        <f>'[1]Libro mastro'!G137</f>
        <v>4666.6666666666661</v>
      </c>
      <c r="F22" s="245"/>
    </row>
    <row r="23" spans="2:6" ht="16">
      <c r="B23" s="244" t="str">
        <f>'[1]Scritture finali'!D23</f>
        <v>Costi di sviluppo</v>
      </c>
      <c r="C23" s="573"/>
      <c r="D23" s="246"/>
      <c r="E23" s="245">
        <f>'[1]Libro mastro'!K196</f>
        <v>30000</v>
      </c>
      <c r="F23" s="245"/>
    </row>
    <row r="24" spans="2:6" ht="16">
      <c r="B24" s="244" t="s">
        <v>762</v>
      </c>
      <c r="C24" s="573"/>
      <c r="D24" s="246"/>
      <c r="E24" s="245">
        <f>'[1]Libro mastro'!C149</f>
        <v>14318.181818181818</v>
      </c>
      <c r="F24" s="245"/>
    </row>
    <row r="25" spans="2:6" ht="16">
      <c r="B25" s="244" t="s">
        <v>49</v>
      </c>
      <c r="C25" s="573"/>
      <c r="D25" s="246"/>
      <c r="E25" s="245">
        <f>'[1]Libro mastro'!K149</f>
        <v>30000</v>
      </c>
      <c r="F25" s="245"/>
    </row>
    <row r="26" spans="2:6" ht="16">
      <c r="B26" s="244" t="s">
        <v>877</v>
      </c>
      <c r="C26" s="573"/>
      <c r="D26" s="246"/>
      <c r="E26" s="245">
        <f>'[1]Libro mastro'!G4</f>
        <v>6100</v>
      </c>
      <c r="F26" s="245"/>
    </row>
    <row r="27" spans="2:6" ht="16">
      <c r="B27" s="244" t="s">
        <v>878</v>
      </c>
      <c r="C27" s="573"/>
      <c r="D27" s="246"/>
      <c r="E27" s="245">
        <f>'[1]Libro mastro'!C28</f>
        <v>11000</v>
      </c>
      <c r="F27" s="245"/>
    </row>
    <row r="28" spans="2:6" ht="16">
      <c r="B28" s="244" t="s">
        <v>879</v>
      </c>
      <c r="C28" s="573"/>
      <c r="D28" s="246"/>
      <c r="E28" s="245">
        <f>'[1]Libro mastro'!C160</f>
        <v>33250</v>
      </c>
      <c r="F28" s="245"/>
    </row>
    <row r="29" spans="2:6" ht="16">
      <c r="B29" s="244" t="s">
        <v>880</v>
      </c>
      <c r="C29" s="573"/>
      <c r="D29" s="246"/>
      <c r="E29" s="245">
        <f>'[1]Libro mastro'!K208</f>
        <v>35666.368593379397</v>
      </c>
      <c r="F29" s="245"/>
    </row>
    <row r="30" spans="2:6" ht="16">
      <c r="B30" s="244" t="s">
        <v>881</v>
      </c>
      <c r="C30" s="573"/>
      <c r="D30" s="246"/>
      <c r="E30" s="245">
        <f>'[1]Libro mastro'!G219</f>
        <v>33616.9014084507</v>
      </c>
      <c r="F30" s="245"/>
    </row>
    <row r="31" spans="2:6" ht="16">
      <c r="B31" s="244" t="s">
        <v>882</v>
      </c>
      <c r="C31" s="573"/>
      <c r="D31" s="246"/>
      <c r="E31" s="253">
        <f>'[1]Libro mastro'!C230</f>
        <v>52480</v>
      </c>
      <c r="F31" s="245"/>
    </row>
    <row r="32" spans="2:6" ht="16">
      <c r="B32" s="254" t="str">
        <f>'[1]Scritture finali'!D32</f>
        <v>Risconti attivi</v>
      </c>
      <c r="C32" s="573"/>
      <c r="D32" s="255"/>
      <c r="E32" s="253">
        <f>'[1]Libro mastro'!C76</f>
        <v>21797.661666666667</v>
      </c>
      <c r="F32" s="256"/>
    </row>
    <row r="33" spans="2:6" ht="16">
      <c r="B33" s="257" t="s">
        <v>871</v>
      </c>
      <c r="C33" s="574"/>
      <c r="D33" s="249"/>
      <c r="E33" s="258">
        <f>'Scritture di riepilogo'!F48</f>
        <v>137161.55518339376</v>
      </c>
      <c r="F33" s="258"/>
    </row>
    <row r="34" spans="2:6" ht="16">
      <c r="B34" s="243" t="s">
        <v>889</v>
      </c>
      <c r="C34" s="572" t="s">
        <v>776</v>
      </c>
      <c r="D34" s="249" t="s">
        <v>777</v>
      </c>
      <c r="E34" s="245"/>
      <c r="F34" s="259">
        <f>SUM(E35:E58)</f>
        <v>1035791.9747112148</v>
      </c>
    </row>
    <row r="35" spans="2:6" ht="16">
      <c r="B35" s="246"/>
      <c r="C35" s="573"/>
      <c r="D35" s="244" t="s">
        <v>73</v>
      </c>
      <c r="E35" s="245">
        <f>'[1]Bilancio di verifica'!D40</f>
        <v>155000</v>
      </c>
      <c r="F35" s="245"/>
    </row>
    <row r="36" spans="2:6" ht="16">
      <c r="B36" s="246"/>
      <c r="C36" s="573"/>
      <c r="D36" s="244" t="s">
        <v>74</v>
      </c>
      <c r="E36" s="245">
        <f>'[1]Bilancio di verifica'!D41</f>
        <v>65700</v>
      </c>
      <c r="F36" s="245"/>
    </row>
    <row r="37" spans="2:6" ht="16">
      <c r="B37" s="246"/>
      <c r="C37" s="573"/>
      <c r="D37" s="244" t="s">
        <v>78</v>
      </c>
      <c r="E37" s="245">
        <f>'[1]Bilancio di verifica'!D42</f>
        <v>60200</v>
      </c>
      <c r="F37" s="245"/>
    </row>
    <row r="38" spans="2:6" ht="16">
      <c r="B38" s="246"/>
      <c r="C38" s="573"/>
      <c r="D38" s="244" t="s">
        <v>883</v>
      </c>
      <c r="E38" s="245">
        <f>'[1]Bilancio di verifica'!D43</f>
        <v>10850</v>
      </c>
      <c r="F38" s="245"/>
    </row>
    <row r="39" spans="2:6" ht="16">
      <c r="B39" s="246"/>
      <c r="C39" s="573"/>
      <c r="D39" s="244" t="s">
        <v>884</v>
      </c>
      <c r="E39" s="245">
        <f>'[1]Bilancio di verifica'!D44</f>
        <v>40270</v>
      </c>
      <c r="F39" s="245"/>
    </row>
    <row r="40" spans="2:6" ht="16">
      <c r="B40" s="246"/>
      <c r="C40" s="573"/>
      <c r="D40" s="244" t="s">
        <v>75</v>
      </c>
      <c r="E40" s="245">
        <f>'[1]Bilancio di verifica'!D46</f>
        <v>23500</v>
      </c>
      <c r="F40" s="245"/>
    </row>
    <row r="41" spans="2:6" ht="16">
      <c r="B41" s="246"/>
      <c r="C41" s="573"/>
      <c r="D41" s="244" t="s">
        <v>753</v>
      </c>
      <c r="E41" s="245">
        <f>'[1]Libro mastro'!B52</f>
        <v>96409.67</v>
      </c>
      <c r="F41" s="245"/>
    </row>
    <row r="42" spans="2:6" ht="16">
      <c r="B42" s="246"/>
      <c r="C42" s="573"/>
      <c r="D42" s="244" t="s">
        <v>748</v>
      </c>
      <c r="E42" s="245">
        <f>'[1]Bilancio di verifica'!D54</f>
        <v>19500</v>
      </c>
      <c r="F42" s="245"/>
    </row>
    <row r="43" spans="2:6" ht="16">
      <c r="B43" s="246"/>
      <c r="C43" s="573"/>
      <c r="D43" s="244" t="s">
        <v>747</v>
      </c>
      <c r="E43" s="245">
        <f>'[1]Bilancio di verifica'!D55</f>
        <v>38370</v>
      </c>
      <c r="F43" s="245"/>
    </row>
    <row r="44" spans="2:6" ht="16">
      <c r="B44" s="246"/>
      <c r="C44" s="573"/>
      <c r="D44" s="244" t="s">
        <v>71</v>
      </c>
      <c r="E44" s="245">
        <f>'[1]Bilancio di verifica'!D56</f>
        <v>25740</v>
      </c>
      <c r="F44" s="245"/>
    </row>
    <row r="45" spans="2:6" ht="16">
      <c r="B45" s="246"/>
      <c r="C45" s="573"/>
      <c r="D45" s="244" t="s">
        <v>72</v>
      </c>
      <c r="E45" s="245">
        <f>'[1]Bilancio di verifica'!D57</f>
        <v>12000</v>
      </c>
      <c r="F45" s="245"/>
    </row>
    <row r="46" spans="2:6" ht="16">
      <c r="B46" s="246"/>
      <c r="C46" s="573"/>
      <c r="D46" s="244" t="s">
        <v>746</v>
      </c>
      <c r="E46" s="245">
        <f>'[1]Libro mastro'!F208</f>
        <v>19690</v>
      </c>
      <c r="F46" s="245"/>
    </row>
    <row r="47" spans="2:6" ht="16">
      <c r="B47" s="246"/>
      <c r="C47" s="573"/>
      <c r="D47" s="244" t="s">
        <v>67</v>
      </c>
      <c r="E47" s="245">
        <f>'[1]Bilancio di verifica'!D59</f>
        <v>127000</v>
      </c>
      <c r="F47" s="245"/>
    </row>
    <row r="48" spans="2:6" ht="16">
      <c r="B48" s="246"/>
      <c r="C48" s="573"/>
      <c r="D48" s="244" t="s">
        <v>885</v>
      </c>
      <c r="E48" s="245">
        <f>'[1]Bilancio di verifica'!D60</f>
        <v>12670</v>
      </c>
      <c r="F48" s="245"/>
    </row>
    <row r="49" spans="2:6" ht="16">
      <c r="B49" s="246"/>
      <c r="C49" s="573"/>
      <c r="D49" s="244" t="s">
        <v>745</v>
      </c>
      <c r="E49" s="245">
        <f>'[1]Bilancio di verifica'!D61</f>
        <v>11800</v>
      </c>
      <c r="F49" s="245"/>
    </row>
    <row r="50" spans="2:6" ht="16">
      <c r="B50" s="246"/>
      <c r="C50" s="573"/>
      <c r="D50" s="244" t="s">
        <v>69</v>
      </c>
      <c r="E50" s="245">
        <f>'[1]Bilancio di verifica'!D62</f>
        <v>16253</v>
      </c>
      <c r="F50" s="245"/>
    </row>
    <row r="51" spans="2:6" ht="16">
      <c r="B51" s="246"/>
      <c r="C51" s="573"/>
      <c r="D51" s="244" t="s">
        <v>813</v>
      </c>
      <c r="E51" s="245">
        <f>'[1]Libro mastro'!B64</f>
        <v>8300</v>
      </c>
      <c r="F51" s="245"/>
    </row>
    <row r="52" spans="2:6" ht="16">
      <c r="B52" s="246"/>
      <c r="C52" s="573"/>
      <c r="D52" s="244" t="s">
        <v>886</v>
      </c>
      <c r="E52" s="245">
        <f>'[1]Libro mastro'!F52</f>
        <v>22817</v>
      </c>
      <c r="F52" s="245"/>
    </row>
    <row r="53" spans="2:6" ht="16">
      <c r="B53" s="246"/>
      <c r="C53" s="573"/>
      <c r="D53" s="244" t="s">
        <v>887</v>
      </c>
      <c r="E53" s="245">
        <f>'[1]Libro mastro'!B89</f>
        <v>17320</v>
      </c>
      <c r="F53" s="245"/>
    </row>
    <row r="54" spans="2:6" ht="16">
      <c r="B54" s="246"/>
      <c r="C54" s="573"/>
      <c r="D54" s="244" t="s">
        <v>888</v>
      </c>
      <c r="E54" s="245">
        <f>'[1]Libro mastro'!B172</f>
        <v>12000</v>
      </c>
      <c r="F54" s="245"/>
    </row>
    <row r="55" spans="2:6" ht="16">
      <c r="B55" s="246"/>
      <c r="C55" s="573"/>
      <c r="D55" s="244" t="s">
        <v>814</v>
      </c>
      <c r="E55" s="245">
        <f>'[1]Libro mastro'!J172</f>
        <v>5036.5709795833336</v>
      </c>
      <c r="F55" s="245"/>
    </row>
    <row r="56" spans="2:6" ht="16">
      <c r="B56" s="246"/>
      <c r="C56" s="573"/>
      <c r="D56" s="244" t="str">
        <f>'[1]Scritture finali'!B56</f>
        <v>Risconti passivi</v>
      </c>
      <c r="E56" s="245">
        <f>'[1]Libro mastro'!J16</f>
        <v>8000</v>
      </c>
      <c r="F56" s="245"/>
    </row>
    <row r="57" spans="2:6" ht="16">
      <c r="B57" s="246"/>
      <c r="C57" s="573"/>
      <c r="D57" s="244" t="s">
        <v>779</v>
      </c>
      <c r="E57" s="245">
        <f>'[1]Libro mastro'!F264</f>
        <v>23826.074348050221</v>
      </c>
      <c r="F57" s="245"/>
    </row>
    <row r="58" spans="2:6" ht="16">
      <c r="B58" s="249"/>
      <c r="C58" s="574"/>
      <c r="D58" s="244" t="s">
        <v>780</v>
      </c>
      <c r="E58" s="245">
        <f>'[1]Libro mastro'!J264</f>
        <v>203539.6593835814</v>
      </c>
      <c r="F58" s="245"/>
    </row>
  </sheetData>
  <mergeCells count="7">
    <mergeCell ref="E2:E3"/>
    <mergeCell ref="F2:F3"/>
    <mergeCell ref="C4:C33"/>
    <mergeCell ref="C34:C58"/>
    <mergeCell ref="B2:B3"/>
    <mergeCell ref="C2:C3"/>
    <mergeCell ref="D2:D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FEF84-F1FD-7548-96F9-3CC6BB42CFC5}">
  <dimension ref="B1:R105"/>
  <sheetViews>
    <sheetView topLeftCell="A86" workbookViewId="0">
      <selection activeCell="J7" sqref="J7"/>
    </sheetView>
  </sheetViews>
  <sheetFormatPr baseColWidth="10" defaultColWidth="9.1640625" defaultRowHeight="16"/>
  <cols>
    <col min="1" max="1" width="9.1640625" style="178"/>
    <col min="2" max="2" width="59.83203125" style="178" customWidth="1"/>
    <col min="3" max="13" width="14.6640625" style="178" bestFit="1" customWidth="1"/>
    <col min="14" max="14" width="83.6640625" style="178" customWidth="1"/>
    <col min="15" max="16384" width="9.1640625" style="178"/>
  </cols>
  <sheetData>
    <row r="1" spans="2:18" ht="17" thickBot="1"/>
    <row r="2" spans="2:18" ht="20" thickBot="1">
      <c r="B2" s="589" t="s">
        <v>942</v>
      </c>
      <c r="C2" s="590"/>
      <c r="D2" s="590"/>
      <c r="E2" s="590"/>
      <c r="F2" s="591"/>
    </row>
    <row r="4" spans="2:18">
      <c r="B4" s="260" t="s">
        <v>941</v>
      </c>
      <c r="C4" s="261" t="s">
        <v>914</v>
      </c>
      <c r="D4" s="261" t="s">
        <v>913</v>
      </c>
      <c r="E4" s="261" t="s">
        <v>925</v>
      </c>
      <c r="F4" s="261" t="s">
        <v>924</v>
      </c>
      <c r="G4" s="261" t="s">
        <v>923</v>
      </c>
      <c r="H4" s="261" t="s">
        <v>922</v>
      </c>
      <c r="I4" s="261" t="s">
        <v>921</v>
      </c>
      <c r="J4" s="261" t="s">
        <v>920</v>
      </c>
      <c r="K4" s="261" t="s">
        <v>940</v>
      </c>
      <c r="L4" s="261" t="s">
        <v>939</v>
      </c>
      <c r="M4" s="179"/>
      <c r="N4" s="184" t="s">
        <v>938</v>
      </c>
    </row>
    <row r="5" spans="2:18" ht="17" thickBot="1">
      <c r="B5" s="260" t="s">
        <v>205</v>
      </c>
      <c r="C5" s="245">
        <v>98500</v>
      </c>
      <c r="D5" s="245">
        <v>98500</v>
      </c>
      <c r="E5" s="245">
        <v>98500</v>
      </c>
      <c r="F5" s="245">
        <v>98500</v>
      </c>
      <c r="G5" s="245">
        <v>98500</v>
      </c>
      <c r="H5" s="245">
        <v>98500</v>
      </c>
      <c r="I5" s="245">
        <v>98500</v>
      </c>
      <c r="J5" s="245">
        <v>98500</v>
      </c>
      <c r="K5" s="245">
        <v>98500</v>
      </c>
      <c r="L5" s="245">
        <v>98500</v>
      </c>
      <c r="M5" s="179"/>
      <c r="N5" s="183" t="s">
        <v>937</v>
      </c>
    </row>
    <row r="6" spans="2:18">
      <c r="B6" s="260" t="s">
        <v>194</v>
      </c>
      <c r="C6" s="245">
        <f t="shared" ref="C6:L6" si="0">49400/10</f>
        <v>4940</v>
      </c>
      <c r="D6" s="245">
        <f t="shared" si="0"/>
        <v>4940</v>
      </c>
      <c r="E6" s="245">
        <f t="shared" si="0"/>
        <v>4940</v>
      </c>
      <c r="F6" s="245">
        <f t="shared" si="0"/>
        <v>4940</v>
      </c>
      <c r="G6" s="245">
        <f t="shared" si="0"/>
        <v>4940</v>
      </c>
      <c r="H6" s="245">
        <f t="shared" si="0"/>
        <v>4940</v>
      </c>
      <c r="I6" s="245">
        <f t="shared" si="0"/>
        <v>4940</v>
      </c>
      <c r="J6" s="245">
        <f t="shared" si="0"/>
        <v>4940</v>
      </c>
      <c r="K6" s="245">
        <f t="shared" si="0"/>
        <v>4940</v>
      </c>
      <c r="L6" s="245">
        <f t="shared" si="0"/>
        <v>4940</v>
      </c>
      <c r="M6" s="179"/>
      <c r="N6" s="182" t="s">
        <v>936</v>
      </c>
    </row>
    <row r="7" spans="2:18">
      <c r="B7" s="260" t="s">
        <v>195</v>
      </c>
      <c r="C7" s="245">
        <f>49100+C6</f>
        <v>54040</v>
      </c>
      <c r="D7" s="245">
        <f t="shared" ref="D7:L7" si="1">C7+D6</f>
        <v>58980</v>
      </c>
      <c r="E7" s="245">
        <f t="shared" si="1"/>
        <v>63920</v>
      </c>
      <c r="F7" s="245">
        <f t="shared" si="1"/>
        <v>68860</v>
      </c>
      <c r="G7" s="245">
        <f t="shared" si="1"/>
        <v>73800</v>
      </c>
      <c r="H7" s="245">
        <f t="shared" si="1"/>
        <v>78740</v>
      </c>
      <c r="I7" s="245">
        <f t="shared" si="1"/>
        <v>83680</v>
      </c>
      <c r="J7" s="245">
        <f t="shared" si="1"/>
        <v>88620</v>
      </c>
      <c r="K7" s="245">
        <f t="shared" si="1"/>
        <v>93560</v>
      </c>
      <c r="L7" s="245">
        <f t="shared" si="1"/>
        <v>98500</v>
      </c>
      <c r="M7" s="179"/>
      <c r="N7" s="182" t="s">
        <v>909</v>
      </c>
      <c r="O7" s="178" t="s">
        <v>933</v>
      </c>
      <c r="P7" s="178" t="s">
        <v>933</v>
      </c>
      <c r="Q7" s="178" t="s">
        <v>933</v>
      </c>
      <c r="R7" s="178" t="s">
        <v>933</v>
      </c>
    </row>
    <row r="8" spans="2:18" ht="17" thickBot="1">
      <c r="B8" s="260" t="s">
        <v>891</v>
      </c>
      <c r="C8" s="245">
        <f t="shared" ref="C8:L8" si="2">C5-C7</f>
        <v>44460</v>
      </c>
      <c r="D8" s="245">
        <f t="shared" si="2"/>
        <v>39520</v>
      </c>
      <c r="E8" s="245">
        <f t="shared" si="2"/>
        <v>34580</v>
      </c>
      <c r="F8" s="245">
        <f t="shared" si="2"/>
        <v>29640</v>
      </c>
      <c r="G8" s="245">
        <f t="shared" si="2"/>
        <v>24700</v>
      </c>
      <c r="H8" s="245">
        <f t="shared" si="2"/>
        <v>19760</v>
      </c>
      <c r="I8" s="245">
        <f t="shared" si="2"/>
        <v>14820</v>
      </c>
      <c r="J8" s="245">
        <f t="shared" si="2"/>
        <v>9880</v>
      </c>
      <c r="K8" s="245">
        <f t="shared" si="2"/>
        <v>4940</v>
      </c>
      <c r="L8" s="245">
        <f t="shared" si="2"/>
        <v>0</v>
      </c>
      <c r="M8" s="179"/>
      <c r="N8" s="181" t="s">
        <v>907</v>
      </c>
    </row>
    <row r="9" spans="2:18" ht="17" thickBot="1">
      <c r="B9" s="179" t="s">
        <v>935</v>
      </c>
      <c r="C9" s="179"/>
      <c r="D9" s="179"/>
      <c r="E9" s="179"/>
      <c r="F9" s="179"/>
      <c r="G9" s="179"/>
      <c r="H9" s="179"/>
      <c r="I9" s="179"/>
      <c r="J9" s="179" t="s">
        <v>933</v>
      </c>
      <c r="K9" s="179" t="s">
        <v>933</v>
      </c>
      <c r="L9" s="179" t="s">
        <v>933</v>
      </c>
      <c r="M9" s="179"/>
      <c r="N9" s="179"/>
    </row>
    <row r="10" spans="2:18" ht="17" thickBot="1">
      <c r="B10" s="586" t="s">
        <v>934</v>
      </c>
      <c r="C10" s="587"/>
      <c r="D10" s="587"/>
      <c r="E10" s="587"/>
      <c r="F10" s="587"/>
      <c r="G10" s="587"/>
      <c r="H10" s="587"/>
      <c r="I10" s="587"/>
      <c r="J10" s="588"/>
      <c r="K10" s="179"/>
      <c r="L10" s="179"/>
      <c r="M10" s="179" t="s">
        <v>933</v>
      </c>
      <c r="N10" s="179" t="s">
        <v>933</v>
      </c>
    </row>
    <row r="13" spans="2:18">
      <c r="B13" s="260" t="s">
        <v>932</v>
      </c>
      <c r="C13" s="261" t="s">
        <v>914</v>
      </c>
      <c r="D13" s="261" t="s">
        <v>913</v>
      </c>
      <c r="E13" s="261" t="s">
        <v>925</v>
      </c>
      <c r="F13" s="261" t="s">
        <v>924</v>
      </c>
      <c r="G13" s="261" t="s">
        <v>923</v>
      </c>
      <c r="N13" s="184" t="s">
        <v>931</v>
      </c>
    </row>
    <row r="14" spans="2:18" ht="17" thickBot="1">
      <c r="B14" s="260" t="s">
        <v>205</v>
      </c>
      <c r="C14" s="245">
        <f>67000+6000</f>
        <v>73000</v>
      </c>
      <c r="D14" s="245">
        <f>67000+6000</f>
        <v>73000</v>
      </c>
      <c r="E14" s="245">
        <f>67000+6000</f>
        <v>73000</v>
      </c>
      <c r="F14" s="245">
        <f>67000+6000</f>
        <v>73000</v>
      </c>
      <c r="G14" s="245">
        <f>67000+6000</f>
        <v>73000</v>
      </c>
      <c r="N14" s="183" t="s">
        <v>930</v>
      </c>
    </row>
    <row r="15" spans="2:18">
      <c r="B15" s="260" t="s">
        <v>194</v>
      </c>
      <c r="C15" s="245">
        <f>G15*5</f>
        <v>16516.666666666668</v>
      </c>
      <c r="D15" s="245">
        <f>G15*4</f>
        <v>13213.333333333334</v>
      </c>
      <c r="E15" s="245">
        <f>G15*3</f>
        <v>9910</v>
      </c>
      <c r="F15" s="245">
        <f>G15*2</f>
        <v>6606.666666666667</v>
      </c>
      <c r="G15" s="245">
        <f>(43550+6000)/(1+2+3+4+5)</f>
        <v>3303.3333333333335</v>
      </c>
      <c r="N15" s="182" t="s">
        <v>929</v>
      </c>
    </row>
    <row r="16" spans="2:18">
      <c r="B16" s="260" t="s">
        <v>195</v>
      </c>
      <c r="C16" s="245">
        <f>23450+C15</f>
        <v>39966.666666666672</v>
      </c>
      <c r="D16" s="245">
        <f>C16+D15</f>
        <v>53180.000000000007</v>
      </c>
      <c r="E16" s="245">
        <f>D16+E15</f>
        <v>63090.000000000007</v>
      </c>
      <c r="F16" s="245">
        <f>E16+F15</f>
        <v>69696.666666666672</v>
      </c>
      <c r="G16" s="245">
        <f>F16+G15</f>
        <v>73000</v>
      </c>
      <c r="N16" s="182" t="s">
        <v>909</v>
      </c>
    </row>
    <row r="17" spans="2:14" ht="17" thickBot="1">
      <c r="B17" s="260" t="s">
        <v>891</v>
      </c>
      <c r="C17" s="245">
        <f>C14-C16</f>
        <v>33033.333333333328</v>
      </c>
      <c r="D17" s="245">
        <f>D14-D16</f>
        <v>19819.999999999993</v>
      </c>
      <c r="E17" s="245">
        <f>E14-E16</f>
        <v>9909.9999999999927</v>
      </c>
      <c r="F17" s="245">
        <f>F14-F16</f>
        <v>3303.3333333333285</v>
      </c>
      <c r="G17" s="245">
        <f>G14-G16</f>
        <v>0</v>
      </c>
      <c r="N17" s="181" t="s">
        <v>907</v>
      </c>
    </row>
    <row r="19" spans="2:14" ht="17" thickBot="1">
      <c r="B19" s="586" t="s">
        <v>928</v>
      </c>
      <c r="C19" s="587"/>
      <c r="D19" s="587"/>
      <c r="E19" s="587"/>
      <c r="F19" s="587"/>
      <c r="G19" s="587"/>
      <c r="H19" s="587"/>
      <c r="I19" s="587"/>
      <c r="J19" s="587"/>
      <c r="K19" s="587"/>
      <c r="L19" s="588"/>
    </row>
    <row r="20" spans="2:14" ht="17" thickBot="1">
      <c r="B20" s="586" t="s">
        <v>927</v>
      </c>
      <c r="C20" s="587"/>
      <c r="D20" s="587"/>
      <c r="E20" s="587"/>
      <c r="F20" s="587"/>
      <c r="G20" s="587"/>
      <c r="H20" s="587"/>
      <c r="I20" s="587"/>
      <c r="J20" s="587"/>
      <c r="K20" s="587"/>
      <c r="L20" s="588"/>
    </row>
    <row r="21" spans="2:14">
      <c r="B21" s="186"/>
      <c r="C21" s="185"/>
      <c r="D21" s="185"/>
      <c r="E21" s="185"/>
      <c r="F21" s="185"/>
      <c r="G21" s="185"/>
      <c r="H21" s="185"/>
      <c r="I21" s="185"/>
      <c r="J21" s="185"/>
      <c r="K21" s="185"/>
      <c r="L21" s="185"/>
    </row>
    <row r="23" spans="2:14">
      <c r="B23" s="262" t="s">
        <v>926</v>
      </c>
      <c r="C23" s="263" t="s">
        <v>914</v>
      </c>
      <c r="D23" s="263" t="s">
        <v>913</v>
      </c>
      <c r="E23" s="263" t="s">
        <v>925</v>
      </c>
      <c r="F23" s="263" t="s">
        <v>924</v>
      </c>
      <c r="G23" s="263" t="s">
        <v>923</v>
      </c>
      <c r="H23" s="263" t="s">
        <v>922</v>
      </c>
      <c r="I23" s="263" t="s">
        <v>921</v>
      </c>
      <c r="J23" s="263" t="s">
        <v>920</v>
      </c>
      <c r="N23" s="184" t="s">
        <v>919</v>
      </c>
    </row>
    <row r="24" spans="2:14" ht="17" thickBot="1">
      <c r="B24" s="260" t="s">
        <v>205</v>
      </c>
      <c r="C24" s="245">
        <v>76700</v>
      </c>
      <c r="D24" s="245">
        <v>76700</v>
      </c>
      <c r="E24" s="245">
        <v>76700</v>
      </c>
      <c r="F24" s="245">
        <v>76700</v>
      </c>
      <c r="G24" s="245">
        <v>76700</v>
      </c>
      <c r="H24" s="245">
        <v>76700</v>
      </c>
      <c r="I24" s="245">
        <v>76700</v>
      </c>
      <c r="J24" s="245">
        <v>76700</v>
      </c>
      <c r="N24" s="183" t="s">
        <v>918</v>
      </c>
    </row>
    <row r="25" spans="2:14">
      <c r="B25" s="260" t="s">
        <v>194</v>
      </c>
      <c r="C25" s="245">
        <f>$J$25*8</f>
        <v>10226.666666666666</v>
      </c>
      <c r="D25" s="245">
        <f>$J$25*7</f>
        <v>8948.3333333333321</v>
      </c>
      <c r="E25" s="245">
        <f>$J$25*6</f>
        <v>7670</v>
      </c>
      <c r="F25" s="245">
        <f>$J$25*5</f>
        <v>6391.6666666666661</v>
      </c>
      <c r="G25" s="245">
        <f>$J$25*4</f>
        <v>5113.333333333333</v>
      </c>
      <c r="H25" s="245">
        <f>$J$25*3</f>
        <v>3835</v>
      </c>
      <c r="I25" s="245">
        <f>$J$25*2</f>
        <v>2556.6666666666665</v>
      </c>
      <c r="J25" s="245">
        <f>46020/(1+2+3+4+5+6+7+8)</f>
        <v>1278.3333333333333</v>
      </c>
      <c r="N25" s="182" t="s">
        <v>917</v>
      </c>
    </row>
    <row r="26" spans="2:14">
      <c r="B26" s="260" t="s">
        <v>195</v>
      </c>
      <c r="C26" s="245">
        <f>30680+C25</f>
        <v>40906.666666666664</v>
      </c>
      <c r="D26" s="245">
        <f t="shared" ref="D26:J26" si="3">C26+D25</f>
        <v>49855</v>
      </c>
      <c r="E26" s="245">
        <f t="shared" si="3"/>
        <v>57525</v>
      </c>
      <c r="F26" s="245">
        <f t="shared" si="3"/>
        <v>63916.666666666664</v>
      </c>
      <c r="G26" s="245">
        <f t="shared" si="3"/>
        <v>69030</v>
      </c>
      <c r="H26" s="245">
        <f t="shared" si="3"/>
        <v>72865</v>
      </c>
      <c r="I26" s="245">
        <f t="shared" si="3"/>
        <v>75421.666666666672</v>
      </c>
      <c r="J26" s="245">
        <f t="shared" si="3"/>
        <v>76700</v>
      </c>
      <c r="N26" s="182" t="s">
        <v>909</v>
      </c>
    </row>
    <row r="27" spans="2:14" ht="17" thickBot="1">
      <c r="B27" s="260" t="s">
        <v>891</v>
      </c>
      <c r="C27" s="245">
        <f t="shared" ref="C27:J27" si="4">C24-C26</f>
        <v>35793.333333333336</v>
      </c>
      <c r="D27" s="245">
        <f t="shared" si="4"/>
        <v>26845</v>
      </c>
      <c r="E27" s="245">
        <f t="shared" si="4"/>
        <v>19175</v>
      </c>
      <c r="F27" s="245">
        <f t="shared" si="4"/>
        <v>12783.333333333336</v>
      </c>
      <c r="G27" s="245">
        <f t="shared" si="4"/>
        <v>7670</v>
      </c>
      <c r="H27" s="245">
        <f t="shared" si="4"/>
        <v>3835</v>
      </c>
      <c r="I27" s="245">
        <f t="shared" si="4"/>
        <v>1278.3333333333285</v>
      </c>
      <c r="J27" s="245">
        <f t="shared" si="4"/>
        <v>0</v>
      </c>
      <c r="N27" s="181" t="s">
        <v>907</v>
      </c>
    </row>
    <row r="29" spans="2:14" ht="17" thickBot="1">
      <c r="B29" s="586" t="s">
        <v>916</v>
      </c>
      <c r="C29" s="587"/>
      <c r="D29" s="587"/>
      <c r="E29" s="587"/>
      <c r="F29" s="587"/>
      <c r="G29" s="588"/>
    </row>
    <row r="32" spans="2:14">
      <c r="B32" s="260" t="s">
        <v>915</v>
      </c>
      <c r="C32" s="261" t="s">
        <v>914</v>
      </c>
      <c r="D32" s="261" t="s">
        <v>913</v>
      </c>
      <c r="N32" s="184" t="s">
        <v>912</v>
      </c>
    </row>
    <row r="33" spans="2:14" ht="17" thickBot="1">
      <c r="B33" s="260" t="s">
        <v>205</v>
      </c>
      <c r="C33" s="245">
        <v>27500</v>
      </c>
      <c r="D33" s="245">
        <v>27500</v>
      </c>
      <c r="N33" s="183" t="s">
        <v>911</v>
      </c>
    </row>
    <row r="34" spans="2:14">
      <c r="B34" s="260" t="s">
        <v>194</v>
      </c>
      <c r="C34" s="245">
        <f>D34*2</f>
        <v>3666.6666666666665</v>
      </c>
      <c r="D34" s="245">
        <f>5500/(1+2)</f>
        <v>1833.3333333333333</v>
      </c>
      <c r="N34" s="182" t="s">
        <v>910</v>
      </c>
    </row>
    <row r="35" spans="2:14">
      <c r="B35" s="260" t="s">
        <v>195</v>
      </c>
      <c r="C35" s="245">
        <f>22000+C34</f>
        <v>25666.666666666668</v>
      </c>
      <c r="D35" s="245">
        <f>C35+D34</f>
        <v>27500</v>
      </c>
      <c r="N35" s="182" t="s">
        <v>909</v>
      </c>
    </row>
    <row r="36" spans="2:14" ht="17" thickBot="1">
      <c r="B36" s="260" t="s">
        <v>908</v>
      </c>
      <c r="C36" s="245">
        <f>C33-C35</f>
        <v>1833.3333333333321</v>
      </c>
      <c r="D36" s="245">
        <f>D33-D35</f>
        <v>0</v>
      </c>
      <c r="N36" s="181" t="s">
        <v>907</v>
      </c>
    </row>
    <row r="38" spans="2:14" ht="17" thickBot="1">
      <c r="B38" s="586" t="s">
        <v>906</v>
      </c>
      <c r="C38" s="587"/>
      <c r="D38" s="587"/>
      <c r="E38" s="588"/>
    </row>
    <row r="41" spans="2:14" ht="19" thickBot="1">
      <c r="B41" s="583" t="s">
        <v>905</v>
      </c>
      <c r="C41" s="584"/>
      <c r="D41" s="584"/>
      <c r="E41" s="584"/>
      <c r="F41" s="585"/>
    </row>
    <row r="46" spans="2:14" ht="18" thickBot="1">
      <c r="B46" s="264" t="s">
        <v>904</v>
      </c>
      <c r="C46" s="265" t="s">
        <v>183</v>
      </c>
      <c r="D46" s="265" t="s">
        <v>184</v>
      </c>
      <c r="E46" s="265" t="s">
        <v>185</v>
      </c>
    </row>
    <row r="47" spans="2:14">
      <c r="B47" s="266" t="s">
        <v>205</v>
      </c>
      <c r="C47" s="272">
        <v>10000</v>
      </c>
      <c r="D47" s="272">
        <v>10000</v>
      </c>
      <c r="E47" s="273">
        <v>10000</v>
      </c>
      <c r="N47" s="269" t="s">
        <v>903</v>
      </c>
    </row>
    <row r="48" spans="2:14">
      <c r="B48" s="267" t="s">
        <v>194</v>
      </c>
      <c r="C48" s="272">
        <f>7000/3</f>
        <v>2333.3333333333335</v>
      </c>
      <c r="D48" s="272">
        <f>7000/3</f>
        <v>2333.3333333333335</v>
      </c>
      <c r="E48" s="272">
        <f>7000/3</f>
        <v>2333.3333333333335</v>
      </c>
      <c r="N48" s="270" t="s">
        <v>902</v>
      </c>
    </row>
    <row r="49" spans="2:14" ht="17" thickBot="1">
      <c r="B49" s="267" t="s">
        <v>891</v>
      </c>
      <c r="C49" s="272">
        <f>7000-C48</f>
        <v>4666.6666666666661</v>
      </c>
      <c r="D49" s="272">
        <f>C49-D48</f>
        <v>2333.3333333333326</v>
      </c>
      <c r="E49" s="272">
        <f>D49-E48</f>
        <v>0</v>
      </c>
      <c r="N49" s="271" t="s">
        <v>897</v>
      </c>
    </row>
    <row r="52" spans="2:14">
      <c r="B52" s="267" t="s">
        <v>901</v>
      </c>
      <c r="C52" s="265" t="s">
        <v>183</v>
      </c>
      <c r="D52" s="265" t="s">
        <v>184</v>
      </c>
      <c r="E52" s="265" t="s">
        <v>185</v>
      </c>
      <c r="F52" s="265" t="s">
        <v>186</v>
      </c>
      <c r="G52" s="265" t="s">
        <v>187</v>
      </c>
      <c r="H52" s="265" t="s">
        <v>188</v>
      </c>
      <c r="I52" s="265" t="s">
        <v>189</v>
      </c>
      <c r="J52" s="265" t="s">
        <v>190</v>
      </c>
      <c r="K52" s="265" t="s">
        <v>191</v>
      </c>
      <c r="L52" s="265" t="s">
        <v>192</v>
      </c>
      <c r="M52" s="268" t="s">
        <v>193</v>
      </c>
    </row>
    <row r="53" spans="2:14">
      <c r="B53" s="266" t="s">
        <v>205</v>
      </c>
      <c r="C53" s="272">
        <v>35000</v>
      </c>
      <c r="D53" s="272">
        <v>35000</v>
      </c>
      <c r="E53" s="272">
        <v>35000</v>
      </c>
      <c r="F53" s="272">
        <v>35000</v>
      </c>
      <c r="G53" s="272">
        <v>35000</v>
      </c>
      <c r="H53" s="272">
        <v>35000</v>
      </c>
      <c r="I53" s="272">
        <v>35000</v>
      </c>
      <c r="J53" s="272">
        <v>35000</v>
      </c>
      <c r="K53" s="272">
        <v>35000</v>
      </c>
      <c r="L53" s="273">
        <v>35000</v>
      </c>
      <c r="M53" s="245">
        <v>35000</v>
      </c>
    </row>
    <row r="54" spans="2:14">
      <c r="B54" s="267" t="s">
        <v>194</v>
      </c>
      <c r="C54" s="272">
        <f t="shared" ref="C54:M54" si="5">15750/11</f>
        <v>1431.8181818181818</v>
      </c>
      <c r="D54" s="272">
        <f t="shared" si="5"/>
        <v>1431.8181818181818</v>
      </c>
      <c r="E54" s="272">
        <f t="shared" si="5"/>
        <v>1431.8181818181818</v>
      </c>
      <c r="F54" s="272">
        <f t="shared" si="5"/>
        <v>1431.8181818181818</v>
      </c>
      <c r="G54" s="272">
        <f t="shared" si="5"/>
        <v>1431.8181818181818</v>
      </c>
      <c r="H54" s="272">
        <f t="shared" si="5"/>
        <v>1431.8181818181818</v>
      </c>
      <c r="I54" s="272">
        <f t="shared" si="5"/>
        <v>1431.8181818181818</v>
      </c>
      <c r="J54" s="272">
        <f t="shared" si="5"/>
        <v>1431.8181818181818</v>
      </c>
      <c r="K54" s="272">
        <f t="shared" si="5"/>
        <v>1431.8181818181818</v>
      </c>
      <c r="L54" s="272">
        <f t="shared" si="5"/>
        <v>1431.8181818181818</v>
      </c>
      <c r="M54" s="272">
        <f t="shared" si="5"/>
        <v>1431.8181818181818</v>
      </c>
    </row>
    <row r="55" spans="2:14">
      <c r="B55" s="267" t="s">
        <v>891</v>
      </c>
      <c r="C55" s="272">
        <f>15750-C54</f>
        <v>14318.181818181818</v>
      </c>
      <c r="D55" s="272">
        <f t="shared" ref="D55:M55" si="6">C55-D54</f>
        <v>12886.363636363636</v>
      </c>
      <c r="E55" s="272">
        <f t="shared" si="6"/>
        <v>11454.545454545454</v>
      </c>
      <c r="F55" s="272">
        <f t="shared" si="6"/>
        <v>10022.727272727272</v>
      </c>
      <c r="G55" s="272">
        <f t="shared" si="6"/>
        <v>8590.9090909090901</v>
      </c>
      <c r="H55" s="272">
        <f t="shared" si="6"/>
        <v>7159.0909090909081</v>
      </c>
      <c r="I55" s="272">
        <f t="shared" si="6"/>
        <v>5727.2727272727261</v>
      </c>
      <c r="J55" s="272">
        <f t="shared" si="6"/>
        <v>4295.4545454545441</v>
      </c>
      <c r="K55" s="272">
        <f t="shared" si="6"/>
        <v>2863.6363636363621</v>
      </c>
      <c r="L55" s="272">
        <f t="shared" si="6"/>
        <v>1431.8181818181804</v>
      </c>
      <c r="M55" s="272">
        <f t="shared" si="6"/>
        <v>0</v>
      </c>
    </row>
    <row r="58" spans="2:14" ht="17" thickBot="1">
      <c r="B58" s="266" t="s">
        <v>900</v>
      </c>
      <c r="C58" s="265" t="s">
        <v>183</v>
      </c>
      <c r="D58" s="265" t="s">
        <v>184</v>
      </c>
      <c r="E58" s="265" t="s">
        <v>185</v>
      </c>
      <c r="F58" s="265" t="s">
        <v>186</v>
      </c>
    </row>
    <row r="59" spans="2:14">
      <c r="B59" s="266" t="s">
        <v>205</v>
      </c>
      <c r="C59" s="272">
        <v>50000</v>
      </c>
      <c r="D59" s="272">
        <v>50000</v>
      </c>
      <c r="E59" s="272">
        <v>50000</v>
      </c>
      <c r="F59" s="272">
        <v>50000</v>
      </c>
      <c r="N59" s="269" t="s">
        <v>899</v>
      </c>
    </row>
    <row r="60" spans="2:14">
      <c r="B60" s="266" t="s">
        <v>194</v>
      </c>
      <c r="C60" s="272">
        <f>40000/4</f>
        <v>10000</v>
      </c>
      <c r="D60" s="272">
        <f>40000/4</f>
        <v>10000</v>
      </c>
      <c r="E60" s="272">
        <f>40000/4</f>
        <v>10000</v>
      </c>
      <c r="F60" s="272">
        <f>40000/4</f>
        <v>10000</v>
      </c>
      <c r="N60" s="270" t="s">
        <v>898</v>
      </c>
    </row>
    <row r="61" spans="2:14" ht="17" thickBot="1">
      <c r="B61" s="266" t="s">
        <v>891</v>
      </c>
      <c r="C61" s="272">
        <f>40000-C60</f>
        <v>30000</v>
      </c>
      <c r="D61" s="272">
        <f>C61-D60</f>
        <v>20000</v>
      </c>
      <c r="E61" s="272">
        <f>D61-E60</f>
        <v>10000</v>
      </c>
      <c r="F61" s="272">
        <f>E61-F60</f>
        <v>0</v>
      </c>
      <c r="N61" s="271" t="s">
        <v>897</v>
      </c>
    </row>
    <row r="63" spans="2:14" ht="17" thickBot="1">
      <c r="B63" s="592" t="s">
        <v>896</v>
      </c>
      <c r="C63" s="593"/>
      <c r="D63" s="593"/>
      <c r="E63" s="593"/>
      <c r="F63" s="594"/>
    </row>
    <row r="66" spans="2:14" ht="19" thickBot="1">
      <c r="B66" s="583" t="s">
        <v>895</v>
      </c>
      <c r="C66" s="584"/>
      <c r="D66" s="584"/>
      <c r="E66" s="584"/>
      <c r="F66" s="585"/>
    </row>
    <row r="68" spans="2:14">
      <c r="B68" s="288" t="s">
        <v>894</v>
      </c>
      <c r="C68" s="289" t="s">
        <v>183</v>
      </c>
      <c r="D68" s="290" t="s">
        <v>184</v>
      </c>
      <c r="E68" s="291" t="s">
        <v>185</v>
      </c>
      <c r="F68" s="290" t="s">
        <v>893</v>
      </c>
      <c r="G68" s="290" t="s">
        <v>187</v>
      </c>
    </row>
    <row r="69" spans="2:14">
      <c r="B69" s="288" t="s">
        <v>892</v>
      </c>
      <c r="C69" s="293">
        <v>15000</v>
      </c>
      <c r="D69" s="293">
        <v>15000</v>
      </c>
      <c r="E69" s="293">
        <v>15000</v>
      </c>
      <c r="F69" s="293">
        <v>15000</v>
      </c>
      <c r="G69" s="245">
        <v>15000</v>
      </c>
    </row>
    <row r="70" spans="2:14">
      <c r="B70" s="292" t="s">
        <v>194</v>
      </c>
      <c r="C70" s="294">
        <f>C69/5</f>
        <v>3000</v>
      </c>
      <c r="D70" s="293">
        <f>D69/5</f>
        <v>3000</v>
      </c>
      <c r="E70" s="293">
        <f>E69/5</f>
        <v>3000</v>
      </c>
      <c r="F70" s="293">
        <f>F69/5</f>
        <v>3000</v>
      </c>
      <c r="G70" s="295">
        <f>G69/5</f>
        <v>3000</v>
      </c>
    </row>
    <row r="71" spans="2:14">
      <c r="B71" s="288" t="s">
        <v>891</v>
      </c>
      <c r="C71" s="293">
        <f>C69-C70</f>
        <v>12000</v>
      </c>
      <c r="D71" s="296">
        <f>C71-D70</f>
        <v>9000</v>
      </c>
      <c r="E71" s="296">
        <f>D71-E70</f>
        <v>6000</v>
      </c>
      <c r="F71" s="296">
        <f>E71-F70</f>
        <v>3000</v>
      </c>
      <c r="G71" s="296">
        <f>F71-G70</f>
        <v>0</v>
      </c>
    </row>
    <row r="73" spans="2:14" ht="17" thickBot="1">
      <c r="B73" s="297" t="s">
        <v>890</v>
      </c>
    </row>
    <row r="75" spans="2:14" ht="17" thickBot="1"/>
    <row r="76" spans="2:14" ht="20" thickBot="1">
      <c r="B76" s="580" t="s">
        <v>1020</v>
      </c>
      <c r="C76" s="581"/>
      <c r="D76" s="581"/>
      <c r="E76" s="581"/>
      <c r="F76" s="582"/>
      <c r="G76"/>
      <c r="H76"/>
      <c r="I76"/>
      <c r="J76"/>
      <c r="K76"/>
      <c r="L76"/>
      <c r="M76"/>
      <c r="N76"/>
    </row>
    <row r="77" spans="2:14">
      <c r="B77"/>
      <c r="C77"/>
      <c r="D77"/>
      <c r="E77"/>
      <c r="F77"/>
      <c r="G77"/>
      <c r="H77"/>
      <c r="I77"/>
      <c r="J77"/>
      <c r="K77"/>
      <c r="L77"/>
      <c r="M77"/>
      <c r="N77"/>
    </row>
    <row r="78" spans="2:14">
      <c r="B78" s="211" t="s">
        <v>1021</v>
      </c>
      <c r="C78" s="212">
        <v>150000</v>
      </c>
      <c r="D78"/>
      <c r="E78"/>
      <c r="F78" s="216" t="s">
        <v>982</v>
      </c>
      <c r="G78" s="576" t="s">
        <v>1028</v>
      </c>
      <c r="H78" s="577"/>
      <c r="I78" s="577"/>
      <c r="J78"/>
      <c r="K78"/>
      <c r="L78"/>
      <c r="M78"/>
      <c r="N78"/>
    </row>
    <row r="79" spans="2:14">
      <c r="B79" s="211" t="s">
        <v>1022</v>
      </c>
      <c r="C79" s="213">
        <v>0.03</v>
      </c>
      <c r="D79"/>
      <c r="E79"/>
      <c r="F79" s="211" t="s">
        <v>986</v>
      </c>
      <c r="G79" s="578" t="s">
        <v>1029</v>
      </c>
      <c r="H79" s="579"/>
      <c r="I79" s="579"/>
      <c r="J79"/>
      <c r="K79"/>
      <c r="L79"/>
      <c r="M79"/>
      <c r="N79"/>
    </row>
    <row r="80" spans="2:14">
      <c r="B80" s="211" t="s">
        <v>1023</v>
      </c>
      <c r="C80" s="213">
        <f>C79/2</f>
        <v>1.4999999999999999E-2</v>
      </c>
      <c r="D80"/>
      <c r="E80"/>
      <c r="F80" s="211" t="s">
        <v>202</v>
      </c>
      <c r="G80" s="578" t="s">
        <v>1030</v>
      </c>
      <c r="H80" s="579"/>
      <c r="I80" s="579"/>
      <c r="J80"/>
      <c r="K80"/>
      <c r="L80"/>
      <c r="M80"/>
      <c r="N80"/>
    </row>
    <row r="81" spans="2:14">
      <c r="B81" s="211" t="s">
        <v>1024</v>
      </c>
      <c r="C81" s="214">
        <v>10</v>
      </c>
      <c r="D81"/>
      <c r="E81"/>
      <c r="F81" s="211" t="s">
        <v>198</v>
      </c>
      <c r="G81" s="578" t="s">
        <v>1031</v>
      </c>
      <c r="H81" s="579"/>
      <c r="I81" s="579"/>
      <c r="J81"/>
      <c r="K81"/>
      <c r="L81"/>
      <c r="M81"/>
      <c r="N81"/>
    </row>
    <row r="82" spans="2:14">
      <c r="B82" s="211" t="s">
        <v>1025</v>
      </c>
      <c r="C82" s="215">
        <f>10*2</f>
        <v>20</v>
      </c>
      <c r="D82"/>
      <c r="E82"/>
      <c r="F82"/>
      <c r="G82"/>
      <c r="H82"/>
      <c r="I82"/>
      <c r="J82"/>
      <c r="K82"/>
      <c r="L82"/>
      <c r="M82"/>
      <c r="N82"/>
    </row>
    <row r="83" spans="2:14">
      <c r="B83" s="211" t="s">
        <v>199</v>
      </c>
      <c r="C83" s="212">
        <f>PMT(C80,C82,-C78)</f>
        <v>8736.860381169945</v>
      </c>
      <c r="D83"/>
      <c r="E83"/>
      <c r="F83"/>
      <c r="G83"/>
      <c r="H83"/>
      <c r="I83"/>
      <c r="J83"/>
      <c r="K83"/>
      <c r="L83"/>
      <c r="M83"/>
      <c r="N83"/>
    </row>
    <row r="84" spans="2:14" ht="17" thickBot="1">
      <c r="B84"/>
      <c r="C84"/>
      <c r="D84"/>
      <c r="E84"/>
      <c r="F84"/>
      <c r="G84"/>
      <c r="H84"/>
      <c r="I84"/>
      <c r="J84"/>
      <c r="K84"/>
      <c r="L84"/>
      <c r="M84"/>
      <c r="N84"/>
    </row>
    <row r="85" spans="2:14" ht="34">
      <c r="B85" s="274" t="s">
        <v>209</v>
      </c>
      <c r="C85" s="275" t="s">
        <v>198</v>
      </c>
      <c r="D85" s="275" t="s">
        <v>199</v>
      </c>
      <c r="E85" s="275" t="s">
        <v>1026</v>
      </c>
      <c r="F85" s="275" t="s">
        <v>1027</v>
      </c>
      <c r="G85" s="276" t="s">
        <v>200</v>
      </c>
      <c r="H85" s="276" t="s">
        <v>201</v>
      </c>
      <c r="I85" s="277" t="s">
        <v>202</v>
      </c>
      <c r="J85" s="310"/>
    </row>
    <row r="86" spans="2:14">
      <c r="B86" s="278">
        <v>44713</v>
      </c>
      <c r="C86" s="280">
        <f>150000</f>
        <v>150000</v>
      </c>
      <c r="D86" s="281">
        <f>C83</f>
        <v>8736.860381169945</v>
      </c>
      <c r="E86" s="280">
        <f>D86-F86</f>
        <v>6486.860381169945</v>
      </c>
      <c r="F86" s="280">
        <f>C86*(C79/2)</f>
        <v>2250</v>
      </c>
      <c r="G86" s="282">
        <f>E86</f>
        <v>6486.860381169945</v>
      </c>
      <c r="H86" s="282">
        <f>F86</f>
        <v>2250</v>
      </c>
      <c r="I86" s="283">
        <f t="shared" ref="I86:I104" si="7">C86-E86</f>
        <v>143513.13961883006</v>
      </c>
      <c r="J86" s="310"/>
    </row>
    <row r="87" spans="2:14">
      <c r="B87" s="278">
        <v>44896</v>
      </c>
      <c r="C87" s="280">
        <f t="shared" ref="C87:C105" si="8">I86</f>
        <v>143513.13961883006</v>
      </c>
      <c r="D87" s="281">
        <f>D86</f>
        <v>8736.860381169945</v>
      </c>
      <c r="E87" s="280">
        <f>D87-F87</f>
        <v>6584.163286887494</v>
      </c>
      <c r="F87" s="280">
        <f>C87*(C79/2)</f>
        <v>2152.697094282451</v>
      </c>
      <c r="G87" s="282">
        <f t="shared" ref="G87:H102" si="9">G86+E87</f>
        <v>13071.023668057438</v>
      </c>
      <c r="H87" s="282">
        <f t="shared" si="9"/>
        <v>4402.697094282451</v>
      </c>
      <c r="I87" s="283">
        <f t="shared" si="7"/>
        <v>136928.97633194257</v>
      </c>
      <c r="M87"/>
      <c r="N87"/>
    </row>
    <row r="88" spans="2:14">
      <c r="B88" s="278">
        <v>45078</v>
      </c>
      <c r="C88" s="280">
        <f t="shared" si="8"/>
        <v>136928.97633194257</v>
      </c>
      <c r="D88" s="281">
        <f t="shared" ref="D88:D105" si="10">D87</f>
        <v>8736.860381169945</v>
      </c>
      <c r="E88" s="280">
        <f>D88-F88</f>
        <v>6682.9257361908067</v>
      </c>
      <c r="F88" s="280">
        <f>C88*(C79/2)</f>
        <v>2053.9346449791383</v>
      </c>
      <c r="G88" s="282">
        <f t="shared" si="9"/>
        <v>19753.949404248244</v>
      </c>
      <c r="H88" s="282">
        <f t="shared" si="9"/>
        <v>6456.6317392615892</v>
      </c>
      <c r="I88" s="283">
        <f t="shared" si="7"/>
        <v>130246.05059575176</v>
      </c>
      <c r="M88"/>
      <c r="N88"/>
    </row>
    <row r="89" spans="2:14">
      <c r="B89" s="278">
        <v>45261</v>
      </c>
      <c r="C89" s="280">
        <f t="shared" si="8"/>
        <v>130246.05059575176</v>
      </c>
      <c r="D89" s="281">
        <f t="shared" si="10"/>
        <v>8736.860381169945</v>
      </c>
      <c r="E89" s="280">
        <f t="shared" ref="E89:E105" si="11">D89-F89</f>
        <v>6783.1696222336686</v>
      </c>
      <c r="F89" s="280">
        <f>C89*(C79/2)</f>
        <v>1953.6907589362763</v>
      </c>
      <c r="G89" s="282">
        <f t="shared" si="9"/>
        <v>26537.119026481912</v>
      </c>
      <c r="H89" s="282">
        <f t="shared" si="9"/>
        <v>8410.3224981978656</v>
      </c>
      <c r="I89" s="283">
        <f t="shared" si="7"/>
        <v>123462.8809735181</v>
      </c>
      <c r="J89"/>
      <c r="K89"/>
      <c r="L89"/>
      <c r="M89"/>
      <c r="N89"/>
    </row>
    <row r="90" spans="2:14">
      <c r="B90" s="278">
        <v>45444</v>
      </c>
      <c r="C90" s="280">
        <f t="shared" si="8"/>
        <v>123462.8809735181</v>
      </c>
      <c r="D90" s="281">
        <f t="shared" si="10"/>
        <v>8736.860381169945</v>
      </c>
      <c r="E90" s="280">
        <f t="shared" si="11"/>
        <v>6884.9171665671738</v>
      </c>
      <c r="F90" s="280">
        <f>C90*(C79/2)</f>
        <v>1851.9432146027714</v>
      </c>
      <c r="G90" s="282">
        <f t="shared" si="9"/>
        <v>33422.036193049084</v>
      </c>
      <c r="H90" s="282">
        <f t="shared" si="9"/>
        <v>10262.265712800638</v>
      </c>
      <c r="I90" s="283">
        <f t="shared" si="7"/>
        <v>116577.96380695092</v>
      </c>
      <c r="J90"/>
      <c r="K90"/>
      <c r="L90"/>
      <c r="M90"/>
      <c r="N90"/>
    </row>
    <row r="91" spans="2:14">
      <c r="B91" s="278">
        <v>45627</v>
      </c>
      <c r="C91" s="280">
        <f t="shared" si="8"/>
        <v>116577.96380695092</v>
      </c>
      <c r="D91" s="281">
        <f t="shared" si="10"/>
        <v>8736.860381169945</v>
      </c>
      <c r="E91" s="280">
        <f t="shared" si="11"/>
        <v>6988.1909240656814</v>
      </c>
      <c r="F91" s="280">
        <f>C91*(C79/2)</f>
        <v>1748.6694571042638</v>
      </c>
      <c r="G91" s="282">
        <f t="shared" si="9"/>
        <v>40410.227117114766</v>
      </c>
      <c r="H91" s="282">
        <f t="shared" si="9"/>
        <v>12010.935169904902</v>
      </c>
      <c r="I91" s="283">
        <f t="shared" si="7"/>
        <v>109589.77288288524</v>
      </c>
      <c r="J91"/>
      <c r="K91"/>
      <c r="L91"/>
      <c r="M91"/>
      <c r="N91"/>
    </row>
    <row r="92" spans="2:14">
      <c r="B92" s="278">
        <v>45809</v>
      </c>
      <c r="C92" s="280">
        <f t="shared" si="8"/>
        <v>109589.77288288524</v>
      </c>
      <c r="D92" s="281">
        <f t="shared" si="10"/>
        <v>8736.860381169945</v>
      </c>
      <c r="E92" s="280">
        <f t="shared" si="11"/>
        <v>7093.0137879266667</v>
      </c>
      <c r="F92" s="280">
        <f>C92*(C79/2)</f>
        <v>1643.8465932432784</v>
      </c>
      <c r="G92" s="282">
        <f t="shared" si="9"/>
        <v>47503.240905041435</v>
      </c>
      <c r="H92" s="282">
        <f t="shared" si="9"/>
        <v>13654.781763148181</v>
      </c>
      <c r="I92" s="283">
        <f t="shared" si="7"/>
        <v>102496.75909495857</v>
      </c>
      <c r="J92"/>
      <c r="K92"/>
      <c r="L92"/>
      <c r="M92"/>
      <c r="N92"/>
    </row>
    <row r="93" spans="2:14">
      <c r="B93" s="278">
        <v>45992</v>
      </c>
      <c r="C93" s="280">
        <f t="shared" si="8"/>
        <v>102496.75909495857</v>
      </c>
      <c r="D93" s="281">
        <f t="shared" si="10"/>
        <v>8736.860381169945</v>
      </c>
      <c r="E93" s="280">
        <f t="shared" si="11"/>
        <v>7199.4089947455668</v>
      </c>
      <c r="F93" s="280">
        <f>C93*(C79/2)</f>
        <v>1537.4513864243786</v>
      </c>
      <c r="G93" s="282">
        <f t="shared" si="9"/>
        <v>54702.649899787</v>
      </c>
      <c r="H93" s="282">
        <f t="shared" si="9"/>
        <v>15192.233149572559</v>
      </c>
      <c r="I93" s="283">
        <f t="shared" si="7"/>
        <v>95297.350100213007</v>
      </c>
      <c r="J93"/>
      <c r="K93"/>
      <c r="L93"/>
      <c r="M93"/>
      <c r="N93"/>
    </row>
    <row r="94" spans="2:14">
      <c r="B94" s="278">
        <v>46174</v>
      </c>
      <c r="C94" s="280">
        <f t="shared" si="8"/>
        <v>95297.350100213007</v>
      </c>
      <c r="D94" s="281">
        <f t="shared" si="10"/>
        <v>8736.860381169945</v>
      </c>
      <c r="E94" s="280">
        <f t="shared" si="11"/>
        <v>7307.4001296667502</v>
      </c>
      <c r="F94" s="280">
        <f>C94*(C79/2)</f>
        <v>1429.460251503195</v>
      </c>
      <c r="G94" s="282">
        <f t="shared" si="9"/>
        <v>62010.050029453749</v>
      </c>
      <c r="H94" s="282">
        <f t="shared" si="9"/>
        <v>16621.693401075754</v>
      </c>
      <c r="I94" s="283">
        <f t="shared" si="7"/>
        <v>87989.949970546251</v>
      </c>
      <c r="J94"/>
      <c r="K94"/>
      <c r="L94"/>
      <c r="M94"/>
      <c r="N94"/>
    </row>
    <row r="95" spans="2:14">
      <c r="B95" s="278">
        <v>46357</v>
      </c>
      <c r="C95" s="280">
        <f t="shared" si="8"/>
        <v>87989.949970546251</v>
      </c>
      <c r="D95" s="281">
        <f t="shared" si="10"/>
        <v>8736.860381169945</v>
      </c>
      <c r="E95" s="280">
        <f t="shared" si="11"/>
        <v>7417.0111316117509</v>
      </c>
      <c r="F95" s="280">
        <f>C95*(C79/2)</f>
        <v>1319.8492495581938</v>
      </c>
      <c r="G95" s="282">
        <f t="shared" si="9"/>
        <v>69427.061161065503</v>
      </c>
      <c r="H95" s="282">
        <f t="shared" si="9"/>
        <v>17941.542650633946</v>
      </c>
      <c r="I95" s="283">
        <f t="shared" si="7"/>
        <v>80572.938838934497</v>
      </c>
      <c r="J95"/>
      <c r="K95"/>
      <c r="L95"/>
      <c r="M95"/>
      <c r="N95"/>
    </row>
    <row r="96" spans="2:14">
      <c r="B96" s="278">
        <v>46539</v>
      </c>
      <c r="C96" s="280">
        <f t="shared" si="8"/>
        <v>80572.938838934497</v>
      </c>
      <c r="D96" s="281">
        <f t="shared" si="10"/>
        <v>8736.860381169945</v>
      </c>
      <c r="E96" s="280">
        <f t="shared" si="11"/>
        <v>7528.2662985859279</v>
      </c>
      <c r="F96" s="280">
        <f>C96*(C79/2)</f>
        <v>1208.5940825840173</v>
      </c>
      <c r="G96" s="282">
        <f t="shared" si="9"/>
        <v>76955.327459651424</v>
      </c>
      <c r="H96" s="282">
        <f t="shared" si="9"/>
        <v>19150.136733217965</v>
      </c>
      <c r="I96" s="283">
        <f t="shared" si="7"/>
        <v>73044.672540348576</v>
      </c>
      <c r="J96"/>
      <c r="K96"/>
      <c r="L96"/>
      <c r="M96"/>
      <c r="N96"/>
    </row>
    <row r="97" spans="2:14">
      <c r="B97" s="278">
        <v>46722</v>
      </c>
      <c r="C97" s="280">
        <f t="shared" si="8"/>
        <v>73044.672540348576</v>
      </c>
      <c r="D97" s="281">
        <f t="shared" si="10"/>
        <v>8736.860381169945</v>
      </c>
      <c r="E97" s="280">
        <f t="shared" si="11"/>
        <v>7641.1902930647166</v>
      </c>
      <c r="F97" s="280">
        <f>C97*(C79/2)</f>
        <v>1095.6700881052286</v>
      </c>
      <c r="G97" s="282">
        <f t="shared" si="9"/>
        <v>84596.517752716143</v>
      </c>
      <c r="H97" s="282">
        <f t="shared" si="9"/>
        <v>20245.806821323193</v>
      </c>
      <c r="I97" s="283">
        <f t="shared" si="7"/>
        <v>65403.482247283857</v>
      </c>
      <c r="J97"/>
      <c r="K97"/>
      <c r="L97"/>
      <c r="M97"/>
      <c r="N97"/>
    </row>
    <row r="98" spans="2:14">
      <c r="B98" s="278">
        <v>46905</v>
      </c>
      <c r="C98" s="280">
        <f t="shared" si="8"/>
        <v>65403.482247283857</v>
      </c>
      <c r="D98" s="281">
        <f t="shared" si="10"/>
        <v>8736.860381169945</v>
      </c>
      <c r="E98" s="280">
        <f t="shared" si="11"/>
        <v>7755.808147460687</v>
      </c>
      <c r="F98" s="280">
        <f>C98*(C79/2)</f>
        <v>981.05223370925785</v>
      </c>
      <c r="G98" s="282">
        <f t="shared" si="9"/>
        <v>92352.325900176831</v>
      </c>
      <c r="H98" s="282">
        <f t="shared" si="9"/>
        <v>21226.859055032452</v>
      </c>
      <c r="I98" s="283">
        <f t="shared" si="7"/>
        <v>57647.674099823169</v>
      </c>
      <c r="J98"/>
      <c r="K98"/>
      <c r="L98"/>
      <c r="M98"/>
      <c r="N98"/>
    </row>
    <row r="99" spans="2:14">
      <c r="B99" s="278">
        <v>47088</v>
      </c>
      <c r="C99" s="280">
        <f t="shared" si="8"/>
        <v>57647.674099823169</v>
      </c>
      <c r="D99" s="281">
        <f t="shared" si="10"/>
        <v>8736.860381169945</v>
      </c>
      <c r="E99" s="280">
        <f t="shared" si="11"/>
        <v>7872.1452696725974</v>
      </c>
      <c r="F99" s="280">
        <f>C99*(C79/2)</f>
        <v>864.71511149734749</v>
      </c>
      <c r="G99" s="282">
        <f t="shared" si="9"/>
        <v>100224.47116984942</v>
      </c>
      <c r="H99" s="282">
        <f t="shared" si="9"/>
        <v>22091.574166529797</v>
      </c>
      <c r="I99" s="283">
        <f t="shared" si="7"/>
        <v>49775.528830150572</v>
      </c>
      <c r="J99"/>
      <c r="K99"/>
      <c r="L99"/>
      <c r="M99"/>
      <c r="N99"/>
    </row>
    <row r="100" spans="2:14">
      <c r="B100" s="278">
        <v>47270</v>
      </c>
      <c r="C100" s="280">
        <f t="shared" si="8"/>
        <v>49775.528830150572</v>
      </c>
      <c r="D100" s="281">
        <f t="shared" si="10"/>
        <v>8736.860381169945</v>
      </c>
      <c r="E100" s="280">
        <f t="shared" si="11"/>
        <v>7990.2274487176865</v>
      </c>
      <c r="F100" s="280">
        <f>C100*(C79/2)</f>
        <v>746.6329324522585</v>
      </c>
      <c r="G100" s="282">
        <f t="shared" si="9"/>
        <v>108214.69861856711</v>
      </c>
      <c r="H100" s="282">
        <f t="shared" si="9"/>
        <v>22838.207098982057</v>
      </c>
      <c r="I100" s="283">
        <f t="shared" si="7"/>
        <v>41785.301381432888</v>
      </c>
      <c r="J100"/>
      <c r="K100"/>
      <c r="L100"/>
      <c r="M100"/>
      <c r="N100"/>
    </row>
    <row r="101" spans="2:14">
      <c r="B101" s="278">
        <v>47453</v>
      </c>
      <c r="C101" s="280">
        <f t="shared" si="8"/>
        <v>41785.301381432888</v>
      </c>
      <c r="D101" s="281">
        <f t="shared" si="10"/>
        <v>8736.860381169945</v>
      </c>
      <c r="E101" s="280">
        <f t="shared" si="11"/>
        <v>8110.0808604484519</v>
      </c>
      <c r="F101" s="280">
        <f>C101*(C79/2)</f>
        <v>626.77952072149333</v>
      </c>
      <c r="G101" s="282">
        <f t="shared" si="9"/>
        <v>116324.77947901556</v>
      </c>
      <c r="H101" s="282">
        <f t="shared" si="9"/>
        <v>23464.986619703552</v>
      </c>
      <c r="I101" s="283">
        <f t="shared" si="7"/>
        <v>33675.22052098444</v>
      </c>
      <c r="J101"/>
      <c r="K101"/>
      <c r="L101"/>
      <c r="M101"/>
      <c r="N101"/>
    </row>
    <row r="102" spans="2:14">
      <c r="B102" s="278">
        <v>47635</v>
      </c>
      <c r="C102" s="280">
        <f t="shared" si="8"/>
        <v>33675.22052098444</v>
      </c>
      <c r="D102" s="281">
        <f t="shared" si="10"/>
        <v>8736.860381169945</v>
      </c>
      <c r="E102" s="280">
        <f t="shared" si="11"/>
        <v>8231.7320733551787</v>
      </c>
      <c r="F102" s="280">
        <f>C102*(C79/2)</f>
        <v>505.12830781476657</v>
      </c>
      <c r="G102" s="282">
        <f t="shared" si="9"/>
        <v>124556.51155237074</v>
      </c>
      <c r="H102" s="282">
        <f t="shared" si="9"/>
        <v>23970.11492751832</v>
      </c>
      <c r="I102" s="283">
        <f t="shared" si="7"/>
        <v>25443.488447629261</v>
      </c>
      <c r="J102"/>
      <c r="K102"/>
      <c r="L102"/>
      <c r="M102"/>
      <c r="N102"/>
    </row>
    <row r="103" spans="2:14">
      <c r="B103" s="278">
        <v>47818</v>
      </c>
      <c r="C103" s="280">
        <f t="shared" si="8"/>
        <v>25443.488447629261</v>
      </c>
      <c r="D103" s="281">
        <f t="shared" si="10"/>
        <v>8736.860381169945</v>
      </c>
      <c r="E103" s="280">
        <f t="shared" si="11"/>
        <v>8355.2080544555065</v>
      </c>
      <c r="F103" s="280">
        <f>C103*(C79/2)</f>
        <v>381.65232671443891</v>
      </c>
      <c r="G103" s="282">
        <f t="shared" ref="G103:H105" si="12">G102+E103</f>
        <v>132911.71960682626</v>
      </c>
      <c r="H103" s="282">
        <f t="shared" si="12"/>
        <v>24351.76725423276</v>
      </c>
      <c r="I103" s="283">
        <f t="shared" si="7"/>
        <v>17088.280393173754</v>
      </c>
      <c r="J103"/>
      <c r="K103"/>
      <c r="L103"/>
      <c r="M103"/>
      <c r="N103"/>
    </row>
    <row r="104" spans="2:14">
      <c r="B104" s="278">
        <v>48000</v>
      </c>
      <c r="C104" s="280">
        <f t="shared" si="8"/>
        <v>17088.280393173754</v>
      </c>
      <c r="D104" s="281">
        <f t="shared" si="10"/>
        <v>8736.860381169945</v>
      </c>
      <c r="E104" s="280">
        <f t="shared" si="11"/>
        <v>8480.5361752723384</v>
      </c>
      <c r="F104" s="280">
        <f>C104*(C79/2)</f>
        <v>256.3242058976063</v>
      </c>
      <c r="G104" s="282">
        <f t="shared" si="12"/>
        <v>141392.2557820986</v>
      </c>
      <c r="H104" s="282">
        <f t="shared" si="12"/>
        <v>24608.091460130367</v>
      </c>
      <c r="I104" s="283">
        <f t="shared" si="7"/>
        <v>8607.7442179014161</v>
      </c>
      <c r="J104"/>
      <c r="K104"/>
      <c r="L104"/>
      <c r="M104"/>
      <c r="N104"/>
    </row>
    <row r="105" spans="2:14" ht="17" thickBot="1">
      <c r="B105" s="279">
        <v>48183</v>
      </c>
      <c r="C105" s="284">
        <f t="shared" si="8"/>
        <v>8607.7442179014161</v>
      </c>
      <c r="D105" s="285">
        <f t="shared" si="10"/>
        <v>8736.860381169945</v>
      </c>
      <c r="E105" s="284">
        <f t="shared" si="11"/>
        <v>8607.7442179014233</v>
      </c>
      <c r="F105" s="284">
        <f>C105*(C79/2)</f>
        <v>129.11616326852123</v>
      </c>
      <c r="G105" s="286">
        <f t="shared" si="12"/>
        <v>150000.00000000003</v>
      </c>
      <c r="H105" s="286">
        <f t="shared" si="12"/>
        <v>24737.207623398888</v>
      </c>
      <c r="I105" s="287">
        <v>0</v>
      </c>
      <c r="J105"/>
      <c r="K105"/>
      <c r="L105"/>
      <c r="M105"/>
      <c r="N105"/>
    </row>
  </sheetData>
  <mergeCells count="14">
    <mergeCell ref="B66:F66"/>
    <mergeCell ref="B19:L19"/>
    <mergeCell ref="B38:E38"/>
    <mergeCell ref="B41:F41"/>
    <mergeCell ref="B2:F2"/>
    <mergeCell ref="B10:J10"/>
    <mergeCell ref="B20:L20"/>
    <mergeCell ref="B29:G29"/>
    <mergeCell ref="B63:F63"/>
    <mergeCell ref="G78:I78"/>
    <mergeCell ref="G79:I79"/>
    <mergeCell ref="G80:I80"/>
    <mergeCell ref="G81:I81"/>
    <mergeCell ref="B76:F7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19</vt:i4>
      </vt:variant>
    </vt:vector>
  </HeadingPairs>
  <TitlesOfParts>
    <vt:vector size="19" baseType="lpstr">
      <vt:lpstr>Bilancio di Verifica</vt:lpstr>
      <vt:lpstr>Piano dei conti</vt:lpstr>
      <vt:lpstr>Libro Mastro</vt:lpstr>
      <vt:lpstr>Libro Giornale</vt:lpstr>
      <vt:lpstr>Scritture di riclassificazione</vt:lpstr>
      <vt:lpstr>Scritture di riepilogo</vt:lpstr>
      <vt:lpstr>Scritture finali</vt:lpstr>
      <vt:lpstr>Scritture di apertura</vt:lpstr>
      <vt:lpstr>Piani di Ammortamento</vt:lpstr>
      <vt:lpstr>TFR</vt:lpstr>
      <vt:lpstr>Lavori in corso su ordinazione</vt:lpstr>
      <vt:lpstr>Costo ammortizzato</vt:lpstr>
      <vt:lpstr>Operazione in valuta</vt:lpstr>
      <vt:lpstr>Leasing</vt:lpstr>
      <vt:lpstr>Rimanenze</vt:lpstr>
      <vt:lpstr>Titoli</vt:lpstr>
      <vt:lpstr>Riparto utile</vt:lpstr>
      <vt:lpstr>Conto Economico</vt:lpstr>
      <vt:lpstr>Stato Patrimoniale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utente</dc:creator>
  <cp:keywords/>
  <dc:description/>
  <cp:lastModifiedBy>simone luzi</cp:lastModifiedBy>
  <cp:revision/>
  <dcterms:created xsi:type="dcterms:W3CDTF">2022-05-03T09:46:52Z</dcterms:created>
  <dcterms:modified xsi:type="dcterms:W3CDTF">2022-09-05T12:50:44Z</dcterms:modified>
  <cp:category/>
  <cp:contentStatus/>
</cp:coreProperties>
</file>