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wB3C7psRW9DwIbbp428GwwekvqOcbzY-\SimBa\Projekty (dawniej rakiety)\R7\03_Propulsion\Model 3D w SolidWorks\Zbiornik\"/>
    </mc:Choice>
  </mc:AlternateContent>
  <xr:revisionPtr revIDLastSave="0" documentId="13_ncr:1_{6150BB8C-1FF6-48A8-A16B-64EEB2D52BE3}" xr6:coauthVersionLast="47" xr6:coauthVersionMax="47" xr10:uidLastSave="{00000000-0000-0000-0000-000000000000}"/>
  <bookViews>
    <workbookView xWindow="2388" yWindow="324" windowWidth="18420" windowHeight="12816" xr2:uid="{884CEEDE-8FB0-4B0A-BCDA-4E8CBB830B75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7" i="1"/>
  <c r="H92" i="1"/>
  <c r="E7" i="2"/>
  <c r="E6" i="2"/>
  <c r="C7" i="2"/>
  <c r="C6" i="2"/>
  <c r="H101" i="1"/>
  <c r="H102" i="1" s="1"/>
  <c r="H93" i="1"/>
  <c r="H99" i="1"/>
  <c r="H103" i="1" s="1"/>
  <c r="K91" i="1"/>
  <c r="H90" i="1"/>
  <c r="H94" i="1" s="1"/>
  <c r="V15" i="1"/>
  <c r="W3" i="1"/>
  <c r="W4" i="1"/>
  <c r="W5" i="1"/>
  <c r="W6" i="1"/>
  <c r="W7" i="1"/>
  <c r="W2" i="1"/>
  <c r="G40" i="1"/>
  <c r="G39" i="1"/>
  <c r="G48" i="1"/>
  <c r="G49" i="1" s="1"/>
  <c r="G4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3" i="1"/>
  <c r="G35" i="1"/>
  <c r="G33" i="1"/>
  <c r="G30" i="1"/>
  <c r="G28" i="1"/>
  <c r="B36" i="1"/>
  <c r="B37" i="1" s="1"/>
  <c r="C31" i="1"/>
  <c r="C32" i="1" s="1"/>
  <c r="B31" i="1"/>
  <c r="B32" i="1" s="1"/>
  <c r="D3" i="1"/>
  <c r="B3" i="1" s="1"/>
  <c r="B14" i="1"/>
  <c r="I8" i="1" s="1"/>
  <c r="D13" i="1"/>
  <c r="D14" i="1" s="1"/>
  <c r="G31" i="1" s="1"/>
  <c r="G34" i="1" s="1"/>
  <c r="B9" i="1"/>
  <c r="B10" i="1" s="1"/>
  <c r="D10" i="1" s="1"/>
  <c r="H104" i="1" l="1"/>
  <c r="H95" i="1"/>
  <c r="G52" i="1"/>
  <c r="G32" i="1"/>
  <c r="L8" i="1"/>
  <c r="G9" i="1"/>
  <c r="M9" i="1"/>
  <c r="L9" i="1"/>
  <c r="M8" i="1"/>
  <c r="M7" i="1"/>
  <c r="L7" i="1"/>
  <c r="B33" i="1"/>
  <c r="C33" i="1"/>
  <c r="D4" i="1"/>
  <c r="K8" i="1"/>
  <c r="K9" i="1"/>
  <c r="K7" i="1"/>
  <c r="J7" i="1"/>
  <c r="H8" i="1"/>
  <c r="G8" i="1"/>
  <c r="I7" i="1"/>
  <c r="H9" i="1"/>
  <c r="J9" i="1"/>
  <c r="I9" i="1"/>
  <c r="H7" i="1"/>
  <c r="J8" i="1"/>
  <c r="D9" i="1"/>
  <c r="G26" i="1" l="1"/>
  <c r="L11" i="1"/>
  <c r="J11" i="1"/>
  <c r="M11" i="1"/>
  <c r="K11" i="1"/>
  <c r="H11" i="1"/>
  <c r="I11" i="1"/>
  <c r="G11" i="1"/>
  <c r="B4" i="1"/>
  <c r="H105" i="1" s="1"/>
  <c r="H96" i="1" l="1"/>
  <c r="G10" i="1"/>
  <c r="G38" i="1"/>
  <c r="G44" i="1" s="1"/>
  <c r="K12" i="1"/>
  <c r="K13" i="1" s="1"/>
  <c r="J12" i="1"/>
  <c r="J13" i="1" s="1"/>
  <c r="I12" i="1"/>
  <c r="I13" i="1" s="1"/>
  <c r="H12" i="1"/>
  <c r="H13" i="1" s="1"/>
  <c r="L12" i="1"/>
  <c r="L13" i="1" s="1"/>
  <c r="M12" i="1"/>
  <c r="M13" i="1" s="1"/>
  <c r="G29" i="1"/>
  <c r="G27" i="1"/>
  <c r="G16" i="1"/>
  <c r="G17" i="1" s="1"/>
  <c r="G12" i="1"/>
  <c r="G13" i="1" s="1"/>
  <c r="G53" i="1" l="1"/>
  <c r="G54" i="1" s="1"/>
  <c r="G55" i="1" s="1"/>
  <c r="G57" i="1" s="1"/>
  <c r="G58" i="1" s="1"/>
  <c r="G18" i="1"/>
  <c r="G19" i="1"/>
  <c r="G22" i="1" l="1"/>
  <c r="G21" i="1"/>
</calcChain>
</file>

<file path=xl/sharedStrings.xml><?xml version="1.0" encoding="utf-8"?>
<sst xmlns="http://schemas.openxmlformats.org/spreadsheetml/2006/main" count="209" uniqueCount="128">
  <si>
    <t>kg</t>
  </si>
  <si>
    <t>kg/m3</t>
  </si>
  <si>
    <t>m3</t>
  </si>
  <si>
    <t>l</t>
  </si>
  <si>
    <t>PA 4 (AW-6082) T6</t>
  </si>
  <si>
    <t>PA 45 (AW-6061) T6</t>
  </si>
  <si>
    <t>PA 6 (AW-2017a) T4</t>
  </si>
  <si>
    <t>PA 38  (AW-6060) T6</t>
  </si>
  <si>
    <t>MPa</t>
  </si>
  <si>
    <t>75 bar</t>
  </si>
  <si>
    <t>mm</t>
  </si>
  <si>
    <t>m</t>
  </si>
  <si>
    <t>Masa utleniacza</t>
  </si>
  <si>
    <t>Gęstość utleniacza</t>
  </si>
  <si>
    <t>Nadmiar obj.</t>
  </si>
  <si>
    <t>Objętość utleniacza</t>
  </si>
  <si>
    <t>Objętość zbiornika</t>
  </si>
  <si>
    <t>Średnica zewnętrzna</t>
  </si>
  <si>
    <t>Promień zew</t>
  </si>
  <si>
    <t>Granica plastyczności</t>
  </si>
  <si>
    <t>Wytrzymałość na roziąganie</t>
  </si>
  <si>
    <t>Gęstość</t>
  </si>
  <si>
    <t>Grubość ścianki 1 (Gp)</t>
  </si>
  <si>
    <t>Grubość ścianki 2 (WnR)</t>
  </si>
  <si>
    <t>Masa ścianek</t>
  </si>
  <si>
    <t>Ciśnienie maksymalne</t>
  </si>
  <si>
    <t>Współczynnik bezpieczeństwa</t>
  </si>
  <si>
    <t>Ti6Al4V (Ti Grade 5)</t>
  </si>
  <si>
    <t>Stop:</t>
  </si>
  <si>
    <t>AW-6082, fi 180 mm, G = 8,5 mm</t>
  </si>
  <si>
    <t>&lt;- używana rura</t>
  </si>
  <si>
    <t>Średnica wewnętrzna</t>
  </si>
  <si>
    <t>Promień wewnętrzny</t>
  </si>
  <si>
    <t>Grubość wg. ASME zew.</t>
  </si>
  <si>
    <t>Grubość wg. ASME wew.</t>
  </si>
  <si>
    <t>Promień zew. zbiornika</t>
  </si>
  <si>
    <t>Wymagana długość cz. rurowej</t>
  </si>
  <si>
    <t>Powierzchnia dennicy</t>
  </si>
  <si>
    <t>m^2</t>
  </si>
  <si>
    <t>Siła działająca na dennicę</t>
  </si>
  <si>
    <t>N</t>
  </si>
  <si>
    <t>Nośność śrub na ścinanie w jednej płaszczyźnie</t>
  </si>
  <si>
    <t>M4</t>
  </si>
  <si>
    <t>M5</t>
  </si>
  <si>
    <t>Średnica łba</t>
  </si>
  <si>
    <t>Wysokość łba</t>
  </si>
  <si>
    <t xml:space="preserve">Imbus </t>
  </si>
  <si>
    <t>Średnica podziałowa</t>
  </si>
  <si>
    <t>Średnica rdzenia</t>
  </si>
  <si>
    <t>m2</t>
  </si>
  <si>
    <t>Średnica czynna (dp+dr)/2</t>
  </si>
  <si>
    <t>Pole przekroju czynnego</t>
  </si>
  <si>
    <t>Klasa 12.9</t>
  </si>
  <si>
    <t>fub = Rm</t>
  </si>
  <si>
    <t>fyb = Re</t>
  </si>
  <si>
    <t>Nośność śruby</t>
  </si>
  <si>
    <t>Min. ilość śrub M4 12.9</t>
  </si>
  <si>
    <t>Min. ilość śrub M5 12.9</t>
  </si>
  <si>
    <t>DIN 912</t>
  </si>
  <si>
    <t>Uwzględniając wsp. bezpieczeństwa</t>
  </si>
  <si>
    <t>Obwód dennicy</t>
  </si>
  <si>
    <t>Obwód rury zbiornika</t>
  </si>
  <si>
    <t>Średnica gwintu</t>
  </si>
  <si>
    <t>Rozstaw między śrubami M4 w dennicy</t>
  </si>
  <si>
    <t>Rozstaw między śrubami M5 w dennicy</t>
  </si>
  <si>
    <t>Min. rozstaw między gwintami M4</t>
  </si>
  <si>
    <t>Min. rozstaw między gwintami M5</t>
  </si>
  <si>
    <t>Uwzględniając dwa rzędy śrub</t>
  </si>
  <si>
    <t>Obliczenie ilości śrub na dennicę</t>
  </si>
  <si>
    <t>Obliczenie wielkości części rurowej</t>
  </si>
  <si>
    <t>Rozstaw między śrubami M4 w rurze</t>
  </si>
  <si>
    <t>Rozstaw między śrubami M5 w rurze</t>
  </si>
  <si>
    <t>Min. rozstaw między łbami M4</t>
  </si>
  <si>
    <t>Min. rozstaw między łbami M5</t>
  </si>
  <si>
    <t>Dla śrub M4 za mały rozstaw między otworami na łeb śruby w rurze zbiornika!!!</t>
  </si>
  <si>
    <t>Zaokrąglenie ilości M4</t>
  </si>
  <si>
    <t>Zaokrąglenie ilości M5</t>
  </si>
  <si>
    <t>Spójrz na kąty po prawej -&gt;</t>
  </si>
  <si>
    <t>Minimalna wysokość dennicy</t>
  </si>
  <si>
    <t>e1 wg. rozmiaru gwintu</t>
  </si>
  <si>
    <t>L wg. rozmiaru łba (bo w rurze)</t>
  </si>
  <si>
    <t xml:space="preserve">Wysokość między otworami </t>
  </si>
  <si>
    <t>o</t>
  </si>
  <si>
    <t>r</t>
  </si>
  <si>
    <t>SUMA</t>
  </si>
  <si>
    <t>Dodatek dla mocowania korpusu</t>
  </si>
  <si>
    <t>Długość części rurowej</t>
  </si>
  <si>
    <t>Cały zbiornik</t>
  </si>
  <si>
    <t>Grubość dennicy</t>
  </si>
  <si>
    <t>Promień płyty a</t>
  </si>
  <si>
    <t>Natężenie obciążenia q</t>
  </si>
  <si>
    <t>Pa</t>
  </si>
  <si>
    <t>Liczba Poissona v</t>
  </si>
  <si>
    <t>Granica plastyczności sigma</t>
  </si>
  <si>
    <t>Wsp. bezpieczeństwa</t>
  </si>
  <si>
    <t>Minimalna grubość dennicy</t>
  </si>
  <si>
    <t>Min. grubość w mm</t>
  </si>
  <si>
    <t>W</t>
  </si>
  <si>
    <t>b</t>
  </si>
  <si>
    <t>h</t>
  </si>
  <si>
    <t>wr</t>
  </si>
  <si>
    <t>i6</t>
  </si>
  <si>
    <t>Obliczenia obłej dennicy z druku 3D</t>
  </si>
  <si>
    <t>AlSi10Mg 90 um - właściwości</t>
  </si>
  <si>
    <r>
      <t xml:space="preserve">Granica plastyczności </t>
    </r>
    <r>
      <rPr>
        <i/>
        <sz val="11"/>
        <color theme="1"/>
        <rFont val="Aptos Narrow"/>
        <family val="2"/>
        <scheme val="minor"/>
      </rPr>
      <t>Re</t>
    </r>
  </si>
  <si>
    <t>Stan T6, najgorszy przypadek</t>
  </si>
  <si>
    <r>
      <t xml:space="preserve">Wytrzymałość na rozciąganie </t>
    </r>
    <r>
      <rPr>
        <i/>
        <sz val="11"/>
        <color theme="1"/>
        <rFont val="Aptos Narrow"/>
        <family val="2"/>
        <scheme val="minor"/>
      </rPr>
      <t>Rm</t>
    </r>
  </si>
  <si>
    <r>
      <t xml:space="preserve">Średnica zewnętrzna zbiornika </t>
    </r>
    <r>
      <rPr>
        <i/>
        <sz val="11"/>
        <color theme="1"/>
        <rFont val="Aptos Narrow"/>
        <family val="2"/>
        <scheme val="minor"/>
      </rPr>
      <t>Dz</t>
    </r>
  </si>
  <si>
    <r>
      <t xml:space="preserve">Ciśnienie w zbiorniku </t>
    </r>
    <r>
      <rPr>
        <i/>
        <sz val="11"/>
        <color theme="1"/>
        <rFont val="Aptos Narrow"/>
        <family val="2"/>
        <scheme val="minor"/>
      </rPr>
      <t>p0</t>
    </r>
  </si>
  <si>
    <r>
      <t xml:space="preserve">Wysokość dna </t>
    </r>
    <r>
      <rPr>
        <i/>
        <sz val="11"/>
        <color theme="1"/>
        <rFont val="Aptos Narrow"/>
        <family val="2"/>
        <scheme val="minor"/>
      </rPr>
      <t>Hz</t>
    </r>
  </si>
  <si>
    <r>
      <t xml:space="preserve">Średnica największego otworu w dnie </t>
    </r>
    <r>
      <rPr>
        <i/>
        <sz val="11"/>
        <color theme="1"/>
        <rFont val="Aptos Narrow"/>
        <family val="2"/>
        <scheme val="minor"/>
      </rPr>
      <t>d</t>
    </r>
  </si>
  <si>
    <t>Zbiornik półkulisty</t>
  </si>
  <si>
    <r>
      <t xml:space="preserve">grubość dennicy </t>
    </r>
    <r>
      <rPr>
        <i/>
        <sz val="11"/>
        <color theme="1"/>
        <rFont val="Aptos Narrow"/>
        <family val="2"/>
        <scheme val="minor"/>
      </rPr>
      <t>g1</t>
    </r>
  </si>
  <si>
    <r>
      <t xml:space="preserve">Współczynnik </t>
    </r>
    <r>
      <rPr>
        <i/>
        <sz val="11"/>
        <color theme="1"/>
        <rFont val="Aptos Narrow"/>
        <family val="2"/>
        <scheme val="minor"/>
      </rPr>
      <t>gamma_w</t>
    </r>
  </si>
  <si>
    <t>Zbiornik elipsoidalny 1/2</t>
  </si>
  <si>
    <r>
      <t xml:space="preserve">Długość spajająca </t>
    </r>
    <r>
      <rPr>
        <i/>
        <sz val="11"/>
        <color theme="1"/>
        <rFont val="Aptos Narrow"/>
        <family val="2"/>
        <scheme val="minor"/>
      </rPr>
      <t>e1</t>
    </r>
  </si>
  <si>
    <r>
      <t xml:space="preserve">Objętość dennicy </t>
    </r>
    <r>
      <rPr>
        <i/>
        <sz val="11"/>
        <color theme="1"/>
        <rFont val="Aptos Narrow"/>
        <family val="2"/>
        <scheme val="minor"/>
      </rPr>
      <t>Vd</t>
    </r>
  </si>
  <si>
    <t>Objętość w dennicy</t>
  </si>
  <si>
    <t>Wysokość płynu w dennicy</t>
  </si>
  <si>
    <t>Objętość rury zmniejszona o dennice</t>
  </si>
  <si>
    <t>hmax</t>
  </si>
  <si>
    <t>alpha1</t>
  </si>
  <si>
    <t>alpha2</t>
  </si>
  <si>
    <t>g</t>
  </si>
  <si>
    <t>v01</t>
  </si>
  <si>
    <t>v02</t>
  </si>
  <si>
    <t>v1x</t>
  </si>
  <si>
    <t>v2x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</si>
</sst>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0.0000"/>
    <numFmt numFmtId="165" formatCode="0.000"/>
  </numFmts>
  <fonts count="11" x14ac:knownFonts="1">
    <font>
      <sz val="11"/>
      <color theme="1"/>
      <name val="Aptos Narrow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B05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2" fontId="5" fillId="0" borderId="0" xfId="0" applyNumberFormat="1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44" fontId="4" fillId="0" borderId="0" xfId="1" applyFont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1920240</xdr:colOff>
      <xdr:row>18</xdr:row>
      <xdr:rowOff>11430</xdr:rowOff>
    </xdr:from>
    <xdr:ext cx="736355" cy="349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A85758E0-54A9-91EF-9930-DC043D6790C5}"/>
                </a:ext>
              </a:extLst>
            </xdr:cNvPr>
            <xdr:cNvSpPr txBox="1"/>
          </xdr:nvSpPr>
          <xdr:spPr>
            <a:xfrm>
              <a:off x="1920240" y="3303270"/>
              <a:ext cx="736355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 kern="1200">
                        <a:latin typeface="Cambria Math" panose="02040503050406030204" pitchFamily="18" charset="0"/>
                      </a:rPr>
                      <m:t>𝐹</m:t>
                    </m:r>
                    <m:r>
                      <a:rPr lang="pl-PL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sSub>
                          <m:sSubPr>
                            <m:ctrlP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𝑢𝑏</m:t>
                            </m:r>
                          </m:sub>
                        </m:sSub>
                        <m:r>
                          <a:rPr lang="pl-PL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sSub>
                          <m:sSubPr>
                            <m:ctrlP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</m:e>
                          <m:sub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𝑀</m:t>
                            </m:r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A85758E0-54A9-91EF-9930-DC043D6790C5}"/>
                </a:ext>
              </a:extLst>
            </xdr:cNvPr>
            <xdr:cNvSpPr txBox="1"/>
          </xdr:nvSpPr>
          <xdr:spPr>
            <a:xfrm>
              <a:off x="1920240" y="3303270"/>
              <a:ext cx="736355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 kern="1200">
                  <a:latin typeface="Cambria Math" panose="02040503050406030204" pitchFamily="18" charset="0"/>
                </a:rPr>
                <a:t>𝐹=(</a:t>
              </a:r>
              <a:r>
                <a:rPr lang="pl-PL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 kern="1200">
                  <a:latin typeface="Cambria Math" panose="02040503050406030204" pitchFamily="18" charset="0"/>
                </a:rPr>
                <a:t>𝑣 𝑓_𝑢𝑏 𝐴)/</a:t>
              </a:r>
              <a:r>
                <a:rPr lang="pl-PL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𝛾_</a:t>
              </a:r>
              <a:r>
                <a:rPr lang="pl-PL" sz="1100" b="0" i="0" kern="1200">
                  <a:latin typeface="Cambria Math" panose="02040503050406030204" pitchFamily="18" charset="0"/>
                </a:rPr>
                <a:t>𝑀2 </a:t>
              </a:r>
              <a:endParaRPr lang="en-US" sz="1100" kern="12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20</xdr:row>
      <xdr:rowOff>30481</xdr:rowOff>
    </xdr:from>
    <xdr:to>
      <xdr:col>4</xdr:col>
      <xdr:colOff>363891</xdr:colOff>
      <xdr:row>21</xdr:row>
      <xdr:rowOff>129541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8427A55-1A13-F8F2-54D4-CF00A1819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8081"/>
          <a:ext cx="4505361" cy="274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71718</xdr:rowOff>
    </xdr:from>
    <xdr:to>
      <xdr:col>4</xdr:col>
      <xdr:colOff>550657</xdr:colOff>
      <xdr:row>40</xdr:row>
      <xdr:rowOff>60235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1358F245-C169-C92B-ABDD-A44F7AE9E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05600"/>
          <a:ext cx="4697506" cy="530210"/>
        </a:xfrm>
        <a:prstGeom prst="rect">
          <a:avLst/>
        </a:prstGeom>
      </xdr:spPr>
    </xdr:pic>
    <xdr:clientData/>
  </xdr:twoCellAnchor>
  <xdr:twoCellAnchor editAs="oneCell">
    <xdr:from>
      <xdr:col>8</xdr:col>
      <xdr:colOff>680985</xdr:colOff>
      <xdr:row>13</xdr:row>
      <xdr:rowOff>145337</xdr:rowOff>
    </xdr:from>
    <xdr:to>
      <xdr:col>15</xdr:col>
      <xdr:colOff>455969</xdr:colOff>
      <xdr:row>23</xdr:row>
      <xdr:rowOff>97980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483E252-D86F-3732-D427-F713AEC9F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19750" y="2476161"/>
          <a:ext cx="6235287" cy="1737964"/>
        </a:xfrm>
        <a:prstGeom prst="rect">
          <a:avLst/>
        </a:prstGeom>
      </xdr:spPr>
    </xdr:pic>
    <xdr:clientData/>
  </xdr:twoCellAnchor>
  <xdr:twoCellAnchor editAs="oneCell">
    <xdr:from>
      <xdr:col>8</xdr:col>
      <xdr:colOff>56703</xdr:colOff>
      <xdr:row>35</xdr:row>
      <xdr:rowOff>138617</xdr:rowOff>
    </xdr:from>
    <xdr:to>
      <xdr:col>12</xdr:col>
      <xdr:colOff>283972</xdr:colOff>
      <xdr:row>56</xdr:row>
      <xdr:rowOff>95309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EF69CEEE-F93E-39D9-290A-FDE65F89F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5468" y="6413911"/>
          <a:ext cx="4872219" cy="3710439"/>
        </a:xfrm>
        <a:prstGeom prst="rect">
          <a:avLst/>
        </a:prstGeom>
      </xdr:spPr>
    </xdr:pic>
    <xdr:clientData/>
  </xdr:twoCellAnchor>
  <xdr:twoCellAnchor editAs="oneCell">
    <xdr:from>
      <xdr:col>11</xdr:col>
      <xdr:colOff>573740</xdr:colOff>
      <xdr:row>60</xdr:row>
      <xdr:rowOff>26558</xdr:rowOff>
    </xdr:from>
    <xdr:to>
      <xdr:col>22</xdr:col>
      <xdr:colOff>400277</xdr:colOff>
      <xdr:row>103</xdr:row>
      <xdr:rowOff>136124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2B08C86D-0C03-08C1-7A44-D9B02F84D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09593" y="10246323"/>
          <a:ext cx="6469496" cy="7826833"/>
        </a:xfrm>
        <a:prstGeom prst="rect">
          <a:avLst/>
        </a:prstGeom>
      </xdr:spPr>
    </xdr:pic>
    <xdr:clientData/>
  </xdr:twoCellAnchor>
  <xdr:twoCellAnchor editAs="oneCell">
    <xdr:from>
      <xdr:col>7</xdr:col>
      <xdr:colOff>338754</xdr:colOff>
      <xdr:row>60</xdr:row>
      <xdr:rowOff>122772</xdr:rowOff>
    </xdr:from>
    <xdr:to>
      <xdr:col>10</xdr:col>
      <xdr:colOff>1123054</xdr:colOff>
      <xdr:row>75</xdr:row>
      <xdr:rowOff>155948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8FFE0B28-3F8A-F64D-28D0-1A29CAFA1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52666" y="10342537"/>
          <a:ext cx="5240431" cy="2722588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68</xdr:row>
      <xdr:rowOff>67235</xdr:rowOff>
    </xdr:from>
    <xdr:to>
      <xdr:col>5</xdr:col>
      <xdr:colOff>1387119</xdr:colOff>
      <xdr:row>82</xdr:row>
      <xdr:rowOff>54922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D7A92E82-31DB-61E8-987B-9CFD48D7A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853" y="11721353"/>
          <a:ext cx="6014924" cy="2501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74855</xdr:rowOff>
    </xdr:from>
    <xdr:to>
      <xdr:col>5</xdr:col>
      <xdr:colOff>1297700</xdr:colOff>
      <xdr:row>83</xdr:row>
      <xdr:rowOff>95045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3351734F-C528-2AC0-81FB-72FD7F865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294620"/>
          <a:ext cx="6037788" cy="4143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117550</xdr:rowOff>
    </xdr:from>
    <xdr:to>
      <xdr:col>5</xdr:col>
      <xdr:colOff>1312943</xdr:colOff>
      <xdr:row>93</xdr:row>
      <xdr:rowOff>16683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32851BC2-3F0F-0E19-5B81-7EB5F3BA5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640374"/>
          <a:ext cx="6049221" cy="15089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1</xdr:rowOff>
    </xdr:from>
    <xdr:to>
      <xdr:col>5</xdr:col>
      <xdr:colOff>593554</xdr:colOff>
      <xdr:row>108</xdr:row>
      <xdr:rowOff>97043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C264DBEA-988F-D0EB-0CAB-E9393A61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495060"/>
          <a:ext cx="5341262" cy="2431676"/>
        </a:xfrm>
        <a:prstGeom prst="rect">
          <a:avLst/>
        </a:prstGeom>
      </xdr:spPr>
    </xdr:pic>
    <xdr:clientData/>
  </xdr:twoCellAnchor>
  <xdr:twoCellAnchor editAs="oneCell">
    <xdr:from>
      <xdr:col>0</xdr:col>
      <xdr:colOff>78441</xdr:colOff>
      <xdr:row>108</xdr:row>
      <xdr:rowOff>112059</xdr:rowOff>
    </xdr:from>
    <xdr:to>
      <xdr:col>5</xdr:col>
      <xdr:colOff>702453</xdr:colOff>
      <xdr:row>138</xdr:row>
      <xdr:rowOff>112059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05BB2F1B-FF71-446C-5FD3-EFB3289AF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441" y="18937941"/>
          <a:ext cx="5356480" cy="5378823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138</xdr:row>
      <xdr:rowOff>123265</xdr:rowOff>
    </xdr:from>
    <xdr:to>
      <xdr:col>2</xdr:col>
      <xdr:colOff>359816</xdr:colOff>
      <xdr:row>150</xdr:row>
      <xdr:rowOff>54188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EB63AA5F-27C2-32A1-FB21-0028F23D7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853" y="24327971"/>
          <a:ext cx="3176078" cy="2071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D33B-FA6B-47C2-91C2-DECB36CB1F19}">
  <dimension ref="A1:W105"/>
  <sheetViews>
    <sheetView tabSelected="1" topLeftCell="A46" zoomScale="85" zoomScaleNormal="85" workbookViewId="0">
      <selection activeCell="G43" sqref="G43"/>
    </sheetView>
  </sheetViews>
  <sheetFormatPr defaultRowHeight="14.4" x14ac:dyDescent="0.3"/>
  <cols>
    <col min="1" max="1" width="29" bestFit="1" customWidth="1"/>
    <col min="2" max="2" width="13.6640625" bestFit="1" customWidth="1"/>
    <col min="6" max="6" width="34.21875" bestFit="1" customWidth="1"/>
    <col min="7" max="7" width="32.6640625" bestFit="1" customWidth="1"/>
    <col min="8" max="8" width="23.5546875" bestFit="1" customWidth="1"/>
    <col min="9" max="9" width="17.44140625" bestFit="1" customWidth="1"/>
    <col min="10" max="10" width="23.88671875" bestFit="1" customWidth="1"/>
    <col min="11" max="11" width="17.44140625" bestFit="1" customWidth="1"/>
  </cols>
  <sheetData>
    <row r="1" spans="1:23" x14ac:dyDescent="0.3">
      <c r="A1" s="2" t="s">
        <v>29</v>
      </c>
      <c r="B1" t="s">
        <v>30</v>
      </c>
      <c r="F1" s="14" t="s">
        <v>69</v>
      </c>
      <c r="G1" s="14"/>
      <c r="H1" s="14"/>
      <c r="I1" s="14"/>
      <c r="J1" s="14"/>
      <c r="K1" s="14"/>
      <c r="L1" s="14"/>
      <c r="M1" s="14"/>
      <c r="N1" s="14"/>
    </row>
    <row r="2" spans="1:23" x14ac:dyDescent="0.3">
      <c r="F2" t="s">
        <v>28</v>
      </c>
      <c r="G2" s="3" t="s">
        <v>4</v>
      </c>
      <c r="H2" t="s">
        <v>7</v>
      </c>
      <c r="I2" t="s">
        <v>6</v>
      </c>
      <c r="J2" t="s">
        <v>5</v>
      </c>
      <c r="K2" t="s">
        <v>27</v>
      </c>
      <c r="L2">
        <v>304</v>
      </c>
      <c r="M2">
        <v>316</v>
      </c>
      <c r="S2">
        <v>360</v>
      </c>
      <c r="V2">
        <v>155</v>
      </c>
      <c r="W2">
        <f>(155.4-V2)/V2*100</f>
        <v>0.25806451612903597</v>
      </c>
    </row>
    <row r="3" spans="1:23" x14ac:dyDescent="0.3">
      <c r="A3" t="s">
        <v>31</v>
      </c>
      <c r="B3">
        <f>D3*0.001</f>
        <v>0.16300000000000001</v>
      </c>
      <c r="C3" t="s">
        <v>11</v>
      </c>
      <c r="D3">
        <f>180-2*8.5</f>
        <v>163</v>
      </c>
      <c r="E3" t="s">
        <v>10</v>
      </c>
      <c r="F3" t="s">
        <v>19</v>
      </c>
      <c r="G3" s="3">
        <v>260</v>
      </c>
      <c r="H3">
        <v>140</v>
      </c>
      <c r="I3">
        <v>245</v>
      </c>
      <c r="J3">
        <v>240</v>
      </c>
      <c r="K3">
        <v>827</v>
      </c>
      <c r="L3">
        <v>215</v>
      </c>
      <c r="M3">
        <v>290</v>
      </c>
      <c r="N3" t="s">
        <v>8</v>
      </c>
      <c r="R3" s="3">
        <v>2</v>
      </c>
      <c r="S3" s="3">
        <f>$S$2/R3</f>
        <v>180</v>
      </c>
      <c r="V3">
        <v>154</v>
      </c>
      <c r="W3">
        <f t="shared" ref="W3:W7" si="0">(155.4-V3)/V3*100</f>
        <v>0.90909090909091284</v>
      </c>
    </row>
    <row r="4" spans="1:23" x14ac:dyDescent="0.3">
      <c r="A4" t="s">
        <v>32</v>
      </c>
      <c r="B4">
        <f>D4*0.001</f>
        <v>8.1500000000000003E-2</v>
      </c>
      <c r="C4" t="s">
        <v>11</v>
      </c>
      <c r="D4">
        <f>D3/2</f>
        <v>81.5</v>
      </c>
      <c r="E4" t="s">
        <v>10</v>
      </c>
      <c r="F4" t="s">
        <v>20</v>
      </c>
      <c r="G4" s="3">
        <v>310</v>
      </c>
      <c r="H4">
        <v>170</v>
      </c>
      <c r="I4">
        <v>390</v>
      </c>
      <c r="J4">
        <v>260</v>
      </c>
      <c r="K4">
        <v>896</v>
      </c>
      <c r="L4">
        <v>505</v>
      </c>
      <c r="M4">
        <v>580</v>
      </c>
      <c r="N4" t="s">
        <v>8</v>
      </c>
      <c r="R4" s="3">
        <v>3</v>
      </c>
      <c r="S4" s="3">
        <f t="shared" ref="S4:S41" si="1">$S$2/R4</f>
        <v>120</v>
      </c>
      <c r="V4">
        <v>153</v>
      </c>
      <c r="W4">
        <f t="shared" si="0"/>
        <v>1.5686274509803959</v>
      </c>
    </row>
    <row r="5" spans="1:23" x14ac:dyDescent="0.3">
      <c r="F5" t="s">
        <v>21</v>
      </c>
      <c r="G5" s="3">
        <v>2700</v>
      </c>
      <c r="H5">
        <v>2700</v>
      </c>
      <c r="I5">
        <v>2800</v>
      </c>
      <c r="J5">
        <v>2700</v>
      </c>
      <c r="K5">
        <v>4430</v>
      </c>
      <c r="L5">
        <v>8000</v>
      </c>
      <c r="M5">
        <v>8000</v>
      </c>
      <c r="N5" t="s">
        <v>1</v>
      </c>
      <c r="R5" s="3">
        <v>4</v>
      </c>
      <c r="S5" s="3">
        <f t="shared" si="1"/>
        <v>90</v>
      </c>
      <c r="V5">
        <v>152</v>
      </c>
      <c r="W5">
        <f t="shared" si="0"/>
        <v>2.2368421052631615</v>
      </c>
    </row>
    <row r="6" spans="1:23" x14ac:dyDescent="0.3">
      <c r="A6" t="s">
        <v>12</v>
      </c>
      <c r="B6">
        <v>10</v>
      </c>
      <c r="C6" t="s">
        <v>0</v>
      </c>
      <c r="R6" s="3">
        <v>5</v>
      </c>
      <c r="S6" s="3">
        <f t="shared" si="1"/>
        <v>72</v>
      </c>
      <c r="V6">
        <v>151</v>
      </c>
      <c r="W6">
        <f t="shared" si="0"/>
        <v>2.9139072847682157</v>
      </c>
    </row>
    <row r="7" spans="1:23" x14ac:dyDescent="0.3">
      <c r="A7" t="s">
        <v>13</v>
      </c>
      <c r="B7">
        <v>745</v>
      </c>
      <c r="C7" t="s">
        <v>1</v>
      </c>
      <c r="F7" t="s">
        <v>22</v>
      </c>
      <c r="G7" s="1">
        <f>1000*($B$12*$B$11*$B$14)/G3</f>
        <v>5.0192307692307692</v>
      </c>
      <c r="H7" s="1">
        <f>1000*($B$12*$B$11*$B$14)/H3</f>
        <v>9.3214285714285712</v>
      </c>
      <c r="I7" s="1">
        <f>1000*($B$12*$B$11*$B$14)/I3</f>
        <v>5.3265306122448983</v>
      </c>
      <c r="J7" s="1">
        <f>1000*($B$12*$B$11*$B$14)/J3</f>
        <v>5.4375</v>
      </c>
      <c r="K7" s="1">
        <f>1000*($B$12*$B$11*$B$14)/K3</f>
        <v>1.5779927448609432</v>
      </c>
      <c r="L7" s="1">
        <f t="shared" ref="L7:M7" si="2">1000*($B$12*$B$11*$B$14)/L3</f>
        <v>6.0697674418604652</v>
      </c>
      <c r="M7" s="1">
        <f t="shared" si="2"/>
        <v>4.5</v>
      </c>
      <c r="N7" t="s">
        <v>10</v>
      </c>
      <c r="R7" s="3">
        <v>6</v>
      </c>
      <c r="S7" s="3">
        <f t="shared" si="1"/>
        <v>60</v>
      </c>
      <c r="V7">
        <v>150</v>
      </c>
      <c r="W7">
        <f t="shared" si="0"/>
        <v>3.6000000000000041</v>
      </c>
    </row>
    <row r="8" spans="1:23" x14ac:dyDescent="0.3">
      <c r="A8" t="s">
        <v>14</v>
      </c>
      <c r="B8">
        <v>0.1</v>
      </c>
      <c r="F8" t="s">
        <v>23</v>
      </c>
      <c r="G8" s="1">
        <f>1000*($B$12*$B$11*$B$14)/G4</f>
        <v>4.209677419354839</v>
      </c>
      <c r="H8" s="1">
        <f>1000*($B$12*$B$11*$B$14)/H4</f>
        <v>7.6764705882352944</v>
      </c>
      <c r="I8" s="1">
        <f>1000*($B$12*$B$11*$B$14)/I4</f>
        <v>3.3461538461538463</v>
      </c>
      <c r="J8" s="1">
        <f t="shared" ref="J8" si="3">1000*($B$12*$B$11*$B$14)/J4</f>
        <v>5.0192307692307692</v>
      </c>
      <c r="K8" s="1">
        <f t="shared" ref="K8:M8" si="4">1000*($B$12*$B$11*$B$14)/K4</f>
        <v>1.4564732142857142</v>
      </c>
      <c r="L8" s="1">
        <f t="shared" si="4"/>
        <v>2.5841584158415842</v>
      </c>
      <c r="M8" s="1">
        <f t="shared" si="4"/>
        <v>2.25</v>
      </c>
      <c r="N8" t="s">
        <v>10</v>
      </c>
      <c r="R8">
        <v>7</v>
      </c>
      <c r="S8">
        <f t="shared" si="1"/>
        <v>51.428571428571431</v>
      </c>
    </row>
    <row r="9" spans="1:23" x14ac:dyDescent="0.3">
      <c r="A9" t="s">
        <v>15</v>
      </c>
      <c r="B9">
        <f>B6/B7</f>
        <v>1.3422818791946308E-2</v>
      </c>
      <c r="C9" t="s">
        <v>2</v>
      </c>
      <c r="D9">
        <f>B9*1000</f>
        <v>13.422818791946309</v>
      </c>
      <c r="E9" t="s">
        <v>3</v>
      </c>
      <c r="F9" t="s">
        <v>33</v>
      </c>
      <c r="G9" s="4">
        <f>1000*($B$12*$B$11*$B$14)/(G3-0.6*$B$11)</f>
        <v>5.1076320939334634</v>
      </c>
      <c r="H9" s="1">
        <f>1000*($B$12*$B$11*$B$14)/(H3-0.6*$B$11)</f>
        <v>9.6309963099631002</v>
      </c>
      <c r="I9" s="1">
        <f>1000*($B$12*$B$11*$B$14)/(I3-0.6*$B$11)</f>
        <v>5.4261954261954264</v>
      </c>
      <c r="J9" s="1">
        <f>1000*($B$12*$B$11*$B$14)/(J3-0.6*$B$11)</f>
        <v>5.5414012738853504</v>
      </c>
      <c r="K9" s="1">
        <f>1000*($B$12*$B$11*$B$14)/(K3-0.6*$B$11)</f>
        <v>1.5866261398176291</v>
      </c>
      <c r="L9" s="1">
        <f t="shared" ref="L9:M9" si="5">1000*($B$12*$B$11*$B$14)/(L3-0.6*$B$11)</f>
        <v>6.199524940617577</v>
      </c>
      <c r="M9" s="1">
        <f t="shared" si="5"/>
        <v>4.5709281961471104</v>
      </c>
      <c r="N9" t="s">
        <v>10</v>
      </c>
      <c r="R9" s="3">
        <v>8</v>
      </c>
      <c r="S9" s="3">
        <f t="shared" si="1"/>
        <v>45</v>
      </c>
    </row>
    <row r="10" spans="1:23" x14ac:dyDescent="0.3">
      <c r="A10" s="3" t="s">
        <v>16</v>
      </c>
      <c r="B10" s="3">
        <f>B9+B8*B9</f>
        <v>1.4765100671140939E-2</v>
      </c>
      <c r="C10" s="3" t="s">
        <v>2</v>
      </c>
      <c r="D10" s="3">
        <f>B10*1000</f>
        <v>14.765100671140939</v>
      </c>
      <c r="E10" s="3" t="s">
        <v>3</v>
      </c>
      <c r="F10" t="s">
        <v>34</v>
      </c>
      <c r="G10" s="4">
        <f>1000*($B$12*$B$11*$B$4)/(G3-0.6*$B$11)</f>
        <v>4.7847358121330732</v>
      </c>
      <c r="H10" s="1"/>
      <c r="I10" s="1"/>
      <c r="J10" s="1"/>
      <c r="K10" s="1"/>
      <c r="L10" s="1"/>
      <c r="M10" s="1"/>
      <c r="R10" s="3">
        <v>9</v>
      </c>
      <c r="S10" s="3">
        <f t="shared" si="1"/>
        <v>40</v>
      </c>
    </row>
    <row r="11" spans="1:23" x14ac:dyDescent="0.3">
      <c r="A11" t="s">
        <v>25</v>
      </c>
      <c r="B11">
        <v>7.5</v>
      </c>
      <c r="C11" t="s">
        <v>8</v>
      </c>
      <c r="D11" t="s">
        <v>9</v>
      </c>
      <c r="F11" t="s">
        <v>35</v>
      </c>
      <c r="G11" s="5">
        <f t="shared" ref="G11:M11" si="6">$D$4+G9</f>
        <v>86.607632093933461</v>
      </c>
      <c r="H11" s="5">
        <f t="shared" si="6"/>
        <v>91.130996309963095</v>
      </c>
      <c r="I11" s="5">
        <f t="shared" si="6"/>
        <v>86.92619542619542</v>
      </c>
      <c r="J11" s="5">
        <f t="shared" si="6"/>
        <v>87.041401273885356</v>
      </c>
      <c r="K11" s="5">
        <f t="shared" si="6"/>
        <v>83.086626139817625</v>
      </c>
      <c r="L11" s="5">
        <f t="shared" si="6"/>
        <v>87.699524940617579</v>
      </c>
      <c r="M11" s="5">
        <f t="shared" si="6"/>
        <v>86.070928196147108</v>
      </c>
      <c r="N11" t="s">
        <v>10</v>
      </c>
      <c r="R11" s="3">
        <v>10</v>
      </c>
      <c r="S11" s="3">
        <f t="shared" si="1"/>
        <v>36</v>
      </c>
    </row>
    <row r="12" spans="1:23" x14ac:dyDescent="0.3">
      <c r="A12" s="3" t="s">
        <v>26</v>
      </c>
      <c r="B12" s="3">
        <v>2</v>
      </c>
      <c r="F12" t="s">
        <v>36</v>
      </c>
      <c r="G12" s="4">
        <f>1000*$B$10/(PI()*$B$4^2)</f>
        <v>707.57311364719544</v>
      </c>
      <c r="H12" s="5">
        <f>1000*$B$10/(PI()*$B$4^2)</f>
        <v>707.57311364719544</v>
      </c>
      <c r="I12" s="5">
        <f>1000*$B$10/(PI()*$B$4^2)</f>
        <v>707.57311364719544</v>
      </c>
      <c r="J12" s="5">
        <f>1000*$B$10/(PI()*$B$4^2)</f>
        <v>707.57311364719544</v>
      </c>
      <c r="K12" s="5">
        <f>1000*$B$10/(PI()*$B$4^2)</f>
        <v>707.57311364719544</v>
      </c>
      <c r="L12" s="5">
        <f t="shared" ref="L12:M12" si="7">1000*$B$10/(PI()*$B$4^2)</f>
        <v>707.57311364719544</v>
      </c>
      <c r="M12" s="5">
        <f t="shared" si="7"/>
        <v>707.57311364719544</v>
      </c>
      <c r="N12" t="s">
        <v>10</v>
      </c>
      <c r="R12">
        <v>11</v>
      </c>
      <c r="S12">
        <f t="shared" si="1"/>
        <v>32.727272727272727</v>
      </c>
      <c r="U12" t="s">
        <v>97</v>
      </c>
      <c r="V12">
        <v>5</v>
      </c>
    </row>
    <row r="13" spans="1:23" x14ac:dyDescent="0.3">
      <c r="A13" s="3" t="s">
        <v>17</v>
      </c>
      <c r="B13" s="3">
        <v>0.17399999999999999</v>
      </c>
      <c r="C13" s="3" t="s">
        <v>11</v>
      </c>
      <c r="D13" s="3">
        <f>B13*1000</f>
        <v>174</v>
      </c>
      <c r="E13" s="3" t="s">
        <v>10</v>
      </c>
      <c r="F13" t="s">
        <v>24</v>
      </c>
      <c r="G13" s="4">
        <f t="shared" ref="G13:M13" si="8">((PI()*G11^2*G12/1000)-(PI()*$D$4^2*G12/1000))*G5*0.000001</f>
        <v>5.153377977002223</v>
      </c>
      <c r="H13" s="5">
        <f t="shared" si="8"/>
        <v>9.9787226637414346</v>
      </c>
      <c r="I13" s="5">
        <f t="shared" si="8"/>
        <v>5.6883236125892376</v>
      </c>
      <c r="J13" s="5">
        <f t="shared" si="8"/>
        <v>5.6054587330654533</v>
      </c>
      <c r="K13" s="5">
        <f t="shared" si="8"/>
        <v>2.5715446470826366</v>
      </c>
      <c r="L13" s="5">
        <f t="shared" si="8"/>
        <v>18.653860849242335</v>
      </c>
      <c r="M13" s="5">
        <f t="shared" si="8"/>
        <v>13.621165078457329</v>
      </c>
      <c r="N13" t="s">
        <v>0</v>
      </c>
      <c r="R13" s="3">
        <v>12</v>
      </c>
      <c r="S13" s="3">
        <f t="shared" si="1"/>
        <v>30</v>
      </c>
      <c r="U13" t="s">
        <v>98</v>
      </c>
      <c r="V13">
        <v>6.5</v>
      </c>
    </row>
    <row r="14" spans="1:23" x14ac:dyDescent="0.3">
      <c r="A14" t="s">
        <v>18</v>
      </c>
      <c r="B14">
        <f>B13/2</f>
        <v>8.6999999999999994E-2</v>
      </c>
      <c r="C14" t="s">
        <v>11</v>
      </c>
      <c r="D14">
        <f>D13/2</f>
        <v>87</v>
      </c>
      <c r="E14" t="s">
        <v>10</v>
      </c>
      <c r="R14">
        <v>13</v>
      </c>
      <c r="S14">
        <f t="shared" si="1"/>
        <v>27.692307692307693</v>
      </c>
      <c r="U14" t="s">
        <v>99</v>
      </c>
      <c r="V14">
        <v>4</v>
      </c>
    </row>
    <row r="15" spans="1:23" x14ac:dyDescent="0.3">
      <c r="F15" s="14" t="s">
        <v>68</v>
      </c>
      <c r="G15" s="14"/>
      <c r="H15" s="14"/>
      <c r="R15">
        <v>14</v>
      </c>
      <c r="S15">
        <f t="shared" si="1"/>
        <v>25.714285714285715</v>
      </c>
      <c r="U15" t="s">
        <v>100</v>
      </c>
      <c r="V15">
        <f>(0.25*PI()*V12^2)/(V13*V14)*100</f>
        <v>75.519054172831574</v>
      </c>
    </row>
    <row r="16" spans="1:23" x14ac:dyDescent="0.3">
      <c r="F16" t="s">
        <v>37</v>
      </c>
      <c r="G16">
        <f>PI()*B4^2</f>
        <v>2.0867243803306804E-2</v>
      </c>
      <c r="H16" t="s">
        <v>38</v>
      </c>
      <c r="R16" s="3">
        <v>15</v>
      </c>
      <c r="S16" s="3">
        <f t="shared" si="1"/>
        <v>24</v>
      </c>
      <c r="V16" t="s">
        <v>101</v>
      </c>
    </row>
    <row r="17" spans="1:19" x14ac:dyDescent="0.3">
      <c r="F17" t="s">
        <v>39</v>
      </c>
      <c r="G17">
        <f>B11*10^6*G16</f>
        <v>156504.32852480104</v>
      </c>
      <c r="H17" t="s">
        <v>40</v>
      </c>
      <c r="R17" s="10">
        <v>16</v>
      </c>
      <c r="S17" s="10">
        <f t="shared" si="1"/>
        <v>22.5</v>
      </c>
    </row>
    <row r="18" spans="1:19" x14ac:dyDescent="0.3">
      <c r="A18" t="s">
        <v>41</v>
      </c>
      <c r="F18" t="s">
        <v>56</v>
      </c>
      <c r="G18">
        <f>G17/B33</f>
        <v>37.146891871783012</v>
      </c>
      <c r="R18">
        <v>17</v>
      </c>
      <c r="S18">
        <f t="shared" si="1"/>
        <v>21.176470588235293</v>
      </c>
    </row>
    <row r="19" spans="1:19" x14ac:dyDescent="0.3">
      <c r="F19" t="s">
        <v>57</v>
      </c>
      <c r="G19">
        <f>G17/C33</f>
        <v>22.988972865740408</v>
      </c>
      <c r="R19" s="3">
        <v>18</v>
      </c>
      <c r="S19" s="3">
        <f t="shared" si="1"/>
        <v>20</v>
      </c>
    </row>
    <row r="20" spans="1:19" x14ac:dyDescent="0.3">
      <c r="F20" s="15" t="s">
        <v>59</v>
      </c>
      <c r="G20" s="15"/>
      <c r="H20" s="15"/>
      <c r="R20">
        <v>19</v>
      </c>
      <c r="S20">
        <f t="shared" si="1"/>
        <v>18.94736842105263</v>
      </c>
    </row>
    <row r="21" spans="1:19" x14ac:dyDescent="0.3">
      <c r="F21" t="s">
        <v>56</v>
      </c>
      <c r="G21">
        <f>G18*2</f>
        <v>74.293783743566024</v>
      </c>
      <c r="R21" s="3">
        <v>20</v>
      </c>
      <c r="S21" s="3">
        <f t="shared" si="1"/>
        <v>18</v>
      </c>
    </row>
    <row r="22" spans="1:19" x14ac:dyDescent="0.3">
      <c r="F22" t="s">
        <v>57</v>
      </c>
      <c r="G22">
        <f>G19*2</f>
        <v>45.977945731480816</v>
      </c>
      <c r="R22">
        <v>21</v>
      </c>
      <c r="S22">
        <f t="shared" si="1"/>
        <v>17.142857142857142</v>
      </c>
    </row>
    <row r="23" spans="1:19" x14ac:dyDescent="0.3">
      <c r="B23" t="s">
        <v>58</v>
      </c>
      <c r="F23" s="15" t="s">
        <v>67</v>
      </c>
      <c r="G23" s="15"/>
      <c r="H23" s="15"/>
      <c r="R23">
        <v>22</v>
      </c>
      <c r="S23">
        <f t="shared" si="1"/>
        <v>16.363636363636363</v>
      </c>
    </row>
    <row r="24" spans="1:19" x14ac:dyDescent="0.3">
      <c r="B24" t="s">
        <v>42</v>
      </c>
      <c r="C24" t="s">
        <v>43</v>
      </c>
      <c r="F24" s="10" t="s">
        <v>75</v>
      </c>
      <c r="G24" s="10">
        <v>40</v>
      </c>
      <c r="H24" s="18" t="s">
        <v>77</v>
      </c>
      <c r="I24">
        <v>9</v>
      </c>
      <c r="R24">
        <v>23</v>
      </c>
      <c r="S24">
        <f t="shared" si="1"/>
        <v>15.652173913043478</v>
      </c>
    </row>
    <row r="25" spans="1:19" x14ac:dyDescent="0.3">
      <c r="A25" t="s">
        <v>44</v>
      </c>
      <c r="B25">
        <v>7</v>
      </c>
      <c r="C25">
        <v>8.5</v>
      </c>
      <c r="D25" t="s">
        <v>10</v>
      </c>
      <c r="F25" s="10" t="s">
        <v>76</v>
      </c>
      <c r="G25" s="10">
        <v>24</v>
      </c>
      <c r="H25" s="18"/>
      <c r="I25">
        <v>15</v>
      </c>
      <c r="R25" s="3">
        <v>24</v>
      </c>
      <c r="S25" s="3">
        <f t="shared" si="1"/>
        <v>15</v>
      </c>
    </row>
    <row r="26" spans="1:19" x14ac:dyDescent="0.3">
      <c r="A26" t="s">
        <v>45</v>
      </c>
      <c r="B26">
        <v>4</v>
      </c>
      <c r="C26">
        <v>5</v>
      </c>
      <c r="D26" t="s">
        <v>10</v>
      </c>
      <c r="F26" s="6" t="s">
        <v>60</v>
      </c>
      <c r="G26" s="6">
        <f>2*PI()*D4</f>
        <v>512.07960253513625</v>
      </c>
      <c r="H26" s="6" t="s">
        <v>10</v>
      </c>
      <c r="R26">
        <v>25</v>
      </c>
      <c r="S26">
        <f t="shared" si="1"/>
        <v>14.4</v>
      </c>
    </row>
    <row r="27" spans="1:19" x14ac:dyDescent="0.3">
      <c r="A27" t="s">
        <v>46</v>
      </c>
      <c r="B27">
        <v>3</v>
      </c>
      <c r="C27">
        <v>4</v>
      </c>
      <c r="D27" t="s">
        <v>10</v>
      </c>
      <c r="F27" t="s">
        <v>63</v>
      </c>
      <c r="G27">
        <f>G26/G24</f>
        <v>12.801990063378407</v>
      </c>
      <c r="H27" t="s">
        <v>10</v>
      </c>
      <c r="R27">
        <v>26</v>
      </c>
      <c r="S27">
        <f t="shared" si="1"/>
        <v>13.846153846153847</v>
      </c>
    </row>
    <row r="28" spans="1:19" x14ac:dyDescent="0.3">
      <c r="A28" s="6" t="s">
        <v>62</v>
      </c>
      <c r="B28" s="6">
        <v>4</v>
      </c>
      <c r="C28" s="6">
        <v>5</v>
      </c>
      <c r="D28" s="6" t="s">
        <v>10</v>
      </c>
      <c r="F28" t="s">
        <v>65</v>
      </c>
      <c r="G28">
        <f>2.4*B28</f>
        <v>9.6</v>
      </c>
      <c r="H28" t="s">
        <v>10</v>
      </c>
      <c r="R28">
        <v>27</v>
      </c>
      <c r="S28">
        <f t="shared" si="1"/>
        <v>13.333333333333334</v>
      </c>
    </row>
    <row r="29" spans="1:19" x14ac:dyDescent="0.3">
      <c r="A29" t="s">
        <v>47</v>
      </c>
      <c r="B29">
        <v>3.5449999999999999</v>
      </c>
      <c r="C29">
        <v>4.4800000000000004</v>
      </c>
      <c r="D29" t="s">
        <v>10</v>
      </c>
      <c r="F29" t="s">
        <v>64</v>
      </c>
      <c r="G29">
        <f>G26/G25</f>
        <v>21.336650105630678</v>
      </c>
      <c r="H29" t="s">
        <v>10</v>
      </c>
      <c r="R29">
        <v>28</v>
      </c>
      <c r="S29">
        <f t="shared" si="1"/>
        <v>12.857142857142858</v>
      </c>
    </row>
    <row r="30" spans="1:19" x14ac:dyDescent="0.3">
      <c r="A30" t="s">
        <v>48</v>
      </c>
      <c r="B30">
        <v>3.141</v>
      </c>
      <c r="C30">
        <v>4.0190000000000001</v>
      </c>
      <c r="D30" t="s">
        <v>10</v>
      </c>
      <c r="F30" t="s">
        <v>66</v>
      </c>
      <c r="G30">
        <f>2.4*C28</f>
        <v>12</v>
      </c>
      <c r="H30" t="s">
        <v>10</v>
      </c>
      <c r="R30">
        <v>29</v>
      </c>
      <c r="S30">
        <f t="shared" si="1"/>
        <v>12.413793103448276</v>
      </c>
    </row>
    <row r="31" spans="1:19" x14ac:dyDescent="0.3">
      <c r="A31" t="s">
        <v>50</v>
      </c>
      <c r="B31">
        <f>(B30+B29)/2</f>
        <v>3.343</v>
      </c>
      <c r="C31">
        <f>(C30+C29)/2</f>
        <v>4.2495000000000003</v>
      </c>
      <c r="D31" t="s">
        <v>38</v>
      </c>
      <c r="F31" s="6" t="s">
        <v>61</v>
      </c>
      <c r="G31" s="6">
        <f>2*PI()*D14</f>
        <v>546.63712172462397</v>
      </c>
      <c r="H31" s="6" t="s">
        <v>10</v>
      </c>
      <c r="R31" s="3">
        <v>30</v>
      </c>
      <c r="S31" s="3">
        <f t="shared" si="1"/>
        <v>12</v>
      </c>
    </row>
    <row r="32" spans="1:19" x14ac:dyDescent="0.3">
      <c r="A32" t="s">
        <v>51</v>
      </c>
      <c r="B32">
        <f>PI()*(B31/2000)^2</f>
        <v>8.7773341993745299E-6</v>
      </c>
      <c r="C32">
        <f>PI()*(C31/2000)^2</f>
        <v>1.4182916580521515E-5</v>
      </c>
      <c r="D32" t="s">
        <v>49</v>
      </c>
      <c r="F32" s="7" t="s">
        <v>70</v>
      </c>
      <c r="G32" s="7">
        <f>G31/G24</f>
        <v>13.665928043115599</v>
      </c>
      <c r="H32" s="7" t="s">
        <v>10</v>
      </c>
      <c r="I32" s="8" t="s">
        <v>74</v>
      </c>
      <c r="R32">
        <v>31</v>
      </c>
      <c r="S32">
        <f t="shared" si="1"/>
        <v>11.612903225806452</v>
      </c>
    </row>
    <row r="33" spans="1:19" x14ac:dyDescent="0.3">
      <c r="A33" t="s">
        <v>55</v>
      </c>
      <c r="B33">
        <f>(0.5*B36*10^6*B32)/1.25</f>
        <v>4213.1204156997746</v>
      </c>
      <c r="C33">
        <f>(0.5*B36*10^6*C32)/1.25</f>
        <v>6807.7999586503265</v>
      </c>
      <c r="D33" t="s">
        <v>40</v>
      </c>
      <c r="F33" s="7" t="s">
        <v>72</v>
      </c>
      <c r="G33" s="7">
        <f>2.4*B25</f>
        <v>16.8</v>
      </c>
      <c r="H33" s="7" t="s">
        <v>10</v>
      </c>
      <c r="R33">
        <v>32</v>
      </c>
      <c r="S33">
        <f t="shared" si="1"/>
        <v>11.25</v>
      </c>
    </row>
    <row r="34" spans="1:19" x14ac:dyDescent="0.3">
      <c r="F34" s="9" t="s">
        <v>71</v>
      </c>
      <c r="G34" s="9">
        <f>G31/G25</f>
        <v>22.776546738525997</v>
      </c>
      <c r="H34" s="9" t="s">
        <v>10</v>
      </c>
      <c r="R34">
        <v>33</v>
      </c>
      <c r="S34">
        <f t="shared" si="1"/>
        <v>10.909090909090908</v>
      </c>
    </row>
    <row r="35" spans="1:19" x14ac:dyDescent="0.3">
      <c r="A35" t="s">
        <v>52</v>
      </c>
      <c r="F35" s="9" t="s">
        <v>73</v>
      </c>
      <c r="G35" s="9">
        <f>2.4*C25</f>
        <v>20.399999999999999</v>
      </c>
      <c r="H35" s="9" t="s">
        <v>10</v>
      </c>
      <c r="R35">
        <v>34</v>
      </c>
      <c r="S35">
        <f t="shared" si="1"/>
        <v>10.588235294117647</v>
      </c>
    </row>
    <row r="36" spans="1:19" x14ac:dyDescent="0.3">
      <c r="A36" t="s">
        <v>53</v>
      </c>
      <c r="B36">
        <f>12*100</f>
        <v>1200</v>
      </c>
      <c r="C36" t="s">
        <v>8</v>
      </c>
      <c r="R36">
        <v>35</v>
      </c>
      <c r="S36">
        <f t="shared" si="1"/>
        <v>10.285714285714286</v>
      </c>
    </row>
    <row r="37" spans="1:19" x14ac:dyDescent="0.3">
      <c r="A37" t="s">
        <v>54</v>
      </c>
      <c r="B37">
        <f>0.9*B36</f>
        <v>1080</v>
      </c>
      <c r="C37" t="s">
        <v>8</v>
      </c>
      <c r="F37" s="19" t="s">
        <v>88</v>
      </c>
      <c r="G37" s="19"/>
      <c r="H37" s="19"/>
      <c r="R37" s="3">
        <v>36</v>
      </c>
      <c r="S37" s="3">
        <f t="shared" si="1"/>
        <v>10</v>
      </c>
    </row>
    <row r="38" spans="1:19" x14ac:dyDescent="0.3">
      <c r="F38" t="s">
        <v>89</v>
      </c>
      <c r="G38">
        <f>B4</f>
        <v>8.1500000000000003E-2</v>
      </c>
      <c r="H38" t="s">
        <v>11</v>
      </c>
      <c r="R38">
        <v>37</v>
      </c>
      <c r="S38">
        <f t="shared" si="1"/>
        <v>9.7297297297297298</v>
      </c>
    </row>
    <row r="39" spans="1:19" x14ac:dyDescent="0.3">
      <c r="F39" t="s">
        <v>90</v>
      </c>
      <c r="G39">
        <f>B11*10^6</f>
        <v>7500000</v>
      </c>
      <c r="H39" t="s">
        <v>91</v>
      </c>
      <c r="R39">
        <v>38</v>
      </c>
      <c r="S39">
        <f t="shared" si="1"/>
        <v>9.473684210526315</v>
      </c>
    </row>
    <row r="40" spans="1:19" x14ac:dyDescent="0.3">
      <c r="F40" t="s">
        <v>93</v>
      </c>
      <c r="G40">
        <f>G3*10^6</f>
        <v>260000000</v>
      </c>
      <c r="H40" t="s">
        <v>91</v>
      </c>
      <c r="R40">
        <v>39</v>
      </c>
      <c r="S40">
        <f t="shared" si="1"/>
        <v>9.2307692307692299</v>
      </c>
    </row>
    <row r="41" spans="1:19" x14ac:dyDescent="0.3">
      <c r="F41" t="s">
        <v>92</v>
      </c>
      <c r="G41">
        <v>0.33</v>
      </c>
      <c r="R41" s="3">
        <v>40</v>
      </c>
      <c r="S41" s="3">
        <f t="shared" si="1"/>
        <v>9</v>
      </c>
    </row>
    <row r="42" spans="1:19" x14ac:dyDescent="0.3">
      <c r="F42" t="s">
        <v>94</v>
      </c>
      <c r="G42">
        <v>2</v>
      </c>
    </row>
    <row r="43" spans="1:19" x14ac:dyDescent="0.3">
      <c r="F43" s="11" t="s">
        <v>95</v>
      </c>
      <c r="G43" s="11">
        <f>SQRT((3*(3+G41)*G39*G38^2)/(8*G42*G40))</f>
        <v>1.093765748512995E-2</v>
      </c>
      <c r="H43" s="11" t="s">
        <v>11</v>
      </c>
    </row>
    <row r="44" spans="1:19" x14ac:dyDescent="0.3">
      <c r="F44" s="11" t="s">
        <v>96</v>
      </c>
      <c r="G44" s="1">
        <f>G43*1000</f>
        <v>10.93765748512995</v>
      </c>
      <c r="H44" s="11" t="s">
        <v>10</v>
      </c>
    </row>
    <row r="45" spans="1:19" x14ac:dyDescent="0.3">
      <c r="F45" s="11"/>
      <c r="G45" s="11"/>
      <c r="H45" s="11"/>
    </row>
    <row r="46" spans="1:19" x14ac:dyDescent="0.3">
      <c r="F46" s="17" t="s">
        <v>78</v>
      </c>
      <c r="G46" s="17"/>
      <c r="H46" s="17"/>
    </row>
    <row r="47" spans="1:19" x14ac:dyDescent="0.3">
      <c r="F47" s="11" t="s">
        <v>79</v>
      </c>
      <c r="G47" s="1">
        <f>1.2*C28</f>
        <v>6</v>
      </c>
      <c r="H47" s="11" t="s">
        <v>10</v>
      </c>
    </row>
    <row r="48" spans="1:19" x14ac:dyDescent="0.3">
      <c r="F48" s="11" t="s">
        <v>80</v>
      </c>
      <c r="G48" s="1">
        <f>2.4*C25</f>
        <v>20.399999999999999</v>
      </c>
      <c r="H48" s="11" t="s">
        <v>10</v>
      </c>
    </row>
    <row r="49" spans="6:8" x14ac:dyDescent="0.3">
      <c r="F49" s="11" t="s">
        <v>81</v>
      </c>
      <c r="G49" s="1">
        <f>(SQRT(2)*G48)/2</f>
        <v>14.424978336205569</v>
      </c>
      <c r="H49" s="11" t="s">
        <v>10</v>
      </c>
    </row>
    <row r="50" spans="6:8" x14ac:dyDescent="0.3">
      <c r="F50" s="11" t="s">
        <v>82</v>
      </c>
      <c r="G50" s="1">
        <v>6.5</v>
      </c>
      <c r="H50" s="11"/>
    </row>
    <row r="51" spans="6:8" x14ac:dyDescent="0.3">
      <c r="F51" s="11" t="s">
        <v>83</v>
      </c>
      <c r="G51" s="1">
        <v>3</v>
      </c>
      <c r="H51" s="11"/>
    </row>
    <row r="52" spans="6:8" x14ac:dyDescent="0.3">
      <c r="F52" s="11" t="s">
        <v>84</v>
      </c>
      <c r="G52" s="1">
        <f>2*G47+G49+G50+G51</f>
        <v>35.924978336205569</v>
      </c>
      <c r="H52" s="11" t="s">
        <v>10</v>
      </c>
    </row>
    <row r="53" spans="6:8" x14ac:dyDescent="0.3">
      <c r="F53" s="11" t="s">
        <v>118</v>
      </c>
      <c r="G53" s="1">
        <f>G52-G44</f>
        <v>24.987320851075619</v>
      </c>
      <c r="H53" s="11" t="s">
        <v>10</v>
      </c>
    </row>
    <row r="54" spans="6:8" x14ac:dyDescent="0.3">
      <c r="F54" s="11" t="s">
        <v>117</v>
      </c>
      <c r="G54" s="1">
        <f>(PI()*(D14-G9-G44)^2*G53)/10^6</f>
        <v>0.39521373560397088</v>
      </c>
      <c r="H54" s="11" t="s">
        <v>3</v>
      </c>
    </row>
    <row r="55" spans="6:8" x14ac:dyDescent="0.3">
      <c r="F55" s="11" t="s">
        <v>119</v>
      </c>
      <c r="G55" s="1">
        <f>$D$10-2*G54</f>
        <v>13.974673199932997</v>
      </c>
      <c r="H55" s="11" t="s">
        <v>3</v>
      </c>
    </row>
    <row r="56" spans="6:8" x14ac:dyDescent="0.3">
      <c r="F56" t="s">
        <v>85</v>
      </c>
      <c r="G56" s="1">
        <v>30</v>
      </c>
      <c r="H56" t="s">
        <v>10</v>
      </c>
    </row>
    <row r="57" spans="6:8" x14ac:dyDescent="0.3">
      <c r="F57" t="s">
        <v>86</v>
      </c>
      <c r="G57" s="1">
        <f>G55/(PI()*$B$4^2)</f>
        <v>669.69425055159661</v>
      </c>
      <c r="H57" s="11" t="s">
        <v>10</v>
      </c>
    </row>
    <row r="58" spans="6:8" x14ac:dyDescent="0.3">
      <c r="F58" t="s">
        <v>87</v>
      </c>
      <c r="G58" s="1">
        <f>G57+2*(G56+35)</f>
        <v>799.69425055159661</v>
      </c>
      <c r="H58" t="s">
        <v>10</v>
      </c>
    </row>
    <row r="81" spans="7:11" x14ac:dyDescent="0.3">
      <c r="G81" s="14" t="s">
        <v>102</v>
      </c>
      <c r="H81" s="14"/>
      <c r="I81" s="14"/>
    </row>
    <row r="82" spans="7:11" x14ac:dyDescent="0.3">
      <c r="G82" s="15" t="s">
        <v>103</v>
      </c>
      <c r="H82" s="15"/>
      <c r="I82" s="15"/>
    </row>
    <row r="83" spans="7:11" x14ac:dyDescent="0.3">
      <c r="G83" t="s">
        <v>21</v>
      </c>
      <c r="H83">
        <v>2650</v>
      </c>
      <c r="I83" t="s">
        <v>1</v>
      </c>
    </row>
    <row r="84" spans="7:11" x14ac:dyDescent="0.3">
      <c r="G84" t="s">
        <v>104</v>
      </c>
      <c r="H84">
        <v>230</v>
      </c>
      <c r="I84" t="s">
        <v>8</v>
      </c>
      <c r="J84" s="16" t="s">
        <v>105</v>
      </c>
    </row>
    <row r="85" spans="7:11" x14ac:dyDescent="0.3">
      <c r="G85" t="s">
        <v>106</v>
      </c>
      <c r="H85">
        <v>300</v>
      </c>
      <c r="I85" t="s">
        <v>8</v>
      </c>
      <c r="J85" s="16"/>
    </row>
    <row r="86" spans="7:11" x14ac:dyDescent="0.3">
      <c r="G86" t="s">
        <v>107</v>
      </c>
      <c r="H86">
        <v>174</v>
      </c>
      <c r="I86" t="s">
        <v>10</v>
      </c>
    </row>
    <row r="87" spans="7:11" x14ac:dyDescent="0.3">
      <c r="G87" t="s">
        <v>108</v>
      </c>
      <c r="H87">
        <v>7.5</v>
      </c>
      <c r="I87" t="s">
        <v>8</v>
      </c>
    </row>
    <row r="88" spans="7:11" x14ac:dyDescent="0.3">
      <c r="G88" t="s">
        <v>110</v>
      </c>
      <c r="H88">
        <v>25</v>
      </c>
      <c r="I88" t="s">
        <v>10</v>
      </c>
    </row>
    <row r="89" spans="7:11" x14ac:dyDescent="0.3">
      <c r="G89" s="13" t="s">
        <v>111</v>
      </c>
      <c r="H89" s="13"/>
      <c r="I89" s="13"/>
    </row>
    <row r="90" spans="7:11" x14ac:dyDescent="0.3">
      <c r="G90" t="s">
        <v>109</v>
      </c>
      <c r="H90">
        <f>H86/2</f>
        <v>87</v>
      </c>
      <c r="I90" t="s">
        <v>10</v>
      </c>
    </row>
    <row r="91" spans="7:11" x14ac:dyDescent="0.3">
      <c r="G91" t="s">
        <v>113</v>
      </c>
      <c r="H91">
        <v>1.6</v>
      </c>
      <c r="K91">
        <f>25/SQRT(174*4.5)</f>
        <v>0.89342711236482908</v>
      </c>
    </row>
    <row r="92" spans="7:11" x14ac:dyDescent="0.3">
      <c r="G92" t="s">
        <v>112</v>
      </c>
      <c r="H92" s="1">
        <f>(H86*H87*H91)/(4*H84/3.4)</f>
        <v>7.7165217391304335</v>
      </c>
      <c r="I92" t="s">
        <v>10</v>
      </c>
    </row>
    <row r="93" spans="7:11" x14ac:dyDescent="0.3">
      <c r="G93" t="s">
        <v>115</v>
      </c>
      <c r="H93" s="1">
        <f>3*H92</f>
        <v>23.149565217391299</v>
      </c>
      <c r="I93" t="s">
        <v>10</v>
      </c>
    </row>
    <row r="94" spans="7:11" x14ac:dyDescent="0.3">
      <c r="G94" t="s">
        <v>116</v>
      </c>
      <c r="H94" s="12">
        <f>(0.5*4/3*PI()*(H90-H92)^3)/10^6</f>
        <v>1.0437745379416794</v>
      </c>
      <c r="I94" t="s">
        <v>3</v>
      </c>
    </row>
    <row r="95" spans="7:11" x14ac:dyDescent="0.3">
      <c r="G95" s="11" t="s">
        <v>119</v>
      </c>
      <c r="H95" s="1">
        <f>$D$10-2*H94</f>
        <v>12.677551595257579</v>
      </c>
      <c r="I95" s="11" t="s">
        <v>3</v>
      </c>
    </row>
    <row r="96" spans="7:11" x14ac:dyDescent="0.3">
      <c r="G96" t="s">
        <v>86</v>
      </c>
      <c r="H96" s="1">
        <f>H95/(PI()*$B$4^2)</f>
        <v>607.53359258919409</v>
      </c>
      <c r="I96" s="11" t="s">
        <v>10</v>
      </c>
    </row>
    <row r="98" spans="7:9" x14ac:dyDescent="0.3">
      <c r="G98" s="13" t="s">
        <v>114</v>
      </c>
      <c r="H98" s="13"/>
      <c r="I98" s="13"/>
    </row>
    <row r="99" spans="7:9" x14ac:dyDescent="0.3">
      <c r="G99" t="s">
        <v>109</v>
      </c>
      <c r="H99">
        <f>H86/4</f>
        <v>43.5</v>
      </c>
      <c r="I99" t="s">
        <v>10</v>
      </c>
    </row>
    <row r="100" spans="7:9" x14ac:dyDescent="0.3">
      <c r="G100" t="s">
        <v>113</v>
      </c>
      <c r="H100">
        <v>2.2999999999999998</v>
      </c>
    </row>
    <row r="101" spans="7:9" x14ac:dyDescent="0.3">
      <c r="G101" t="s">
        <v>112</v>
      </c>
      <c r="H101">
        <f>(H86*H87*H100)/(4*H84/3.4)</f>
        <v>11.092499999999998</v>
      </c>
      <c r="I101" t="s">
        <v>10</v>
      </c>
    </row>
    <row r="102" spans="7:9" x14ac:dyDescent="0.3">
      <c r="G102" t="s">
        <v>115</v>
      </c>
      <c r="H102" s="1">
        <f>3*H101</f>
        <v>33.277499999999989</v>
      </c>
      <c r="I102" t="s">
        <v>10</v>
      </c>
    </row>
    <row r="103" spans="7:9" x14ac:dyDescent="0.3">
      <c r="G103" t="s">
        <v>116</v>
      </c>
      <c r="H103" s="12">
        <f>(0.5*4/3*PI()*((H99-H101)*H90^2))/10^6</f>
        <v>0.51373913314643171</v>
      </c>
      <c r="I103" t="s">
        <v>3</v>
      </c>
    </row>
    <row r="104" spans="7:9" x14ac:dyDescent="0.3">
      <c r="G104" s="11" t="s">
        <v>119</v>
      </c>
      <c r="H104" s="1">
        <f>$D$10-2*H103</f>
        <v>13.737622404848075</v>
      </c>
      <c r="I104" s="11" t="s">
        <v>3</v>
      </c>
    </row>
    <row r="105" spans="7:9" x14ac:dyDescent="0.3">
      <c r="G105" t="s">
        <v>86</v>
      </c>
      <c r="H105" s="1">
        <f>H104/(PI()*$B$4^2)</f>
        <v>658.33430300321174</v>
      </c>
      <c r="I105" s="11" t="s">
        <v>10</v>
      </c>
    </row>
  </sheetData>
  <mergeCells count="12">
    <mergeCell ref="F46:H46"/>
    <mergeCell ref="F20:H20"/>
    <mergeCell ref="F23:H23"/>
    <mergeCell ref="F15:H15"/>
    <mergeCell ref="F1:N1"/>
    <mergeCell ref="H24:H25"/>
    <mergeCell ref="F37:H37"/>
    <mergeCell ref="G98:I98"/>
    <mergeCell ref="G81:I81"/>
    <mergeCell ref="G82:I82"/>
    <mergeCell ref="J84:J85"/>
    <mergeCell ref="G89:I89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A9A6-4FA6-4DF8-9D82-C8E1614A6E94}">
  <dimension ref="B2:E7"/>
  <sheetViews>
    <sheetView workbookViewId="0">
      <selection activeCell="E7" sqref="E7"/>
    </sheetView>
  </sheetViews>
  <sheetFormatPr defaultRowHeight="14.4" x14ac:dyDescent="0.3"/>
  <sheetData>
    <row r="2" spans="2:5" x14ac:dyDescent="0.3">
      <c r="B2" t="s">
        <v>120</v>
      </c>
      <c r="C2">
        <v>3000</v>
      </c>
    </row>
    <row r="3" spans="2:5" x14ac:dyDescent="0.3">
      <c r="B3" t="s">
        <v>121</v>
      </c>
      <c r="C3">
        <v>85</v>
      </c>
    </row>
    <row r="4" spans="2:5" x14ac:dyDescent="0.3">
      <c r="B4" t="s">
        <v>122</v>
      </c>
      <c r="C4">
        <v>70</v>
      </c>
    </row>
    <row r="5" spans="2:5" x14ac:dyDescent="0.3">
      <c r="B5" t="s">
        <v>123</v>
      </c>
      <c r="C5">
        <v>9.81</v>
      </c>
    </row>
    <row r="6" spans="2:5" x14ac:dyDescent="0.3">
      <c r="B6" t="s">
        <v>124</v>
      </c>
      <c r="C6">
        <f>SQRT($C$2*2*$C$5)/SIN(RADIANS(C3))</f>
        <v>243.53753326995246</v>
      </c>
      <c r="D6" t="s">
        <v>126</v>
      </c>
      <c r="E6">
        <f>C6*COS(RADIANS(C3))</f>
        <v>21.225694599075211</v>
      </c>
    </row>
    <row r="7" spans="2:5" x14ac:dyDescent="0.3">
      <c r="B7" t="s">
        <v>125</v>
      </c>
      <c r="C7">
        <f>SQRT($C$2*2*$C$5)/SIN(RADIANS(C4))</f>
        <v>258.18102011587803</v>
      </c>
      <c r="D7" t="s">
        <v>127</v>
      </c>
      <c r="E7">
        <f>C7*COS(RADIANS(C4))</f>
        <v>88.303109503999991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 Czapski</dc:creator>
  <cp:lastModifiedBy>Mati Czapski</cp:lastModifiedBy>
  <dcterms:created xsi:type="dcterms:W3CDTF">2024-09-02T19:36:05Z</dcterms:created>
  <dcterms:modified xsi:type="dcterms:W3CDTF">2024-12-24T13:40:25Z</dcterms:modified>
</cp:coreProperties>
</file>