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wB3C7psRW9DwIbbp428GwwekvqOcbzY-\SimBa\Projekty (dawniej rakiety)\R7\03_Propulsion\Model 3D w SolidWorks\Zbiornik\"/>
    </mc:Choice>
  </mc:AlternateContent>
  <xr:revisionPtr revIDLastSave="0" documentId="13_ncr:1_{F96F89EA-0E0F-4513-B57A-81081542A2C0}" xr6:coauthVersionLast="47" xr6:coauthVersionMax="47" xr10:uidLastSave="{00000000-0000-0000-0000-000000000000}"/>
  <bookViews>
    <workbookView xWindow="-108" yWindow="-108" windowWidth="23256" windowHeight="12576" xr2:uid="{884CEEDE-8FB0-4B0A-BCDA-4E8CBB830B7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G43" i="1"/>
  <c r="G40" i="1"/>
  <c r="G39" i="1"/>
  <c r="G38" i="1"/>
  <c r="G34" i="1"/>
  <c r="G32" i="1"/>
  <c r="G29" i="1"/>
  <c r="G2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3" i="1"/>
  <c r="G35" i="1"/>
  <c r="G33" i="1"/>
  <c r="G30" i="1"/>
  <c r="G28" i="1"/>
  <c r="B36" i="1"/>
  <c r="B37" i="1" s="1"/>
  <c r="C31" i="1"/>
  <c r="C32" i="1" s="1"/>
  <c r="B31" i="1"/>
  <c r="B32" i="1" s="1"/>
  <c r="D3" i="1"/>
  <c r="B3" i="1" s="1"/>
  <c r="B14" i="1"/>
  <c r="I8" i="1" s="1"/>
  <c r="D13" i="1"/>
  <c r="D14" i="1" s="1"/>
  <c r="G31" i="1" s="1"/>
  <c r="B9" i="1"/>
  <c r="B10" i="1" s="1"/>
  <c r="D10" i="1" s="1"/>
  <c r="B33" i="1" l="1"/>
  <c r="C33" i="1"/>
  <c r="D4" i="1"/>
  <c r="G26" i="1" s="1"/>
  <c r="K8" i="1"/>
  <c r="K9" i="1"/>
  <c r="K11" i="1" s="1"/>
  <c r="K12" i="1" s="1"/>
  <c r="K13" i="1" s="1"/>
  <c r="K7" i="1"/>
  <c r="J7" i="1"/>
  <c r="H8" i="1"/>
  <c r="G8" i="1"/>
  <c r="I7" i="1"/>
  <c r="H9" i="1"/>
  <c r="H11" i="1" s="1"/>
  <c r="H12" i="1" s="1"/>
  <c r="H13" i="1" s="1"/>
  <c r="J9" i="1"/>
  <c r="J11" i="1" s="1"/>
  <c r="J12" i="1" s="1"/>
  <c r="J13" i="1" s="1"/>
  <c r="G9" i="1"/>
  <c r="I9" i="1"/>
  <c r="I11" i="1" s="1"/>
  <c r="I12" i="1" s="1"/>
  <c r="I13" i="1" s="1"/>
  <c r="H7" i="1"/>
  <c r="G7" i="1"/>
  <c r="J8" i="1"/>
  <c r="D9" i="1"/>
  <c r="G11" i="1" l="1"/>
  <c r="B4" i="1"/>
  <c r="G16" i="1" l="1"/>
  <c r="G17" i="1" s="1"/>
  <c r="G12" i="1"/>
  <c r="G13" i="1" s="1"/>
  <c r="G10" i="1"/>
  <c r="G18" i="1" l="1"/>
  <c r="G19" i="1"/>
  <c r="G22" i="1" l="1"/>
  <c r="G21" i="1"/>
</calcChain>
</file>

<file path=xl/sharedStrings.xml><?xml version="1.0" encoding="utf-8"?>
<sst xmlns="http://schemas.openxmlformats.org/spreadsheetml/2006/main" count="133" uniqueCount="92">
  <si>
    <t>kg</t>
  </si>
  <si>
    <t>kg/m3</t>
  </si>
  <si>
    <t>m3</t>
  </si>
  <si>
    <t>l</t>
  </si>
  <si>
    <t>PA 4 (AW-6082) T6</t>
  </si>
  <si>
    <t>PA 45 (AW-6061) T6</t>
  </si>
  <si>
    <t>PA 6 (AW-2017a) T4</t>
  </si>
  <si>
    <t>PA 38  (AW-6060) T6</t>
  </si>
  <si>
    <t>MPa</t>
  </si>
  <si>
    <t>75 bar</t>
  </si>
  <si>
    <t>mm</t>
  </si>
  <si>
    <t>m</t>
  </si>
  <si>
    <t>Masa utleniacza</t>
  </si>
  <si>
    <t>Gęstość utleniacza</t>
  </si>
  <si>
    <t>Nadmiar obj.</t>
  </si>
  <si>
    <t>Objętość utleniacza</t>
  </si>
  <si>
    <t>Objętość zbiornika</t>
  </si>
  <si>
    <t>Średnica zewnętrzna</t>
  </si>
  <si>
    <t>Promień zew</t>
  </si>
  <si>
    <t>Granica plastyczności</t>
  </si>
  <si>
    <t>Wytrzymałość na roziąganie</t>
  </si>
  <si>
    <t>Gęstość</t>
  </si>
  <si>
    <t>Grubość ścianki 1 (Gp)</t>
  </si>
  <si>
    <t>Grubość ścianki 2 (WnR)</t>
  </si>
  <si>
    <t>Masa ścianek</t>
  </si>
  <si>
    <t>Ciśnienie maksymalne</t>
  </si>
  <si>
    <t>Współczynnik bezpieczeństwa</t>
  </si>
  <si>
    <t>Ti6Al4V (Ti Grade 5)</t>
  </si>
  <si>
    <t>Stop:</t>
  </si>
  <si>
    <t>AW-6082, fi 180 mm, G = 8,5 mm</t>
  </si>
  <si>
    <t>&lt;- używana rura</t>
  </si>
  <si>
    <t>Średnica wewnętrzna</t>
  </si>
  <si>
    <t>Promień wewnętrzny</t>
  </si>
  <si>
    <t>Grubość wg. ASME zew.</t>
  </si>
  <si>
    <t>Grubość wg. ASME wew.</t>
  </si>
  <si>
    <t>Promień zew. zbiornika</t>
  </si>
  <si>
    <t>Wymagana długość cz. rurowej</t>
  </si>
  <si>
    <t>Powierzchnia dennicy</t>
  </si>
  <si>
    <t>m^2</t>
  </si>
  <si>
    <t>Siła działająca na dennicę</t>
  </si>
  <si>
    <t>N</t>
  </si>
  <si>
    <t>Nośność śrub na ścinanie w jednej płaszczyźnie</t>
  </si>
  <si>
    <t>M4</t>
  </si>
  <si>
    <t>M5</t>
  </si>
  <si>
    <t>Średnica łba</t>
  </si>
  <si>
    <t>Wysokość łba</t>
  </si>
  <si>
    <t xml:space="preserve">Imbus </t>
  </si>
  <si>
    <t>Średnica podziałowa</t>
  </si>
  <si>
    <t>Średnica rdzenia</t>
  </si>
  <si>
    <t>m2</t>
  </si>
  <si>
    <t>Średnica czynna (dp+dr)/2</t>
  </si>
  <si>
    <t>Pole przekroju czynnego</t>
  </si>
  <si>
    <t>Klasa 12.9</t>
  </si>
  <si>
    <t>fub = Rm</t>
  </si>
  <si>
    <t>fyb = Re</t>
  </si>
  <si>
    <t>Nośność śruby</t>
  </si>
  <si>
    <t>Min. ilość śrub M4 12.9</t>
  </si>
  <si>
    <t>Min. ilość śrub M5 12.9</t>
  </si>
  <si>
    <t>DIN 912</t>
  </si>
  <si>
    <t>Uwzględniając wsp. bezpieczeństwa</t>
  </si>
  <si>
    <t>Obwód dennicy</t>
  </si>
  <si>
    <t>Obwód rury zbiornika</t>
  </si>
  <si>
    <t>Średnica gwintu</t>
  </si>
  <si>
    <t>Rozstaw między śrubami M4 w dennicy</t>
  </si>
  <si>
    <t>Rozstaw między śrubami M5 w dennicy</t>
  </si>
  <si>
    <t>Min. rozstaw między gwintami M4</t>
  </si>
  <si>
    <t>Min. rozstaw między gwintami M5</t>
  </si>
  <si>
    <t>Uwzględniając dwa rzędy śrub</t>
  </si>
  <si>
    <t>Obliczenie ilości śrub na dennicę</t>
  </si>
  <si>
    <t>Obliczenie wielkości części rurowej</t>
  </si>
  <si>
    <t>Rozstaw między śrubami M4 w rurze</t>
  </si>
  <si>
    <t>Rozstaw między śrubami M5 w rurze</t>
  </si>
  <si>
    <t>Min. rozstaw między łbami M4</t>
  </si>
  <si>
    <t>Min. rozstaw między łbami M5</t>
  </si>
  <si>
    <t>Suma</t>
  </si>
  <si>
    <t>Średnia</t>
  </si>
  <si>
    <t>Suma bieżąca</t>
  </si>
  <si>
    <t>Liczba</t>
  </si>
  <si>
    <t>Dla śrub M4 za mały rozstaw między otworami na łeb śruby w rurze zbiornika!!!</t>
  </si>
  <si>
    <t>Zaokrąglenie ilości M4</t>
  </si>
  <si>
    <t>Zaokrąglenie ilości M5</t>
  </si>
  <si>
    <t>Spójrz na kąty po prawej -&gt;</t>
  </si>
  <si>
    <t>Minimalna wysokość dennicy</t>
  </si>
  <si>
    <t>e1 wg. rozmiaru gwintu</t>
  </si>
  <si>
    <t>L wg. rozmiaru łba (bo w rurze)</t>
  </si>
  <si>
    <t xml:space="preserve">Wysokość między otworami </t>
  </si>
  <si>
    <t>o</t>
  </si>
  <si>
    <t>r</t>
  </si>
  <si>
    <t>SUMA</t>
  </si>
  <si>
    <t>Dodatek dla mocowania korpusu</t>
  </si>
  <si>
    <t>Długość części rurowej</t>
  </si>
  <si>
    <t>Cały zbiornik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</si>
</sst>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rgb="FFFF000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B05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1920240</xdr:colOff>
      <xdr:row>18</xdr:row>
      <xdr:rowOff>11430</xdr:rowOff>
    </xdr:from>
    <xdr:ext cx="736355" cy="3495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A85758E0-54A9-91EF-9930-DC043D6790C5}"/>
                </a:ext>
              </a:extLst>
            </xdr:cNvPr>
            <xdr:cNvSpPr txBox="1"/>
          </xdr:nvSpPr>
          <xdr:spPr>
            <a:xfrm>
              <a:off x="1920240" y="3303270"/>
              <a:ext cx="736355" cy="349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 kern="1200">
                        <a:latin typeface="Cambria Math" panose="02040503050406030204" pitchFamily="18" charset="0"/>
                      </a:rPr>
                      <m:t>𝐹</m:t>
                    </m:r>
                    <m:r>
                      <a:rPr lang="pl-PL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  <m:sSub>
                          <m:sSubPr>
                            <m:ctrlP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𝑢𝑏</m:t>
                            </m:r>
                          </m:sub>
                        </m:sSub>
                        <m:r>
                          <a:rPr lang="pl-PL" sz="1100" b="0" i="1" kern="1200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sSub>
                          <m:sSubPr>
                            <m:ctrlP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𝛾</m:t>
                            </m:r>
                          </m:e>
                          <m:sub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𝑀</m:t>
                            </m:r>
                            <m:r>
                              <a:rPr lang="pl-PL" sz="1100" b="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A85758E0-54A9-91EF-9930-DC043D6790C5}"/>
                </a:ext>
              </a:extLst>
            </xdr:cNvPr>
            <xdr:cNvSpPr txBox="1"/>
          </xdr:nvSpPr>
          <xdr:spPr>
            <a:xfrm>
              <a:off x="1920240" y="3303270"/>
              <a:ext cx="736355" cy="349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 kern="1200">
                  <a:latin typeface="Cambria Math" panose="02040503050406030204" pitchFamily="18" charset="0"/>
                </a:rPr>
                <a:t>𝐹=(</a:t>
              </a:r>
              <a:r>
                <a:rPr lang="pl-PL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pl-PL" sz="1100" b="0" i="0" kern="1200">
                  <a:latin typeface="Cambria Math" panose="02040503050406030204" pitchFamily="18" charset="0"/>
                </a:rPr>
                <a:t>𝑣 𝑓_𝑢𝑏 𝐴)/</a:t>
              </a:r>
              <a:r>
                <a:rPr lang="pl-PL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𝛾_</a:t>
              </a:r>
              <a:r>
                <a:rPr lang="pl-PL" sz="1100" b="0" i="0" kern="1200">
                  <a:latin typeface="Cambria Math" panose="02040503050406030204" pitchFamily="18" charset="0"/>
                </a:rPr>
                <a:t>𝑀2 </a:t>
              </a:r>
              <a:endParaRPr lang="en-US" sz="1100" kern="12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20</xdr:row>
      <xdr:rowOff>30481</xdr:rowOff>
    </xdr:from>
    <xdr:to>
      <xdr:col>4</xdr:col>
      <xdr:colOff>360081</xdr:colOff>
      <xdr:row>21</xdr:row>
      <xdr:rowOff>121921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68427A55-1A13-F8F2-54D4-CF00A1819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8081"/>
          <a:ext cx="4505361" cy="2743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71718</xdr:rowOff>
    </xdr:from>
    <xdr:to>
      <xdr:col>4</xdr:col>
      <xdr:colOff>546847</xdr:colOff>
      <xdr:row>40</xdr:row>
      <xdr:rowOff>64045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1358F245-C169-C92B-ABDD-A44F7AE9E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705600"/>
          <a:ext cx="4697506" cy="530210"/>
        </a:xfrm>
        <a:prstGeom prst="rect">
          <a:avLst/>
        </a:prstGeom>
      </xdr:spPr>
    </xdr:pic>
    <xdr:clientData/>
  </xdr:twoCellAnchor>
  <xdr:twoCellAnchor editAs="oneCell">
    <xdr:from>
      <xdr:col>8</xdr:col>
      <xdr:colOff>690286</xdr:colOff>
      <xdr:row>13</xdr:row>
      <xdr:rowOff>8962</xdr:rowOff>
    </xdr:from>
    <xdr:to>
      <xdr:col>16</xdr:col>
      <xdr:colOff>304802</xdr:colOff>
      <xdr:row>22</xdr:row>
      <xdr:rowOff>123754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483E252-D86F-3732-D427-F713AEC9F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51462" y="2339786"/>
          <a:ext cx="6239434" cy="1728439"/>
        </a:xfrm>
        <a:prstGeom prst="rect">
          <a:avLst/>
        </a:prstGeom>
      </xdr:spPr>
    </xdr:pic>
    <xdr:clientData/>
  </xdr:twoCellAnchor>
  <xdr:twoCellAnchor editAs="oneCell">
    <xdr:from>
      <xdr:col>7</xdr:col>
      <xdr:colOff>1281954</xdr:colOff>
      <xdr:row>35</xdr:row>
      <xdr:rowOff>125506</xdr:rowOff>
    </xdr:from>
    <xdr:to>
      <xdr:col>12</xdr:col>
      <xdr:colOff>323304</xdr:colOff>
      <xdr:row>56</xdr:row>
      <xdr:rowOff>72673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EF69CEEE-F93E-39D9-290A-FDE65F89F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3272" y="6400800"/>
          <a:ext cx="4841515" cy="3712344"/>
        </a:xfrm>
        <a:prstGeom prst="rect">
          <a:avLst/>
        </a:prstGeom>
      </xdr:spPr>
    </xdr:pic>
    <xdr:clientData/>
  </xdr:twoCellAnchor>
  <xdr:twoCellAnchor editAs="oneCell">
    <xdr:from>
      <xdr:col>6</xdr:col>
      <xdr:colOff>797858</xdr:colOff>
      <xdr:row>57</xdr:row>
      <xdr:rowOff>125506</xdr:rowOff>
    </xdr:from>
    <xdr:to>
      <xdr:col>12</xdr:col>
      <xdr:colOff>308501</xdr:colOff>
      <xdr:row>101</xdr:row>
      <xdr:rowOff>67208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2B08C86D-0C03-08C1-7A44-D9B02F84D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6870" y="10345271"/>
          <a:ext cx="6449325" cy="7830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D33B-FA6B-47C2-91C2-DECB36CB1F19}">
  <dimension ref="A1:S46"/>
  <sheetViews>
    <sheetView tabSelected="1" topLeftCell="B49" zoomScale="85" zoomScaleNormal="85" workbookViewId="0">
      <selection activeCell="G56" sqref="G56"/>
    </sheetView>
  </sheetViews>
  <sheetFormatPr defaultRowHeight="14.4" x14ac:dyDescent="0.3"/>
  <cols>
    <col min="1" max="1" width="29" bestFit="1" customWidth="1"/>
    <col min="2" max="2" width="13.6640625" bestFit="1" customWidth="1"/>
    <col min="6" max="6" width="34.21875" bestFit="1" customWidth="1"/>
    <col min="7" max="7" width="16.5546875" bestFit="1" customWidth="1"/>
    <col min="8" max="8" width="23.5546875" bestFit="1" customWidth="1"/>
    <col min="9" max="11" width="17.44140625" bestFit="1" customWidth="1"/>
  </cols>
  <sheetData>
    <row r="1" spans="1:19" x14ac:dyDescent="0.3">
      <c r="A1" s="2" t="s">
        <v>29</v>
      </c>
      <c r="B1" t="s">
        <v>30</v>
      </c>
      <c r="F1" s="7" t="s">
        <v>69</v>
      </c>
      <c r="G1" s="7"/>
      <c r="H1" s="7"/>
      <c r="I1" s="7"/>
      <c r="J1" s="7"/>
      <c r="K1" s="7"/>
      <c r="L1" s="7"/>
      <c r="M1" s="7"/>
      <c r="N1" s="7"/>
    </row>
    <row r="2" spans="1:19" x14ac:dyDescent="0.3">
      <c r="F2" t="s">
        <v>28</v>
      </c>
      <c r="G2" s="3" t="s">
        <v>4</v>
      </c>
      <c r="H2" t="s">
        <v>7</v>
      </c>
      <c r="I2" t="s">
        <v>6</v>
      </c>
      <c r="J2" t="s">
        <v>5</v>
      </c>
      <c r="K2" t="s">
        <v>27</v>
      </c>
      <c r="L2">
        <v>304</v>
      </c>
      <c r="M2">
        <v>316</v>
      </c>
      <c r="S2">
        <v>360</v>
      </c>
    </row>
    <row r="3" spans="1:19" x14ac:dyDescent="0.3">
      <c r="A3" t="s">
        <v>31</v>
      </c>
      <c r="B3">
        <f>D3*0.001</f>
        <v>0.16300000000000001</v>
      </c>
      <c r="C3" t="s">
        <v>11</v>
      </c>
      <c r="D3">
        <f>180-2*8.5</f>
        <v>163</v>
      </c>
      <c r="E3" t="s">
        <v>10</v>
      </c>
      <c r="F3" t="s">
        <v>19</v>
      </c>
      <c r="G3" s="3">
        <v>260</v>
      </c>
      <c r="H3">
        <v>140</v>
      </c>
      <c r="I3">
        <v>245</v>
      </c>
      <c r="J3">
        <v>240</v>
      </c>
      <c r="K3">
        <v>827</v>
      </c>
      <c r="N3" t="s">
        <v>8</v>
      </c>
      <c r="R3" s="3">
        <v>2</v>
      </c>
      <c r="S3" s="3">
        <f>$S$2/R3</f>
        <v>180</v>
      </c>
    </row>
    <row r="4" spans="1:19" x14ac:dyDescent="0.3">
      <c r="A4" t="s">
        <v>32</v>
      </c>
      <c r="B4">
        <f>D4*0.001</f>
        <v>8.1500000000000003E-2</v>
      </c>
      <c r="C4" t="s">
        <v>11</v>
      </c>
      <c r="D4">
        <f>D3/2</f>
        <v>81.5</v>
      </c>
      <c r="E4" t="s">
        <v>10</v>
      </c>
      <c r="F4" t="s">
        <v>20</v>
      </c>
      <c r="G4" s="3">
        <v>310</v>
      </c>
      <c r="H4">
        <v>170</v>
      </c>
      <c r="I4">
        <v>390</v>
      </c>
      <c r="J4">
        <v>260</v>
      </c>
      <c r="K4">
        <v>896</v>
      </c>
      <c r="N4" t="s">
        <v>8</v>
      </c>
      <c r="R4" s="3">
        <v>3</v>
      </c>
      <c r="S4" s="3">
        <f t="shared" ref="S4:S41" si="0">$S$2/R4</f>
        <v>120</v>
      </c>
    </row>
    <row r="5" spans="1:19" x14ac:dyDescent="0.3">
      <c r="F5" t="s">
        <v>21</v>
      </c>
      <c r="G5" s="3">
        <v>2700</v>
      </c>
      <c r="H5">
        <v>2700</v>
      </c>
      <c r="I5">
        <v>2800</v>
      </c>
      <c r="J5">
        <v>2700</v>
      </c>
      <c r="K5">
        <v>4430</v>
      </c>
      <c r="N5" t="s">
        <v>1</v>
      </c>
      <c r="R5" s="3">
        <v>4</v>
      </c>
      <c r="S5" s="3">
        <f t="shared" si="0"/>
        <v>90</v>
      </c>
    </row>
    <row r="6" spans="1:19" x14ac:dyDescent="0.3">
      <c r="A6" t="s">
        <v>12</v>
      </c>
      <c r="B6">
        <v>10</v>
      </c>
      <c r="C6" t="s">
        <v>0</v>
      </c>
      <c r="R6" s="3">
        <v>5</v>
      </c>
      <c r="S6" s="3">
        <f t="shared" si="0"/>
        <v>72</v>
      </c>
    </row>
    <row r="7" spans="1:19" x14ac:dyDescent="0.3">
      <c r="A7" t="s">
        <v>13</v>
      </c>
      <c r="B7">
        <v>745</v>
      </c>
      <c r="C7" t="s">
        <v>1</v>
      </c>
      <c r="F7" t="s">
        <v>22</v>
      </c>
      <c r="G7" s="1">
        <f>1000*($B$12*$B$11*$B$14)/G3</f>
        <v>5.0192307692307692</v>
      </c>
      <c r="H7" s="1">
        <f>1000*($B$12*$B$11*$B$14)/H3</f>
        <v>9.3214285714285712</v>
      </c>
      <c r="I7" s="1">
        <f>1000*($B$12*$B$11*$B$14)/I3</f>
        <v>5.3265306122448983</v>
      </c>
      <c r="J7" s="1">
        <f>1000*($B$12*$B$11*$B$14)/J3</f>
        <v>5.4375</v>
      </c>
      <c r="K7" s="1">
        <f>1000*($B$12*$B$11*$B$14)/K3</f>
        <v>1.5779927448609432</v>
      </c>
      <c r="R7" s="3">
        <v>6</v>
      </c>
      <c r="S7" s="3">
        <f t="shared" si="0"/>
        <v>60</v>
      </c>
    </row>
    <row r="8" spans="1:19" x14ac:dyDescent="0.3">
      <c r="A8" t="s">
        <v>14</v>
      </c>
      <c r="B8">
        <v>0.1</v>
      </c>
      <c r="F8" t="s">
        <v>23</v>
      </c>
      <c r="G8" s="1">
        <f>1000*($B$12*$B$11*$B$14)/G4</f>
        <v>4.209677419354839</v>
      </c>
      <c r="H8" s="1">
        <f>1000*($B$12*$B$11*$B$14)/H4</f>
        <v>7.6764705882352944</v>
      </c>
      <c r="I8" s="1">
        <f>1000*($B$12*$B$11*$B$14)/I4</f>
        <v>3.3461538461538463</v>
      </c>
      <c r="J8" s="1">
        <f t="shared" ref="J8" si="1">1000*($B$12*$B$11*$B$14)/J4</f>
        <v>5.0192307692307692</v>
      </c>
      <c r="K8" s="1">
        <f t="shared" ref="K8" si="2">1000*($B$12*$B$11*$B$14)/K4</f>
        <v>1.4564732142857142</v>
      </c>
      <c r="R8">
        <v>7</v>
      </c>
      <c r="S8">
        <f t="shared" si="0"/>
        <v>51.428571428571431</v>
      </c>
    </row>
    <row r="9" spans="1:19" x14ac:dyDescent="0.3">
      <c r="A9" t="s">
        <v>15</v>
      </c>
      <c r="B9">
        <f>B6/B7</f>
        <v>1.3422818791946308E-2</v>
      </c>
      <c r="C9" t="s">
        <v>2</v>
      </c>
      <c r="D9">
        <f>B9*1000</f>
        <v>13.422818791946309</v>
      </c>
      <c r="E9" t="s">
        <v>3</v>
      </c>
      <c r="F9" t="s">
        <v>33</v>
      </c>
      <c r="G9" s="4">
        <f>1000*($B$12*$B$11*$B$14)/(G3-0.6*$B$11)</f>
        <v>5.1076320939334634</v>
      </c>
      <c r="H9" s="1">
        <f>1000*($B$12*$B$11*$B$14)/(H3-0.6*$B$11)</f>
        <v>9.6309963099631002</v>
      </c>
      <c r="I9" s="1">
        <f>1000*($B$12*$B$11*$B$14)/(I3-0.6*$B$11)</f>
        <v>5.4261954261954264</v>
      </c>
      <c r="J9" s="1">
        <f>1000*($B$12*$B$11*$B$14)/(J3-0.6*$B$11)</f>
        <v>5.5414012738853504</v>
      </c>
      <c r="K9" s="1">
        <f>1000*($B$12*$B$11*$B$14)/(K3-0.6*$B$11)</f>
        <v>1.5866261398176291</v>
      </c>
      <c r="R9" s="3">
        <v>8</v>
      </c>
      <c r="S9" s="3">
        <f t="shared" si="0"/>
        <v>45</v>
      </c>
    </row>
    <row r="10" spans="1:19" x14ac:dyDescent="0.3">
      <c r="A10" s="3" t="s">
        <v>16</v>
      </c>
      <c r="B10" s="3">
        <f>B9+B8*B9</f>
        <v>1.4765100671140939E-2</v>
      </c>
      <c r="C10" s="3" t="s">
        <v>2</v>
      </c>
      <c r="D10" s="3">
        <f>B10*1000</f>
        <v>14.765100671140939</v>
      </c>
      <c r="E10" s="3" t="s">
        <v>3</v>
      </c>
      <c r="F10" t="s">
        <v>34</v>
      </c>
      <c r="G10" s="4">
        <f>1000*($B$12*$B$11*$B$4)/(G3-0.6*$B$11)</f>
        <v>4.7847358121330732</v>
      </c>
      <c r="H10" s="1"/>
      <c r="I10" s="1"/>
      <c r="J10" s="1"/>
      <c r="K10" s="1"/>
      <c r="R10" s="3">
        <v>9</v>
      </c>
      <c r="S10" s="3">
        <f t="shared" si="0"/>
        <v>40</v>
      </c>
    </row>
    <row r="11" spans="1:19" x14ac:dyDescent="0.3">
      <c r="A11" t="s">
        <v>25</v>
      </c>
      <c r="B11">
        <v>7.5</v>
      </c>
      <c r="C11" t="s">
        <v>8</v>
      </c>
      <c r="D11" t="s">
        <v>9</v>
      </c>
      <c r="F11" t="s">
        <v>35</v>
      </c>
      <c r="G11" s="5">
        <f>$D$4+G9</f>
        <v>86.607632093933461</v>
      </c>
      <c r="H11" s="1">
        <f>$D$14-H9</f>
        <v>77.369003690036905</v>
      </c>
      <c r="I11" s="1">
        <f>$D$14-I9</f>
        <v>81.57380457380458</v>
      </c>
      <c r="J11" s="1">
        <f>$D$14-J9</f>
        <v>81.458598726114644</v>
      </c>
      <c r="K11" s="1">
        <f>$D$14-K9</f>
        <v>85.413373860182375</v>
      </c>
      <c r="R11" s="3">
        <v>10</v>
      </c>
      <c r="S11" s="3">
        <f t="shared" si="0"/>
        <v>36</v>
      </c>
    </row>
    <row r="12" spans="1:19" x14ac:dyDescent="0.3">
      <c r="A12" s="3" t="s">
        <v>26</v>
      </c>
      <c r="B12" s="3">
        <v>2</v>
      </c>
      <c r="F12" t="s">
        <v>36</v>
      </c>
      <c r="G12" s="4">
        <f>1000*$B$10/(PI()*$B$4^2)</f>
        <v>707.57311364719544</v>
      </c>
      <c r="H12" s="1">
        <f>1000*$B$10/(PI()*(H11/1000)^2)</f>
        <v>785.14981207734047</v>
      </c>
      <c r="I12" s="1">
        <f>1000*$B$10/(PI()*(I11/1000)^2)</f>
        <v>706.29332761396472</v>
      </c>
      <c r="J12" s="1">
        <f t="shared" ref="H12:K12" si="3">1000*$B$10/(PI()*(J11/1000)^2)</f>
        <v>708.2925434720695</v>
      </c>
      <c r="K12" s="1">
        <f t="shared" si="3"/>
        <v>644.22086365349799</v>
      </c>
      <c r="R12">
        <v>11</v>
      </c>
      <c r="S12">
        <f t="shared" si="0"/>
        <v>32.727272727272727</v>
      </c>
    </row>
    <row r="13" spans="1:19" x14ac:dyDescent="0.3">
      <c r="A13" s="3" t="s">
        <v>17</v>
      </c>
      <c r="B13" s="3">
        <v>0.17399999999999999</v>
      </c>
      <c r="C13" s="3" t="s">
        <v>11</v>
      </c>
      <c r="D13" s="3">
        <f>B13*1000</f>
        <v>174</v>
      </c>
      <c r="E13" s="3" t="s">
        <v>10</v>
      </c>
      <c r="F13" t="s">
        <v>24</v>
      </c>
      <c r="G13" s="4">
        <f>((PI()*G11^2*G12/1000)-(PI()*D4^2*G12/1000))*$B$7*0.000001</f>
        <v>1.4219505899506133</v>
      </c>
      <c r="H13" s="1">
        <f>((PI()*$B$14^2*H12/1000)-(PI()*(H11/1000)^2*H12/1000))*$B$7</f>
        <v>2.9090408222998856</v>
      </c>
      <c r="I13" s="1">
        <f>((PI()*$B$14^2*I12/1000)-(PI()*(I11/1000)^2*I12/1000))*$B$7</f>
        <v>1.5120869612243757</v>
      </c>
      <c r="J13" s="1">
        <f t="shared" ref="H13:K13" si="4">((PI()*$B$14^2*J12/1000)-(PI()*(J11/1000)^2*J12/1000))*$B$7</f>
        <v>1.5475033550835293</v>
      </c>
      <c r="K13" s="1">
        <f t="shared" si="4"/>
        <v>0.41246441545495444</v>
      </c>
      <c r="R13" s="3">
        <v>12</v>
      </c>
      <c r="S13" s="3">
        <f t="shared" si="0"/>
        <v>30</v>
      </c>
    </row>
    <row r="14" spans="1:19" x14ac:dyDescent="0.3">
      <c r="A14" t="s">
        <v>18</v>
      </c>
      <c r="B14">
        <f>B13/2</f>
        <v>8.6999999999999994E-2</v>
      </c>
      <c r="C14" t="s">
        <v>11</v>
      </c>
      <c r="D14">
        <f>D13/2</f>
        <v>87</v>
      </c>
      <c r="E14" t="s">
        <v>10</v>
      </c>
      <c r="R14">
        <v>13</v>
      </c>
      <c r="S14">
        <f t="shared" si="0"/>
        <v>27.692307692307693</v>
      </c>
    </row>
    <row r="15" spans="1:19" x14ac:dyDescent="0.3">
      <c r="F15" s="7" t="s">
        <v>68</v>
      </c>
      <c r="G15" s="7"/>
      <c r="H15" s="7"/>
      <c r="R15">
        <v>14</v>
      </c>
      <c r="S15">
        <f t="shared" si="0"/>
        <v>25.714285714285715</v>
      </c>
    </row>
    <row r="16" spans="1:19" x14ac:dyDescent="0.3">
      <c r="F16" t="s">
        <v>37</v>
      </c>
      <c r="G16">
        <f>PI()*B4^2</f>
        <v>2.0867243803306804E-2</v>
      </c>
      <c r="H16" t="s">
        <v>38</v>
      </c>
      <c r="R16" s="3">
        <v>15</v>
      </c>
      <c r="S16" s="3">
        <f t="shared" si="0"/>
        <v>24</v>
      </c>
    </row>
    <row r="17" spans="1:19" x14ac:dyDescent="0.3">
      <c r="F17" t="s">
        <v>39</v>
      </c>
      <c r="G17">
        <f>B11*10^6*G16</f>
        <v>156504.32852480104</v>
      </c>
      <c r="H17" t="s">
        <v>40</v>
      </c>
      <c r="R17" s="3">
        <v>16</v>
      </c>
      <c r="S17" s="3">
        <f t="shared" si="0"/>
        <v>22.5</v>
      </c>
    </row>
    <row r="18" spans="1:19" x14ac:dyDescent="0.3">
      <c r="A18" t="s">
        <v>41</v>
      </c>
      <c r="F18" t="s">
        <v>56</v>
      </c>
      <c r="G18">
        <f>G17/B33</f>
        <v>37.146891871783012</v>
      </c>
      <c r="R18">
        <v>17</v>
      </c>
      <c r="S18">
        <f t="shared" si="0"/>
        <v>21.176470588235293</v>
      </c>
    </row>
    <row r="19" spans="1:19" x14ac:dyDescent="0.3">
      <c r="F19" t="s">
        <v>57</v>
      </c>
      <c r="G19">
        <f>G17/C33</f>
        <v>22.988972865740408</v>
      </c>
      <c r="R19" s="3">
        <v>18</v>
      </c>
      <c r="S19" s="3">
        <f t="shared" si="0"/>
        <v>20</v>
      </c>
    </row>
    <row r="20" spans="1:19" x14ac:dyDescent="0.3">
      <c r="F20" s="8" t="s">
        <v>59</v>
      </c>
      <c r="G20" s="8"/>
      <c r="H20" s="8"/>
      <c r="R20">
        <v>19</v>
      </c>
      <c r="S20">
        <f t="shared" si="0"/>
        <v>18.94736842105263</v>
      </c>
    </row>
    <row r="21" spans="1:19" x14ac:dyDescent="0.3">
      <c r="F21" t="s">
        <v>56</v>
      </c>
      <c r="G21">
        <f>G18*2</f>
        <v>74.293783743566024</v>
      </c>
      <c r="R21" s="3">
        <v>20</v>
      </c>
      <c r="S21" s="3">
        <f t="shared" si="0"/>
        <v>18</v>
      </c>
    </row>
    <row r="22" spans="1:19" x14ac:dyDescent="0.3">
      <c r="F22" t="s">
        <v>57</v>
      </c>
      <c r="G22">
        <f>G19*2</f>
        <v>45.977945731480816</v>
      </c>
      <c r="R22">
        <v>21</v>
      </c>
      <c r="S22">
        <f t="shared" si="0"/>
        <v>17.142857142857142</v>
      </c>
    </row>
    <row r="23" spans="1:19" x14ac:dyDescent="0.3">
      <c r="B23" t="s">
        <v>58</v>
      </c>
      <c r="F23" s="8" t="s">
        <v>67</v>
      </c>
      <c r="G23" s="8"/>
      <c r="H23" s="8"/>
      <c r="R23">
        <v>22</v>
      </c>
      <c r="S23">
        <f t="shared" si="0"/>
        <v>16.363636363636363</v>
      </c>
    </row>
    <row r="24" spans="1:19" x14ac:dyDescent="0.3">
      <c r="B24" t="s">
        <v>42</v>
      </c>
      <c r="C24" t="s">
        <v>43</v>
      </c>
      <c r="F24" s="13" t="s">
        <v>79</v>
      </c>
      <c r="G24" s="13">
        <v>40</v>
      </c>
      <c r="H24" s="12" t="s">
        <v>81</v>
      </c>
      <c r="I24">
        <v>9</v>
      </c>
      <c r="R24">
        <v>23</v>
      </c>
      <c r="S24">
        <f t="shared" si="0"/>
        <v>15.652173913043478</v>
      </c>
    </row>
    <row r="25" spans="1:19" x14ac:dyDescent="0.3">
      <c r="A25" t="s">
        <v>44</v>
      </c>
      <c r="B25">
        <v>7</v>
      </c>
      <c r="C25">
        <v>8.5</v>
      </c>
      <c r="D25" t="s">
        <v>10</v>
      </c>
      <c r="F25" s="13" t="s">
        <v>80</v>
      </c>
      <c r="G25" s="13">
        <v>24</v>
      </c>
      <c r="H25" s="12"/>
      <c r="I25">
        <v>15</v>
      </c>
      <c r="R25" s="3">
        <v>24</v>
      </c>
      <c r="S25" s="3">
        <f t="shared" si="0"/>
        <v>15</v>
      </c>
    </row>
    <row r="26" spans="1:19" x14ac:dyDescent="0.3">
      <c r="A26" t="s">
        <v>45</v>
      </c>
      <c r="B26">
        <v>4</v>
      </c>
      <c r="C26">
        <v>5</v>
      </c>
      <c r="D26" t="s">
        <v>10</v>
      </c>
      <c r="F26" s="6" t="s">
        <v>60</v>
      </c>
      <c r="G26" s="6">
        <f>2*PI()*D4</f>
        <v>512.07960253513625</v>
      </c>
      <c r="H26" s="6" t="s">
        <v>10</v>
      </c>
      <c r="R26">
        <v>25</v>
      </c>
      <c r="S26">
        <f t="shared" si="0"/>
        <v>14.4</v>
      </c>
    </row>
    <row r="27" spans="1:19" x14ac:dyDescent="0.3">
      <c r="A27" t="s">
        <v>46</v>
      </c>
      <c r="B27">
        <v>3</v>
      </c>
      <c r="C27">
        <v>4</v>
      </c>
      <c r="D27" t="s">
        <v>10</v>
      </c>
      <c r="F27" t="s">
        <v>63</v>
      </c>
      <c r="G27">
        <f>G26/G24</f>
        <v>12.801990063378407</v>
      </c>
      <c r="H27" t="s">
        <v>10</v>
      </c>
      <c r="R27">
        <v>26</v>
      </c>
      <c r="S27">
        <f t="shared" si="0"/>
        <v>13.846153846153847</v>
      </c>
    </row>
    <row r="28" spans="1:19" x14ac:dyDescent="0.3">
      <c r="A28" s="6" t="s">
        <v>62</v>
      </c>
      <c r="B28" s="6">
        <v>4</v>
      </c>
      <c r="C28" s="6">
        <v>5</v>
      </c>
      <c r="D28" s="6" t="s">
        <v>10</v>
      </c>
      <c r="F28" t="s">
        <v>65</v>
      </c>
      <c r="G28">
        <f>2.4*B28</f>
        <v>9.6</v>
      </c>
      <c r="H28" t="s">
        <v>10</v>
      </c>
      <c r="R28">
        <v>27</v>
      </c>
      <c r="S28">
        <f t="shared" si="0"/>
        <v>13.333333333333334</v>
      </c>
    </row>
    <row r="29" spans="1:19" x14ac:dyDescent="0.3">
      <c r="A29" t="s">
        <v>47</v>
      </c>
      <c r="B29">
        <v>3.5449999999999999</v>
      </c>
      <c r="C29">
        <v>4.4800000000000004</v>
      </c>
      <c r="D29" t="s">
        <v>10</v>
      </c>
      <c r="F29" t="s">
        <v>64</v>
      </c>
      <c r="G29">
        <f>G26/G25</f>
        <v>21.336650105630678</v>
      </c>
      <c r="H29" t="s">
        <v>10</v>
      </c>
      <c r="R29">
        <v>28</v>
      </c>
      <c r="S29">
        <f t="shared" si="0"/>
        <v>12.857142857142858</v>
      </c>
    </row>
    <row r="30" spans="1:19" x14ac:dyDescent="0.3">
      <c r="A30" t="s">
        <v>48</v>
      </c>
      <c r="B30">
        <v>3.141</v>
      </c>
      <c r="C30">
        <v>4.0190000000000001</v>
      </c>
      <c r="D30" t="s">
        <v>10</v>
      </c>
      <c r="F30" t="s">
        <v>66</v>
      </c>
      <c r="G30">
        <f>2.4*C28</f>
        <v>12</v>
      </c>
      <c r="H30" t="s">
        <v>10</v>
      </c>
      <c r="R30">
        <v>29</v>
      </c>
      <c r="S30">
        <f t="shared" si="0"/>
        <v>12.413793103448276</v>
      </c>
    </row>
    <row r="31" spans="1:19" x14ac:dyDescent="0.3">
      <c r="A31" t="s">
        <v>50</v>
      </c>
      <c r="B31">
        <f>(B30+B29)/2</f>
        <v>3.343</v>
      </c>
      <c r="C31">
        <f>(C30+C29)/2</f>
        <v>4.2495000000000003</v>
      </c>
      <c r="D31" t="s">
        <v>38</v>
      </c>
      <c r="F31" s="6" t="s">
        <v>61</v>
      </c>
      <c r="G31" s="6">
        <f>2*PI()*D14</f>
        <v>546.63712172462397</v>
      </c>
      <c r="H31" s="6" t="s">
        <v>10</v>
      </c>
      <c r="R31" s="3">
        <v>30</v>
      </c>
      <c r="S31" s="3">
        <f t="shared" si="0"/>
        <v>12</v>
      </c>
    </row>
    <row r="32" spans="1:19" x14ac:dyDescent="0.3">
      <c r="A32" t="s">
        <v>51</v>
      </c>
      <c r="B32">
        <f>PI()*(B31/2000)^2</f>
        <v>8.7773341993745299E-6</v>
      </c>
      <c r="C32">
        <f>PI()*(C31/2000)^2</f>
        <v>1.4182916580521515E-5</v>
      </c>
      <c r="D32" t="s">
        <v>49</v>
      </c>
      <c r="F32" s="9" t="s">
        <v>70</v>
      </c>
      <c r="G32" s="9">
        <f>G31/G24</f>
        <v>13.665928043115599</v>
      </c>
      <c r="H32" s="9" t="s">
        <v>10</v>
      </c>
      <c r="I32" s="10" t="s">
        <v>78</v>
      </c>
      <c r="R32">
        <v>31</v>
      </c>
      <c r="S32">
        <f t="shared" si="0"/>
        <v>11.612903225806452</v>
      </c>
    </row>
    <row r="33" spans="1:19" x14ac:dyDescent="0.3">
      <c r="A33" t="s">
        <v>55</v>
      </c>
      <c r="B33">
        <f>(0.5*B36*10^6*B32)/1.25</f>
        <v>4213.1204156997746</v>
      </c>
      <c r="C33">
        <f>(0.5*B36*10^6*C32)/1.25</f>
        <v>6807.7999586503265</v>
      </c>
      <c r="D33" t="s">
        <v>40</v>
      </c>
      <c r="F33" s="9" t="s">
        <v>72</v>
      </c>
      <c r="G33" s="9">
        <f>2.4*B25</f>
        <v>16.8</v>
      </c>
      <c r="H33" s="9" t="s">
        <v>10</v>
      </c>
      <c r="R33">
        <v>32</v>
      </c>
      <c r="S33">
        <f t="shared" si="0"/>
        <v>11.25</v>
      </c>
    </row>
    <row r="34" spans="1:19" x14ac:dyDescent="0.3">
      <c r="F34" s="11" t="s">
        <v>71</v>
      </c>
      <c r="G34" s="11">
        <f>G31/G25</f>
        <v>22.776546738525997</v>
      </c>
      <c r="H34" s="11" t="s">
        <v>10</v>
      </c>
      <c r="R34">
        <v>33</v>
      </c>
      <c r="S34">
        <f t="shared" si="0"/>
        <v>10.909090909090908</v>
      </c>
    </row>
    <row r="35" spans="1:19" x14ac:dyDescent="0.3">
      <c r="A35" t="s">
        <v>52</v>
      </c>
      <c r="F35" s="11" t="s">
        <v>73</v>
      </c>
      <c r="G35" s="11">
        <f>2.4*C25</f>
        <v>20.399999999999999</v>
      </c>
      <c r="H35" s="11" t="s">
        <v>10</v>
      </c>
      <c r="R35">
        <v>34</v>
      </c>
      <c r="S35">
        <f t="shared" si="0"/>
        <v>10.588235294117647</v>
      </c>
    </row>
    <row r="36" spans="1:19" x14ac:dyDescent="0.3">
      <c r="A36" t="s">
        <v>53</v>
      </c>
      <c r="B36">
        <f>12*100</f>
        <v>1200</v>
      </c>
      <c r="C36" t="s">
        <v>8</v>
      </c>
      <c r="R36">
        <v>35</v>
      </c>
      <c r="S36">
        <f t="shared" si="0"/>
        <v>10.285714285714286</v>
      </c>
    </row>
    <row r="37" spans="1:19" x14ac:dyDescent="0.3">
      <c r="A37" t="s">
        <v>54</v>
      </c>
      <c r="B37">
        <f>0.9*B36</f>
        <v>1080</v>
      </c>
      <c r="C37" t="s">
        <v>8</v>
      </c>
      <c r="F37" s="7" t="s">
        <v>82</v>
      </c>
      <c r="G37" s="7"/>
      <c r="H37" s="7"/>
      <c r="R37" s="3">
        <v>36</v>
      </c>
      <c r="S37" s="3">
        <f t="shared" si="0"/>
        <v>10</v>
      </c>
    </row>
    <row r="38" spans="1:19" x14ac:dyDescent="0.3">
      <c r="F38" t="s">
        <v>83</v>
      </c>
      <c r="G38">
        <f>1.2*C28</f>
        <v>6</v>
      </c>
      <c r="H38" t="s">
        <v>10</v>
      </c>
      <c r="R38">
        <v>37</v>
      </c>
      <c r="S38">
        <f t="shared" si="0"/>
        <v>9.7297297297297298</v>
      </c>
    </row>
    <row r="39" spans="1:19" x14ac:dyDescent="0.3">
      <c r="F39" t="s">
        <v>84</v>
      </c>
      <c r="G39">
        <f>2.4*C25</f>
        <v>20.399999999999999</v>
      </c>
      <c r="H39" t="s">
        <v>10</v>
      </c>
      <c r="R39">
        <v>38</v>
      </c>
      <c r="S39">
        <f t="shared" si="0"/>
        <v>9.473684210526315</v>
      </c>
    </row>
    <row r="40" spans="1:19" x14ac:dyDescent="0.3">
      <c r="F40" t="s">
        <v>85</v>
      </c>
      <c r="G40">
        <f>(SQRT(2)*G39)/2</f>
        <v>14.424978336205569</v>
      </c>
      <c r="H40" t="s">
        <v>10</v>
      </c>
      <c r="R40">
        <v>39</v>
      </c>
      <c r="S40">
        <f t="shared" si="0"/>
        <v>9.2307692307692299</v>
      </c>
    </row>
    <row r="41" spans="1:19" x14ac:dyDescent="0.3">
      <c r="F41" t="s">
        <v>86</v>
      </c>
      <c r="G41">
        <v>6.5</v>
      </c>
      <c r="R41" s="3">
        <v>40</v>
      </c>
      <c r="S41" s="3">
        <f t="shared" si="0"/>
        <v>9</v>
      </c>
    </row>
    <row r="42" spans="1:19" x14ac:dyDescent="0.3">
      <c r="F42" t="s">
        <v>87</v>
      </c>
      <c r="G42">
        <v>3</v>
      </c>
    </row>
    <row r="43" spans="1:19" x14ac:dyDescent="0.3">
      <c r="F43" t="s">
        <v>88</v>
      </c>
      <c r="G43">
        <f>2*G38+G40+G41+G42</f>
        <v>35.924978336205569</v>
      </c>
      <c r="H43" t="s">
        <v>10</v>
      </c>
    </row>
    <row r="44" spans="1:19" x14ac:dyDescent="0.3">
      <c r="F44" t="s">
        <v>89</v>
      </c>
      <c r="G44">
        <v>30</v>
      </c>
      <c r="H44" t="s">
        <v>10</v>
      </c>
    </row>
    <row r="45" spans="1:19" x14ac:dyDescent="0.3">
      <c r="F45" t="s">
        <v>90</v>
      </c>
      <c r="G45">
        <v>708</v>
      </c>
    </row>
    <row r="46" spans="1:19" x14ac:dyDescent="0.3">
      <c r="F46" t="s">
        <v>91</v>
      </c>
      <c r="G46">
        <f>G45+2*(G44+35)</f>
        <v>838</v>
      </c>
      <c r="H46" t="s">
        <v>10</v>
      </c>
    </row>
  </sheetData>
  <mergeCells count="6">
    <mergeCell ref="F20:H20"/>
    <mergeCell ref="F23:H23"/>
    <mergeCell ref="F15:H15"/>
    <mergeCell ref="F1:N1"/>
    <mergeCell ref="H24:H25"/>
    <mergeCell ref="F37:H37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 Czapski</dc:creator>
  <cp:lastModifiedBy>Mati Czapski</cp:lastModifiedBy>
  <dcterms:created xsi:type="dcterms:W3CDTF">2024-09-02T19:36:05Z</dcterms:created>
  <dcterms:modified xsi:type="dcterms:W3CDTF">2024-11-23T22:57:01Z</dcterms:modified>
</cp:coreProperties>
</file>